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28800" windowHeight="10845" firstSheet="10" activeTab="10"/>
  </bookViews>
  <sheets>
    <sheet name="CONSO LBP 2 2021 (10-22)" sheetId="10" r:id="rId1"/>
    <sheet name="CONSO LBP 2 2021 (10-22) (2)" sheetId="11" r:id="rId2"/>
    <sheet name="CONSO LBP 2 2021 (10-22) (2 (3" sheetId="12" r:id="rId3"/>
    <sheet name="CONSO LBP 2 2021 (4)" sheetId="4" r:id="rId4"/>
    <sheet name="CONSO LBP 2 2021 (3)" sheetId="3" r:id="rId5"/>
    <sheet name="PS-MOOE-CO-BYSECTOR" sheetId="5" r:id="rId6"/>
    <sheet name="SPA-OSPA" sheetId="8" state="hidden" r:id="rId7"/>
    <sheet name="PART4-1-BY SECTOR" sheetId="6" r:id="rId8"/>
    <sheet name="2-BY OFFICE" sheetId="2" state="hidden" r:id="rId9"/>
    <sheet name="PART4-1-BY SECTOR (23)" sheetId="18" r:id="rId10"/>
    <sheet name="2-BY OFFICE (2)" sheetId="9" r:id="rId11"/>
    <sheet name="by sec" sheetId="19" r:id="rId12"/>
    <sheet name="Sheet2" sheetId="20" r:id="rId13"/>
    <sheet name="BY SECTOR" sheetId="16" r:id="rId14"/>
    <sheet name="BY SECTOR (2)" sheetId="17" r:id="rId15"/>
    <sheet name="2-BY OFFICE (3)" sheetId="14" r:id="rId16"/>
    <sheet name="%2022-2023" sheetId="7" r:id="rId17"/>
    <sheet name="%2021-2022 (2)" sheetId="13" r:id="rId18"/>
    <sheet name="Sheet1" sheetId="15" r:id="rId19"/>
  </sheets>
  <definedNames>
    <definedName name="_xlnm.Print_Titles" localSheetId="17">'%2021-2022 (2)'!$1:$1</definedName>
    <definedName name="_xlnm.Print_Titles" localSheetId="16">'%2022-2023'!$1:$1</definedName>
    <definedName name="_xlnm.Print_Titles" localSheetId="8">'2-BY OFFICE'!$3:$3</definedName>
    <definedName name="_xlnm.Print_Titles" localSheetId="15">'2-BY OFFICE (3)'!$3:$3</definedName>
    <definedName name="_xlnm.Print_Titles" localSheetId="7">'PART4-1-BY SECTOR'!$4:$4</definedName>
    <definedName name="_xlnm.Print_Titles" localSheetId="9">'PART4-1-BY SECTOR (23)'!$6:$6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3" i="18" l="1"/>
  <c r="H111" i="18"/>
  <c r="D72" i="18" l="1"/>
  <c r="D54" i="18"/>
  <c r="S315" i="19" l="1"/>
  <c r="R213" i="19"/>
  <c r="F72" i="18"/>
  <c r="F71" i="18"/>
  <c r="F41" i="18"/>
  <c r="G98" i="20" l="1"/>
  <c r="F98" i="20"/>
  <c r="D98" i="20"/>
  <c r="C98" i="20"/>
  <c r="B98" i="20"/>
  <c r="E97" i="20"/>
  <c r="H97" i="20" s="1"/>
  <c r="I97" i="20" s="1"/>
  <c r="E96" i="20"/>
  <c r="H96" i="20" s="1"/>
  <c r="I96" i="20" s="1"/>
  <c r="E95" i="20"/>
  <c r="H95" i="20" s="1"/>
  <c r="I94" i="20"/>
  <c r="D91" i="20"/>
  <c r="C91" i="20"/>
  <c r="E90" i="20"/>
  <c r="H90" i="20" s="1"/>
  <c r="I90" i="20" s="1"/>
  <c r="E89" i="20"/>
  <c r="H89" i="20" s="1"/>
  <c r="I89" i="20" s="1"/>
  <c r="G88" i="20"/>
  <c r="I88" i="20" s="1"/>
  <c r="E88" i="20"/>
  <c r="E87" i="20"/>
  <c r="G87" i="20" s="1"/>
  <c r="I87" i="20" s="1"/>
  <c r="E86" i="20"/>
  <c r="G86" i="20" s="1"/>
  <c r="I86" i="20" s="1"/>
  <c r="E85" i="20"/>
  <c r="G85" i="20" s="1"/>
  <c r="I85" i="20" s="1"/>
  <c r="G84" i="20"/>
  <c r="I84" i="20" s="1"/>
  <c r="E84" i="20"/>
  <c r="E83" i="20"/>
  <c r="G83" i="20" s="1"/>
  <c r="I83" i="20" s="1"/>
  <c r="E82" i="20"/>
  <c r="G82" i="20" s="1"/>
  <c r="I82" i="20" s="1"/>
  <c r="E81" i="20"/>
  <c r="F81" i="20" s="1"/>
  <c r="I81" i="20" s="1"/>
  <c r="E80" i="20"/>
  <c r="F80" i="20" s="1"/>
  <c r="I80" i="20" s="1"/>
  <c r="E79" i="20"/>
  <c r="F79" i="20" s="1"/>
  <c r="I79" i="20" s="1"/>
  <c r="E78" i="20"/>
  <c r="F78" i="20" s="1"/>
  <c r="I78" i="20" s="1"/>
  <c r="E77" i="20"/>
  <c r="G77" i="20" s="1"/>
  <c r="I77" i="20" s="1"/>
  <c r="H76" i="20"/>
  <c r="I76" i="20" s="1"/>
  <c r="E76" i="20"/>
  <c r="E75" i="20"/>
  <c r="F75" i="20" s="1"/>
  <c r="I75" i="20" s="1"/>
  <c r="E74" i="20"/>
  <c r="H74" i="20" s="1"/>
  <c r="E73" i="20"/>
  <c r="F73" i="20" s="1"/>
  <c r="I73" i="20" s="1"/>
  <c r="G72" i="20"/>
  <c r="I72" i="20" s="1"/>
  <c r="E72" i="20"/>
  <c r="E71" i="20"/>
  <c r="G71" i="20" s="1"/>
  <c r="E70" i="20"/>
  <c r="F70" i="20" s="1"/>
  <c r="I70" i="20" s="1"/>
  <c r="E69" i="20"/>
  <c r="F69" i="20" s="1"/>
  <c r="I69" i="20" s="1"/>
  <c r="E68" i="20"/>
  <c r="F68" i="20" s="1"/>
  <c r="I68" i="20" s="1"/>
  <c r="E67" i="20"/>
  <c r="F67" i="20" s="1"/>
  <c r="I67" i="20" s="1"/>
  <c r="E66" i="20"/>
  <c r="F66" i="20" s="1"/>
  <c r="I66" i="20" s="1"/>
  <c r="E65" i="20"/>
  <c r="F65" i="20" s="1"/>
  <c r="I65" i="20" s="1"/>
  <c r="F64" i="20"/>
  <c r="I64" i="20" s="1"/>
  <c r="E64" i="20"/>
  <c r="E63" i="20"/>
  <c r="F63" i="20" s="1"/>
  <c r="I63" i="20" s="1"/>
  <c r="E62" i="20"/>
  <c r="F62" i="20" s="1"/>
  <c r="I62" i="20" s="1"/>
  <c r="E61" i="20"/>
  <c r="F61" i="20" s="1"/>
  <c r="I61" i="20" s="1"/>
  <c r="F60" i="20"/>
  <c r="I60" i="20" s="1"/>
  <c r="E60" i="20"/>
  <c r="E59" i="20"/>
  <c r="F59" i="20" s="1"/>
  <c r="I59" i="20" s="1"/>
  <c r="E58" i="20"/>
  <c r="F58" i="20" s="1"/>
  <c r="I58" i="20" s="1"/>
  <c r="E57" i="20"/>
  <c r="F57" i="20" s="1"/>
  <c r="I57" i="20" s="1"/>
  <c r="E56" i="20"/>
  <c r="I55" i="20"/>
  <c r="D53" i="20"/>
  <c r="C53" i="20"/>
  <c r="B53" i="20"/>
  <c r="E52" i="20"/>
  <c r="F52" i="20" s="1"/>
  <c r="F53" i="20" s="1"/>
  <c r="E51" i="20"/>
  <c r="H51" i="20" s="1"/>
  <c r="I51" i="20" s="1"/>
  <c r="E50" i="20"/>
  <c r="E49" i="20"/>
  <c r="G49" i="20" s="1"/>
  <c r="I48" i="20"/>
  <c r="E48" i="20"/>
  <c r="H47" i="20"/>
  <c r="F47" i="20"/>
  <c r="D47" i="20"/>
  <c r="C47" i="20"/>
  <c r="I46" i="20"/>
  <c r="G46" i="20"/>
  <c r="E46" i="20"/>
  <c r="G45" i="20"/>
  <c r="I45" i="20" s="1"/>
  <c r="E45" i="20"/>
  <c r="G44" i="20"/>
  <c r="G47" i="20" s="1"/>
  <c r="E44" i="20"/>
  <c r="G43" i="20"/>
  <c r="I43" i="20" s="1"/>
  <c r="E43" i="20"/>
  <c r="H40" i="20"/>
  <c r="F40" i="20"/>
  <c r="D40" i="20"/>
  <c r="C40" i="20"/>
  <c r="B40" i="20"/>
  <c r="E39" i="20"/>
  <c r="G39" i="20" s="1"/>
  <c r="I39" i="20" s="1"/>
  <c r="E38" i="20"/>
  <c r="G38" i="20" s="1"/>
  <c r="I38" i="20" s="1"/>
  <c r="E37" i="20"/>
  <c r="G37" i="20" s="1"/>
  <c r="I36" i="20"/>
  <c r="I35" i="20"/>
  <c r="E35" i="20"/>
  <c r="D34" i="20"/>
  <c r="C34" i="20"/>
  <c r="B34" i="20"/>
  <c r="E34" i="20" s="1"/>
  <c r="I33" i="20"/>
  <c r="H33" i="20"/>
  <c r="E33" i="20"/>
  <c r="H32" i="20"/>
  <c r="I32" i="20" s="1"/>
  <c r="E32" i="20"/>
  <c r="E31" i="20"/>
  <c r="H31" i="20" s="1"/>
  <c r="I31" i="20" s="1"/>
  <c r="E30" i="20"/>
  <c r="H30" i="20" s="1"/>
  <c r="I30" i="20" s="1"/>
  <c r="E29" i="20"/>
  <c r="G29" i="20" s="1"/>
  <c r="I29" i="20" s="1"/>
  <c r="E28" i="20"/>
  <c r="G28" i="20" s="1"/>
  <c r="I28" i="20" s="1"/>
  <c r="E27" i="20"/>
  <c r="F27" i="20" s="1"/>
  <c r="I27" i="20" s="1"/>
  <c r="E26" i="20"/>
  <c r="F26" i="20" s="1"/>
  <c r="I26" i="20" s="1"/>
  <c r="F25" i="20"/>
  <c r="I25" i="20" s="1"/>
  <c r="E25" i="20"/>
  <c r="E24" i="20"/>
  <c r="F24" i="20" s="1"/>
  <c r="I24" i="20" s="1"/>
  <c r="E23" i="20"/>
  <c r="F23" i="20" s="1"/>
  <c r="I23" i="20" s="1"/>
  <c r="E22" i="20"/>
  <c r="F22" i="20" s="1"/>
  <c r="I22" i="20" s="1"/>
  <c r="E21" i="20"/>
  <c r="F21" i="20" s="1"/>
  <c r="I21" i="20" s="1"/>
  <c r="F20" i="20"/>
  <c r="I20" i="20" s="1"/>
  <c r="E20" i="20"/>
  <c r="E19" i="20"/>
  <c r="F19" i="20" s="1"/>
  <c r="I19" i="20" s="1"/>
  <c r="E18" i="20"/>
  <c r="F18" i="20" s="1"/>
  <c r="I18" i="20" s="1"/>
  <c r="E17" i="20"/>
  <c r="G17" i="20" s="1"/>
  <c r="I17" i="20" s="1"/>
  <c r="F16" i="20"/>
  <c r="I16" i="20" s="1"/>
  <c r="E16" i="20"/>
  <c r="E15" i="20"/>
  <c r="F15" i="20" s="1"/>
  <c r="I15" i="20" s="1"/>
  <c r="E14" i="20"/>
  <c r="F14" i="20" s="1"/>
  <c r="I14" i="20" s="1"/>
  <c r="F13" i="20"/>
  <c r="I13" i="20" s="1"/>
  <c r="E13" i="20"/>
  <c r="E12" i="20"/>
  <c r="G12" i="20" s="1"/>
  <c r="I12" i="20" s="1"/>
  <c r="E11" i="20"/>
  <c r="H11" i="20" s="1"/>
  <c r="I11" i="20" s="1"/>
  <c r="E10" i="20"/>
  <c r="F10" i="20" s="1"/>
  <c r="I10" i="20" s="1"/>
  <c r="I9" i="20"/>
  <c r="F9" i="20"/>
  <c r="E9" i="20"/>
  <c r="F8" i="20"/>
  <c r="I8" i="20" s="1"/>
  <c r="E8" i="20"/>
  <c r="E7" i="20"/>
  <c r="H7" i="20" s="1"/>
  <c r="E6" i="20"/>
  <c r="G6" i="20" s="1"/>
  <c r="E5" i="20"/>
  <c r="F5" i="20" s="1"/>
  <c r="I5" i="20" s="1"/>
  <c r="F4" i="20"/>
  <c r="I4" i="20" s="1"/>
  <c r="E4" i="20"/>
  <c r="N46" i="9"/>
  <c r="N45" i="9"/>
  <c r="N44" i="9"/>
  <c r="N43" i="9"/>
  <c r="N37" i="9"/>
  <c r="E91" i="20" l="1"/>
  <c r="B92" i="20"/>
  <c r="B99" i="20" s="1"/>
  <c r="C92" i="20"/>
  <c r="C99" i="20" s="1"/>
  <c r="D92" i="20"/>
  <c r="D99" i="20" s="1"/>
  <c r="E53" i="20"/>
  <c r="E47" i="20"/>
  <c r="F56" i="20"/>
  <c r="H34" i="20"/>
  <c r="I7" i="20"/>
  <c r="F91" i="20"/>
  <c r="H91" i="20"/>
  <c r="I74" i="20"/>
  <c r="I6" i="20"/>
  <c r="G34" i="20"/>
  <c r="G40" i="20"/>
  <c r="I40" i="20" s="1"/>
  <c r="I37" i="20"/>
  <c r="G53" i="20"/>
  <c r="I49" i="20"/>
  <c r="G91" i="20"/>
  <c r="I71" i="20"/>
  <c r="H98" i="20"/>
  <c r="I98" i="20" s="1"/>
  <c r="I95" i="20"/>
  <c r="I52" i="20"/>
  <c r="I56" i="20"/>
  <c r="I44" i="20"/>
  <c r="I47" i="20" s="1"/>
  <c r="H50" i="20"/>
  <c r="E40" i="20"/>
  <c r="F34" i="20"/>
  <c r="I34" i="20" s="1"/>
  <c r="E98" i="20"/>
  <c r="E92" i="20" l="1"/>
  <c r="E99" i="20" s="1"/>
  <c r="E101" i="20" s="1"/>
  <c r="F93" i="20"/>
  <c r="F92" i="20"/>
  <c r="F99" i="20" s="1"/>
  <c r="I91" i="20"/>
  <c r="G93" i="20"/>
  <c r="G92" i="20"/>
  <c r="G99" i="20" s="1"/>
  <c r="I50" i="20"/>
  <c r="H53" i="20"/>
  <c r="H92" i="20" s="1"/>
  <c r="H99" i="20" s="1"/>
  <c r="H93" i="20"/>
  <c r="I53" i="20" l="1"/>
  <c r="I93" i="20" s="1"/>
  <c r="I92" i="20"/>
  <c r="I99" i="20"/>
  <c r="R210" i="19" l="1"/>
  <c r="S211" i="19" l="1"/>
  <c r="K71" i="18"/>
  <c r="K54" i="18"/>
  <c r="K72" i="18"/>
  <c r="K48" i="18"/>
  <c r="K49" i="18"/>
  <c r="K50" i="18"/>
  <c r="K51" i="18"/>
  <c r="K52" i="18"/>
  <c r="K53" i="18"/>
  <c r="K55" i="18"/>
  <c r="K56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31" i="18"/>
  <c r="S329" i="19" l="1"/>
  <c r="H76" i="18"/>
  <c r="H68" i="18"/>
  <c r="H69" i="18"/>
  <c r="H70" i="18"/>
  <c r="H71" i="18"/>
  <c r="H53" i="18"/>
  <c r="H54" i="18"/>
  <c r="H56" i="18"/>
  <c r="H57" i="18"/>
  <c r="H58" i="18"/>
  <c r="H59" i="18"/>
  <c r="H60" i="18"/>
  <c r="H61" i="18"/>
  <c r="H62" i="18"/>
  <c r="H65" i="18"/>
  <c r="H66" i="18"/>
  <c r="H67" i="18"/>
  <c r="H43" i="18"/>
  <c r="H44" i="18"/>
  <c r="H45" i="18"/>
  <c r="H46" i="18"/>
  <c r="H47" i="18"/>
  <c r="H48" i="18"/>
  <c r="H49" i="18"/>
  <c r="H50" i="18"/>
  <c r="H51" i="18"/>
  <c r="H52" i="18"/>
  <c r="H32" i="18"/>
  <c r="H33" i="18"/>
  <c r="H34" i="18"/>
  <c r="H35" i="18"/>
  <c r="H36" i="18"/>
  <c r="H37" i="18"/>
  <c r="H38" i="18"/>
  <c r="H39" i="18"/>
  <c r="H40" i="18"/>
  <c r="H41" i="18"/>
  <c r="H42" i="18"/>
  <c r="H31" i="18"/>
  <c r="S176" i="19"/>
  <c r="F73" i="18" l="1"/>
  <c r="S562" i="19" l="1"/>
  <c r="S565" i="19"/>
  <c r="R352" i="19"/>
  <c r="R184" i="19"/>
  <c r="S185" i="19" l="1"/>
  <c r="S352" i="19"/>
  <c r="M47" i="9"/>
  <c r="N47" i="9"/>
  <c r="O47" i="9"/>
  <c r="Q47" i="9"/>
  <c r="P44" i="9"/>
  <c r="R44" i="9" s="1"/>
  <c r="P45" i="9"/>
  <c r="R45" i="9" s="1"/>
  <c r="P46" i="9"/>
  <c r="R46" i="9" s="1"/>
  <c r="P43" i="9"/>
  <c r="R43" i="9" s="1"/>
  <c r="L47" i="9"/>
  <c r="C59" i="9"/>
  <c r="C61" i="9" s="1"/>
  <c r="C40" i="9"/>
  <c r="D107" i="18"/>
  <c r="H96" i="18"/>
  <c r="H98" i="18"/>
  <c r="H82" i="18"/>
  <c r="H92" i="18"/>
  <c r="H88" i="18"/>
  <c r="H89" i="18"/>
  <c r="H90" i="18"/>
  <c r="H100" i="18"/>
  <c r="H77" i="18"/>
  <c r="H79" i="18"/>
  <c r="H84" i="18"/>
  <c r="H80" i="18"/>
  <c r="H86" i="18"/>
  <c r="H94" i="18"/>
  <c r="H81" i="18"/>
  <c r="H87" i="18"/>
  <c r="F101" i="18"/>
  <c r="R47" i="9" l="1"/>
  <c r="P47" i="9"/>
  <c r="H101" i="18"/>
  <c r="S1171" i="19"/>
  <c r="S1166" i="19"/>
  <c r="S1164" i="19"/>
  <c r="S1162" i="19"/>
  <c r="S1157" i="19"/>
  <c r="S1149" i="19"/>
  <c r="S1147" i="19"/>
  <c r="S1142" i="19"/>
  <c r="S1137" i="19"/>
  <c r="S1132" i="19"/>
  <c r="S1130" i="19"/>
  <c r="S1125" i="19"/>
  <c r="S1120" i="19"/>
  <c r="S1119" i="19"/>
  <c r="S1117" i="19"/>
  <c r="S1116" i="19"/>
  <c r="S1115" i="19"/>
  <c r="S1110" i="19"/>
  <c r="S1105" i="19"/>
  <c r="S1098" i="19"/>
  <c r="S1079" i="19"/>
  <c r="S1048" i="19"/>
  <c r="S1038" i="19"/>
  <c r="S1019" i="19"/>
  <c r="S1005" i="19"/>
  <c r="S986" i="19"/>
  <c r="S967" i="19"/>
  <c r="S948" i="19"/>
  <c r="S932" i="19"/>
  <c r="S913" i="19"/>
  <c r="S911" i="19"/>
  <c r="S892" i="19"/>
  <c r="S887" i="19"/>
  <c r="S868" i="19"/>
  <c r="S849" i="19"/>
  <c r="S828" i="19"/>
  <c r="S819" i="19"/>
  <c r="S815" i="19"/>
  <c r="S805" i="19"/>
  <c r="S799" i="19"/>
  <c r="S790" i="19"/>
  <c r="S786" i="19"/>
  <c r="S777" i="19"/>
  <c r="S768" i="19"/>
  <c r="S759" i="19"/>
  <c r="S750" i="19"/>
  <c r="S741" i="19"/>
  <c r="S740" i="19"/>
  <c r="S730" i="19"/>
  <c r="S731" i="19"/>
  <c r="S725" i="19"/>
  <c r="S724" i="19"/>
  <c r="S723" i="19"/>
  <c r="S714" i="19"/>
  <c r="S705" i="19"/>
  <c r="S695" i="19"/>
  <c r="S608" i="19"/>
  <c r="S606" i="19"/>
  <c r="S590" i="19"/>
  <c r="S584" i="19"/>
  <c r="S576" i="19"/>
  <c r="S553" i="19"/>
  <c r="S475" i="19"/>
  <c r="S471" i="19"/>
  <c r="S467" i="19"/>
  <c r="S461" i="19"/>
  <c r="S440" i="19"/>
  <c r="S437" i="19"/>
  <c r="S434" i="19"/>
  <c r="S367" i="19"/>
  <c r="S364" i="19"/>
  <c r="S325" i="19"/>
  <c r="S265" i="19"/>
  <c r="S256" i="19"/>
  <c r="S247" i="19"/>
  <c r="S236" i="19"/>
  <c r="S222" i="19"/>
  <c r="S170" i="19"/>
  <c r="S152" i="19"/>
  <c r="R1152" i="19"/>
  <c r="S1154" i="19" s="1"/>
  <c r="S168" i="19"/>
  <c r="S166" i="19"/>
  <c r="J81" i="18"/>
  <c r="H104" i="18"/>
  <c r="H110" i="18" l="1"/>
  <c r="F113" i="18"/>
  <c r="D113" i="18"/>
  <c r="E73" i="18"/>
  <c r="D55" i="18" l="1"/>
  <c r="H55" i="18" s="1"/>
  <c r="H72" i="18"/>
  <c r="H73" i="18" l="1"/>
  <c r="D73" i="18"/>
  <c r="S191" i="19"/>
  <c r="S203" i="19"/>
  <c r="I101" i="18" l="1"/>
  <c r="H1392" i="19"/>
  <c r="R1384" i="19"/>
  <c r="Q1384" i="19"/>
  <c r="P1384" i="19"/>
  <c r="O1384" i="19"/>
  <c r="N1384" i="19"/>
  <c r="M1384" i="19"/>
  <c r="L1384" i="19"/>
  <c r="K1384" i="19"/>
  <c r="J1384" i="19"/>
  <c r="I1384" i="19"/>
  <c r="K1348" i="19"/>
  <c r="I1348" i="19"/>
  <c r="H1336" i="19"/>
  <c r="O1305" i="19"/>
  <c r="N1305" i="19"/>
  <c r="O1265" i="19"/>
  <c r="N1265" i="19"/>
  <c r="O1258" i="19"/>
  <c r="N1258" i="19"/>
  <c r="K1258" i="19"/>
  <c r="L228" i="19"/>
  <c r="L191" i="19"/>
  <c r="R216" i="19"/>
  <c r="Q216" i="19"/>
  <c r="P216" i="19"/>
  <c r="M216" i="19"/>
  <c r="J216" i="19"/>
  <c r="L185" i="19"/>
  <c r="L173" i="19"/>
  <c r="L203" i="19"/>
  <c r="L265" i="19"/>
  <c r="Q1285" i="19"/>
  <c r="P1285" i="19"/>
  <c r="O1285" i="19"/>
  <c r="N1285" i="19"/>
  <c r="K1325" i="19"/>
  <c r="J1285" i="19"/>
  <c r="L723" i="19"/>
  <c r="L786" i="19"/>
  <c r="L768" i="19"/>
  <c r="L799" i="19"/>
  <c r="L750" i="19"/>
  <c r="L705" i="19"/>
  <c r="L828" i="19"/>
  <c r="L740" i="19"/>
  <c r="L714" i="19"/>
  <c r="L759" i="19"/>
  <c r="L777" i="19"/>
  <c r="R814" i="19"/>
  <c r="R1285" i="19" s="1"/>
  <c r="M814" i="19"/>
  <c r="M1285" i="19" s="1"/>
  <c r="I814" i="19"/>
  <c r="I1285" i="19" s="1"/>
  <c r="L209" i="19"/>
  <c r="L236" i="19"/>
  <c r="L230" i="19"/>
  <c r="R238" i="19"/>
  <c r="S239" i="19" s="1"/>
  <c r="L238" i="19"/>
  <c r="L190" i="19"/>
  <c r="R220" i="19"/>
  <c r="Q220" i="19"/>
  <c r="P220" i="19"/>
  <c r="M220" i="19"/>
  <c r="L220" i="19" s="1"/>
  <c r="J220" i="19"/>
  <c r="I220" i="19"/>
  <c r="L183" i="19"/>
  <c r="L202" i="19"/>
  <c r="L176" i="19"/>
  <c r="L264" i="19"/>
  <c r="R1284" i="19"/>
  <c r="P1284" i="19"/>
  <c r="O1284" i="19"/>
  <c r="N1284" i="19"/>
  <c r="J1284" i="19"/>
  <c r="I1284" i="19"/>
  <c r="L722" i="19"/>
  <c r="L785" i="19"/>
  <c r="L767" i="19"/>
  <c r="L798" i="19"/>
  <c r="L731" i="19"/>
  <c r="L724" i="19"/>
  <c r="L725" i="19"/>
  <c r="L815" i="19"/>
  <c r="L729" i="19"/>
  <c r="L749" i="19"/>
  <c r="L704" i="19"/>
  <c r="L827" i="19"/>
  <c r="L739" i="19"/>
  <c r="L713" i="19"/>
  <c r="L758" i="19"/>
  <c r="L776" i="19"/>
  <c r="L805" i="19"/>
  <c r="M813" i="19"/>
  <c r="L208" i="19"/>
  <c r="L235" i="19"/>
  <c r="L227" i="19"/>
  <c r="L237" i="19"/>
  <c r="L247" i="19"/>
  <c r="L175" i="19"/>
  <c r="L215" i="19"/>
  <c r="I215" i="19"/>
  <c r="L177" i="19"/>
  <c r="L201" i="19"/>
  <c r="L721" i="19"/>
  <c r="L784" i="19"/>
  <c r="L766" i="19"/>
  <c r="L797" i="19"/>
  <c r="L748" i="19"/>
  <c r="L703" i="19"/>
  <c r="L826" i="19"/>
  <c r="L738" i="19"/>
  <c r="L712" i="19"/>
  <c r="L757" i="19"/>
  <c r="L775" i="19"/>
  <c r="L804" i="19"/>
  <c r="R812" i="19"/>
  <c r="N812" i="19"/>
  <c r="M812" i="19"/>
  <c r="L812" i="19" s="1"/>
  <c r="I812" i="19"/>
  <c r="R1385" i="19"/>
  <c r="Q1385" i="19"/>
  <c r="P1385" i="19"/>
  <c r="O1385" i="19"/>
  <c r="N1385" i="19"/>
  <c r="M1385" i="19"/>
  <c r="L1385" i="19"/>
  <c r="K1385" i="19"/>
  <c r="J1385" i="19"/>
  <c r="I1385" i="19"/>
  <c r="R1383" i="19"/>
  <c r="Q1383" i="19"/>
  <c r="P1383" i="19"/>
  <c r="O1383" i="19"/>
  <c r="N1383" i="19"/>
  <c r="M1383" i="19"/>
  <c r="L1383" i="19"/>
  <c r="K1383" i="19"/>
  <c r="J1383" i="19"/>
  <c r="I1383" i="19"/>
  <c r="R1382" i="19"/>
  <c r="Q1382" i="19"/>
  <c r="P1382" i="19"/>
  <c r="O1382" i="19"/>
  <c r="N1382" i="19"/>
  <c r="M1382" i="19"/>
  <c r="K1382" i="19"/>
  <c r="J1382" i="19"/>
  <c r="I1382" i="19"/>
  <c r="L1382" i="19"/>
  <c r="Q1378" i="19"/>
  <c r="O1378" i="19"/>
  <c r="M1378" i="19"/>
  <c r="K1378" i="19"/>
  <c r="I1378" i="19"/>
  <c r="R1376" i="19"/>
  <c r="Q1376" i="19"/>
  <c r="P1376" i="19"/>
  <c r="O1376" i="19"/>
  <c r="N1376" i="19"/>
  <c r="M1376" i="19"/>
  <c r="L1376" i="19"/>
  <c r="K1376" i="19"/>
  <c r="J1376" i="19"/>
  <c r="I1376" i="19"/>
  <c r="R1375" i="19"/>
  <c r="P1375" i="19"/>
  <c r="O1375" i="19"/>
  <c r="N1375" i="19"/>
  <c r="K1375" i="19"/>
  <c r="J1375" i="19"/>
  <c r="R1363" i="19"/>
  <c r="Q1283" i="19"/>
  <c r="O1363" i="19"/>
  <c r="N1363" i="19"/>
  <c r="K1363" i="19"/>
  <c r="J1363" i="19"/>
  <c r="L207" i="19"/>
  <c r="L194" i="19"/>
  <c r="R226" i="19"/>
  <c r="Q226" i="19"/>
  <c r="P226" i="19"/>
  <c r="L226" i="19"/>
  <c r="L246" i="19"/>
  <c r="L189" i="19"/>
  <c r="L222" i="19"/>
  <c r="L219" i="19"/>
  <c r="I219" i="19"/>
  <c r="L200" i="19"/>
  <c r="L262" i="19"/>
  <c r="R1279" i="19"/>
  <c r="Q1279" i="19"/>
  <c r="P1279" i="19"/>
  <c r="O1279" i="19"/>
  <c r="K1279" i="19"/>
  <c r="J1279" i="19"/>
  <c r="I1279" i="19"/>
  <c r="L720" i="19"/>
  <c r="L783" i="19"/>
  <c r="L765" i="19"/>
  <c r="L796" i="19"/>
  <c r="L747" i="19"/>
  <c r="L702" i="19"/>
  <c r="L825" i="19"/>
  <c r="L737" i="19"/>
  <c r="L711" i="19"/>
  <c r="L756" i="19"/>
  <c r="L819" i="19"/>
  <c r="L790" i="19"/>
  <c r="L774" i="19"/>
  <c r="L803" i="19"/>
  <c r="M811" i="19"/>
  <c r="M1279" i="19" s="1"/>
  <c r="L206" i="19"/>
  <c r="L193" i="19"/>
  <c r="R229" i="19"/>
  <c r="M229" i="19"/>
  <c r="I229" i="19"/>
  <c r="L188" i="19"/>
  <c r="L245" i="19"/>
  <c r="L266" i="19"/>
  <c r="L218" i="19"/>
  <c r="L199" i="19"/>
  <c r="L261" i="19"/>
  <c r="Q1278" i="19"/>
  <c r="P1278" i="19"/>
  <c r="K1278" i="19"/>
  <c r="J1278" i="19"/>
  <c r="L719" i="19"/>
  <c r="L782" i="19"/>
  <c r="L764" i="19"/>
  <c r="L795" i="19"/>
  <c r="L727" i="19"/>
  <c r="L746" i="19"/>
  <c r="L701" i="19"/>
  <c r="L824" i="19"/>
  <c r="L736" i="19"/>
  <c r="L710" i="19"/>
  <c r="L755" i="19"/>
  <c r="L818" i="19"/>
  <c r="L789" i="19"/>
  <c r="L773" i="19"/>
  <c r="L802" i="19"/>
  <c r="R810" i="19"/>
  <c r="R1278" i="19" s="1"/>
  <c r="N810" i="19"/>
  <c r="N1278" i="19" s="1"/>
  <c r="M810" i="19"/>
  <c r="M1278" i="19" s="1"/>
  <c r="I810" i="19"/>
  <c r="I1278" i="19" s="1"/>
  <c r="R1361" i="19"/>
  <c r="P1361" i="19"/>
  <c r="O1361" i="19"/>
  <c r="N1361" i="19"/>
  <c r="K1361" i="19"/>
  <c r="J1361" i="19"/>
  <c r="L205" i="19"/>
  <c r="L233" i="19"/>
  <c r="L225" i="19"/>
  <c r="L244" i="19"/>
  <c r="L214" i="19"/>
  <c r="I214" i="19"/>
  <c r="L198" i="19"/>
  <c r="L260" i="19"/>
  <c r="L718" i="19"/>
  <c r="L781" i="19"/>
  <c r="L763" i="19"/>
  <c r="L794" i="19"/>
  <c r="L745" i="19"/>
  <c r="L700" i="19"/>
  <c r="L823" i="19"/>
  <c r="L735" i="19"/>
  <c r="L709" i="19"/>
  <c r="L754" i="19"/>
  <c r="L817" i="19"/>
  <c r="L788" i="19"/>
  <c r="L772" i="19"/>
  <c r="M809" i="19"/>
  <c r="R1360" i="19"/>
  <c r="P1360" i="19"/>
  <c r="N1360" i="19"/>
  <c r="M1360" i="19"/>
  <c r="J1360" i="19"/>
  <c r="I1360" i="19"/>
  <c r="L204" i="19"/>
  <c r="L234" i="19"/>
  <c r="L224" i="19"/>
  <c r="I224" i="19"/>
  <c r="L187" i="19"/>
  <c r="L243" i="19"/>
  <c r="L221" i="19"/>
  <c r="Q213" i="19"/>
  <c r="P213" i="19"/>
  <c r="L213" i="19"/>
  <c r="I213" i="19"/>
  <c r="L197" i="19"/>
  <c r="L250" i="19"/>
  <c r="L259" i="19"/>
  <c r="L717" i="19"/>
  <c r="L780" i="19"/>
  <c r="L762" i="19"/>
  <c r="L793" i="19"/>
  <c r="L726" i="19"/>
  <c r="L744" i="19"/>
  <c r="L699" i="19"/>
  <c r="L822" i="19"/>
  <c r="L734" i="19"/>
  <c r="L708" i="19"/>
  <c r="L753" i="19"/>
  <c r="L816" i="19"/>
  <c r="L787" i="19"/>
  <c r="L771" i="19"/>
  <c r="L801" i="19"/>
  <c r="R808" i="19"/>
  <c r="M808" i="19"/>
  <c r="L808" i="19" s="1"/>
  <c r="L575" i="19"/>
  <c r="L589" i="19"/>
  <c r="R595" i="19"/>
  <c r="S595" i="19" s="1"/>
  <c r="Q595" i="19"/>
  <c r="P595" i="19"/>
  <c r="L595" i="19"/>
  <c r="I595" i="19"/>
  <c r="L584" i="19"/>
  <c r="R581" i="19"/>
  <c r="S581" i="19" s="1"/>
  <c r="L581" i="19"/>
  <c r="R571" i="19"/>
  <c r="L571" i="19"/>
  <c r="L606" i="19"/>
  <c r="R1275" i="19"/>
  <c r="Q1275" i="19"/>
  <c r="O1275" i="19"/>
  <c r="N1275" i="19"/>
  <c r="K1275" i="19"/>
  <c r="L1115" i="19"/>
  <c r="L1147" i="19"/>
  <c r="L1137" i="19"/>
  <c r="L1154" i="19"/>
  <c r="L1164" i="19"/>
  <c r="L1119" i="19"/>
  <c r="L1130" i="19"/>
  <c r="L1105" i="19"/>
  <c r="L1171" i="19"/>
  <c r="L1125" i="19"/>
  <c r="L1110" i="19"/>
  <c r="L1132" i="19"/>
  <c r="L1166" i="19"/>
  <c r="L1149" i="19"/>
  <c r="L1142" i="19"/>
  <c r="L1157" i="19"/>
  <c r="M1162" i="19"/>
  <c r="I1162" i="19"/>
  <c r="I1275" i="19" s="1"/>
  <c r="R1358" i="19"/>
  <c r="Q1358" i="19"/>
  <c r="P1358" i="19"/>
  <c r="N1358" i="19"/>
  <c r="M1358" i="19"/>
  <c r="J1358" i="19"/>
  <c r="I1358" i="19"/>
  <c r="L576" i="19"/>
  <c r="L591" i="19"/>
  <c r="L585" i="19"/>
  <c r="L588" i="19"/>
  <c r="L557" i="19"/>
  <c r="L565" i="19"/>
  <c r="L594" i="19"/>
  <c r="I594" i="19"/>
  <c r="L582" i="19"/>
  <c r="L607" i="19"/>
  <c r="L577" i="19"/>
  <c r="I577" i="19"/>
  <c r="L566" i="19"/>
  <c r="L558" i="19"/>
  <c r="L570" i="19"/>
  <c r="R600" i="19"/>
  <c r="S601" i="19" s="1"/>
  <c r="L605" i="19"/>
  <c r="R1274" i="19"/>
  <c r="Q1274" i="19"/>
  <c r="P1274" i="19"/>
  <c r="O1274" i="19"/>
  <c r="N1274" i="19"/>
  <c r="K1274" i="19"/>
  <c r="J1274" i="19"/>
  <c r="L1114" i="19"/>
  <c r="L1146" i="19"/>
  <c r="L1136" i="19"/>
  <c r="L1153" i="19"/>
  <c r="L1116" i="19"/>
  <c r="L1117" i="19"/>
  <c r="L1163" i="19"/>
  <c r="L1118" i="19"/>
  <c r="L1129" i="19"/>
  <c r="L1104" i="19"/>
  <c r="L1170" i="19"/>
  <c r="L1124" i="19"/>
  <c r="L1109" i="19"/>
  <c r="L1131" i="19"/>
  <c r="L1165" i="19"/>
  <c r="L1148" i="19"/>
  <c r="L1141" i="19"/>
  <c r="L1156" i="19"/>
  <c r="M1161" i="19"/>
  <c r="I1161" i="19"/>
  <c r="R1357" i="19"/>
  <c r="Q1357" i="19"/>
  <c r="O1357" i="19"/>
  <c r="N1357" i="19"/>
  <c r="M1357" i="19"/>
  <c r="K1357" i="19"/>
  <c r="J1357" i="19"/>
  <c r="I1357" i="19"/>
  <c r="R404" i="19"/>
  <c r="L404" i="19"/>
  <c r="L451" i="19"/>
  <c r="L364" i="19"/>
  <c r="L495" i="19"/>
  <c r="L433" i="19"/>
  <c r="L423" i="19"/>
  <c r="I423" i="19"/>
  <c r="L386" i="19"/>
  <c r="L531" i="19"/>
  <c r="R1273" i="19"/>
  <c r="P1273" i="19"/>
  <c r="O1273" i="19"/>
  <c r="N1273" i="19"/>
  <c r="J1273" i="19"/>
  <c r="I1273" i="19"/>
  <c r="L887" i="19"/>
  <c r="L1005" i="19"/>
  <c r="L967" i="19"/>
  <c r="L1038" i="19"/>
  <c r="L932" i="19"/>
  <c r="L849" i="19"/>
  <c r="L1098" i="19"/>
  <c r="L911" i="19"/>
  <c r="L868" i="19"/>
  <c r="L1079" i="19"/>
  <c r="L1019" i="19"/>
  <c r="L986" i="19"/>
  <c r="M1067" i="19"/>
  <c r="L1067" i="19" s="1"/>
  <c r="L553" i="19"/>
  <c r="L405" i="19"/>
  <c r="R450" i="19"/>
  <c r="S458" i="19" s="1"/>
  <c r="L450" i="19"/>
  <c r="R494" i="19"/>
  <c r="S495" i="19" s="1"/>
  <c r="Q494" i="19"/>
  <c r="P494" i="19"/>
  <c r="L494" i="19"/>
  <c r="I494" i="19"/>
  <c r="L432" i="19"/>
  <c r="L422" i="19"/>
  <c r="I422" i="19"/>
  <c r="L385" i="19"/>
  <c r="L530" i="19"/>
  <c r="R1272" i="19"/>
  <c r="Q1272" i="19"/>
  <c r="P1272" i="19"/>
  <c r="O1312" i="19"/>
  <c r="N1272" i="19"/>
  <c r="K1272" i="19"/>
  <c r="J1272" i="19"/>
  <c r="I1272" i="19"/>
  <c r="L886" i="19"/>
  <c r="L1004" i="19"/>
  <c r="L966" i="19"/>
  <c r="L1037" i="19"/>
  <c r="L931" i="19"/>
  <c r="L848" i="19"/>
  <c r="L1097" i="19"/>
  <c r="L910" i="19"/>
  <c r="L867" i="19"/>
  <c r="L948" i="19"/>
  <c r="L1078" i="19"/>
  <c r="L1018" i="19"/>
  <c r="L985" i="19"/>
  <c r="M1066" i="19"/>
  <c r="M1272" i="19" s="1"/>
  <c r="R1355" i="19"/>
  <c r="P1355" i="19"/>
  <c r="O1355" i="19"/>
  <c r="N1355" i="19"/>
  <c r="K1355" i="19"/>
  <c r="J1355" i="19"/>
  <c r="L403" i="19"/>
  <c r="L333" i="19"/>
  <c r="L449" i="19"/>
  <c r="L329" i="19"/>
  <c r="L493" i="19"/>
  <c r="I493" i="19"/>
  <c r="L431" i="19"/>
  <c r="R421" i="19"/>
  <c r="Q421" i="19"/>
  <c r="P421" i="19"/>
  <c r="L421" i="19"/>
  <c r="I421" i="19"/>
  <c r="L323" i="19"/>
  <c r="L384" i="19"/>
  <c r="L529" i="19"/>
  <c r="L885" i="19"/>
  <c r="L1003" i="19"/>
  <c r="L965" i="19"/>
  <c r="L1036" i="19"/>
  <c r="L892" i="19"/>
  <c r="L930" i="19"/>
  <c r="L847" i="19"/>
  <c r="L1096" i="19"/>
  <c r="L909" i="19"/>
  <c r="L866" i="19"/>
  <c r="L947" i="19"/>
  <c r="L1077" i="19"/>
  <c r="L1017" i="19"/>
  <c r="L984" i="19"/>
  <c r="R1065" i="19"/>
  <c r="M1065" i="19"/>
  <c r="I1065" i="19"/>
  <c r="P1354" i="19"/>
  <c r="O1354" i="19"/>
  <c r="M1354" i="19"/>
  <c r="K1354" i="19"/>
  <c r="I1354" i="19"/>
  <c r="L402" i="19"/>
  <c r="L319" i="19"/>
  <c r="L320" i="19"/>
  <c r="L321" i="19"/>
  <c r="L322" i="19"/>
  <c r="R464" i="19"/>
  <c r="S464" i="19" s="1"/>
  <c r="L460" i="19"/>
  <c r="R462" i="19"/>
  <c r="L462" i="19"/>
  <c r="N452" i="19"/>
  <c r="M452" i="19"/>
  <c r="L452" i="19" s="1"/>
  <c r="L363" i="19"/>
  <c r="L492" i="19"/>
  <c r="I492" i="19"/>
  <c r="L331" i="19"/>
  <c r="L532" i="19"/>
  <c r="Q420" i="19"/>
  <c r="P420" i="19"/>
  <c r="L420" i="19"/>
  <c r="I420" i="19"/>
  <c r="N352" i="19"/>
  <c r="M352" i="19"/>
  <c r="I352" i="19"/>
  <c r="L383" i="19"/>
  <c r="L528" i="19"/>
  <c r="K1310" i="19"/>
  <c r="L884" i="19"/>
  <c r="L1002" i="19"/>
  <c r="L964" i="19"/>
  <c r="L1035" i="19"/>
  <c r="L891" i="19"/>
  <c r="L929" i="19"/>
  <c r="L846" i="19"/>
  <c r="L1095" i="19"/>
  <c r="L908" i="19"/>
  <c r="L865" i="19"/>
  <c r="L946" i="19"/>
  <c r="L1076" i="19"/>
  <c r="L1016" i="19"/>
  <c r="L983" i="19"/>
  <c r="L1048" i="19"/>
  <c r="R1064" i="19"/>
  <c r="M1064" i="19"/>
  <c r="I1064" i="19"/>
  <c r="Q1353" i="19"/>
  <c r="P1353" i="19"/>
  <c r="O1353" i="19"/>
  <c r="M1353" i="19"/>
  <c r="K1353" i="19"/>
  <c r="I1353" i="19"/>
  <c r="L401" i="19"/>
  <c r="L448" i="19"/>
  <c r="L362" i="19"/>
  <c r="L491" i="19"/>
  <c r="I491" i="19"/>
  <c r="L419" i="19"/>
  <c r="I419" i="19"/>
  <c r="L382" i="19"/>
  <c r="L527" i="19"/>
  <c r="R1269" i="19"/>
  <c r="Q1269" i="19"/>
  <c r="O1269" i="19"/>
  <c r="N1269" i="19"/>
  <c r="K1269" i="19"/>
  <c r="I1269" i="19"/>
  <c r="L883" i="19"/>
  <c r="L1001" i="19"/>
  <c r="L963" i="19"/>
  <c r="L1034" i="19"/>
  <c r="L928" i="19"/>
  <c r="L845" i="19"/>
  <c r="L1094" i="19"/>
  <c r="L907" i="19"/>
  <c r="L912" i="19"/>
  <c r="L864" i="19"/>
  <c r="L945" i="19"/>
  <c r="L1075" i="19"/>
  <c r="L1015" i="19"/>
  <c r="L982" i="19"/>
  <c r="M1063" i="19"/>
  <c r="M1269" i="19" s="1"/>
  <c r="R1352" i="19"/>
  <c r="Q1352" i="19"/>
  <c r="O1352" i="19"/>
  <c r="N1352" i="19"/>
  <c r="M1352" i="19"/>
  <c r="K1352" i="19"/>
  <c r="J1352" i="19"/>
  <c r="I1352" i="19"/>
  <c r="L400" i="19"/>
  <c r="L447" i="19"/>
  <c r="L361" i="19"/>
  <c r="M490" i="19"/>
  <c r="J490" i="19"/>
  <c r="I490" i="19"/>
  <c r="L430" i="19"/>
  <c r="L410" i="19"/>
  <c r="I410" i="19"/>
  <c r="L381" i="19"/>
  <c r="L526" i="19"/>
  <c r="Q1268" i="19"/>
  <c r="P1268" i="19"/>
  <c r="N1268" i="19"/>
  <c r="K1268" i="19"/>
  <c r="J1268" i="19"/>
  <c r="I1268" i="19"/>
  <c r="L882" i="19"/>
  <c r="L1000" i="19"/>
  <c r="L962" i="19"/>
  <c r="L1033" i="19"/>
  <c r="L927" i="19"/>
  <c r="L844" i="19"/>
  <c r="L1093" i="19"/>
  <c r="L906" i="19"/>
  <c r="L863" i="19"/>
  <c r="L944" i="19"/>
  <c r="L1074" i="19"/>
  <c r="L1014" i="19"/>
  <c r="L981" i="19"/>
  <c r="L1047" i="19"/>
  <c r="R1062" i="19"/>
  <c r="R1268" i="19" s="1"/>
  <c r="M1062" i="19"/>
  <c r="R1351" i="19"/>
  <c r="Q1351" i="19"/>
  <c r="O1351" i="19"/>
  <c r="N1351" i="19"/>
  <c r="M1351" i="19"/>
  <c r="K1351" i="19"/>
  <c r="J1351" i="19"/>
  <c r="I1351" i="19"/>
  <c r="R392" i="19"/>
  <c r="L392" i="19"/>
  <c r="L437" i="19"/>
  <c r="L458" i="19"/>
  <c r="L360" i="19"/>
  <c r="L489" i="19"/>
  <c r="I489" i="19"/>
  <c r="L428" i="19"/>
  <c r="R418" i="19"/>
  <c r="M418" i="19"/>
  <c r="J418" i="19"/>
  <c r="I418" i="19"/>
  <c r="L380" i="19"/>
  <c r="L525" i="19"/>
  <c r="R1267" i="19"/>
  <c r="P1267" i="19"/>
  <c r="O1267" i="19"/>
  <c r="N1267" i="19"/>
  <c r="J1267" i="19"/>
  <c r="I1267" i="19"/>
  <c r="L881" i="19"/>
  <c r="L999" i="19"/>
  <c r="L961" i="19"/>
  <c r="L1032" i="19"/>
  <c r="L926" i="19"/>
  <c r="L843" i="19"/>
  <c r="L1092" i="19"/>
  <c r="L905" i="19"/>
  <c r="L862" i="19"/>
  <c r="L943" i="19"/>
  <c r="L1073" i="19"/>
  <c r="L1013" i="19"/>
  <c r="L980" i="19"/>
  <c r="L1046" i="19"/>
  <c r="M1061" i="19"/>
  <c r="Q1350" i="19"/>
  <c r="P1350" i="19"/>
  <c r="O1350" i="19"/>
  <c r="M1350" i="19"/>
  <c r="K1350" i="19"/>
  <c r="I1350" i="19"/>
  <c r="L391" i="19"/>
  <c r="L436" i="19"/>
  <c r="L457" i="19"/>
  <c r="L488" i="19"/>
  <c r="L409" i="19"/>
  <c r="I409" i="19"/>
  <c r="L379" i="19"/>
  <c r="L524" i="19"/>
  <c r="R1266" i="19"/>
  <c r="P1266" i="19"/>
  <c r="O1266" i="19"/>
  <c r="K1266" i="19"/>
  <c r="L880" i="19"/>
  <c r="L998" i="19"/>
  <c r="L960" i="19"/>
  <c r="L1031" i="19"/>
  <c r="L925" i="19"/>
  <c r="L842" i="19"/>
  <c r="L1091" i="19"/>
  <c r="L904" i="19"/>
  <c r="L861" i="19"/>
  <c r="L942" i="19"/>
  <c r="L1072" i="19"/>
  <c r="L1012" i="19"/>
  <c r="L979" i="19"/>
  <c r="N1060" i="19"/>
  <c r="N1266" i="19" s="1"/>
  <c r="M1060" i="19"/>
  <c r="I1060" i="19"/>
  <c r="I1266" i="19" s="1"/>
  <c r="L390" i="19"/>
  <c r="L487" i="19"/>
  <c r="L378" i="19"/>
  <c r="R1265" i="19"/>
  <c r="Q1265" i="19"/>
  <c r="M1265" i="19"/>
  <c r="K1265" i="19"/>
  <c r="J1265" i="19"/>
  <c r="L879" i="19"/>
  <c r="L997" i="19"/>
  <c r="L959" i="19"/>
  <c r="L1030" i="19"/>
  <c r="L924" i="19"/>
  <c r="L841" i="19"/>
  <c r="L1090" i="19"/>
  <c r="L903" i="19"/>
  <c r="L860" i="19"/>
  <c r="L1071" i="19"/>
  <c r="L1011" i="19"/>
  <c r="L978" i="19"/>
  <c r="L1059" i="19"/>
  <c r="R1348" i="19"/>
  <c r="Q1348" i="19"/>
  <c r="P1348" i="19"/>
  <c r="O1348" i="19"/>
  <c r="N1348" i="19"/>
  <c r="J1348" i="19"/>
  <c r="L389" i="19"/>
  <c r="L456" i="19"/>
  <c r="L486" i="19"/>
  <c r="L427" i="19"/>
  <c r="L417" i="19"/>
  <c r="L377" i="19"/>
  <c r="R1264" i="19"/>
  <c r="Q1264" i="19"/>
  <c r="O1264" i="19"/>
  <c r="N1264" i="19"/>
  <c r="M1264" i="19"/>
  <c r="J1264" i="19"/>
  <c r="I1264" i="19"/>
  <c r="L878" i="19"/>
  <c r="L996" i="19"/>
  <c r="L958" i="19"/>
  <c r="L1029" i="19"/>
  <c r="L923" i="19"/>
  <c r="L840" i="19"/>
  <c r="L1089" i="19"/>
  <c r="L902" i="19"/>
  <c r="L859" i="19"/>
  <c r="L1070" i="19"/>
  <c r="L1010" i="19"/>
  <c r="L977" i="19"/>
  <c r="L1045" i="19"/>
  <c r="L1058" i="19"/>
  <c r="L572" i="19"/>
  <c r="L590" i="19"/>
  <c r="L564" i="19"/>
  <c r="L593" i="19"/>
  <c r="L580" i="19"/>
  <c r="L569" i="19"/>
  <c r="L604" i="19"/>
  <c r="R1263" i="19"/>
  <c r="Q1263" i="19"/>
  <c r="P1263" i="19"/>
  <c r="O1263" i="19"/>
  <c r="N1263" i="19"/>
  <c r="M1263" i="19"/>
  <c r="K1263" i="19"/>
  <c r="J1263" i="19"/>
  <c r="I1263" i="19"/>
  <c r="L1113" i="19"/>
  <c r="L1145" i="19"/>
  <c r="L1135" i="19"/>
  <c r="L1152" i="19"/>
  <c r="L1128" i="19"/>
  <c r="L1103" i="19"/>
  <c r="L1169" i="19"/>
  <c r="L1123" i="19"/>
  <c r="L1108" i="19"/>
  <c r="L1140" i="19"/>
  <c r="L1160" i="19"/>
  <c r="R1346" i="19"/>
  <c r="Q1346" i="19"/>
  <c r="P1346" i="19"/>
  <c r="O1346" i="19"/>
  <c r="N1346" i="19"/>
  <c r="K1346" i="19"/>
  <c r="J1346" i="19"/>
  <c r="I1346" i="19"/>
  <c r="L388" i="19"/>
  <c r="L440" i="19"/>
  <c r="L455" i="19"/>
  <c r="L353" i="19"/>
  <c r="L485" i="19"/>
  <c r="I485" i="19"/>
  <c r="L426" i="19"/>
  <c r="L416" i="19"/>
  <c r="L338" i="19"/>
  <c r="L376" i="19"/>
  <c r="L504" i="19"/>
  <c r="L522" i="19"/>
  <c r="Q1262" i="19"/>
  <c r="O1262" i="19"/>
  <c r="N1262" i="19"/>
  <c r="K1262" i="19"/>
  <c r="I1262" i="19"/>
  <c r="L877" i="19"/>
  <c r="L995" i="19"/>
  <c r="L957" i="19"/>
  <c r="L1028" i="19"/>
  <c r="L890" i="19"/>
  <c r="L922" i="19"/>
  <c r="L839" i="19"/>
  <c r="L1088" i="19"/>
  <c r="L901" i="19"/>
  <c r="L858" i="19"/>
  <c r="L941" i="19"/>
  <c r="L1069" i="19"/>
  <c r="L1009" i="19"/>
  <c r="L976" i="19"/>
  <c r="L1044" i="19"/>
  <c r="R1057" i="19"/>
  <c r="R1262" i="19" s="1"/>
  <c r="M1057" i="19"/>
  <c r="L366" i="19"/>
  <c r="L467" i="19"/>
  <c r="L435" i="19"/>
  <c r="L439" i="19"/>
  <c r="L454" i="19"/>
  <c r="L463" i="19"/>
  <c r="L359" i="19"/>
  <c r="L484" i="19"/>
  <c r="I484" i="19"/>
  <c r="L425" i="19"/>
  <c r="L415" i="19"/>
  <c r="L337" i="19"/>
  <c r="L375" i="19"/>
  <c r="L503" i="19"/>
  <c r="M521" i="19"/>
  <c r="R1261" i="19"/>
  <c r="Q1261" i="19"/>
  <c r="P1261" i="19"/>
  <c r="N1261" i="19"/>
  <c r="K1261" i="19"/>
  <c r="J1261" i="19"/>
  <c r="I1261" i="19"/>
  <c r="L876" i="19"/>
  <c r="L994" i="19"/>
  <c r="L956" i="19"/>
  <c r="L1027" i="19"/>
  <c r="L921" i="19"/>
  <c r="L838" i="19"/>
  <c r="L1087" i="19"/>
  <c r="L900" i="19"/>
  <c r="L857" i="19"/>
  <c r="L940" i="19"/>
  <c r="L1068" i="19"/>
  <c r="L1008" i="19"/>
  <c r="L975" i="19"/>
  <c r="L1043" i="19"/>
  <c r="M1056" i="19"/>
  <c r="L1056" i="19" s="1"/>
  <c r="R1344" i="19"/>
  <c r="Q1344" i="19"/>
  <c r="P1344" i="19"/>
  <c r="O1344" i="19"/>
  <c r="N1344" i="19"/>
  <c r="M1344" i="19"/>
  <c r="J1344" i="19"/>
  <c r="I1344" i="19"/>
  <c r="L387" i="19"/>
  <c r="L365" i="19"/>
  <c r="L466" i="19"/>
  <c r="L325" i="19"/>
  <c r="L438" i="19"/>
  <c r="L453" i="19"/>
  <c r="L358" i="19"/>
  <c r="L483" i="19"/>
  <c r="L424" i="19"/>
  <c r="R414" i="19"/>
  <c r="Q414" i="19"/>
  <c r="P414" i="19"/>
  <c r="L414" i="19"/>
  <c r="I414" i="19"/>
  <c r="L336" i="19"/>
  <c r="L374" i="19"/>
  <c r="L502" i="19"/>
  <c r="M520" i="19"/>
  <c r="R1260" i="19"/>
  <c r="Q1260" i="19"/>
  <c r="P1260" i="19"/>
  <c r="N1260" i="19"/>
  <c r="K1260" i="19"/>
  <c r="J1260" i="19"/>
  <c r="I1260" i="19"/>
  <c r="L875" i="19"/>
  <c r="L993" i="19"/>
  <c r="L955" i="19"/>
  <c r="L1026" i="19"/>
  <c r="L920" i="19"/>
  <c r="L837" i="19"/>
  <c r="L1086" i="19"/>
  <c r="L899" i="19"/>
  <c r="L856" i="19"/>
  <c r="L939" i="19"/>
  <c r="L1007" i="19"/>
  <c r="L974" i="19"/>
  <c r="L1042" i="19"/>
  <c r="M1055" i="19"/>
  <c r="M1260" i="19" s="1"/>
  <c r="L399" i="19"/>
  <c r="L357" i="19"/>
  <c r="L482" i="19"/>
  <c r="I482" i="19"/>
  <c r="L408" i="19"/>
  <c r="L373" i="19"/>
  <c r="L519" i="19"/>
  <c r="R1259" i="19"/>
  <c r="Q1259" i="19"/>
  <c r="O1259" i="19"/>
  <c r="N1259" i="19"/>
  <c r="K1259" i="19"/>
  <c r="I1259" i="19"/>
  <c r="L874" i="19"/>
  <c r="L992" i="19"/>
  <c r="L954" i="19"/>
  <c r="L1025" i="19"/>
  <c r="L919" i="19"/>
  <c r="L836" i="19"/>
  <c r="L1085" i="19"/>
  <c r="L898" i="19"/>
  <c r="L855" i="19"/>
  <c r="L938" i="19"/>
  <c r="L973" i="19"/>
  <c r="M1054" i="19"/>
  <c r="M1299" i="19" s="1"/>
  <c r="O1298" i="19"/>
  <c r="N1298" i="19"/>
  <c r="K1298" i="19"/>
  <c r="L574" i="19"/>
  <c r="L587" i="19"/>
  <c r="L592" i="19"/>
  <c r="L583" i="19"/>
  <c r="L579" i="19"/>
  <c r="L568" i="19"/>
  <c r="L603" i="19"/>
  <c r="R1258" i="19"/>
  <c r="Q1258" i="19"/>
  <c r="P1258" i="19"/>
  <c r="M1258" i="19"/>
  <c r="J1258" i="19"/>
  <c r="L1112" i="19"/>
  <c r="L1144" i="19"/>
  <c r="L1134" i="19"/>
  <c r="L1151" i="19"/>
  <c r="L1127" i="19"/>
  <c r="L1102" i="19"/>
  <c r="L1168" i="19"/>
  <c r="L1122" i="19"/>
  <c r="L1107" i="19"/>
  <c r="L1139" i="19"/>
  <c r="L1159" i="19"/>
  <c r="R1341" i="19"/>
  <c r="Q1341" i="19"/>
  <c r="P1341" i="19"/>
  <c r="O1341" i="19"/>
  <c r="N1341" i="19"/>
  <c r="M1341" i="19"/>
  <c r="K1341" i="19"/>
  <c r="J1341" i="19"/>
  <c r="I1341" i="19"/>
  <c r="L211" i="19"/>
  <c r="L223" i="19"/>
  <c r="R217" i="19"/>
  <c r="Q217" i="19"/>
  <c r="P217" i="19"/>
  <c r="L217" i="19"/>
  <c r="L196" i="19"/>
  <c r="L242" i="19"/>
  <c r="L258" i="19"/>
  <c r="R1257" i="19"/>
  <c r="Q1257" i="19"/>
  <c r="P1257" i="19"/>
  <c r="O1257" i="19"/>
  <c r="N1257" i="19"/>
  <c r="J1257" i="19"/>
  <c r="I1257" i="19"/>
  <c r="L716" i="19"/>
  <c r="L779" i="19"/>
  <c r="L761" i="19"/>
  <c r="L792" i="19"/>
  <c r="L743" i="19"/>
  <c r="L698" i="19"/>
  <c r="L821" i="19"/>
  <c r="L733" i="19"/>
  <c r="L707" i="19"/>
  <c r="L752" i="19"/>
  <c r="L770" i="19"/>
  <c r="M807" i="19"/>
  <c r="M1297" i="19" s="1"/>
  <c r="L398" i="19"/>
  <c r="L445" i="19"/>
  <c r="L356" i="19"/>
  <c r="L481" i="19"/>
  <c r="R413" i="19"/>
  <c r="Q413" i="19"/>
  <c r="P413" i="19"/>
  <c r="M413" i="19"/>
  <c r="J413" i="19"/>
  <c r="L372" i="19"/>
  <c r="L518" i="19"/>
  <c r="R1256" i="19"/>
  <c r="Q1256" i="19"/>
  <c r="P1256" i="19"/>
  <c r="O1256" i="19"/>
  <c r="N1256" i="19"/>
  <c r="M1256" i="19"/>
  <c r="K1256" i="19"/>
  <c r="J1256" i="19"/>
  <c r="I1256" i="19"/>
  <c r="L873" i="19"/>
  <c r="L991" i="19"/>
  <c r="L953" i="19"/>
  <c r="L1024" i="19"/>
  <c r="L918" i="19"/>
  <c r="L835" i="19"/>
  <c r="L1084" i="19"/>
  <c r="L897" i="19"/>
  <c r="L854" i="19"/>
  <c r="L937" i="19"/>
  <c r="L972" i="19"/>
  <c r="L1053" i="19"/>
  <c r="R1339" i="19"/>
  <c r="Q1339" i="19"/>
  <c r="P1339" i="19"/>
  <c r="O1339" i="19"/>
  <c r="N1339" i="19"/>
  <c r="M1339" i="19"/>
  <c r="K1339" i="19"/>
  <c r="J1339" i="19"/>
  <c r="I1339" i="19"/>
  <c r="L397" i="19"/>
  <c r="L444" i="19"/>
  <c r="L355" i="19"/>
  <c r="L479" i="19"/>
  <c r="L429" i="19"/>
  <c r="L407" i="19"/>
  <c r="I407" i="19"/>
  <c r="L371" i="19"/>
  <c r="L517" i="19"/>
  <c r="R1255" i="19"/>
  <c r="Q1255" i="19"/>
  <c r="P1255" i="19"/>
  <c r="O1255" i="19"/>
  <c r="N1255" i="19"/>
  <c r="K1255" i="19"/>
  <c r="J1255" i="19"/>
  <c r="I1255" i="19"/>
  <c r="L872" i="19"/>
  <c r="L990" i="19"/>
  <c r="L952" i="19"/>
  <c r="L1023" i="19"/>
  <c r="L917" i="19"/>
  <c r="L834" i="19"/>
  <c r="L1083" i="19"/>
  <c r="L896" i="19"/>
  <c r="L853" i="19"/>
  <c r="L936" i="19"/>
  <c r="L971" i="19"/>
  <c r="M1052" i="19"/>
  <c r="M1255" i="19" s="1"/>
  <c r="L396" i="19"/>
  <c r="L443" i="19"/>
  <c r="L478" i="19"/>
  <c r="L412" i="19"/>
  <c r="L370" i="19"/>
  <c r="L516" i="19"/>
  <c r="L871" i="19"/>
  <c r="L989" i="19"/>
  <c r="L951" i="19"/>
  <c r="L1022" i="19"/>
  <c r="L916" i="19"/>
  <c r="L833" i="19"/>
  <c r="L1082" i="19"/>
  <c r="L895" i="19"/>
  <c r="L852" i="19"/>
  <c r="L935" i="19"/>
  <c r="L970" i="19"/>
  <c r="L1041" i="19"/>
  <c r="N1051" i="19"/>
  <c r="M1051" i="19"/>
  <c r="L1051" i="19" s="1"/>
  <c r="R1337" i="19"/>
  <c r="Q1337" i="19"/>
  <c r="P1337" i="19"/>
  <c r="O1337" i="19"/>
  <c r="N1337" i="19"/>
  <c r="M1337" i="19"/>
  <c r="K1337" i="19"/>
  <c r="J1337" i="19"/>
  <c r="I1337" i="19"/>
  <c r="L210" i="19"/>
  <c r="L192" i="19"/>
  <c r="L231" i="19"/>
  <c r="L186" i="19"/>
  <c r="L241" i="19"/>
  <c r="Q212" i="19"/>
  <c r="P212" i="19"/>
  <c r="L212" i="19"/>
  <c r="L195" i="19"/>
  <c r="L257" i="19"/>
  <c r="R1253" i="19"/>
  <c r="Q1253" i="19"/>
  <c r="P1253" i="19"/>
  <c r="O1253" i="19"/>
  <c r="K1253" i="19"/>
  <c r="J1253" i="19"/>
  <c r="I1253" i="19"/>
  <c r="L715" i="19"/>
  <c r="L778" i="19"/>
  <c r="L760" i="19"/>
  <c r="L791" i="19"/>
  <c r="L742" i="19"/>
  <c r="L697" i="19"/>
  <c r="L820" i="19"/>
  <c r="L732" i="19"/>
  <c r="L706" i="19"/>
  <c r="L751" i="19"/>
  <c r="L769" i="19"/>
  <c r="L800" i="19"/>
  <c r="M806" i="19"/>
  <c r="M1293" i="19" s="1"/>
  <c r="L573" i="19"/>
  <c r="L586" i="19"/>
  <c r="L563" i="19"/>
  <c r="L578" i="19"/>
  <c r="I578" i="19"/>
  <c r="L567" i="19"/>
  <c r="L602" i="19"/>
  <c r="R1252" i="19"/>
  <c r="Q1252" i="19"/>
  <c r="P1252" i="19"/>
  <c r="O1252" i="19"/>
  <c r="N1252" i="19"/>
  <c r="M1252" i="19"/>
  <c r="K1252" i="19"/>
  <c r="J1252" i="19"/>
  <c r="I1252" i="19"/>
  <c r="L1111" i="19"/>
  <c r="L1143" i="19"/>
  <c r="L1133" i="19"/>
  <c r="L1150" i="19"/>
  <c r="L1126" i="19"/>
  <c r="L1101" i="19"/>
  <c r="L1167" i="19"/>
  <c r="L1121" i="19"/>
  <c r="L1106" i="19"/>
  <c r="L1138" i="19"/>
  <c r="L1155" i="19"/>
  <c r="L1158" i="19"/>
  <c r="R1335" i="19"/>
  <c r="Q1335" i="19"/>
  <c r="P1335" i="19"/>
  <c r="N1335" i="19"/>
  <c r="M1335" i="19"/>
  <c r="K1335" i="19"/>
  <c r="J1335" i="19"/>
  <c r="I1335" i="19"/>
  <c r="L395" i="19"/>
  <c r="L327" i="19"/>
  <c r="L477" i="19"/>
  <c r="I477" i="19"/>
  <c r="R411" i="19"/>
  <c r="Q411" i="19"/>
  <c r="P411" i="19"/>
  <c r="L411" i="19"/>
  <c r="I411" i="19"/>
  <c r="L369" i="19"/>
  <c r="L870" i="19"/>
  <c r="L988" i="19"/>
  <c r="L950" i="19"/>
  <c r="L1021" i="19"/>
  <c r="L915" i="19"/>
  <c r="L832" i="19"/>
  <c r="L1081" i="19"/>
  <c r="L894" i="19"/>
  <c r="L851" i="19"/>
  <c r="L934" i="19"/>
  <c r="L969" i="19"/>
  <c r="L1040" i="19"/>
  <c r="L1050" i="19"/>
  <c r="R1334" i="19"/>
  <c r="Q1334" i="19"/>
  <c r="P1334" i="19"/>
  <c r="O1334" i="19"/>
  <c r="N1334" i="19"/>
  <c r="M1334" i="19"/>
  <c r="K1334" i="19"/>
  <c r="J1334" i="19"/>
  <c r="I1334" i="19"/>
  <c r="Q1290" i="19"/>
  <c r="P1290" i="19"/>
  <c r="O1290" i="19"/>
  <c r="N1290" i="19"/>
  <c r="K1290" i="19"/>
  <c r="L394" i="19"/>
  <c r="L367" i="19"/>
  <c r="L469" i="19"/>
  <c r="L465" i="19"/>
  <c r="L324" i="19"/>
  <c r="L459" i="19"/>
  <c r="L441" i="19"/>
  <c r="L332" i="19"/>
  <c r="M476" i="19"/>
  <c r="L476" i="19" s="1"/>
  <c r="J476" i="19"/>
  <c r="J1290" i="19" s="1"/>
  <c r="I476" i="19"/>
  <c r="L335" i="19"/>
  <c r="R406" i="19"/>
  <c r="L406" i="19"/>
  <c r="I406" i="19"/>
  <c r="R368" i="19"/>
  <c r="L368" i="19"/>
  <c r="R496" i="19"/>
  <c r="S513" i="19" s="1"/>
  <c r="L496" i="19"/>
  <c r="L1290" i="19" s="1"/>
  <c r="R514" i="19"/>
  <c r="S531" i="19" s="1"/>
  <c r="L514" i="19"/>
  <c r="Q1250" i="19"/>
  <c r="P1250" i="19"/>
  <c r="O1250" i="19"/>
  <c r="N1250" i="19"/>
  <c r="K1250" i="19"/>
  <c r="J1250" i="19"/>
  <c r="L869" i="19"/>
  <c r="L987" i="19"/>
  <c r="L949" i="19"/>
  <c r="L1020" i="19"/>
  <c r="L914" i="19"/>
  <c r="L831" i="19"/>
  <c r="L1080" i="19"/>
  <c r="L893" i="19"/>
  <c r="L850" i="19"/>
  <c r="L933" i="19"/>
  <c r="L1006" i="19"/>
  <c r="L968" i="19"/>
  <c r="L1039" i="19"/>
  <c r="R1049" i="19"/>
  <c r="M1049" i="19"/>
  <c r="L1049" i="19" s="1"/>
  <c r="R122" i="19"/>
  <c r="Q122" i="19"/>
  <c r="P122" i="19"/>
  <c r="M122" i="19"/>
  <c r="J122" i="19"/>
  <c r="I122" i="19"/>
  <c r="R113" i="19"/>
  <c r="Q113" i="19"/>
  <c r="P113" i="19"/>
  <c r="M113" i="19"/>
  <c r="J113" i="19"/>
  <c r="I113" i="19"/>
  <c r="R99" i="19"/>
  <c r="Q99" i="19"/>
  <c r="P99" i="19"/>
  <c r="M99" i="19"/>
  <c r="J99" i="19"/>
  <c r="I99" i="19"/>
  <c r="R91" i="19"/>
  <c r="Q91" i="19"/>
  <c r="P91" i="19"/>
  <c r="M91" i="19"/>
  <c r="J91" i="19"/>
  <c r="I91" i="19"/>
  <c r="R15" i="19"/>
  <c r="Q15" i="19"/>
  <c r="P15" i="19"/>
  <c r="M15" i="19"/>
  <c r="J15" i="19"/>
  <c r="D101" i="18"/>
  <c r="S220" i="19" l="1"/>
  <c r="S386" i="19"/>
  <c r="R555" i="19"/>
  <c r="S571" i="19"/>
  <c r="R696" i="19"/>
  <c r="R1172" i="19" s="1"/>
  <c r="S1067" i="19"/>
  <c r="S814" i="19"/>
  <c r="I1274" i="19"/>
  <c r="M1274" i="19"/>
  <c r="S423" i="19"/>
  <c r="S405" i="19"/>
  <c r="M1348" i="19"/>
  <c r="S232" i="19"/>
  <c r="O1319" i="19"/>
  <c r="K1299" i="19"/>
  <c r="I1319" i="19"/>
  <c r="M1346" i="19"/>
  <c r="P1307" i="19"/>
  <c r="N1324" i="19"/>
  <c r="R1250" i="19"/>
  <c r="K1251" i="19"/>
  <c r="J1293" i="19"/>
  <c r="K1340" i="19"/>
  <c r="M1319" i="19"/>
  <c r="K1306" i="19"/>
  <c r="I1270" i="19"/>
  <c r="P1310" i="19"/>
  <c r="O1313" i="19"/>
  <c r="K1305" i="19"/>
  <c r="N1325" i="19"/>
  <c r="I1250" i="19"/>
  <c r="N1253" i="19"/>
  <c r="K1293" i="19"/>
  <c r="P1340" i="19"/>
  <c r="O1340" i="19"/>
  <c r="M1298" i="19"/>
  <c r="R1300" i="19"/>
  <c r="R1305" i="19"/>
  <c r="I1306" i="19"/>
  <c r="P1306" i="19"/>
  <c r="I1313" i="19"/>
  <c r="J1313" i="19"/>
  <c r="P1318" i="19"/>
  <c r="Q1295" i="19"/>
  <c r="R1309" i="19"/>
  <c r="O1293" i="19"/>
  <c r="J1297" i="19"/>
  <c r="Q1299" i="19"/>
  <c r="Q1302" i="19"/>
  <c r="Q1303" i="19"/>
  <c r="M1304" i="19"/>
  <c r="N1308" i="19"/>
  <c r="N1323" i="19"/>
  <c r="N1270" i="19"/>
  <c r="M1295" i="19"/>
  <c r="R1297" i="19"/>
  <c r="O1297" i="19"/>
  <c r="N1300" i="19"/>
  <c r="Q1304" i="19"/>
  <c r="N1309" i="19"/>
  <c r="Q1319" i="19"/>
  <c r="M1292" i="19"/>
  <c r="R1296" i="19"/>
  <c r="R1340" i="19"/>
  <c r="P1259" i="19"/>
  <c r="P1299" i="19"/>
  <c r="I1265" i="19"/>
  <c r="I1305" i="19"/>
  <c r="P1275" i="19"/>
  <c r="N1318" i="19"/>
  <c r="K1284" i="19"/>
  <c r="Q1251" i="19"/>
  <c r="N1292" i="19"/>
  <c r="R1292" i="19"/>
  <c r="R1293" i="19"/>
  <c r="N1295" i="19"/>
  <c r="R1295" i="19"/>
  <c r="Q1298" i="19"/>
  <c r="K1267" i="19"/>
  <c r="K1307" i="19"/>
  <c r="Q1267" i="19"/>
  <c r="Q1307" i="19"/>
  <c r="O1268" i="19"/>
  <c r="O1308" i="19"/>
  <c r="R1308" i="19"/>
  <c r="J1269" i="19"/>
  <c r="J1309" i="19"/>
  <c r="P1269" i="19"/>
  <c r="P1309" i="19"/>
  <c r="Q1354" i="19"/>
  <c r="P1312" i="19"/>
  <c r="O1356" i="19"/>
  <c r="P1359" i="19"/>
  <c r="P1316" i="19"/>
  <c r="I1325" i="19"/>
  <c r="K1369" i="19"/>
  <c r="P1251" i="19"/>
  <c r="J1296" i="19"/>
  <c r="O1296" i="19"/>
  <c r="K1257" i="19"/>
  <c r="K1297" i="19"/>
  <c r="P1262" i="19"/>
  <c r="P1302" i="19"/>
  <c r="P1265" i="19"/>
  <c r="P1305" i="19"/>
  <c r="J1292" i="19"/>
  <c r="O1292" i="19"/>
  <c r="J1295" i="19"/>
  <c r="O1295" i="19"/>
  <c r="P1296" i="19"/>
  <c r="K1296" i="19"/>
  <c r="K1273" i="19"/>
  <c r="Q1273" i="19"/>
  <c r="Q1360" i="19"/>
  <c r="O1278" i="19"/>
  <c r="Q1292" i="19"/>
  <c r="I1258" i="19"/>
  <c r="I1298" i="19"/>
  <c r="J1259" i="19"/>
  <c r="J1299" i="19"/>
  <c r="O1261" i="19"/>
  <c r="Q1301" i="19"/>
  <c r="J1262" i="19"/>
  <c r="J1302" i="19"/>
  <c r="J1275" i="19"/>
  <c r="P1363" i="19"/>
  <c r="K1292" i="19"/>
  <c r="P1292" i="19"/>
  <c r="I1293" i="19"/>
  <c r="N1293" i="19"/>
  <c r="I1295" i="19"/>
  <c r="K1295" i="19"/>
  <c r="P1295" i="19"/>
  <c r="O1260" i="19"/>
  <c r="O1300" i="19"/>
  <c r="I1300" i="19"/>
  <c r="K1301" i="19"/>
  <c r="M1303" i="19"/>
  <c r="K1264" i="19"/>
  <c r="K1304" i="19"/>
  <c r="P1264" i="19"/>
  <c r="P1304" i="19"/>
  <c r="M1266" i="19"/>
  <c r="M1306" i="19"/>
  <c r="J1266" i="19"/>
  <c r="J1306" i="19"/>
  <c r="Q1266" i="19"/>
  <c r="Q1306" i="19"/>
  <c r="N1279" i="19"/>
  <c r="N1319" i="19"/>
  <c r="O1324" i="19"/>
  <c r="R1298" i="19"/>
  <c r="N1299" i="19"/>
  <c r="R1299" i="19"/>
  <c r="N1302" i="19"/>
  <c r="R1302" i="19"/>
  <c r="I1303" i="19"/>
  <c r="N1303" i="19"/>
  <c r="R1303" i="19"/>
  <c r="I1304" i="19"/>
  <c r="M1305" i="19"/>
  <c r="J1307" i="19"/>
  <c r="J1308" i="19"/>
  <c r="O1309" i="19"/>
  <c r="M1270" i="19"/>
  <c r="O1270" i="19"/>
  <c r="O1310" i="19"/>
  <c r="P1319" i="19"/>
  <c r="P1368" i="19"/>
  <c r="P1297" i="19"/>
  <c r="J1298" i="19"/>
  <c r="O1299" i="19"/>
  <c r="P1300" i="19"/>
  <c r="J1300" i="19"/>
  <c r="O1302" i="19"/>
  <c r="J1303" i="19"/>
  <c r="O1303" i="19"/>
  <c r="O1304" i="19"/>
  <c r="N1306" i="19"/>
  <c r="R1306" i="19"/>
  <c r="N1307" i="19"/>
  <c r="P1308" i="19"/>
  <c r="K1309" i="19"/>
  <c r="R1270" i="19"/>
  <c r="J1270" i="19"/>
  <c r="P1270" i="19"/>
  <c r="J1319" i="19"/>
  <c r="I1283" i="19"/>
  <c r="I1286" i="19" s="1"/>
  <c r="I1368" i="19"/>
  <c r="Q1368" i="19"/>
  <c r="I1297" i="19"/>
  <c r="N1297" i="19"/>
  <c r="P1298" i="19"/>
  <c r="K1300" i="19"/>
  <c r="K1302" i="19"/>
  <c r="K1303" i="19"/>
  <c r="P1303" i="19"/>
  <c r="J1305" i="19"/>
  <c r="O1306" i="19"/>
  <c r="O1307" i="19"/>
  <c r="K1308" i="19"/>
  <c r="Q1308" i="19"/>
  <c r="M1309" i="19"/>
  <c r="Q1309" i="19"/>
  <c r="K1270" i="19"/>
  <c r="Q1270" i="19"/>
  <c r="J1310" i="19"/>
  <c r="Q1316" i="19"/>
  <c r="K1319" i="19"/>
  <c r="M1261" i="19"/>
  <c r="I1307" i="19"/>
  <c r="I1308" i="19"/>
  <c r="I1310" i="19"/>
  <c r="L1273" i="19"/>
  <c r="L1350" i="19"/>
  <c r="R1307" i="19"/>
  <c r="L1066" i="19"/>
  <c r="L1346" i="19" s="1"/>
  <c r="L1055" i="19"/>
  <c r="L1260" i="19" s="1"/>
  <c r="L1263" i="19"/>
  <c r="N1377" i="19"/>
  <c r="P1374" i="19"/>
  <c r="I1309" i="19"/>
  <c r="L1064" i="19"/>
  <c r="L1310" i="19" s="1"/>
  <c r="L1354" i="19"/>
  <c r="L1378" i="19"/>
  <c r="P1378" i="19"/>
  <c r="P1379" i="19"/>
  <c r="N1310" i="19"/>
  <c r="L1065" i="19"/>
  <c r="M1381" i="19"/>
  <c r="Q1381" i="19"/>
  <c r="L216" i="19"/>
  <c r="O1335" i="19"/>
  <c r="L520" i="19"/>
  <c r="M1300" i="19"/>
  <c r="K1344" i="19"/>
  <c r="O1272" i="19"/>
  <c r="L1057" i="19"/>
  <c r="L1262" i="19" s="1"/>
  <c r="R1313" i="19"/>
  <c r="M1374" i="19"/>
  <c r="M1377" i="19"/>
  <c r="N1379" i="19"/>
  <c r="J100" i="19"/>
  <c r="J101" i="19" s="1"/>
  <c r="R100" i="19"/>
  <c r="R101" i="19" s="1"/>
  <c r="J123" i="19"/>
  <c r="R123" i="19"/>
  <c r="L1339" i="19"/>
  <c r="L413" i="19"/>
  <c r="L1341" i="19"/>
  <c r="L1358" i="19"/>
  <c r="I1374" i="19"/>
  <c r="Q1374" i="19"/>
  <c r="Q1377" i="19"/>
  <c r="J1379" i="19"/>
  <c r="R1379" i="19"/>
  <c r="I100" i="19"/>
  <c r="I101" i="19" s="1"/>
  <c r="Q100" i="19"/>
  <c r="Q101" i="19" s="1"/>
  <c r="M100" i="19"/>
  <c r="M101" i="19" s="1"/>
  <c r="I123" i="19"/>
  <c r="Q123" i="19"/>
  <c r="M123" i="19"/>
  <c r="L1252" i="19"/>
  <c r="L1337" i="19"/>
  <c r="L1264" i="19"/>
  <c r="L1265" i="19"/>
  <c r="L1351" i="19"/>
  <c r="L1272" i="19"/>
  <c r="L1357" i="19"/>
  <c r="Q1315" i="19"/>
  <c r="L1379" i="19"/>
  <c r="M1315" i="19"/>
  <c r="P100" i="19"/>
  <c r="P101" i="19" s="1"/>
  <c r="P123" i="19"/>
  <c r="L1256" i="19"/>
  <c r="L1304" i="19"/>
  <c r="P1315" i="19"/>
  <c r="M1359" i="19"/>
  <c r="L811" i="19"/>
  <c r="L1279" i="19" s="1"/>
  <c r="L1283" i="19"/>
  <c r="K1377" i="19"/>
  <c r="I1381" i="19"/>
  <c r="K1381" i="19"/>
  <c r="L814" i="19"/>
  <c r="L1285" i="19" s="1"/>
  <c r="P1291" i="19"/>
  <c r="R1290" i="19"/>
  <c r="L1340" i="19"/>
  <c r="I1302" i="19"/>
  <c r="L1352" i="19"/>
  <c r="I1290" i="19"/>
  <c r="M1257" i="19"/>
  <c r="L1334" i="19"/>
  <c r="L1335" i="19"/>
  <c r="I1292" i="19"/>
  <c r="P1293" i="19"/>
  <c r="M1259" i="19"/>
  <c r="L1299" i="19"/>
  <c r="L1344" i="19"/>
  <c r="L1345" i="19"/>
  <c r="M1253" i="19"/>
  <c r="M1294" i="19"/>
  <c r="Q1293" i="19"/>
  <c r="L1338" i="19"/>
  <c r="L1336" i="19"/>
  <c r="Q1297" i="19"/>
  <c r="I1299" i="19"/>
  <c r="Q1300" i="19"/>
  <c r="R1350" i="19"/>
  <c r="P1351" i="19"/>
  <c r="P1352" i="19"/>
  <c r="I1355" i="19"/>
  <c r="P1356" i="19"/>
  <c r="P1381" i="19"/>
  <c r="I1338" i="19"/>
  <c r="I1336" i="19"/>
  <c r="M1338" i="19"/>
  <c r="M1336" i="19"/>
  <c r="Q1338" i="19"/>
  <c r="Q1336" i="19"/>
  <c r="L807" i="19"/>
  <c r="L1257" i="19" s="1"/>
  <c r="L1054" i="19"/>
  <c r="L1259" i="19" s="1"/>
  <c r="J1350" i="19"/>
  <c r="R1310" i="19"/>
  <c r="Q1310" i="19"/>
  <c r="P1271" i="19"/>
  <c r="L1355" i="19"/>
  <c r="K1358" i="19"/>
  <c r="J1315" i="19"/>
  <c r="Q1359" i="19"/>
  <c r="L1361" i="19"/>
  <c r="I1362" i="19"/>
  <c r="M1363" i="19"/>
  <c r="Q1363" i="19"/>
  <c r="L1375" i="19"/>
  <c r="M1375" i="19"/>
  <c r="Q1375" i="19"/>
  <c r="J1377" i="19"/>
  <c r="I1379" i="19"/>
  <c r="M1379" i="19"/>
  <c r="Q1379" i="19"/>
  <c r="L1381" i="19"/>
  <c r="I1323" i="19"/>
  <c r="P1324" i="19"/>
  <c r="J1304" i="19"/>
  <c r="R1304" i="19"/>
  <c r="N1350" i="19"/>
  <c r="K1360" i="19"/>
  <c r="M1362" i="19"/>
  <c r="L806" i="19"/>
  <c r="L1253" i="19" s="1"/>
  <c r="J1338" i="19"/>
  <c r="J1336" i="19"/>
  <c r="N1338" i="19"/>
  <c r="N1336" i="19"/>
  <c r="R1338" i="19"/>
  <c r="R1336" i="19"/>
  <c r="L1052" i="19"/>
  <c r="L1255" i="19" s="1"/>
  <c r="Q1305" i="19"/>
  <c r="R1315" i="19"/>
  <c r="J1359" i="19"/>
  <c r="L809" i="19"/>
  <c r="M1361" i="19"/>
  <c r="Q1361" i="19"/>
  <c r="R1319" i="19"/>
  <c r="I1363" i="19"/>
  <c r="N1374" i="19"/>
  <c r="R1374" i="19"/>
  <c r="I1375" i="19"/>
  <c r="N1381" i="19"/>
  <c r="R1381" i="19"/>
  <c r="P1338" i="19"/>
  <c r="P1336" i="19"/>
  <c r="N1304" i="19"/>
  <c r="L1062" i="19"/>
  <c r="L1268" i="19" s="1"/>
  <c r="M1268" i="19"/>
  <c r="L490" i="19"/>
  <c r="J1353" i="19"/>
  <c r="J1354" i="19"/>
  <c r="P1311" i="19"/>
  <c r="O1358" i="19"/>
  <c r="L1162" i="19"/>
  <c r="Q1362" i="19"/>
  <c r="K1320" i="19"/>
  <c r="O1320" i="19"/>
  <c r="K1338" i="19"/>
  <c r="K1336" i="19"/>
  <c r="O1338" i="19"/>
  <c r="O1336" i="19"/>
  <c r="L521" i="19"/>
  <c r="M1267" i="19"/>
  <c r="L1061" i="19"/>
  <c r="L1267" i="19" s="1"/>
  <c r="N1353" i="19"/>
  <c r="R1353" i="19"/>
  <c r="M1310" i="19"/>
  <c r="N1354" i="19"/>
  <c r="R1354" i="19"/>
  <c r="M1355" i="19"/>
  <c r="M1364" i="19" s="1"/>
  <c r="Q1355" i="19"/>
  <c r="P1357" i="19"/>
  <c r="L1359" i="19"/>
  <c r="I1359" i="19"/>
  <c r="O1360" i="19"/>
  <c r="I1361" i="19"/>
  <c r="J1374" i="19"/>
  <c r="R1377" i="19"/>
  <c r="J1378" i="19"/>
  <c r="N1378" i="19"/>
  <c r="R1378" i="19"/>
  <c r="K1379" i="19"/>
  <c r="O1379" i="19"/>
  <c r="J1381" i="19"/>
  <c r="O1381" i="19"/>
  <c r="L1367" i="19"/>
  <c r="K1285" i="19"/>
  <c r="L1060" i="19"/>
  <c r="L1266" i="19" s="1"/>
  <c r="L418" i="19"/>
  <c r="L1063" i="19"/>
  <c r="L1269" i="19" s="1"/>
  <c r="L810" i="19"/>
  <c r="L1278" i="19" s="1"/>
  <c r="L229" i="19"/>
  <c r="L813" i="19"/>
  <c r="L1284" i="19" s="1"/>
  <c r="M1284" i="19"/>
  <c r="N1368" i="19"/>
  <c r="R1368" i="19"/>
  <c r="L1161" i="19"/>
  <c r="L1274" i="19" s="1"/>
  <c r="N1283" i="19"/>
  <c r="N1286" i="19" s="1"/>
  <c r="P1367" i="19"/>
  <c r="J1368" i="19"/>
  <c r="P1387" i="19"/>
  <c r="I1324" i="19"/>
  <c r="Q1324" i="19"/>
  <c r="Q1284" i="19"/>
  <c r="Q1286" i="19" s="1"/>
  <c r="E107" i="18"/>
  <c r="H112" i="18"/>
  <c r="H106" i="18"/>
  <c r="H105" i="18"/>
  <c r="H27" i="18"/>
  <c r="H26" i="18"/>
  <c r="H2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L175" i="17"/>
  <c r="F107" i="18"/>
  <c r="E101" i="18"/>
  <c r="G101" i="18"/>
  <c r="N33" i="9"/>
  <c r="Q33" i="9" s="1"/>
  <c r="N32" i="9"/>
  <c r="N31" i="9"/>
  <c r="N30" i="9"/>
  <c r="N29" i="9"/>
  <c r="N28" i="9"/>
  <c r="P28" i="9" s="1"/>
  <c r="N27" i="9"/>
  <c r="O27" i="9" s="1"/>
  <c r="N26" i="9"/>
  <c r="N25" i="9"/>
  <c r="N24" i="9"/>
  <c r="N23" i="9"/>
  <c r="N22" i="9"/>
  <c r="N21" i="9"/>
  <c r="N20" i="9"/>
  <c r="O20" i="9" s="1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O4" i="9" s="1"/>
  <c r="H107" i="18" l="1"/>
  <c r="J101" i="18"/>
  <c r="L1258" i="19"/>
  <c r="N1326" i="19"/>
  <c r="N1367" i="19"/>
  <c r="L1301" i="19"/>
  <c r="M1308" i="19"/>
  <c r="K1291" i="19"/>
  <c r="I1369" i="19"/>
  <c r="N1362" i="19"/>
  <c r="O1314" i="19"/>
  <c r="L1362" i="19"/>
  <c r="R1251" i="19"/>
  <c r="Q1345" i="19"/>
  <c r="M1316" i="19"/>
  <c r="P1276" i="19"/>
  <c r="R124" i="19"/>
  <c r="S157" i="19" s="1"/>
  <c r="K1345" i="19"/>
  <c r="O1368" i="19"/>
  <c r="J1340" i="19"/>
  <c r="L1308" i="19"/>
  <c r="L1319" i="19"/>
  <c r="L1312" i="19"/>
  <c r="I1251" i="19"/>
  <c r="L1306" i="19"/>
  <c r="L1302" i="19"/>
  <c r="P1254" i="19"/>
  <c r="Q1277" i="19"/>
  <c r="Q1317" i="19"/>
  <c r="J1314" i="19"/>
  <c r="M1277" i="19"/>
  <c r="M1317" i="19"/>
  <c r="O1277" i="19"/>
  <c r="O1317" i="19"/>
  <c r="K1254" i="19"/>
  <c r="Q1271" i="19"/>
  <c r="Q1311" i="19"/>
  <c r="J1254" i="19"/>
  <c r="Q1254" i="19"/>
  <c r="J1277" i="19"/>
  <c r="J1317" i="19"/>
  <c r="I1277" i="19"/>
  <c r="I1317" i="19"/>
  <c r="M1271" i="19"/>
  <c r="M1311" i="19"/>
  <c r="L1316" i="19"/>
  <c r="R1314" i="19"/>
  <c r="K1271" i="19"/>
  <c r="K1311" i="19"/>
  <c r="J1324" i="19"/>
  <c r="J1318" i="19"/>
  <c r="M1276" i="19"/>
  <c r="M1296" i="19"/>
  <c r="K1324" i="19"/>
  <c r="R1277" i="19"/>
  <c r="R1317" i="19"/>
  <c r="P1277" i="19"/>
  <c r="P1317" i="19"/>
  <c r="R1301" i="19"/>
  <c r="K1277" i="19"/>
  <c r="K1317" i="19"/>
  <c r="N1277" i="19"/>
  <c r="N1317" i="19"/>
  <c r="L1275" i="19"/>
  <c r="M1283" i="19"/>
  <c r="M1286" i="19" s="1"/>
  <c r="N1315" i="19"/>
  <c r="R1324" i="19"/>
  <c r="O1315" i="19"/>
  <c r="L1297" i="19"/>
  <c r="I1312" i="19"/>
  <c r="J1283" i="19"/>
  <c r="J1286" i="19" s="1"/>
  <c r="K1318" i="19"/>
  <c r="P1301" i="19"/>
  <c r="M1318" i="19"/>
  <c r="J1276" i="19"/>
  <c r="J1316" i="19"/>
  <c r="L1348" i="19"/>
  <c r="Q1312" i="19"/>
  <c r="N1301" i="19"/>
  <c r="K1283" i="19"/>
  <c r="K1286" i="19" s="1"/>
  <c r="N1296" i="19"/>
  <c r="Q1291" i="19"/>
  <c r="O1301" i="19"/>
  <c r="O1318" i="19"/>
  <c r="N1251" i="19"/>
  <c r="N1291" i="19"/>
  <c r="M1275" i="19"/>
  <c r="M1250" i="19"/>
  <c r="M1262" i="19"/>
  <c r="M1302" i="19"/>
  <c r="R1312" i="19"/>
  <c r="Q1318" i="19"/>
  <c r="O1271" i="19"/>
  <c r="O1311" i="19"/>
  <c r="I1301" i="19"/>
  <c r="J1325" i="19"/>
  <c r="J1312" i="19"/>
  <c r="Q1323" i="19"/>
  <c r="P1283" i="19"/>
  <c r="P1286" i="19" s="1"/>
  <c r="K1313" i="19"/>
  <c r="M1301" i="19"/>
  <c r="L1309" i="19"/>
  <c r="O1254" i="19"/>
  <c r="I1254" i="19"/>
  <c r="K1315" i="19"/>
  <c r="L1303" i="19"/>
  <c r="L1293" i="19"/>
  <c r="L1300" i="19"/>
  <c r="L1298" i="19"/>
  <c r="O1325" i="19"/>
  <c r="R1318" i="19"/>
  <c r="M1312" i="19"/>
  <c r="J1301" i="19"/>
  <c r="M1325" i="19"/>
  <c r="K1312" i="19"/>
  <c r="M1307" i="19"/>
  <c r="O1283" i="19"/>
  <c r="O1286" i="19" s="1"/>
  <c r="I1318" i="19"/>
  <c r="Q1296" i="19"/>
  <c r="O1251" i="19"/>
  <c r="O1291" i="19"/>
  <c r="Q1313" i="19"/>
  <c r="N1312" i="19"/>
  <c r="I1315" i="19"/>
  <c r="N1313" i="19"/>
  <c r="J1271" i="19"/>
  <c r="J1311" i="19"/>
  <c r="L1261" i="19"/>
  <c r="L1295" i="19"/>
  <c r="L1292" i="19"/>
  <c r="L1270" i="19"/>
  <c r="M1273" i="19"/>
  <c r="P1325" i="19"/>
  <c r="R1325" i="19"/>
  <c r="R1283" i="19"/>
  <c r="R1286" i="19" s="1"/>
  <c r="P1313" i="19"/>
  <c r="J1251" i="19"/>
  <c r="J1291" i="19"/>
  <c r="Q1325" i="19"/>
  <c r="I1296" i="19"/>
  <c r="Q1276" i="19"/>
  <c r="L1315" i="19"/>
  <c r="L1356" i="19"/>
  <c r="M124" i="19"/>
  <c r="N1387" i="19"/>
  <c r="Q124" i="19"/>
  <c r="O1387" i="19"/>
  <c r="J124" i="19"/>
  <c r="P124" i="19"/>
  <c r="I124" i="19"/>
  <c r="K1364" i="19"/>
  <c r="R1387" i="19"/>
  <c r="I1377" i="19"/>
  <c r="J1364" i="19"/>
  <c r="N1320" i="19"/>
  <c r="J1387" i="19"/>
  <c r="R1364" i="19"/>
  <c r="K1387" i="19"/>
  <c r="L1286" i="19"/>
  <c r="L1363" i="19"/>
  <c r="L1387" i="19"/>
  <c r="J1320" i="19"/>
  <c r="Q1387" i="19"/>
  <c r="I1364" i="19"/>
  <c r="Q1364" i="19"/>
  <c r="O1364" i="19"/>
  <c r="P1320" i="19"/>
  <c r="P1364" i="19"/>
  <c r="Q1320" i="19"/>
  <c r="M1387" i="19"/>
  <c r="N1364" i="19"/>
  <c r="L1307" i="19"/>
  <c r="L1318" i="19"/>
  <c r="L1374" i="19"/>
  <c r="L1377" i="19"/>
  <c r="L1360" i="19"/>
  <c r="M1254" i="19"/>
  <c r="M1290" i="19"/>
  <c r="M1320" i="19" s="1"/>
  <c r="O1374" i="19"/>
  <c r="L1305" i="19"/>
  <c r="L1320" i="19" s="1"/>
  <c r="I1314" i="19"/>
  <c r="I1320" i="19" s="1"/>
  <c r="K1374" i="19"/>
  <c r="I1326" i="19"/>
  <c r="R1320" i="19"/>
  <c r="I1387" i="19"/>
  <c r="P1377" i="19"/>
  <c r="O1377" i="19"/>
  <c r="L1353" i="19"/>
  <c r="F8" i="18"/>
  <c r="F29" i="18" s="1"/>
  <c r="F114" i="18" s="1"/>
  <c r="D8" i="18"/>
  <c r="H8" i="18" l="1"/>
  <c r="H29" i="18" s="1"/>
  <c r="R1291" i="19"/>
  <c r="N1327" i="19"/>
  <c r="L1276" i="19"/>
  <c r="N1369" i="19"/>
  <c r="N1370" i="19" s="1"/>
  <c r="N1371" i="19" s="1"/>
  <c r="Q1326" i="19"/>
  <c r="Q1327" i="19" s="1"/>
  <c r="J1280" i="19"/>
  <c r="J1287" i="19" s="1"/>
  <c r="P1362" i="19"/>
  <c r="I1291" i="19"/>
  <c r="L1254" i="19"/>
  <c r="L1277" i="19"/>
  <c r="L1317" i="19"/>
  <c r="K1314" i="19"/>
  <c r="R1271" i="19"/>
  <c r="R1311" i="19"/>
  <c r="L1271" i="19"/>
  <c r="L1311" i="19"/>
  <c r="I1340" i="19"/>
  <c r="R1323" i="19"/>
  <c r="R1326" i="19" s="1"/>
  <c r="R1327" i="19" s="1"/>
  <c r="L1324" i="19"/>
  <c r="Q1314" i="19"/>
  <c r="K1356" i="19"/>
  <c r="J1345" i="19"/>
  <c r="R1362" i="19"/>
  <c r="L1325" i="19"/>
  <c r="I1294" i="19"/>
  <c r="Q1367" i="19"/>
  <c r="J1369" i="19"/>
  <c r="R1356" i="19"/>
  <c r="M1251" i="19"/>
  <c r="M1280" i="19" s="1"/>
  <c r="M1287" i="19" s="1"/>
  <c r="M1291" i="19"/>
  <c r="N1340" i="19"/>
  <c r="N1345" i="19"/>
  <c r="K1362" i="19"/>
  <c r="I1356" i="19"/>
  <c r="O1359" i="19"/>
  <c r="J1294" i="19"/>
  <c r="K1294" i="19"/>
  <c r="M1313" i="19"/>
  <c r="N1314" i="19"/>
  <c r="Q1340" i="19"/>
  <c r="O1323" i="19"/>
  <c r="O1326" i="19" s="1"/>
  <c r="O1327" i="19" s="1"/>
  <c r="K1359" i="19"/>
  <c r="O1294" i="19"/>
  <c r="O1345" i="19"/>
  <c r="I1367" i="19"/>
  <c r="I1370" i="19" s="1"/>
  <c r="I1371" i="19" s="1"/>
  <c r="L1313" i="19"/>
  <c r="M1323" i="19"/>
  <c r="L1323" i="19"/>
  <c r="M1340" i="19"/>
  <c r="J1362" i="19"/>
  <c r="Q1369" i="19"/>
  <c r="P1314" i="19"/>
  <c r="R1369" i="19"/>
  <c r="P1369" i="19"/>
  <c r="P1370" i="19" s="1"/>
  <c r="P1371" i="19" s="1"/>
  <c r="N1356" i="19"/>
  <c r="M1369" i="19"/>
  <c r="M1356" i="19"/>
  <c r="O1369" i="19"/>
  <c r="L1250" i="19"/>
  <c r="M1345" i="19"/>
  <c r="P1323" i="19"/>
  <c r="P1326" i="19" s="1"/>
  <c r="P1327" i="19" s="1"/>
  <c r="J1356" i="19"/>
  <c r="I1345" i="19"/>
  <c r="K1323" i="19"/>
  <c r="K1326" i="19" s="1"/>
  <c r="K1327" i="19" s="1"/>
  <c r="Q1356" i="19"/>
  <c r="P1345" i="19"/>
  <c r="J1323" i="19"/>
  <c r="J1326" i="19" s="1"/>
  <c r="J1327" i="19" s="1"/>
  <c r="L1296" i="19"/>
  <c r="R1359" i="19"/>
  <c r="Q1294" i="19"/>
  <c r="P1294" i="19"/>
  <c r="N1271" i="19"/>
  <c r="N1311" i="19"/>
  <c r="I1271" i="19"/>
  <c r="I1311" i="19"/>
  <c r="M1324" i="19"/>
  <c r="N1254" i="19"/>
  <c r="O1362" i="19"/>
  <c r="N1359" i="19"/>
  <c r="R1254" i="19"/>
  <c r="R1345" i="19"/>
  <c r="K1368" i="19"/>
  <c r="Q1280" i="19"/>
  <c r="Q1287" i="19" s="1"/>
  <c r="P1280" i="19"/>
  <c r="P1287" i="19" s="1"/>
  <c r="L1364" i="19"/>
  <c r="I1327" i="19"/>
  <c r="D29" i="18"/>
  <c r="D114" i="18" s="1"/>
  <c r="J12" i="18"/>
  <c r="M1326" i="19" l="1"/>
  <c r="M1327" i="19" s="1"/>
  <c r="P1392" i="19"/>
  <c r="P1394" i="19" s="1"/>
  <c r="L1326" i="19"/>
  <c r="L1327" i="19" s="1"/>
  <c r="I1276" i="19"/>
  <c r="I1280" i="19" s="1"/>
  <c r="I1287" i="19" s="1"/>
  <c r="I1392" i="19" s="1"/>
  <c r="I1394" i="19" s="1"/>
  <c r="I1316" i="19"/>
  <c r="K1367" i="19"/>
  <c r="K1370" i="19" s="1"/>
  <c r="K1371" i="19" s="1"/>
  <c r="L1314" i="19"/>
  <c r="L1369" i="19"/>
  <c r="K1276" i="19"/>
  <c r="K1280" i="19" s="1"/>
  <c r="K1287" i="19" s="1"/>
  <c r="K1316" i="19"/>
  <c r="Q1370" i="19"/>
  <c r="Q1371" i="19" s="1"/>
  <c r="Q1392" i="19" s="1"/>
  <c r="Q1394" i="19" s="1"/>
  <c r="N1294" i="19"/>
  <c r="R1276" i="19"/>
  <c r="R1280" i="19" s="1"/>
  <c r="R1287" i="19" s="1"/>
  <c r="R1316" i="19"/>
  <c r="M1367" i="19"/>
  <c r="M1314" i="19"/>
  <c r="N1276" i="19"/>
  <c r="N1280" i="19" s="1"/>
  <c r="N1287" i="19" s="1"/>
  <c r="N1392" i="19" s="1"/>
  <c r="N1394" i="19" s="1"/>
  <c r="N1316" i="19"/>
  <c r="J1367" i="19"/>
  <c r="J1370" i="19" s="1"/>
  <c r="J1371" i="19" s="1"/>
  <c r="J1392" i="19" s="1"/>
  <c r="J1394" i="19" s="1"/>
  <c r="L1368" i="19"/>
  <c r="R1294" i="19"/>
  <c r="L1251" i="19"/>
  <c r="L1280" i="19" s="1"/>
  <c r="L1287" i="19" s="1"/>
  <c r="L1291" i="19"/>
  <c r="O1367" i="19"/>
  <c r="O1370" i="19" s="1"/>
  <c r="O1371" i="19" s="1"/>
  <c r="L1294" i="19"/>
  <c r="M1368" i="19"/>
  <c r="O1276" i="19"/>
  <c r="O1280" i="19" s="1"/>
  <c r="O1287" i="19" s="1"/>
  <c r="O1316" i="19"/>
  <c r="R1367" i="19"/>
  <c r="R1370" i="19" s="1"/>
  <c r="R1371" i="19" s="1"/>
  <c r="L1370" i="19" l="1"/>
  <c r="L1371" i="19" s="1"/>
  <c r="L1392" i="19" s="1"/>
  <c r="L1394" i="19" s="1"/>
  <c r="M1370" i="19"/>
  <c r="M1371" i="19" s="1"/>
  <c r="M1392" i="19" s="1"/>
  <c r="M1394" i="19" s="1"/>
  <c r="K1392" i="19"/>
  <c r="K1394" i="19" s="1"/>
  <c r="R1392" i="19"/>
  <c r="R1394" i="19" s="1"/>
  <c r="O1392" i="19"/>
  <c r="O1394" i="19" s="1"/>
  <c r="D94" i="9"/>
  <c r="B4" i="7" l="1"/>
  <c r="B3" i="7"/>
  <c r="J111" i="18" l="1"/>
  <c r="J110" i="18"/>
  <c r="J104" i="18" l="1"/>
  <c r="L49" i="17"/>
  <c r="L28" i="17"/>
  <c r="L653" i="17"/>
  <c r="L564" i="17"/>
  <c r="J79" i="18"/>
  <c r="L98" i="9"/>
  <c r="G113" i="18" l="1"/>
  <c r="H109" i="18"/>
  <c r="H113" i="18" s="1"/>
  <c r="H114" i="18" s="1"/>
  <c r="G107" i="18"/>
  <c r="G73" i="18"/>
  <c r="J84" i="18" s="1"/>
  <c r="G29" i="18"/>
  <c r="E29" i="18"/>
  <c r="L995" i="17"/>
  <c r="L990" i="17"/>
  <c r="L988" i="17"/>
  <c r="L986" i="17"/>
  <c r="L981" i="17"/>
  <c r="L978" i="17"/>
  <c r="L973" i="17"/>
  <c r="L971" i="17"/>
  <c r="L966" i="17"/>
  <c r="L961" i="17"/>
  <c r="L956" i="17"/>
  <c r="L954" i="17"/>
  <c r="L948" i="17"/>
  <c r="L943" i="17"/>
  <c r="L939" i="17"/>
  <c r="L934" i="17"/>
  <c r="L929" i="17"/>
  <c r="L922" i="17"/>
  <c r="L903" i="17"/>
  <c r="L872" i="17"/>
  <c r="L862" i="17"/>
  <c r="L843" i="17"/>
  <c r="L829" i="17"/>
  <c r="L810" i="17"/>
  <c r="L791" i="17"/>
  <c r="L772" i="17"/>
  <c r="L756" i="17"/>
  <c r="L737" i="17"/>
  <c r="L735" i="17"/>
  <c r="L716" i="17"/>
  <c r="L711" i="17"/>
  <c r="L692" i="17"/>
  <c r="L673" i="17"/>
  <c r="L644" i="17"/>
  <c r="L629" i="17"/>
  <c r="L623" i="17"/>
  <c r="L614" i="17"/>
  <c r="L610" i="17"/>
  <c r="L601" i="17"/>
  <c r="L592" i="17"/>
  <c r="L583" i="17"/>
  <c r="L574" i="17"/>
  <c r="L554" i="17"/>
  <c r="L547" i="17"/>
  <c r="L538" i="17"/>
  <c r="L529" i="17"/>
  <c r="L430" i="17"/>
  <c r="L428" i="17"/>
  <c r="L423" i="17"/>
  <c r="L411" i="17"/>
  <c r="L405" i="17"/>
  <c r="L397" i="17"/>
  <c r="L386" i="17"/>
  <c r="L379" i="17"/>
  <c r="L301" i="17"/>
  <c r="L297" i="17"/>
  <c r="L292" i="17"/>
  <c r="L267" i="17"/>
  <c r="L262" i="17"/>
  <c r="L259" i="17"/>
  <c r="L191" i="17"/>
  <c r="L188" i="17"/>
  <c r="L164" i="17"/>
  <c r="L161" i="17"/>
  <c r="L153" i="17"/>
  <c r="L103" i="17"/>
  <c r="L94" i="17"/>
  <c r="L85" i="17"/>
  <c r="L77" i="17"/>
  <c r="L60" i="17"/>
  <c r="L41" i="17"/>
  <c r="L32" i="17"/>
  <c r="L25" i="17"/>
  <c r="G114" i="18" l="1"/>
  <c r="E114" i="18"/>
  <c r="G2443" i="17"/>
  <c r="K2435" i="17"/>
  <c r="J2435" i="17"/>
  <c r="I2435" i="17"/>
  <c r="H2435" i="17"/>
  <c r="K2414" i="17"/>
  <c r="J2414" i="17"/>
  <c r="I2414" i="17"/>
  <c r="H2414" i="17"/>
  <c r="K2413" i="17"/>
  <c r="J2413" i="17"/>
  <c r="I2413" i="17"/>
  <c r="H2413" i="17"/>
  <c r="K2412" i="17"/>
  <c r="J2412" i="17"/>
  <c r="I2412" i="17"/>
  <c r="H2412" i="17"/>
  <c r="K2411" i="17"/>
  <c r="J2411" i="17"/>
  <c r="I2411" i="17"/>
  <c r="H2411" i="17"/>
  <c r="K2410" i="17"/>
  <c r="J2410" i="17"/>
  <c r="I2410" i="17"/>
  <c r="H2410" i="17"/>
  <c r="K2409" i="17"/>
  <c r="J2409" i="17"/>
  <c r="I2409" i="17"/>
  <c r="H2409" i="17"/>
  <c r="K2408" i="17"/>
  <c r="J2408" i="17"/>
  <c r="I2408" i="17"/>
  <c r="H2408" i="17"/>
  <c r="K2407" i="17"/>
  <c r="J2407" i="17"/>
  <c r="I2407" i="17"/>
  <c r="H2407" i="17"/>
  <c r="K2406" i="17"/>
  <c r="J2406" i="17"/>
  <c r="I2406" i="17"/>
  <c r="H2406" i="17"/>
  <c r="K2405" i="17"/>
  <c r="J2405" i="17"/>
  <c r="I2405" i="17"/>
  <c r="H2405" i="17"/>
  <c r="K2404" i="17"/>
  <c r="J2404" i="17"/>
  <c r="I2404" i="17"/>
  <c r="H2404" i="17"/>
  <c r="K2403" i="17"/>
  <c r="J2403" i="17"/>
  <c r="I2403" i="17"/>
  <c r="H2403" i="17"/>
  <c r="K2402" i="17"/>
  <c r="J2402" i="17"/>
  <c r="I2402" i="17"/>
  <c r="H2402" i="17"/>
  <c r="K2401" i="17"/>
  <c r="J2401" i="17"/>
  <c r="I2401" i="17"/>
  <c r="H2401" i="17"/>
  <c r="K2399" i="17"/>
  <c r="J2399" i="17"/>
  <c r="I2399" i="17"/>
  <c r="H2399" i="17"/>
  <c r="K2397" i="17"/>
  <c r="J2397" i="17"/>
  <c r="I2397" i="17"/>
  <c r="H2397" i="17"/>
  <c r="K2396" i="17"/>
  <c r="J2396" i="17"/>
  <c r="I2396" i="17"/>
  <c r="H2396" i="17"/>
  <c r="K2395" i="17"/>
  <c r="J2395" i="17"/>
  <c r="I2395" i="17"/>
  <c r="H2395" i="17"/>
  <c r="K2392" i="17"/>
  <c r="J2392" i="17"/>
  <c r="I2392" i="17"/>
  <c r="H2392" i="17"/>
  <c r="K2391" i="17"/>
  <c r="J2391" i="17"/>
  <c r="I2391" i="17"/>
  <c r="H2391" i="17"/>
  <c r="K2390" i="17"/>
  <c r="J2390" i="17"/>
  <c r="I2390" i="17"/>
  <c r="H2390" i="17"/>
  <c r="K2389" i="17"/>
  <c r="J2389" i="17"/>
  <c r="I2389" i="17"/>
  <c r="H2389" i="17"/>
  <c r="K2388" i="17"/>
  <c r="J2388" i="17"/>
  <c r="I2388" i="17"/>
  <c r="H2388" i="17"/>
  <c r="K2387" i="17"/>
  <c r="J2387" i="17"/>
  <c r="I2387" i="17"/>
  <c r="H2387" i="17"/>
  <c r="G2387" i="17"/>
  <c r="K2386" i="17"/>
  <c r="J2386" i="17"/>
  <c r="I2386" i="17"/>
  <c r="H2386" i="17"/>
  <c r="K2385" i="17"/>
  <c r="K2415" i="17" s="1"/>
  <c r="J2385" i="17"/>
  <c r="J2415" i="17" s="1"/>
  <c r="I2385" i="17"/>
  <c r="I2415" i="17" s="1"/>
  <c r="H2385" i="17"/>
  <c r="H2415" i="17" s="1"/>
  <c r="K2370" i="17"/>
  <c r="J2370" i="17"/>
  <c r="I2370" i="17"/>
  <c r="H2370" i="17"/>
  <c r="K2369" i="17"/>
  <c r="J2369" i="17"/>
  <c r="I2369" i="17"/>
  <c r="H2369" i="17"/>
  <c r="K2368" i="17"/>
  <c r="J2368" i="17"/>
  <c r="I2368" i="17"/>
  <c r="H2368" i="17"/>
  <c r="K2367" i="17"/>
  <c r="J2367" i="17"/>
  <c r="I2367" i="17"/>
  <c r="H2367" i="17"/>
  <c r="K2366" i="17"/>
  <c r="J2366" i="17"/>
  <c r="I2366" i="17"/>
  <c r="H2366" i="17"/>
  <c r="K2365" i="17"/>
  <c r="J2365" i="17"/>
  <c r="I2365" i="17"/>
  <c r="H2365" i="17"/>
  <c r="K2364" i="17"/>
  <c r="J2364" i="17"/>
  <c r="I2364" i="17"/>
  <c r="H2364" i="17"/>
  <c r="K2363" i="17"/>
  <c r="J2363" i="17"/>
  <c r="I2363" i="17"/>
  <c r="H2363" i="17"/>
  <c r="K2362" i="17"/>
  <c r="J2362" i="17"/>
  <c r="I2362" i="17"/>
  <c r="H2362" i="17"/>
  <c r="K2361" i="17"/>
  <c r="J2361" i="17"/>
  <c r="I2361" i="17"/>
  <c r="H2361" i="17"/>
  <c r="K2360" i="17"/>
  <c r="J2360" i="17"/>
  <c r="I2360" i="17"/>
  <c r="H2360" i="17"/>
  <c r="K2359" i="17"/>
  <c r="J2359" i="17"/>
  <c r="I2359" i="17"/>
  <c r="H2359" i="17"/>
  <c r="K2358" i="17"/>
  <c r="J2358" i="17"/>
  <c r="I2358" i="17"/>
  <c r="H2358" i="17"/>
  <c r="K2357" i="17"/>
  <c r="J2357" i="17"/>
  <c r="I2357" i="17"/>
  <c r="H2357" i="17"/>
  <c r="K2356" i="17"/>
  <c r="J2356" i="17"/>
  <c r="I2356" i="17"/>
  <c r="H2356" i="17"/>
  <c r="K2355" i="17"/>
  <c r="J2355" i="17"/>
  <c r="I2355" i="17"/>
  <c r="H2355" i="17"/>
  <c r="K2354" i="17"/>
  <c r="J2354" i="17"/>
  <c r="I2354" i="17"/>
  <c r="H2354" i="17"/>
  <c r="K2353" i="17"/>
  <c r="J2353" i="17"/>
  <c r="I2353" i="17"/>
  <c r="H2353" i="17"/>
  <c r="K2352" i="17"/>
  <c r="J2352" i="17"/>
  <c r="I2352" i="17"/>
  <c r="H2352" i="17"/>
  <c r="K2351" i="17"/>
  <c r="J2351" i="17"/>
  <c r="I2351" i="17"/>
  <c r="H2351" i="17"/>
  <c r="K2350" i="17"/>
  <c r="J2350" i="17"/>
  <c r="I2350" i="17"/>
  <c r="H2350" i="17"/>
  <c r="K2349" i="17"/>
  <c r="J2349" i="17"/>
  <c r="I2349" i="17"/>
  <c r="H2349" i="17"/>
  <c r="K2348" i="17"/>
  <c r="J2348" i="17"/>
  <c r="I2348" i="17"/>
  <c r="H2348" i="17"/>
  <c r="K2347" i="17"/>
  <c r="J2347" i="17"/>
  <c r="I2347" i="17"/>
  <c r="H2347" i="17"/>
  <c r="K2346" i="17"/>
  <c r="J2346" i="17"/>
  <c r="I2346" i="17"/>
  <c r="H2346" i="17"/>
  <c r="K2345" i="17"/>
  <c r="J2345" i="17"/>
  <c r="I2345" i="17"/>
  <c r="H2345" i="17"/>
  <c r="K2344" i="17"/>
  <c r="J2344" i="17"/>
  <c r="I2344" i="17"/>
  <c r="H2344" i="17"/>
  <c r="K2343" i="17"/>
  <c r="J2343" i="17"/>
  <c r="I2343" i="17"/>
  <c r="H2343" i="17"/>
  <c r="K2342" i="17"/>
  <c r="J2342" i="17"/>
  <c r="I2342" i="17"/>
  <c r="H2342" i="17"/>
  <c r="K2341" i="17"/>
  <c r="K2371" i="17" s="1"/>
  <c r="J2341" i="17"/>
  <c r="J2371" i="17" s="1"/>
  <c r="I2341" i="17"/>
  <c r="I2371" i="17" s="1"/>
  <c r="H2341" i="17"/>
  <c r="H2371" i="17" s="1"/>
  <c r="K2330" i="17"/>
  <c r="J2330" i="17"/>
  <c r="I2330" i="17"/>
  <c r="H2330" i="17"/>
  <c r="K2329" i="17"/>
  <c r="J2329" i="17"/>
  <c r="I2329" i="17"/>
  <c r="H2329" i="17"/>
  <c r="K2328" i="17"/>
  <c r="J2328" i="17"/>
  <c r="I2328" i="17"/>
  <c r="H2328" i="17"/>
  <c r="K2327" i="17"/>
  <c r="J2327" i="17"/>
  <c r="I2327" i="17"/>
  <c r="H2327" i="17"/>
  <c r="K2326" i="17"/>
  <c r="J2326" i="17"/>
  <c r="I2326" i="17"/>
  <c r="H2326" i="17"/>
  <c r="K2325" i="17"/>
  <c r="J2325" i="17"/>
  <c r="I2325" i="17"/>
  <c r="H2325" i="17"/>
  <c r="K2324" i="17"/>
  <c r="J2324" i="17"/>
  <c r="I2324" i="17"/>
  <c r="H2324" i="17"/>
  <c r="K2323" i="17"/>
  <c r="J2323" i="17"/>
  <c r="I2323" i="17"/>
  <c r="H2323" i="17"/>
  <c r="K2322" i="17"/>
  <c r="J2322" i="17"/>
  <c r="I2322" i="17"/>
  <c r="H2322" i="17"/>
  <c r="K2321" i="17"/>
  <c r="J2321" i="17"/>
  <c r="I2321" i="17"/>
  <c r="H2321" i="17"/>
  <c r="K2320" i="17"/>
  <c r="J2320" i="17"/>
  <c r="I2320" i="17"/>
  <c r="H2320" i="17"/>
  <c r="K2319" i="17"/>
  <c r="J2319" i="17"/>
  <c r="I2319" i="17"/>
  <c r="H2319" i="17"/>
  <c r="K2318" i="17"/>
  <c r="J2318" i="17"/>
  <c r="I2318" i="17"/>
  <c r="H2318" i="17"/>
  <c r="K2317" i="17"/>
  <c r="J2317" i="17"/>
  <c r="I2317" i="17"/>
  <c r="H2317" i="17"/>
  <c r="K2316" i="17"/>
  <c r="J2316" i="17"/>
  <c r="I2316" i="17"/>
  <c r="H2316" i="17"/>
  <c r="K2315" i="17"/>
  <c r="J2315" i="17"/>
  <c r="I2315" i="17"/>
  <c r="H2315" i="17"/>
  <c r="K2314" i="17"/>
  <c r="J2314" i="17"/>
  <c r="I2314" i="17"/>
  <c r="H2314" i="17"/>
  <c r="K2313" i="17"/>
  <c r="J2313" i="17"/>
  <c r="I2313" i="17"/>
  <c r="H2313" i="17"/>
  <c r="K2312" i="17"/>
  <c r="J2312" i="17"/>
  <c r="I2312" i="17"/>
  <c r="H2312" i="17"/>
  <c r="K2311" i="17"/>
  <c r="J2311" i="17"/>
  <c r="I2311" i="17"/>
  <c r="H2311" i="17"/>
  <c r="K2310" i="17"/>
  <c r="J2310" i="17"/>
  <c r="I2310" i="17"/>
  <c r="H2310" i="17"/>
  <c r="K2309" i="17"/>
  <c r="J2309" i="17"/>
  <c r="I2309" i="17"/>
  <c r="H2309" i="17"/>
  <c r="K2307" i="17"/>
  <c r="J2307" i="17"/>
  <c r="I2307" i="17"/>
  <c r="H2307" i="17"/>
  <c r="K2306" i="17"/>
  <c r="J2306" i="17"/>
  <c r="I2306" i="17"/>
  <c r="H2306" i="17"/>
  <c r="K2305" i="17"/>
  <c r="J2305" i="17"/>
  <c r="I2305" i="17"/>
  <c r="H2305" i="17"/>
  <c r="K2232" i="17"/>
  <c r="J2232" i="17"/>
  <c r="I2232" i="17"/>
  <c r="K2228" i="17"/>
  <c r="J2228" i="17"/>
  <c r="I2228" i="17"/>
  <c r="K2223" i="17"/>
  <c r="J2223" i="17"/>
  <c r="I2223" i="17"/>
  <c r="H2223" i="17"/>
  <c r="K2166" i="17"/>
  <c r="J2166" i="17"/>
  <c r="I2166" i="17"/>
  <c r="H2166" i="17"/>
  <c r="K2156" i="17"/>
  <c r="J2156" i="17"/>
  <c r="I2156" i="17"/>
  <c r="H2156" i="17"/>
  <c r="K2152" i="17"/>
  <c r="J2152" i="17"/>
  <c r="I2152" i="17"/>
  <c r="H2152" i="17"/>
  <c r="K2113" i="17"/>
  <c r="J2113" i="17"/>
  <c r="I2113" i="17"/>
  <c r="H2113" i="17"/>
  <c r="K2096" i="17"/>
  <c r="J2096" i="17"/>
  <c r="I2096" i="17"/>
  <c r="H2096" i="17"/>
  <c r="K2072" i="17"/>
  <c r="J2072" i="17"/>
  <c r="I2072" i="17"/>
  <c r="H2072" i="17"/>
  <c r="K2056" i="17"/>
  <c r="J2056" i="17"/>
  <c r="I2056" i="17"/>
  <c r="H2056" i="17"/>
  <c r="K2030" i="17"/>
  <c r="J2030" i="17"/>
  <c r="I2030" i="17"/>
  <c r="H2030" i="17"/>
  <c r="K2024" i="17"/>
  <c r="J2024" i="17"/>
  <c r="I2024" i="17"/>
  <c r="H2024" i="17"/>
  <c r="K1982" i="17"/>
  <c r="J1982" i="17"/>
  <c r="I1982" i="17"/>
  <c r="H1982" i="17"/>
  <c r="K1960" i="17"/>
  <c r="J1960" i="17"/>
  <c r="I1960" i="17"/>
  <c r="H1960" i="17"/>
  <c r="K1946" i="17"/>
  <c r="J1946" i="17"/>
  <c r="I1946" i="17"/>
  <c r="H1946" i="17"/>
  <c r="K1918" i="17"/>
  <c r="J1918" i="17"/>
  <c r="I1918" i="17"/>
  <c r="H1918" i="17"/>
  <c r="K1905" i="17"/>
  <c r="J1905" i="17"/>
  <c r="I1905" i="17"/>
  <c r="H1905" i="17"/>
  <c r="K1900" i="17"/>
  <c r="J1900" i="17"/>
  <c r="I1900" i="17"/>
  <c r="H1900" i="17"/>
  <c r="K1886" i="17"/>
  <c r="J1886" i="17"/>
  <c r="I1886" i="17"/>
  <c r="H1886" i="17"/>
  <c r="K1864" i="17"/>
  <c r="J1864" i="17"/>
  <c r="I1864" i="17"/>
  <c r="H1864" i="17"/>
  <c r="K1851" i="17"/>
  <c r="J1851" i="17"/>
  <c r="I1851" i="17"/>
  <c r="H1851" i="17"/>
  <c r="K1843" i="17"/>
  <c r="J1843" i="17"/>
  <c r="I1843" i="17"/>
  <c r="H1843" i="17"/>
  <c r="K1824" i="17"/>
  <c r="J1824" i="17"/>
  <c r="I1824" i="17"/>
  <c r="H1824" i="17"/>
  <c r="K1797" i="17"/>
  <c r="J1797" i="17"/>
  <c r="I1797" i="17"/>
  <c r="H1797" i="17"/>
  <c r="K1789" i="17"/>
  <c r="J1789" i="17"/>
  <c r="I1789" i="17"/>
  <c r="H1789" i="17"/>
  <c r="K1779" i="17"/>
  <c r="J1779" i="17"/>
  <c r="I1779" i="17"/>
  <c r="H1779" i="17"/>
  <c r="K1772" i="17"/>
  <c r="J1772" i="17"/>
  <c r="I1772" i="17"/>
  <c r="H1772" i="17"/>
  <c r="K1762" i="17"/>
  <c r="J1762" i="17"/>
  <c r="I1762" i="17"/>
  <c r="H1762" i="17"/>
  <c r="K1720" i="17"/>
  <c r="J1720" i="17"/>
  <c r="I1720" i="17"/>
  <c r="H1720" i="17"/>
  <c r="K1706" i="17"/>
  <c r="J1706" i="17"/>
  <c r="I1706" i="17"/>
  <c r="H1706" i="17"/>
  <c r="K1694" i="17"/>
  <c r="J1694" i="17"/>
  <c r="I1694" i="17"/>
  <c r="H1694" i="17"/>
  <c r="K1686" i="17"/>
  <c r="J1686" i="17"/>
  <c r="I1686" i="17"/>
  <c r="H1686" i="17"/>
  <c r="K1681" i="17"/>
  <c r="J1681" i="17"/>
  <c r="I1681" i="17"/>
  <c r="H1681" i="17"/>
  <c r="K1646" i="17"/>
  <c r="J1646" i="17"/>
  <c r="I1646" i="17"/>
  <c r="H1646" i="17"/>
  <c r="K1641" i="17"/>
  <c r="J1641" i="17"/>
  <c r="I1641" i="17"/>
  <c r="H1641" i="17"/>
  <c r="K1629" i="17"/>
  <c r="J1629" i="17"/>
  <c r="I1629" i="17"/>
  <c r="H1629" i="17"/>
  <c r="K1621" i="17"/>
  <c r="J1621" i="17"/>
  <c r="I1621" i="17"/>
  <c r="H1621" i="17"/>
  <c r="K1607" i="17"/>
  <c r="J1607" i="17"/>
  <c r="I1607" i="17"/>
  <c r="H1607" i="17"/>
  <c r="K1602" i="17"/>
  <c r="J1602" i="17"/>
  <c r="I1602" i="17"/>
  <c r="H1602" i="17"/>
  <c r="K1582" i="17"/>
  <c r="J1582" i="17"/>
  <c r="I1582" i="17"/>
  <c r="H1582" i="17"/>
  <c r="K1575" i="17"/>
  <c r="J1575" i="17"/>
  <c r="I1575" i="17"/>
  <c r="H1575" i="17"/>
  <c r="K1566" i="17"/>
  <c r="J1566" i="17"/>
  <c r="I1566" i="17"/>
  <c r="H1566" i="17"/>
  <c r="K1556" i="17"/>
  <c r="J1556" i="17"/>
  <c r="I1556" i="17"/>
  <c r="H1556" i="17"/>
  <c r="K1551" i="17"/>
  <c r="J1551" i="17"/>
  <c r="I1551" i="17"/>
  <c r="H1551" i="17"/>
  <c r="K1540" i="17"/>
  <c r="J1540" i="17"/>
  <c r="I1540" i="17"/>
  <c r="H1540" i="17"/>
  <c r="K1534" i="17"/>
  <c r="J1534" i="17"/>
  <c r="I1534" i="17"/>
  <c r="H1534" i="17"/>
  <c r="K1485" i="17"/>
  <c r="K2436" i="17" s="1"/>
  <c r="J1485" i="17"/>
  <c r="J2436" i="17" s="1"/>
  <c r="I1485" i="17"/>
  <c r="I2436" i="17" s="1"/>
  <c r="H1485" i="17"/>
  <c r="H2436" i="17" s="1"/>
  <c r="K1475" i="17"/>
  <c r="K2434" i="17" s="1"/>
  <c r="J1475" i="17"/>
  <c r="J2434" i="17" s="1"/>
  <c r="I1475" i="17"/>
  <c r="I2434" i="17" s="1"/>
  <c r="H1475" i="17"/>
  <c r="H2434" i="17" s="1"/>
  <c r="K1467" i="17"/>
  <c r="K2433" i="17" s="1"/>
  <c r="J1467" i="17"/>
  <c r="J2433" i="17" s="1"/>
  <c r="I1467" i="17"/>
  <c r="I2433" i="17" s="1"/>
  <c r="H1467" i="17"/>
  <c r="H2433" i="17" s="1"/>
  <c r="K1433" i="17"/>
  <c r="J1433" i="17"/>
  <c r="I1433" i="17"/>
  <c r="H1433" i="17"/>
  <c r="K1416" i="17"/>
  <c r="J1416" i="17"/>
  <c r="I1416" i="17"/>
  <c r="H1416" i="17"/>
  <c r="K1391" i="17"/>
  <c r="J1391" i="17"/>
  <c r="I1391" i="17"/>
  <c r="H1391" i="17"/>
  <c r="K1364" i="17"/>
  <c r="J1364" i="17"/>
  <c r="I1364" i="17"/>
  <c r="H1364" i="17"/>
  <c r="K1250" i="17"/>
  <c r="J1250" i="17"/>
  <c r="I1250" i="17"/>
  <c r="H1250" i="17"/>
  <c r="K1245" i="17"/>
  <c r="J1245" i="17"/>
  <c r="I1245" i="17"/>
  <c r="H1245" i="17"/>
  <c r="K1238" i="17"/>
  <c r="J1238" i="17"/>
  <c r="I1238" i="17"/>
  <c r="H1238" i="17"/>
  <c r="K1207" i="17"/>
  <c r="J1207" i="17"/>
  <c r="I1207" i="17"/>
  <c r="H1207" i="17"/>
  <c r="K1193" i="17"/>
  <c r="J1193" i="17"/>
  <c r="I1193" i="17"/>
  <c r="H1193" i="17"/>
  <c r="K1185" i="17"/>
  <c r="K1194" i="17" s="1"/>
  <c r="K2429" i="17" s="1"/>
  <c r="J1185" i="17"/>
  <c r="I1185" i="17"/>
  <c r="I1194" i="17" s="1"/>
  <c r="I2429" i="17" s="1"/>
  <c r="H1185" i="17"/>
  <c r="K1146" i="17"/>
  <c r="J1146" i="17"/>
  <c r="I1146" i="17"/>
  <c r="H1146" i="17"/>
  <c r="K1134" i="17"/>
  <c r="J1134" i="17"/>
  <c r="I1134" i="17"/>
  <c r="H1134" i="17"/>
  <c r="K1114" i="17"/>
  <c r="J1114" i="17"/>
  <c r="I1114" i="17"/>
  <c r="H1114" i="17"/>
  <c r="K1082" i="17"/>
  <c r="K2427" i="17" s="1"/>
  <c r="J1082" i="17"/>
  <c r="J2427" i="17" s="1"/>
  <c r="I1082" i="17"/>
  <c r="I2427" i="17" s="1"/>
  <c r="H1082" i="17"/>
  <c r="H2427" i="17" s="1"/>
  <c r="K1067" i="17"/>
  <c r="K2426" i="17" s="1"/>
  <c r="J1067" i="17"/>
  <c r="J2426" i="17" s="1"/>
  <c r="I1067" i="17"/>
  <c r="H1067" i="17"/>
  <c r="H2426" i="17" s="1"/>
  <c r="K1059" i="17"/>
  <c r="J1059" i="17"/>
  <c r="I1059" i="17"/>
  <c r="H1059" i="17"/>
  <c r="K1030" i="17"/>
  <c r="J1030" i="17"/>
  <c r="I1030" i="17"/>
  <c r="H1030" i="17"/>
  <c r="K1007" i="17"/>
  <c r="J1007" i="17"/>
  <c r="I1007" i="17"/>
  <c r="H1007" i="17"/>
  <c r="H2376" i="17"/>
  <c r="K54" i="17"/>
  <c r="J54" i="17"/>
  <c r="J2376" i="17" s="1"/>
  <c r="I54" i="17"/>
  <c r="I2376" i="17" s="1"/>
  <c r="J2336" i="17"/>
  <c r="I2336" i="17"/>
  <c r="H2336" i="17"/>
  <c r="K2336" i="17"/>
  <c r="K2419" i="17"/>
  <c r="J2419" i="17"/>
  <c r="I2419" i="17"/>
  <c r="H2419" i="17"/>
  <c r="H2375" i="17"/>
  <c r="K63" i="17"/>
  <c r="L64" i="17" s="1"/>
  <c r="K58" i="17"/>
  <c r="J58" i="17"/>
  <c r="J2375" i="17" s="1"/>
  <c r="I58" i="17"/>
  <c r="I2375" i="17" s="1"/>
  <c r="K2335" i="17"/>
  <c r="J2335" i="17"/>
  <c r="I2335" i="17"/>
  <c r="H2335" i="17"/>
  <c r="J2418" i="17"/>
  <c r="H2418" i="17"/>
  <c r="K2374" i="17"/>
  <c r="J2374" i="17"/>
  <c r="I2374" i="17"/>
  <c r="H2374" i="17"/>
  <c r="J2334" i="17"/>
  <c r="I2334" i="17"/>
  <c r="H2334" i="17"/>
  <c r="K2334" i="17"/>
  <c r="K67" i="17"/>
  <c r="L73" i="17" s="1"/>
  <c r="J67" i="17"/>
  <c r="I67" i="17"/>
  <c r="K70" i="17"/>
  <c r="J51" i="17"/>
  <c r="I51" i="17"/>
  <c r="K417" i="17"/>
  <c r="L417" i="17" s="1"/>
  <c r="J417" i="17"/>
  <c r="I417" i="17"/>
  <c r="K402" i="17"/>
  <c r="L402" i="17" s="1"/>
  <c r="K392" i="17"/>
  <c r="L392" i="17" s="1"/>
  <c r="L519" i="17"/>
  <c r="K229" i="17"/>
  <c r="K277" i="17"/>
  <c r="L286" i="17" s="1"/>
  <c r="K319" i="17"/>
  <c r="L320" i="17" s="1"/>
  <c r="J319" i="17"/>
  <c r="I319" i="17"/>
  <c r="K246" i="17"/>
  <c r="J246" i="17"/>
  <c r="I246" i="17"/>
  <c r="K289" i="17"/>
  <c r="L289" i="17" s="1"/>
  <c r="K287" i="17"/>
  <c r="J245" i="17"/>
  <c r="I245" i="17"/>
  <c r="K217" i="17"/>
  <c r="L230" i="17" s="1"/>
  <c r="K243" i="17"/>
  <c r="K239" i="17"/>
  <c r="J239" i="17"/>
  <c r="I239" i="17"/>
  <c r="K55" i="17"/>
  <c r="J55" i="17"/>
  <c r="I55" i="17"/>
  <c r="K2308" i="17"/>
  <c r="J2308" i="17"/>
  <c r="I2308" i="17"/>
  <c r="H2308" i="17"/>
  <c r="K238" i="17"/>
  <c r="J238" i="17"/>
  <c r="I238" i="17"/>
  <c r="J50" i="17"/>
  <c r="I50" i="17"/>
  <c r="K2304" i="17"/>
  <c r="J2304" i="17"/>
  <c r="I2304" i="17"/>
  <c r="H2304" i="17"/>
  <c r="K2303" i="17"/>
  <c r="J2303" i="17"/>
  <c r="I2303" i="17"/>
  <c r="H2303" i="17"/>
  <c r="K236" i="17"/>
  <c r="J236" i="17"/>
  <c r="I236" i="17"/>
  <c r="K2302" i="17"/>
  <c r="J2302" i="17"/>
  <c r="I2302" i="17"/>
  <c r="H2302" i="17"/>
  <c r="K231" i="17"/>
  <c r="K192" i="17"/>
  <c r="L210" i="17" s="1"/>
  <c r="K321" i="17"/>
  <c r="L338" i="17" s="1"/>
  <c r="K339" i="17"/>
  <c r="L356" i="17" s="1"/>
  <c r="J2301" i="17"/>
  <c r="I2301" i="17"/>
  <c r="H2301" i="17"/>
  <c r="K2301" i="17" l="1"/>
  <c r="L891" i="17"/>
  <c r="L638" i="17"/>
  <c r="L248" i="17"/>
  <c r="K2376" i="17"/>
  <c r="L58" i="17"/>
  <c r="J1251" i="17"/>
  <c r="J2430" i="17" s="1"/>
  <c r="J1630" i="17"/>
  <c r="J1687" i="17"/>
  <c r="J1780" i="17"/>
  <c r="J1194" i="17"/>
  <c r="J2429" i="17" s="1"/>
  <c r="J1541" i="17"/>
  <c r="H1147" i="17"/>
  <c r="H2428" i="17" s="1"/>
  <c r="H1647" i="17"/>
  <c r="H1687" i="17"/>
  <c r="K1763" i="17"/>
  <c r="K1780" i="17"/>
  <c r="J1798" i="17"/>
  <c r="J2167" i="17"/>
  <c r="J1583" i="17"/>
  <c r="H1194" i="17"/>
  <c r="H2429" i="17" s="1"/>
  <c r="K1541" i="17"/>
  <c r="I1630" i="17"/>
  <c r="H2337" i="17"/>
  <c r="K2331" i="17"/>
  <c r="I1060" i="17"/>
  <c r="I2425" i="17" s="1"/>
  <c r="I1147" i="17"/>
  <c r="I2428" i="17" s="1"/>
  <c r="I1251" i="17"/>
  <c r="I2430" i="17" s="1"/>
  <c r="H1434" i="17"/>
  <c r="H2432" i="17" s="1"/>
  <c r="H1541" i="17"/>
  <c r="K1557" i="17"/>
  <c r="K1583" i="17"/>
  <c r="J1608" i="17"/>
  <c r="I1647" i="17"/>
  <c r="I1687" i="17"/>
  <c r="H1763" i="17"/>
  <c r="H1780" i="17"/>
  <c r="K1798" i="17"/>
  <c r="K2167" i="17"/>
  <c r="J2337" i="17"/>
  <c r="H1060" i="17"/>
  <c r="H2425" i="17" s="1"/>
  <c r="H1251" i="17"/>
  <c r="H2430" i="17" s="1"/>
  <c r="K1434" i="17"/>
  <c r="K2432" i="17" s="1"/>
  <c r="J1557" i="17"/>
  <c r="I1608" i="17"/>
  <c r="J1060" i="17"/>
  <c r="J1068" i="17" s="1"/>
  <c r="J1147" i="17"/>
  <c r="J2428" i="17" s="1"/>
  <c r="I1434" i="17"/>
  <c r="I2432" i="17" s="1"/>
  <c r="I1541" i="17"/>
  <c r="H1557" i="17"/>
  <c r="H1583" i="17"/>
  <c r="K1608" i="17"/>
  <c r="K1630" i="17"/>
  <c r="J1647" i="17"/>
  <c r="I1763" i="17"/>
  <c r="I1780" i="17"/>
  <c r="H1798" i="17"/>
  <c r="H2167" i="17"/>
  <c r="I2418" i="17"/>
  <c r="I2426" i="17"/>
  <c r="J2377" i="17"/>
  <c r="J2378" i="17" s="1"/>
  <c r="K2375" i="17"/>
  <c r="K2377" i="17" s="1"/>
  <c r="K2378" i="17" s="1"/>
  <c r="K1060" i="17"/>
  <c r="K2425" i="17" s="1"/>
  <c r="K1147" i="17"/>
  <c r="K2428" i="17" s="1"/>
  <c r="K1251" i="17"/>
  <c r="K2430" i="17" s="1"/>
  <c r="J1434" i="17"/>
  <c r="J2432" i="17" s="1"/>
  <c r="I1557" i="17"/>
  <c r="I1583" i="17"/>
  <c r="H1608" i="17"/>
  <c r="H1630" i="17"/>
  <c r="K1647" i="17"/>
  <c r="K1687" i="17"/>
  <c r="J1763" i="17"/>
  <c r="I1798" i="17"/>
  <c r="I2167" i="17"/>
  <c r="K2418" i="17"/>
  <c r="H2331" i="17"/>
  <c r="J2425" i="17"/>
  <c r="J2331" i="17"/>
  <c r="K2337" i="17"/>
  <c r="H2377" i="17"/>
  <c r="H2378" i="17" s="1"/>
  <c r="I2331" i="17"/>
  <c r="I2377" i="17"/>
  <c r="I2378" i="17" s="1"/>
  <c r="I2337" i="17"/>
  <c r="J86" i="18" l="1"/>
  <c r="J2338" i="17"/>
  <c r="K1068" i="17"/>
  <c r="K1148" i="17" s="1"/>
  <c r="K2338" i="17"/>
  <c r="H1068" i="17"/>
  <c r="H1148" i="17" s="1"/>
  <c r="H2338" i="17"/>
  <c r="I2338" i="17"/>
  <c r="J2233" i="17"/>
  <c r="J2438" i="17" s="1"/>
  <c r="H2233" i="17"/>
  <c r="H2438" i="17" s="1"/>
  <c r="K2233" i="17"/>
  <c r="K2438" i="17" s="1"/>
  <c r="I2233" i="17"/>
  <c r="I2438" i="17" s="1"/>
  <c r="I1068" i="17"/>
  <c r="I1148" i="17" s="1"/>
  <c r="J1148" i="17"/>
  <c r="J2234" i="17" l="1"/>
  <c r="J2269" i="17" s="1"/>
  <c r="J2271" i="17" s="1"/>
  <c r="J2274" i="17" s="1"/>
  <c r="K2234" i="17"/>
  <c r="K2269" i="17" s="1"/>
  <c r="K2271" i="17" s="1"/>
  <c r="K2274" i="17" s="1"/>
  <c r="H2234" i="17"/>
  <c r="H2269" i="17" s="1"/>
  <c r="H2271" i="17" s="1"/>
  <c r="H2274" i="17" s="1"/>
  <c r="I2234" i="17"/>
  <c r="I2269" i="17" s="1"/>
  <c r="I2271" i="17" s="1"/>
  <c r="I2274" i="17" s="1"/>
  <c r="J2266" i="17"/>
  <c r="K2266" i="17"/>
  <c r="H2266" i="17" l="1"/>
  <c r="H2420" i="17" s="1"/>
  <c r="H2421" i="17" s="1"/>
  <c r="H2422" i="17" s="1"/>
  <c r="H2443" i="17" s="1"/>
  <c r="H2445" i="17" s="1"/>
  <c r="I2266" i="17"/>
  <c r="I2267" i="17" s="1"/>
  <c r="I2270" i="17" s="1"/>
  <c r="J2420" i="17"/>
  <c r="J2421" i="17" s="1"/>
  <c r="J2422" i="17" s="1"/>
  <c r="J2443" i="17" s="1"/>
  <c r="J2445" i="17" s="1"/>
  <c r="J2267" i="17"/>
  <c r="J2270" i="17" s="1"/>
  <c r="K2420" i="17"/>
  <c r="K2421" i="17" s="1"/>
  <c r="K2422" i="17" s="1"/>
  <c r="K2443" i="17" s="1"/>
  <c r="K2445" i="17" s="1"/>
  <c r="K2267" i="17"/>
  <c r="K2270" i="17" s="1"/>
  <c r="H2267" i="17" l="1"/>
  <c r="H2270" i="17" s="1"/>
  <c r="I2420" i="17"/>
  <c r="I2421" i="17" s="1"/>
  <c r="I2422" i="17" s="1"/>
  <c r="I2443" i="17" s="1"/>
  <c r="I2445" i="17" s="1"/>
  <c r="G2838" i="16"/>
  <c r="K2830" i="16"/>
  <c r="J2830" i="16"/>
  <c r="I2830" i="16"/>
  <c r="H2830" i="16"/>
  <c r="G2782" i="16"/>
  <c r="H2751" i="16"/>
  <c r="H2711" i="16"/>
  <c r="H2704" i="16"/>
  <c r="H1384" i="16"/>
  <c r="H2771" i="16" s="1"/>
  <c r="K1381" i="16"/>
  <c r="K1384" i="16" s="1"/>
  <c r="K2771" i="16" s="1"/>
  <c r="J1381" i="16"/>
  <c r="J1384" i="16" s="1"/>
  <c r="I1381" i="16"/>
  <c r="I1384" i="16" s="1"/>
  <c r="I2771" i="16" s="1"/>
  <c r="J1373" i="16"/>
  <c r="J2731" i="16" s="1"/>
  <c r="I1373" i="16"/>
  <c r="I2731" i="16" s="1"/>
  <c r="H1373" i="16"/>
  <c r="H2731" i="16" s="1"/>
  <c r="K1356" i="16"/>
  <c r="K1373" i="16" s="1"/>
  <c r="K2731" i="16" s="1"/>
  <c r="K1325" i="16"/>
  <c r="K2814" i="16" s="1"/>
  <c r="J1325" i="16"/>
  <c r="J2814" i="16" s="1"/>
  <c r="I1325" i="16"/>
  <c r="I2814" i="16" s="1"/>
  <c r="H1325" i="16"/>
  <c r="H2814" i="16" s="1"/>
  <c r="H1317" i="16"/>
  <c r="H2770" i="16" s="1"/>
  <c r="K1313" i="16"/>
  <c r="K1311" i="16"/>
  <c r="J1311" i="16"/>
  <c r="J1317" i="16" s="1"/>
  <c r="J2770" i="16" s="1"/>
  <c r="I1311" i="16"/>
  <c r="I1317" i="16" s="1"/>
  <c r="I2770" i="16" s="1"/>
  <c r="K1303" i="16"/>
  <c r="K2730" i="16" s="1"/>
  <c r="J1303" i="16"/>
  <c r="J2730" i="16" s="1"/>
  <c r="I1303" i="16"/>
  <c r="I2730" i="16" s="1"/>
  <c r="H1303" i="16"/>
  <c r="H2730" i="16" s="1"/>
  <c r="K1258" i="16"/>
  <c r="K2813" i="16" s="1"/>
  <c r="J1258" i="16"/>
  <c r="J2813" i="16" s="1"/>
  <c r="I1258" i="16"/>
  <c r="I2813" i="16" s="1"/>
  <c r="H1258" i="16"/>
  <c r="H2813" i="16" s="1"/>
  <c r="K1245" i="16"/>
  <c r="K2769" i="16" s="1"/>
  <c r="J1245" i="16"/>
  <c r="J2769" i="16" s="1"/>
  <c r="I1245" i="16"/>
  <c r="I2769" i="16" s="1"/>
  <c r="H1245" i="16"/>
  <c r="H2769" i="16" s="1"/>
  <c r="J1231" i="16"/>
  <c r="J2729" i="16" s="1"/>
  <c r="I1231" i="16"/>
  <c r="I2729" i="16" s="1"/>
  <c r="H1231" i="16"/>
  <c r="H2729" i="16" s="1"/>
  <c r="K1212" i="16"/>
  <c r="K1231" i="16" s="1"/>
  <c r="K2729" i="16" s="1"/>
  <c r="K2627" i="16"/>
  <c r="J2627" i="16"/>
  <c r="I2627" i="16"/>
  <c r="K2623" i="16"/>
  <c r="J2623" i="16"/>
  <c r="I2623" i="16"/>
  <c r="K2618" i="16"/>
  <c r="J2618" i="16"/>
  <c r="I2618" i="16"/>
  <c r="H2618" i="16"/>
  <c r="K2561" i="16"/>
  <c r="J2561" i="16"/>
  <c r="I2561" i="16"/>
  <c r="H2561" i="16"/>
  <c r="K2551" i="16"/>
  <c r="J2551" i="16"/>
  <c r="I2551" i="16"/>
  <c r="H2551" i="16"/>
  <c r="K2547" i="16"/>
  <c r="J2547" i="16"/>
  <c r="I2547" i="16"/>
  <c r="H2547" i="16"/>
  <c r="K2508" i="16"/>
  <c r="J2508" i="16"/>
  <c r="I2508" i="16"/>
  <c r="H2508" i="16"/>
  <c r="K2491" i="16"/>
  <c r="J2491" i="16"/>
  <c r="I2491" i="16"/>
  <c r="H2491" i="16"/>
  <c r="K2467" i="16"/>
  <c r="J2467" i="16"/>
  <c r="I2467" i="16"/>
  <c r="H2467" i="16"/>
  <c r="K2451" i="16"/>
  <c r="J2451" i="16"/>
  <c r="I2451" i="16"/>
  <c r="H2451" i="16"/>
  <c r="K2425" i="16"/>
  <c r="J2425" i="16"/>
  <c r="I2425" i="16"/>
  <c r="H2425" i="16"/>
  <c r="K2419" i="16"/>
  <c r="J2419" i="16"/>
  <c r="I2419" i="16"/>
  <c r="H2419" i="16"/>
  <c r="K2377" i="16"/>
  <c r="J2377" i="16"/>
  <c r="I2377" i="16"/>
  <c r="H2377" i="16"/>
  <c r="K2355" i="16"/>
  <c r="J2355" i="16"/>
  <c r="I2355" i="16"/>
  <c r="H2355" i="16"/>
  <c r="K2341" i="16"/>
  <c r="J2341" i="16"/>
  <c r="I2341" i="16"/>
  <c r="H2341" i="16"/>
  <c r="K2313" i="16"/>
  <c r="J2313" i="16"/>
  <c r="I2313" i="16"/>
  <c r="H2313" i="16"/>
  <c r="K2300" i="16"/>
  <c r="J2300" i="16"/>
  <c r="I2300" i="16"/>
  <c r="H2300" i="16"/>
  <c r="K2295" i="16"/>
  <c r="J2295" i="16"/>
  <c r="I2295" i="16"/>
  <c r="H2295" i="16"/>
  <c r="K2281" i="16"/>
  <c r="J2281" i="16"/>
  <c r="I2281" i="16"/>
  <c r="H2281" i="16"/>
  <c r="K2259" i="16"/>
  <c r="J2259" i="16"/>
  <c r="I2259" i="16"/>
  <c r="H2259" i="16"/>
  <c r="K2246" i="16"/>
  <c r="J2246" i="16"/>
  <c r="I2246" i="16"/>
  <c r="H2246" i="16"/>
  <c r="K2238" i="16"/>
  <c r="J2238" i="16"/>
  <c r="I2238" i="16"/>
  <c r="H2238" i="16"/>
  <c r="K2219" i="16"/>
  <c r="J2219" i="16"/>
  <c r="I2219" i="16"/>
  <c r="H2219" i="16"/>
  <c r="K2192" i="16"/>
  <c r="J2192" i="16"/>
  <c r="I2192" i="16"/>
  <c r="H2192" i="16"/>
  <c r="K2184" i="16"/>
  <c r="J2184" i="16"/>
  <c r="I2184" i="16"/>
  <c r="H2184" i="16"/>
  <c r="K2174" i="16"/>
  <c r="J2174" i="16"/>
  <c r="I2174" i="16"/>
  <c r="H2174" i="16"/>
  <c r="K2167" i="16"/>
  <c r="J2167" i="16"/>
  <c r="I2167" i="16"/>
  <c r="H2167" i="16"/>
  <c r="K2157" i="16"/>
  <c r="J2157" i="16"/>
  <c r="I2157" i="16"/>
  <c r="H2157" i="16"/>
  <c r="K2115" i="16"/>
  <c r="J2115" i="16"/>
  <c r="I2115" i="16"/>
  <c r="H2115" i="16"/>
  <c r="K2101" i="16"/>
  <c r="J2101" i="16"/>
  <c r="I2101" i="16"/>
  <c r="H2101" i="16"/>
  <c r="K2089" i="16"/>
  <c r="J2089" i="16"/>
  <c r="I2089" i="16"/>
  <c r="H2089" i="16"/>
  <c r="K2081" i="16"/>
  <c r="J2081" i="16"/>
  <c r="I2081" i="16"/>
  <c r="H2081" i="16"/>
  <c r="K2076" i="16"/>
  <c r="J2076" i="16"/>
  <c r="I2076" i="16"/>
  <c r="H2076" i="16"/>
  <c r="K2041" i="16"/>
  <c r="J2041" i="16"/>
  <c r="I2041" i="16"/>
  <c r="H2041" i="16"/>
  <c r="K2036" i="16"/>
  <c r="J2036" i="16"/>
  <c r="I2036" i="16"/>
  <c r="H2036" i="16"/>
  <c r="K2024" i="16"/>
  <c r="J2024" i="16"/>
  <c r="I2024" i="16"/>
  <c r="H2024" i="16"/>
  <c r="K2016" i="16"/>
  <c r="J2016" i="16"/>
  <c r="I2016" i="16"/>
  <c r="H2016" i="16"/>
  <c r="K2002" i="16"/>
  <c r="J2002" i="16"/>
  <c r="I2002" i="16"/>
  <c r="H2002" i="16"/>
  <c r="K1997" i="16"/>
  <c r="J1997" i="16"/>
  <c r="I1997" i="16"/>
  <c r="H1997" i="16"/>
  <c r="K1977" i="16"/>
  <c r="J1977" i="16"/>
  <c r="I1977" i="16"/>
  <c r="H1977" i="16"/>
  <c r="K1970" i="16"/>
  <c r="J1970" i="16"/>
  <c r="I1970" i="16"/>
  <c r="H1970" i="16"/>
  <c r="K1961" i="16"/>
  <c r="J1961" i="16"/>
  <c r="I1961" i="16"/>
  <c r="H1961" i="16"/>
  <c r="K1951" i="16"/>
  <c r="J1951" i="16"/>
  <c r="I1951" i="16"/>
  <c r="H1951" i="16"/>
  <c r="K1946" i="16"/>
  <c r="J1946" i="16"/>
  <c r="I1946" i="16"/>
  <c r="H1946" i="16"/>
  <c r="K1935" i="16"/>
  <c r="J1935" i="16"/>
  <c r="I1935" i="16"/>
  <c r="H1935" i="16"/>
  <c r="K1929" i="16"/>
  <c r="J1929" i="16"/>
  <c r="I1929" i="16"/>
  <c r="H1929" i="16"/>
  <c r="K1880" i="16"/>
  <c r="K2831" i="16" s="1"/>
  <c r="J1880" i="16"/>
  <c r="J2831" i="16" s="1"/>
  <c r="I1880" i="16"/>
  <c r="I2831" i="16" s="1"/>
  <c r="H1880" i="16"/>
  <c r="H2831" i="16" s="1"/>
  <c r="K1870" i="16"/>
  <c r="K2829" i="16" s="1"/>
  <c r="J1870" i="16"/>
  <c r="J2829" i="16" s="1"/>
  <c r="I1870" i="16"/>
  <c r="I2829" i="16" s="1"/>
  <c r="H1870" i="16"/>
  <c r="H2829" i="16" s="1"/>
  <c r="K1862" i="16"/>
  <c r="K2828" i="16" s="1"/>
  <c r="J1862" i="16"/>
  <c r="J2828" i="16" s="1"/>
  <c r="I1862" i="16"/>
  <c r="I2828" i="16" s="1"/>
  <c r="H1862" i="16"/>
  <c r="H2828" i="16" s="1"/>
  <c r="K1828" i="16"/>
  <c r="J1828" i="16"/>
  <c r="I1828" i="16"/>
  <c r="H1828" i="16"/>
  <c r="K1811" i="16"/>
  <c r="J1811" i="16"/>
  <c r="I1811" i="16"/>
  <c r="H1811" i="16"/>
  <c r="K1786" i="16"/>
  <c r="J1786" i="16"/>
  <c r="I1786" i="16"/>
  <c r="H1786" i="16"/>
  <c r="K1759" i="16"/>
  <c r="J1759" i="16"/>
  <c r="I1759" i="16"/>
  <c r="H1759" i="16"/>
  <c r="K1645" i="16"/>
  <c r="J1645" i="16"/>
  <c r="I1645" i="16"/>
  <c r="H1645" i="16"/>
  <c r="K1640" i="16"/>
  <c r="J1640" i="16"/>
  <c r="I1640" i="16"/>
  <c r="H1640" i="16"/>
  <c r="K1633" i="16"/>
  <c r="J1633" i="16"/>
  <c r="I1633" i="16"/>
  <c r="H1633" i="16"/>
  <c r="K1602" i="16"/>
  <c r="J1602" i="16"/>
  <c r="I1602" i="16"/>
  <c r="H1602" i="16"/>
  <c r="K1588" i="16"/>
  <c r="J1588" i="16"/>
  <c r="I1588" i="16"/>
  <c r="H1588" i="16"/>
  <c r="K1580" i="16"/>
  <c r="J1580" i="16"/>
  <c r="I1580" i="16"/>
  <c r="H1580" i="16"/>
  <c r="K1541" i="16"/>
  <c r="J1541" i="16"/>
  <c r="I1541" i="16"/>
  <c r="H1541" i="16"/>
  <c r="K1529" i="16"/>
  <c r="J1529" i="16"/>
  <c r="I1529" i="16"/>
  <c r="H1529" i="16"/>
  <c r="K1509" i="16"/>
  <c r="J1509" i="16"/>
  <c r="I1509" i="16"/>
  <c r="H1509" i="16"/>
  <c r="K1477" i="16"/>
  <c r="K2822" i="16" s="1"/>
  <c r="J1477" i="16"/>
  <c r="J2822" i="16" s="1"/>
  <c r="I1477" i="16"/>
  <c r="I2822" i="16" s="1"/>
  <c r="H1477" i="16"/>
  <c r="H2822" i="16" s="1"/>
  <c r="K1462" i="16"/>
  <c r="K2821" i="16" s="1"/>
  <c r="J1462" i="16"/>
  <c r="J2821" i="16" s="1"/>
  <c r="I1462" i="16"/>
  <c r="I2821" i="16" s="1"/>
  <c r="H1462" i="16"/>
  <c r="H2821" i="16" s="1"/>
  <c r="K1454" i="16"/>
  <c r="J1454" i="16"/>
  <c r="I1454" i="16"/>
  <c r="H1454" i="16"/>
  <c r="K1425" i="16"/>
  <c r="J1425" i="16"/>
  <c r="I1425" i="16"/>
  <c r="H1425" i="16"/>
  <c r="K1402" i="16"/>
  <c r="J1402" i="16"/>
  <c r="I1402" i="16"/>
  <c r="H1402" i="16"/>
  <c r="K2809" i="16"/>
  <c r="J2809" i="16"/>
  <c r="I2809" i="16"/>
  <c r="H2809" i="16"/>
  <c r="H2765" i="16"/>
  <c r="K1208" i="16"/>
  <c r="K2765" i="16" s="1"/>
  <c r="J1208" i="16"/>
  <c r="J2765" i="16" s="1"/>
  <c r="I1208" i="16"/>
  <c r="I2765" i="16" s="1"/>
  <c r="K2725" i="16"/>
  <c r="J2725" i="16"/>
  <c r="I2725" i="16"/>
  <c r="H2725" i="16"/>
  <c r="K2808" i="16"/>
  <c r="J2808" i="16"/>
  <c r="I2808" i="16"/>
  <c r="H2808" i="16"/>
  <c r="J2764" i="16"/>
  <c r="I2764" i="16"/>
  <c r="H2764" i="16"/>
  <c r="K1178" i="16"/>
  <c r="K2764" i="16" s="1"/>
  <c r="J2724" i="16"/>
  <c r="I2724" i="16"/>
  <c r="H2724" i="16"/>
  <c r="K1150" i="16"/>
  <c r="K2724" i="16" s="1"/>
  <c r="K2807" i="16"/>
  <c r="J2807" i="16"/>
  <c r="I2807" i="16"/>
  <c r="H2807" i="16"/>
  <c r="K2763" i="16"/>
  <c r="J2763" i="16"/>
  <c r="I2763" i="16"/>
  <c r="H2763" i="16"/>
  <c r="K2723" i="16"/>
  <c r="J2723" i="16"/>
  <c r="I2723" i="16"/>
  <c r="H2723" i="16"/>
  <c r="K2806" i="16"/>
  <c r="J2806" i="16"/>
  <c r="I2806" i="16"/>
  <c r="H2806" i="16"/>
  <c r="K2762" i="16"/>
  <c r="H2762" i="16"/>
  <c r="J1098" i="16"/>
  <c r="I1098" i="16"/>
  <c r="I2762" i="16" s="1"/>
  <c r="J2722" i="16"/>
  <c r="I2722" i="16"/>
  <c r="H2722" i="16"/>
  <c r="K1075" i="16"/>
  <c r="K2722" i="16" s="1"/>
  <c r="K2805" i="16"/>
  <c r="J2805" i="16"/>
  <c r="I2805" i="16"/>
  <c r="H2805" i="16"/>
  <c r="K1023" i="16"/>
  <c r="J1023" i="16"/>
  <c r="I1023" i="16"/>
  <c r="K1019" i="16"/>
  <c r="K1018" i="16"/>
  <c r="K2721" i="16"/>
  <c r="J2721" i="16"/>
  <c r="I2721" i="16"/>
  <c r="H2721" i="16"/>
  <c r="K2804" i="16"/>
  <c r="J2804" i="16"/>
  <c r="I2804" i="16"/>
  <c r="H2804" i="16"/>
  <c r="J2760" i="16"/>
  <c r="I2760" i="16"/>
  <c r="H2760" i="16"/>
  <c r="K991" i="16"/>
  <c r="K2760" i="16" s="1"/>
  <c r="K2720" i="16"/>
  <c r="J2720" i="16"/>
  <c r="I2720" i="16"/>
  <c r="H2720" i="16"/>
  <c r="K2803" i="16"/>
  <c r="J2803" i="16"/>
  <c r="I2803" i="16"/>
  <c r="H2803" i="16"/>
  <c r="J2759" i="16"/>
  <c r="I2759" i="16"/>
  <c r="H2759" i="16"/>
  <c r="K923" i="16"/>
  <c r="K2719" i="16"/>
  <c r="J2719" i="16"/>
  <c r="I2719" i="16"/>
  <c r="H2719" i="16"/>
  <c r="K2802" i="16"/>
  <c r="J2802" i="16"/>
  <c r="I2802" i="16"/>
  <c r="H2802" i="16"/>
  <c r="H2758" i="16"/>
  <c r="K888" i="16"/>
  <c r="K887" i="16"/>
  <c r="J887" i="16"/>
  <c r="J2758" i="16" s="1"/>
  <c r="I887" i="16"/>
  <c r="I2758" i="16" s="1"/>
  <c r="K2718" i="16"/>
  <c r="J2718" i="16"/>
  <c r="I2718" i="16"/>
  <c r="H2718" i="16"/>
  <c r="K2801" i="16"/>
  <c r="J2801" i="16"/>
  <c r="I2801" i="16"/>
  <c r="H2801" i="16"/>
  <c r="H2757" i="16"/>
  <c r="K858" i="16"/>
  <c r="K2757" i="16" s="1"/>
  <c r="J858" i="16"/>
  <c r="J2757" i="16" s="1"/>
  <c r="I858" i="16"/>
  <c r="I2757" i="16" s="1"/>
  <c r="J2717" i="16"/>
  <c r="I2717" i="16"/>
  <c r="H2717" i="16"/>
  <c r="K834" i="16"/>
  <c r="K2717" i="16" s="1"/>
  <c r="K2800" i="16"/>
  <c r="J2800" i="16"/>
  <c r="I2800" i="16"/>
  <c r="H2800" i="16"/>
  <c r="H2756" i="16"/>
  <c r="K823" i="16"/>
  <c r="K821" i="16"/>
  <c r="J815" i="16"/>
  <c r="I815" i="16"/>
  <c r="I2756" i="16" s="1"/>
  <c r="J2716" i="16"/>
  <c r="I2716" i="16"/>
  <c r="H2716" i="16"/>
  <c r="K791" i="16"/>
  <c r="K2716" i="16" s="1"/>
  <c r="K2799" i="16"/>
  <c r="J2799" i="16"/>
  <c r="I2799" i="16"/>
  <c r="H2799" i="16"/>
  <c r="K2755" i="16"/>
  <c r="J2755" i="16"/>
  <c r="I2755" i="16"/>
  <c r="H2755" i="16"/>
  <c r="K2715" i="16"/>
  <c r="J2715" i="16"/>
  <c r="I2715" i="16"/>
  <c r="H2715" i="16"/>
  <c r="K2798" i="16"/>
  <c r="J2798" i="16"/>
  <c r="I2798" i="16"/>
  <c r="H2798" i="16"/>
  <c r="K2754" i="16"/>
  <c r="J2754" i="16"/>
  <c r="I2754" i="16"/>
  <c r="H2754" i="16"/>
  <c r="J2714" i="16"/>
  <c r="I2714" i="16"/>
  <c r="H2714" i="16"/>
  <c r="K737" i="16"/>
  <c r="K2714" i="16" s="1"/>
  <c r="K2797" i="16"/>
  <c r="J2797" i="16"/>
  <c r="I2797" i="16"/>
  <c r="H2797" i="16"/>
  <c r="J2753" i="16"/>
  <c r="I2753" i="16"/>
  <c r="H2753" i="16"/>
  <c r="K734" i="16"/>
  <c r="K724" i="16"/>
  <c r="K2713" i="16"/>
  <c r="J2713" i="16"/>
  <c r="I2713" i="16"/>
  <c r="H2713" i="16"/>
  <c r="K2796" i="16"/>
  <c r="J2796" i="16"/>
  <c r="I2796" i="16"/>
  <c r="H2796" i="16"/>
  <c r="K2752" i="16"/>
  <c r="J2752" i="16"/>
  <c r="I2752" i="16"/>
  <c r="H2752" i="16"/>
  <c r="K2712" i="16"/>
  <c r="J2712" i="16"/>
  <c r="I2712" i="16"/>
  <c r="H2712" i="16"/>
  <c r="K2751" i="16"/>
  <c r="J2751" i="16"/>
  <c r="I2751" i="16"/>
  <c r="K2711" i="16"/>
  <c r="J2711" i="16"/>
  <c r="I2711" i="16"/>
  <c r="K2794" i="16"/>
  <c r="J2794" i="16"/>
  <c r="I2794" i="16"/>
  <c r="H2794" i="16"/>
  <c r="K2750" i="16"/>
  <c r="J2750" i="16"/>
  <c r="I2750" i="16"/>
  <c r="H2750" i="16"/>
  <c r="K2710" i="16"/>
  <c r="J2710" i="16"/>
  <c r="I2710" i="16"/>
  <c r="H2710" i="16"/>
  <c r="K2749" i="16"/>
  <c r="J2749" i="16"/>
  <c r="I2749" i="16"/>
  <c r="H2749" i="16"/>
  <c r="K2709" i="16"/>
  <c r="J2709" i="16"/>
  <c r="I2709" i="16"/>
  <c r="H2709" i="16"/>
  <c r="K2792" i="16"/>
  <c r="J2792" i="16"/>
  <c r="I2792" i="16"/>
  <c r="H2792" i="16"/>
  <c r="K2748" i="16"/>
  <c r="J2748" i="16"/>
  <c r="I2748" i="16"/>
  <c r="H2748" i="16"/>
  <c r="J2708" i="16"/>
  <c r="I2708" i="16"/>
  <c r="H2708" i="16"/>
  <c r="K567" i="16"/>
  <c r="K2708" i="16" s="1"/>
  <c r="K2791" i="16"/>
  <c r="J2791" i="16"/>
  <c r="I2791" i="16"/>
  <c r="H2791" i="16"/>
  <c r="J2747" i="16"/>
  <c r="I2747" i="16"/>
  <c r="H2747" i="16"/>
  <c r="K552" i="16"/>
  <c r="K2747" i="16" s="1"/>
  <c r="K2707" i="16"/>
  <c r="J2707" i="16"/>
  <c r="I2707" i="16"/>
  <c r="H2707" i="16"/>
  <c r="K2790" i="16"/>
  <c r="J2790" i="16"/>
  <c r="I2790" i="16"/>
  <c r="H2790" i="16"/>
  <c r="H2746" i="16"/>
  <c r="K521" i="16"/>
  <c r="J521" i="16"/>
  <c r="I521" i="16"/>
  <c r="I2746" i="16" s="1"/>
  <c r="K517" i="16"/>
  <c r="K2706" i="16"/>
  <c r="J2706" i="16"/>
  <c r="I2706" i="16"/>
  <c r="H2706" i="16"/>
  <c r="K2745" i="16"/>
  <c r="J2745" i="16"/>
  <c r="I2745" i="16"/>
  <c r="H2745" i="16"/>
  <c r="K2705" i="16"/>
  <c r="J2705" i="16"/>
  <c r="I2705" i="16"/>
  <c r="H2705" i="16"/>
  <c r="K2744" i="16"/>
  <c r="J2744" i="16"/>
  <c r="I2744" i="16"/>
  <c r="H2744" i="16"/>
  <c r="K2704" i="16"/>
  <c r="J2704" i="16"/>
  <c r="I2704" i="16"/>
  <c r="K2787" i="16"/>
  <c r="J2787" i="16"/>
  <c r="I2787" i="16"/>
  <c r="H2787" i="16"/>
  <c r="H2743" i="16"/>
  <c r="K423" i="16"/>
  <c r="K2743" i="16" s="1"/>
  <c r="J423" i="16"/>
  <c r="I423" i="16"/>
  <c r="I2743" i="16" s="1"/>
  <c r="K416" i="16"/>
  <c r="K2703" i="16" s="1"/>
  <c r="J416" i="16"/>
  <c r="J2703" i="16" s="1"/>
  <c r="I416" i="16"/>
  <c r="I2703" i="16" s="1"/>
  <c r="H416" i="16"/>
  <c r="H2703" i="16" s="1"/>
  <c r="K2786" i="16"/>
  <c r="J2786" i="16"/>
  <c r="I2786" i="16"/>
  <c r="H2786" i="16"/>
  <c r="H2742" i="16"/>
  <c r="K395" i="16"/>
  <c r="K2742" i="16" s="1"/>
  <c r="J395" i="16"/>
  <c r="J2742" i="16" s="1"/>
  <c r="I395" i="16"/>
  <c r="I2742" i="16" s="1"/>
  <c r="K2702" i="16"/>
  <c r="J2702" i="16"/>
  <c r="I2702" i="16"/>
  <c r="H2702" i="16"/>
  <c r="K2785" i="16"/>
  <c r="J2785" i="16"/>
  <c r="I2785" i="16"/>
  <c r="H2785" i="16"/>
  <c r="K2741" i="16"/>
  <c r="J2741" i="16"/>
  <c r="I2741" i="16"/>
  <c r="H2741" i="16"/>
  <c r="K2701" i="16"/>
  <c r="J2701" i="16"/>
  <c r="I2701" i="16"/>
  <c r="H2701" i="16"/>
  <c r="K2740" i="16"/>
  <c r="J2740" i="16"/>
  <c r="I2740" i="16"/>
  <c r="H2740" i="16"/>
  <c r="K2700" i="16"/>
  <c r="J2700" i="16"/>
  <c r="I2700" i="16"/>
  <c r="H2700" i="16"/>
  <c r="K2783" i="16"/>
  <c r="J2783" i="16"/>
  <c r="I2783" i="16"/>
  <c r="H2783" i="16"/>
  <c r="K2739" i="16"/>
  <c r="H2739" i="16"/>
  <c r="J298" i="16"/>
  <c r="I298" i="16"/>
  <c r="I2739" i="16" s="1"/>
  <c r="K292" i="16"/>
  <c r="K2699" i="16" s="1"/>
  <c r="J292" i="16"/>
  <c r="J2699" i="16" s="1"/>
  <c r="I292" i="16"/>
  <c r="I2699" i="16" s="1"/>
  <c r="H292" i="16"/>
  <c r="H2699" i="16" s="1"/>
  <c r="K2738" i="16"/>
  <c r="J2738" i="16"/>
  <c r="I2738" i="16"/>
  <c r="H2738" i="16"/>
  <c r="K257" i="16"/>
  <c r="K2698" i="16" s="1"/>
  <c r="J257" i="16"/>
  <c r="J2698" i="16" s="1"/>
  <c r="I257" i="16"/>
  <c r="I2698" i="16" s="1"/>
  <c r="H257" i="16"/>
  <c r="H2698" i="16" s="1"/>
  <c r="K2781" i="16"/>
  <c r="J2781" i="16"/>
  <c r="I2781" i="16"/>
  <c r="H2781" i="16"/>
  <c r="H2737" i="16"/>
  <c r="K232" i="16"/>
  <c r="J232" i="16"/>
  <c r="I232" i="16"/>
  <c r="I2737" i="16" s="1"/>
  <c r="K226" i="16"/>
  <c r="K2697" i="16" s="1"/>
  <c r="J226" i="16"/>
  <c r="J2697" i="16" s="1"/>
  <c r="I226" i="16"/>
  <c r="I2697" i="16" s="1"/>
  <c r="H226" i="16"/>
  <c r="H2697" i="16" s="1"/>
  <c r="K2780" i="16"/>
  <c r="J2780" i="16"/>
  <c r="I2780" i="16"/>
  <c r="H2780" i="16"/>
  <c r="J2736" i="16"/>
  <c r="I2736" i="16"/>
  <c r="H2736" i="16"/>
  <c r="H2766" i="16" s="1"/>
  <c r="K181" i="16"/>
  <c r="K180" i="16"/>
  <c r="K179" i="16"/>
  <c r="K178" i="16"/>
  <c r="K2736" i="16" s="1"/>
  <c r="J175" i="16"/>
  <c r="J2696" i="16" s="1"/>
  <c r="I175" i="16"/>
  <c r="I2696" i="16" s="1"/>
  <c r="H175" i="16"/>
  <c r="H2696" i="16" s="1"/>
  <c r="K157" i="16"/>
  <c r="K175" i="16" s="1"/>
  <c r="K2696" i="16" s="1"/>
  <c r="K122" i="16"/>
  <c r="J122" i="16"/>
  <c r="I122" i="16"/>
  <c r="K113" i="16"/>
  <c r="J113" i="16"/>
  <c r="I113" i="16"/>
  <c r="K99" i="16"/>
  <c r="J99" i="16"/>
  <c r="I99" i="16"/>
  <c r="K91" i="16"/>
  <c r="J91" i="16"/>
  <c r="I91" i="16"/>
  <c r="K15" i="16"/>
  <c r="J15" i="16"/>
  <c r="I15" i="16"/>
  <c r="I2175" i="16" l="1"/>
  <c r="J1589" i="16"/>
  <c r="J2824" i="16" s="1"/>
  <c r="K2746" i="16"/>
  <c r="I2025" i="16"/>
  <c r="I123" i="16"/>
  <c r="H1829" i="16"/>
  <c r="H2827" i="16" s="1"/>
  <c r="I1936" i="16"/>
  <c r="H2003" i="16"/>
  <c r="I2042" i="16"/>
  <c r="K1589" i="16"/>
  <c r="K2824" i="16" s="1"/>
  <c r="H1936" i="16"/>
  <c r="I100" i="16"/>
  <c r="I101" i="16" s="1"/>
  <c r="K2726" i="16"/>
  <c r="J1952" i="16"/>
  <c r="I2193" i="16"/>
  <c r="I2082" i="16"/>
  <c r="K2158" i="16"/>
  <c r="J2175" i="16"/>
  <c r="H2732" i="16"/>
  <c r="H1542" i="16"/>
  <c r="H2823" i="16" s="1"/>
  <c r="H2726" i="16"/>
  <c r="K2753" i="16"/>
  <c r="K2756" i="16"/>
  <c r="H1589" i="16"/>
  <c r="H2824" i="16" s="1"/>
  <c r="K2193" i="16"/>
  <c r="I2726" i="16"/>
  <c r="H2761" i="16"/>
  <c r="I1589" i="16"/>
  <c r="I2824" i="16" s="1"/>
  <c r="K2042" i="16"/>
  <c r="H2082" i="16"/>
  <c r="K100" i="16"/>
  <c r="K101" i="16" s="1"/>
  <c r="K123" i="16"/>
  <c r="J2746" i="16"/>
  <c r="J1455" i="16"/>
  <c r="J2820" i="16" s="1"/>
  <c r="K2003" i="16"/>
  <c r="K2732" i="16"/>
  <c r="H1646" i="16"/>
  <c r="H2825" i="16" s="1"/>
  <c r="I1829" i="16"/>
  <c r="H2025" i="16"/>
  <c r="J100" i="16"/>
  <c r="J101" i="16" s="1"/>
  <c r="J123" i="16"/>
  <c r="J2726" i="16"/>
  <c r="H1952" i="16"/>
  <c r="K1455" i="16"/>
  <c r="K2820" i="16" s="1"/>
  <c r="I1542" i="16"/>
  <c r="I2823" i="16" s="1"/>
  <c r="I1646" i="16"/>
  <c r="I2825" i="16" s="1"/>
  <c r="J1936" i="16"/>
  <c r="I1952" i="16"/>
  <c r="J1978" i="16"/>
  <c r="I2003" i="16"/>
  <c r="J2042" i="16"/>
  <c r="H2158" i="16"/>
  <c r="K2175" i="16"/>
  <c r="J2193" i="16"/>
  <c r="I2732" i="16"/>
  <c r="H1455" i="16"/>
  <c r="H2820" i="16" s="1"/>
  <c r="J1542" i="16"/>
  <c r="J2823" i="16" s="1"/>
  <c r="J1646" i="16"/>
  <c r="J2825" i="16" s="1"/>
  <c r="K1829" i="16"/>
  <c r="K2827" i="16" s="1"/>
  <c r="K1936" i="16"/>
  <c r="K1978" i="16"/>
  <c r="J2003" i="16"/>
  <c r="J2025" i="16"/>
  <c r="J2082" i="16"/>
  <c r="I2158" i="16"/>
  <c r="H2175" i="16"/>
  <c r="J2562" i="16"/>
  <c r="H2772" i="16"/>
  <c r="H2773" i="16" s="1"/>
  <c r="I1455" i="16"/>
  <c r="I2820" i="16" s="1"/>
  <c r="K1542" i="16"/>
  <c r="K1646" i="16"/>
  <c r="K2825" i="16" s="1"/>
  <c r="J1829" i="16"/>
  <c r="J2827" i="16" s="1"/>
  <c r="K1952" i="16"/>
  <c r="I1978" i="16"/>
  <c r="H1978" i="16"/>
  <c r="K2025" i="16"/>
  <c r="H2042" i="16"/>
  <c r="K2082" i="16"/>
  <c r="J2158" i="16"/>
  <c r="H2193" i="16"/>
  <c r="K1317" i="16"/>
  <c r="K1326" i="16" s="1"/>
  <c r="J2737" i="16"/>
  <c r="K2737" i="16"/>
  <c r="J2739" i="16"/>
  <c r="H2784" i="16"/>
  <c r="H2782" i="16"/>
  <c r="H2810" i="16" s="1"/>
  <c r="I2784" i="16"/>
  <c r="I2782" i="16"/>
  <c r="I2810" i="16" s="1"/>
  <c r="J2784" i="16"/>
  <c r="J2782" i="16"/>
  <c r="J2810" i="16" s="1"/>
  <c r="I2761" i="16"/>
  <c r="I2766" i="16" s="1"/>
  <c r="J2762" i="16"/>
  <c r="K2784" i="16"/>
  <c r="K2782" i="16"/>
  <c r="K2810" i="16" s="1"/>
  <c r="K2759" i="16"/>
  <c r="K2562" i="16"/>
  <c r="H2562" i="16"/>
  <c r="J2771" i="16"/>
  <c r="J2772" i="16" s="1"/>
  <c r="J2756" i="16"/>
  <c r="J2766" i="16" s="1"/>
  <c r="I2562" i="16"/>
  <c r="J2732" i="16"/>
  <c r="I2772" i="16"/>
  <c r="I1259" i="16"/>
  <c r="H1326" i="16"/>
  <c r="J1259" i="16"/>
  <c r="I1326" i="16"/>
  <c r="K1259" i="16"/>
  <c r="J1326" i="16"/>
  <c r="H1259" i="16"/>
  <c r="I124" i="16" l="1"/>
  <c r="K2733" i="16"/>
  <c r="K2770" i="16"/>
  <c r="K2772" i="16" s="1"/>
  <c r="K2758" i="16"/>
  <c r="J2733" i="16"/>
  <c r="I1463" i="16"/>
  <c r="I1543" i="16" s="1"/>
  <c r="H2733" i="16"/>
  <c r="I2733" i="16"/>
  <c r="J2761" i="16"/>
  <c r="I2628" i="16"/>
  <c r="I2833" i="16" s="1"/>
  <c r="K1463" i="16"/>
  <c r="K1543" i="16" s="1"/>
  <c r="I2827" i="16"/>
  <c r="J1463" i="16"/>
  <c r="J1543" i="16" s="1"/>
  <c r="K2628" i="16"/>
  <c r="K2833" i="16" s="1"/>
  <c r="J2628" i="16"/>
  <c r="J2833" i="16" s="1"/>
  <c r="H1463" i="16"/>
  <c r="H1543" i="16" s="1"/>
  <c r="J124" i="16"/>
  <c r="H2628" i="16"/>
  <c r="H2833" i="16" s="1"/>
  <c r="J2743" i="16"/>
  <c r="K2823" i="16"/>
  <c r="K124" i="16"/>
  <c r="K2766" i="16"/>
  <c r="J2773" i="16"/>
  <c r="I2773" i="16"/>
  <c r="K2761" i="16"/>
  <c r="H2661" i="16" l="1"/>
  <c r="J2661" i="16"/>
  <c r="K2773" i="16"/>
  <c r="I2629" i="16"/>
  <c r="J2629" i="16"/>
  <c r="J2664" i="16" s="1"/>
  <c r="J2666" i="16" s="1"/>
  <c r="H2629" i="16"/>
  <c r="H2664" i="16" s="1"/>
  <c r="H2666" i="16" s="1"/>
  <c r="H2669" i="16" s="1"/>
  <c r="K2629" i="16"/>
  <c r="K2664" i="16" s="1"/>
  <c r="K2661" i="16" l="1"/>
  <c r="K2815" i="16" s="1"/>
  <c r="K2816" i="16" s="1"/>
  <c r="K2817" i="16" s="1"/>
  <c r="K2838" i="16" s="1"/>
  <c r="K2840" i="16" s="1"/>
  <c r="I2664" i="16"/>
  <c r="I2666" i="16" s="1"/>
  <c r="I2669" i="16" s="1"/>
  <c r="I2661" i="16"/>
  <c r="J2815" i="16"/>
  <c r="J2816" i="16" s="1"/>
  <c r="J2817" i="16" s="1"/>
  <c r="J2838" i="16" s="1"/>
  <c r="J2840" i="16" s="1"/>
  <c r="J2662" i="16"/>
  <c r="J2665" i="16" s="1"/>
  <c r="H2815" i="16"/>
  <c r="H2816" i="16" s="1"/>
  <c r="H2817" i="16" s="1"/>
  <c r="H2838" i="16" s="1"/>
  <c r="H2840" i="16" s="1"/>
  <c r="H2662" i="16"/>
  <c r="H2665" i="16" s="1"/>
  <c r="K2666" i="16"/>
  <c r="K2669" i="16" s="1"/>
  <c r="J2669" i="16"/>
  <c r="K2662" i="16" l="1"/>
  <c r="K2665" i="16" s="1"/>
  <c r="I2815" i="16"/>
  <c r="I2816" i="16" s="1"/>
  <c r="I2817" i="16" s="1"/>
  <c r="I2838" i="16" s="1"/>
  <c r="I2840" i="16" s="1"/>
  <c r="I2662" i="16"/>
  <c r="I2665" i="16" s="1"/>
  <c r="M98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7" i="9"/>
  <c r="P94" i="14" l="1"/>
  <c r="O94" i="14"/>
  <c r="M94" i="14"/>
  <c r="L94" i="14"/>
  <c r="K94" i="14"/>
  <c r="N93" i="14"/>
  <c r="Q93" i="14" s="1"/>
  <c r="R93" i="14" s="1"/>
  <c r="N92" i="14"/>
  <c r="Q92" i="14" s="1"/>
  <c r="R92" i="14" s="1"/>
  <c r="N91" i="14"/>
  <c r="R90" i="14"/>
  <c r="M87" i="14"/>
  <c r="N86" i="14"/>
  <c r="Q86" i="14" s="1"/>
  <c r="R86" i="14" s="1"/>
  <c r="N85" i="14"/>
  <c r="Q85" i="14" s="1"/>
  <c r="R85" i="14" s="1"/>
  <c r="N84" i="14"/>
  <c r="P84" i="14" s="1"/>
  <c r="R84" i="14" s="1"/>
  <c r="P83" i="14"/>
  <c r="R83" i="14" s="1"/>
  <c r="N83" i="14"/>
  <c r="N82" i="14"/>
  <c r="P82" i="14" s="1"/>
  <c r="R82" i="14" s="1"/>
  <c r="L82" i="14"/>
  <c r="N81" i="14"/>
  <c r="P81" i="14" s="1"/>
  <c r="R81" i="14" s="1"/>
  <c r="L80" i="14"/>
  <c r="L87" i="14" s="1"/>
  <c r="L88" i="14" s="1"/>
  <c r="L95" i="14" s="1"/>
  <c r="N79" i="14"/>
  <c r="P79" i="14" s="1"/>
  <c r="R79" i="14" s="1"/>
  <c r="N78" i="14"/>
  <c r="P78" i="14" s="1"/>
  <c r="R78" i="14" s="1"/>
  <c r="O77" i="14"/>
  <c r="R77" i="14" s="1"/>
  <c r="N77" i="14"/>
  <c r="N76" i="14"/>
  <c r="O76" i="14" s="1"/>
  <c r="R76" i="14" s="1"/>
  <c r="N75" i="14"/>
  <c r="O75" i="14" s="1"/>
  <c r="R75" i="14" s="1"/>
  <c r="N74" i="14"/>
  <c r="O74" i="14" s="1"/>
  <c r="R74" i="14" s="1"/>
  <c r="N73" i="14"/>
  <c r="P73" i="14" s="1"/>
  <c r="R73" i="14" s="1"/>
  <c r="N72" i="14"/>
  <c r="Q72" i="14" s="1"/>
  <c r="N71" i="14"/>
  <c r="O71" i="14" s="1"/>
  <c r="R71" i="14" s="1"/>
  <c r="N70" i="14"/>
  <c r="Q70" i="14" s="1"/>
  <c r="R70" i="14" s="1"/>
  <c r="O69" i="14"/>
  <c r="R69" i="14" s="1"/>
  <c r="N69" i="14"/>
  <c r="N68" i="14"/>
  <c r="P68" i="14" s="1"/>
  <c r="R68" i="14" s="1"/>
  <c r="N67" i="14"/>
  <c r="P67" i="14" s="1"/>
  <c r="R67" i="14" s="1"/>
  <c r="N66" i="14"/>
  <c r="O66" i="14" s="1"/>
  <c r="R66" i="14" s="1"/>
  <c r="N65" i="14"/>
  <c r="O65" i="14" s="1"/>
  <c r="R65" i="14" s="1"/>
  <c r="N64" i="14"/>
  <c r="O64" i="14" s="1"/>
  <c r="R64" i="14" s="1"/>
  <c r="N63" i="14"/>
  <c r="O63" i="14" s="1"/>
  <c r="R63" i="14" s="1"/>
  <c r="O62" i="14"/>
  <c r="R62" i="14" s="1"/>
  <c r="N62" i="14"/>
  <c r="O61" i="14"/>
  <c r="R61" i="14" s="1"/>
  <c r="N61" i="14"/>
  <c r="N60" i="14"/>
  <c r="O60" i="14" s="1"/>
  <c r="R60" i="14" s="1"/>
  <c r="N59" i="14"/>
  <c r="O59" i="14" s="1"/>
  <c r="R59" i="14" s="1"/>
  <c r="N58" i="14"/>
  <c r="O58" i="14" s="1"/>
  <c r="R58" i="14" s="1"/>
  <c r="R57" i="14"/>
  <c r="O57" i="14"/>
  <c r="N57" i="14"/>
  <c r="N56" i="14"/>
  <c r="O56" i="14" s="1"/>
  <c r="R56" i="14" s="1"/>
  <c r="O55" i="14"/>
  <c r="R55" i="14" s="1"/>
  <c r="N55" i="14"/>
  <c r="N54" i="14"/>
  <c r="O54" i="14" s="1"/>
  <c r="R54" i="14" s="1"/>
  <c r="N53" i="14"/>
  <c r="O53" i="14" s="1"/>
  <c r="R53" i="14" s="1"/>
  <c r="D53" i="14"/>
  <c r="C53" i="14"/>
  <c r="B53" i="14"/>
  <c r="N52" i="14"/>
  <c r="H52" i="14"/>
  <c r="E52" i="14"/>
  <c r="E53" i="14" s="1"/>
  <c r="F53" i="14" s="1"/>
  <c r="R51" i="14"/>
  <c r="H51" i="14"/>
  <c r="F51" i="14"/>
  <c r="E51" i="14"/>
  <c r="R50" i="14"/>
  <c r="H50" i="14"/>
  <c r="F50" i="14"/>
  <c r="E50" i="14"/>
  <c r="N49" i="14"/>
  <c r="P49" i="14" s="1"/>
  <c r="R49" i="14" s="1"/>
  <c r="H49" i="14"/>
  <c r="R48" i="14"/>
  <c r="H48" i="14"/>
  <c r="M47" i="14"/>
  <c r="L47" i="14"/>
  <c r="K47" i="14"/>
  <c r="B47" i="14"/>
  <c r="B54" i="14" s="1"/>
  <c r="O46" i="14"/>
  <c r="O47" i="14" s="1"/>
  <c r="N46" i="14"/>
  <c r="D46" i="14"/>
  <c r="N45" i="14"/>
  <c r="Q45" i="14" s="1"/>
  <c r="R45" i="14" s="1"/>
  <c r="C45" i="14"/>
  <c r="E45" i="14" s="1"/>
  <c r="F45" i="14" s="1"/>
  <c r="N44" i="14"/>
  <c r="Q44" i="14" s="1"/>
  <c r="C44" i="14"/>
  <c r="N43" i="14"/>
  <c r="N47" i="14" s="1"/>
  <c r="E43" i="14"/>
  <c r="F43" i="14" s="1"/>
  <c r="R42" i="14"/>
  <c r="N42" i="14"/>
  <c r="E42" i="14"/>
  <c r="R41" i="14"/>
  <c r="N41" i="14"/>
  <c r="E41" i="14"/>
  <c r="Q40" i="14"/>
  <c r="O40" i="14"/>
  <c r="M40" i="14"/>
  <c r="L40" i="14"/>
  <c r="K40" i="14"/>
  <c r="D40" i="14"/>
  <c r="C40" i="14"/>
  <c r="P39" i="14"/>
  <c r="R39" i="14" s="1"/>
  <c r="N39" i="14"/>
  <c r="F39" i="14"/>
  <c r="E39" i="14"/>
  <c r="N38" i="14"/>
  <c r="P38" i="14" s="1"/>
  <c r="R38" i="14" s="1"/>
  <c r="E38" i="14"/>
  <c r="F38" i="14" s="1"/>
  <c r="P37" i="14"/>
  <c r="N37" i="14"/>
  <c r="F37" i="14"/>
  <c r="E37" i="14"/>
  <c r="R36" i="14"/>
  <c r="R35" i="14"/>
  <c r="N35" i="14"/>
  <c r="M34" i="14"/>
  <c r="L34" i="14"/>
  <c r="K34" i="14"/>
  <c r="D34" i="14"/>
  <c r="D56" i="14" s="1"/>
  <c r="C34" i="14"/>
  <c r="B34" i="14"/>
  <c r="N33" i="14"/>
  <c r="Q33" i="14" s="1"/>
  <c r="R33" i="14" s="1"/>
  <c r="H33" i="14"/>
  <c r="E33" i="14"/>
  <c r="F33" i="14" s="1"/>
  <c r="N32" i="14"/>
  <c r="Q32" i="14" s="1"/>
  <c r="R32" i="14" s="1"/>
  <c r="H32" i="14"/>
  <c r="F32" i="14"/>
  <c r="E32" i="14"/>
  <c r="N31" i="14"/>
  <c r="Q31" i="14" s="1"/>
  <c r="R31" i="14" s="1"/>
  <c r="H31" i="14"/>
  <c r="F31" i="14"/>
  <c r="E31" i="14"/>
  <c r="N30" i="14"/>
  <c r="Q30" i="14" s="1"/>
  <c r="R30" i="14" s="1"/>
  <c r="H30" i="14"/>
  <c r="E30" i="14"/>
  <c r="F30" i="14" s="1"/>
  <c r="N29" i="14"/>
  <c r="P29" i="14" s="1"/>
  <c r="R29" i="14" s="1"/>
  <c r="H29" i="14"/>
  <c r="F29" i="14"/>
  <c r="E29" i="14"/>
  <c r="N28" i="14"/>
  <c r="P28" i="14" s="1"/>
  <c r="R28" i="14" s="1"/>
  <c r="H28" i="14"/>
  <c r="F28" i="14"/>
  <c r="E28" i="14"/>
  <c r="N27" i="14"/>
  <c r="O27" i="14" s="1"/>
  <c r="R27" i="14" s="1"/>
  <c r="H27" i="14"/>
  <c r="E27" i="14"/>
  <c r="F27" i="14" s="1"/>
  <c r="N26" i="14"/>
  <c r="O26" i="14" s="1"/>
  <c r="R26" i="14" s="1"/>
  <c r="H26" i="14"/>
  <c r="F26" i="14"/>
  <c r="E26" i="14"/>
  <c r="N25" i="14"/>
  <c r="O25" i="14" s="1"/>
  <c r="R25" i="14" s="1"/>
  <c r="H25" i="14"/>
  <c r="F25" i="14"/>
  <c r="E25" i="14"/>
  <c r="N24" i="14"/>
  <c r="O24" i="14" s="1"/>
  <c r="R24" i="14" s="1"/>
  <c r="H24" i="14"/>
  <c r="E24" i="14"/>
  <c r="F24" i="14" s="1"/>
  <c r="N23" i="14"/>
  <c r="O23" i="14" s="1"/>
  <c r="R23" i="14" s="1"/>
  <c r="H23" i="14"/>
  <c r="F23" i="14"/>
  <c r="E23" i="14"/>
  <c r="N22" i="14"/>
  <c r="O22" i="14" s="1"/>
  <c r="R22" i="14" s="1"/>
  <c r="H22" i="14"/>
  <c r="F22" i="14"/>
  <c r="E22" i="14"/>
  <c r="N21" i="14"/>
  <c r="O21" i="14" s="1"/>
  <c r="R21" i="14" s="1"/>
  <c r="H21" i="14"/>
  <c r="E21" i="14"/>
  <c r="F21" i="14" s="1"/>
  <c r="N20" i="14"/>
  <c r="O20" i="14" s="1"/>
  <c r="R20" i="14" s="1"/>
  <c r="H20" i="14"/>
  <c r="F20" i="14"/>
  <c r="E20" i="14"/>
  <c r="N19" i="14"/>
  <c r="O19" i="14" s="1"/>
  <c r="R19" i="14" s="1"/>
  <c r="H19" i="14"/>
  <c r="F19" i="14"/>
  <c r="E19" i="14"/>
  <c r="N18" i="14"/>
  <c r="O18" i="14" s="1"/>
  <c r="R18" i="14" s="1"/>
  <c r="H18" i="14"/>
  <c r="E18" i="14"/>
  <c r="F18" i="14" s="1"/>
  <c r="N17" i="14"/>
  <c r="P17" i="14" s="1"/>
  <c r="R17" i="14" s="1"/>
  <c r="H17" i="14"/>
  <c r="F17" i="14"/>
  <c r="E17" i="14"/>
  <c r="N16" i="14"/>
  <c r="O16" i="14" s="1"/>
  <c r="R16" i="14" s="1"/>
  <c r="H16" i="14"/>
  <c r="F16" i="14"/>
  <c r="E16" i="14"/>
  <c r="N15" i="14"/>
  <c r="O15" i="14" s="1"/>
  <c r="R15" i="14" s="1"/>
  <c r="H15" i="14"/>
  <c r="E15" i="14"/>
  <c r="F15" i="14" s="1"/>
  <c r="N14" i="14"/>
  <c r="O14" i="14" s="1"/>
  <c r="R14" i="14" s="1"/>
  <c r="H14" i="14"/>
  <c r="F14" i="14"/>
  <c r="E14" i="14"/>
  <c r="N13" i="14"/>
  <c r="O13" i="14" s="1"/>
  <c r="R13" i="14" s="1"/>
  <c r="H13" i="14"/>
  <c r="F13" i="14"/>
  <c r="E13" i="14"/>
  <c r="N12" i="14"/>
  <c r="P12" i="14" s="1"/>
  <c r="R12" i="14" s="1"/>
  <c r="H12" i="14"/>
  <c r="E12" i="14"/>
  <c r="F12" i="14" s="1"/>
  <c r="N11" i="14"/>
  <c r="Q11" i="14" s="1"/>
  <c r="R11" i="14" s="1"/>
  <c r="H11" i="14"/>
  <c r="F11" i="14"/>
  <c r="E11" i="14"/>
  <c r="N10" i="14"/>
  <c r="O10" i="14" s="1"/>
  <c r="R10" i="14" s="1"/>
  <c r="H10" i="14"/>
  <c r="F10" i="14"/>
  <c r="E10" i="14"/>
  <c r="N9" i="14"/>
  <c r="O9" i="14" s="1"/>
  <c r="R9" i="14" s="1"/>
  <c r="H9" i="14"/>
  <c r="E9" i="14"/>
  <c r="F9" i="14" s="1"/>
  <c r="N8" i="14"/>
  <c r="O8" i="14" s="1"/>
  <c r="R8" i="14" s="1"/>
  <c r="H8" i="14"/>
  <c r="F8" i="14"/>
  <c r="E8" i="14"/>
  <c r="N7" i="14"/>
  <c r="Q7" i="14" s="1"/>
  <c r="H7" i="14"/>
  <c r="F7" i="14"/>
  <c r="E7" i="14"/>
  <c r="N6" i="14"/>
  <c r="P6" i="14" s="1"/>
  <c r="H6" i="14"/>
  <c r="E6" i="14"/>
  <c r="F6" i="14" s="1"/>
  <c r="N5" i="14"/>
  <c r="O5" i="14" s="1"/>
  <c r="R5" i="14" s="1"/>
  <c r="H5" i="14"/>
  <c r="F5" i="14"/>
  <c r="E5" i="14"/>
  <c r="N4" i="14"/>
  <c r="O4" i="14" s="1"/>
  <c r="H4" i="14"/>
  <c r="F4" i="14"/>
  <c r="E4" i="14"/>
  <c r="E3" i="13"/>
  <c r="E6" i="13"/>
  <c r="D6" i="13"/>
  <c r="C17" i="13"/>
  <c r="D3" i="13"/>
  <c r="D9" i="13"/>
  <c r="E9" i="13" s="1"/>
  <c r="D10" i="13"/>
  <c r="E10" i="13" s="1"/>
  <c r="D11" i="13"/>
  <c r="D12" i="13"/>
  <c r="D13" i="13"/>
  <c r="D14" i="13"/>
  <c r="D15" i="13"/>
  <c r="B17" i="13"/>
  <c r="F29" i="9"/>
  <c r="E34" i="14" l="1"/>
  <c r="F34" i="14" s="1"/>
  <c r="K88" i="14"/>
  <c r="K95" i="14" s="1"/>
  <c r="F52" i="14"/>
  <c r="M88" i="14"/>
  <c r="M95" i="14" s="1"/>
  <c r="N34" i="14"/>
  <c r="C46" i="14"/>
  <c r="C47" i="14" s="1"/>
  <c r="C54" i="14" s="1"/>
  <c r="D47" i="14"/>
  <c r="D54" i="14" s="1"/>
  <c r="N94" i="14"/>
  <c r="D17" i="13"/>
  <c r="E17" i="13" s="1"/>
  <c r="N40" i="14"/>
  <c r="E44" i="14"/>
  <c r="F44" i="14" s="1"/>
  <c r="Q91" i="14"/>
  <c r="Q94" i="14" s="1"/>
  <c r="R94" i="14" s="1"/>
  <c r="H56" i="14"/>
  <c r="C56" i="14"/>
  <c r="O34" i="14"/>
  <c r="R4" i="14"/>
  <c r="P34" i="14"/>
  <c r="R6" i="14"/>
  <c r="Q34" i="14"/>
  <c r="R7" i="14"/>
  <c r="B59" i="14"/>
  <c r="B57" i="14"/>
  <c r="P40" i="14"/>
  <c r="R40" i="14"/>
  <c r="Q47" i="14"/>
  <c r="R44" i="14"/>
  <c r="R72" i="14"/>
  <c r="Q87" i="14"/>
  <c r="R37" i="14"/>
  <c r="P43" i="14"/>
  <c r="R46" i="14"/>
  <c r="O52" i="14"/>
  <c r="N80" i="14"/>
  <c r="P80" i="14" s="1"/>
  <c r="R80" i="14" s="1"/>
  <c r="E40" i="14"/>
  <c r="F40" i="14" s="1"/>
  <c r="P87" i="14" l="1"/>
  <c r="E46" i="14"/>
  <c r="R91" i="14"/>
  <c r="O87" i="14"/>
  <c r="R52" i="14"/>
  <c r="Q89" i="14"/>
  <c r="Q88" i="14"/>
  <c r="Q95" i="14" s="1"/>
  <c r="R34" i="14"/>
  <c r="F46" i="14"/>
  <c r="E47" i="14"/>
  <c r="P89" i="14"/>
  <c r="P88" i="14"/>
  <c r="P95" i="14" s="1"/>
  <c r="R43" i="14"/>
  <c r="P47" i="14"/>
  <c r="R47" i="14" s="1"/>
  <c r="N87" i="14"/>
  <c r="N88" i="14" s="1"/>
  <c r="N95" i="14" s="1"/>
  <c r="O89" i="14" l="1"/>
  <c r="R89" i="14" s="1"/>
  <c r="O88" i="14"/>
  <c r="R87" i="14"/>
  <c r="E54" i="14"/>
  <c r="F47" i="14"/>
  <c r="R88" i="14" l="1"/>
  <c r="O95" i="14"/>
  <c r="R95" i="14" s="1"/>
  <c r="E64" i="14"/>
  <c r="F54" i="14"/>
  <c r="J40" i="6" l="1"/>
  <c r="H117" i="6"/>
  <c r="H135" i="6"/>
  <c r="H126" i="6"/>
  <c r="H134" i="6"/>
  <c r="H133" i="6"/>
  <c r="M364" i="12"/>
  <c r="M355" i="12"/>
  <c r="M346" i="12"/>
  <c r="M336" i="12"/>
  <c r="M327" i="12"/>
  <c r="M321" i="12"/>
  <c r="M310" i="12"/>
  <c r="M301" i="12"/>
  <c r="M293" i="12"/>
  <c r="M284" i="12"/>
  <c r="M278" i="12"/>
  <c r="M269" i="12"/>
  <c r="M258" i="12"/>
  <c r="M249" i="12"/>
  <c r="M246" i="12"/>
  <c r="M241" i="12"/>
  <c r="M231" i="12"/>
  <c r="M226" i="12"/>
  <c r="M220" i="12"/>
  <c r="M207" i="12"/>
  <c r="M203" i="12"/>
  <c r="M191" i="12"/>
  <c r="M1110" i="12"/>
  <c r="M1105" i="12"/>
  <c r="M1100" i="12"/>
  <c r="M1095" i="12"/>
  <c r="M1090" i="12"/>
  <c r="M1085" i="12"/>
  <c r="M1080" i="12"/>
  <c r="M1075" i="12"/>
  <c r="M1070" i="12"/>
  <c r="M1068" i="12"/>
  <c r="M1064" i="12"/>
  <c r="M1058" i="12"/>
  <c r="M1056" i="12"/>
  <c r="M1051" i="12"/>
  <c r="M1049" i="12"/>
  <c r="M1047" i="12"/>
  <c r="M1042" i="12"/>
  <c r="M1039" i="12"/>
  <c r="M1037" i="12"/>
  <c r="M1031" i="12"/>
  <c r="M1023" i="12"/>
  <c r="M1018" i="12"/>
  <c r="M1014" i="12"/>
  <c r="M1009" i="12"/>
  <c r="M1005" i="12"/>
  <c r="M998" i="12"/>
  <c r="M993" i="12"/>
  <c r="M970" i="12"/>
  <c r="M966" i="12"/>
  <c r="M947" i="12"/>
  <c r="M928" i="12"/>
  <c r="M909" i="12"/>
  <c r="M890" i="12"/>
  <c r="M871" i="12"/>
  <c r="M851" i="12"/>
  <c r="M832" i="12"/>
  <c r="M813" i="12"/>
  <c r="M797" i="12"/>
  <c r="M790" i="12"/>
  <c r="M770" i="12"/>
  <c r="M751" i="12"/>
  <c r="M739" i="12"/>
  <c r="M725" i="12"/>
  <c r="M706" i="12"/>
  <c r="M696" i="12"/>
  <c r="M681" i="12"/>
  <c r="M655" i="12"/>
  <c r="M636" i="12"/>
  <c r="M625" i="12"/>
  <c r="M621" i="12"/>
  <c r="M613" i="12"/>
  <c r="M605" i="12"/>
  <c r="M587" i="12"/>
  <c r="M585" i="12"/>
  <c r="M554" i="12"/>
  <c r="M521" i="12"/>
  <c r="M516" i="12"/>
  <c r="M497" i="12"/>
  <c r="M493" i="12"/>
  <c r="M373" i="12"/>
  <c r="M382" i="12"/>
  <c r="M391" i="12"/>
  <c r="M400" i="12"/>
  <c r="M409" i="12"/>
  <c r="M411" i="12"/>
  <c r="N95" i="9"/>
  <c r="R35" i="9"/>
  <c r="R36" i="9"/>
  <c r="R48" i="9"/>
  <c r="R55" i="9"/>
  <c r="R94" i="9"/>
  <c r="Q95" i="9" l="1"/>
  <c r="R95" i="9" s="1"/>
  <c r="L1111" i="12"/>
  <c r="L216" i="12"/>
  <c r="L215" i="12"/>
  <c r="M216" i="12" s="1"/>
  <c r="N1045" i="12"/>
  <c r="O1022" i="12"/>
  <c r="O989" i="12"/>
  <c r="N949" i="12"/>
  <c r="O948" i="12"/>
  <c r="N948" i="12"/>
  <c r="N921" i="12"/>
  <c r="O919" i="12"/>
  <c r="O893" i="12"/>
  <c r="O892" i="12"/>
  <c r="O859" i="12"/>
  <c r="O858" i="12"/>
  <c r="O857" i="12"/>
  <c r="N847" i="12"/>
  <c r="O841" i="12"/>
  <c r="O840" i="12"/>
  <c r="O839" i="12"/>
  <c r="O838" i="12"/>
  <c r="O834" i="12"/>
  <c r="O831" i="12"/>
  <c r="O829" i="12"/>
  <c r="O828" i="12"/>
  <c r="O824" i="12"/>
  <c r="O818" i="12"/>
  <c r="O789" i="12"/>
  <c r="O788" i="12"/>
  <c r="N780" i="12"/>
  <c r="O750" i="12"/>
  <c r="L522" i="12"/>
  <c r="O651" i="12"/>
  <c r="L568" i="12"/>
  <c r="O617" i="12"/>
  <c r="O612" i="12"/>
  <c r="O606" i="12"/>
  <c r="L536" i="12"/>
  <c r="O452" i="12"/>
  <c r="O451" i="12"/>
  <c r="O450" i="12"/>
  <c r="O449" i="12"/>
  <c r="O448" i="12"/>
  <c r="O446" i="12"/>
  <c r="O445" i="12"/>
  <c r="O444" i="12"/>
  <c r="O442" i="12"/>
  <c r="O438" i="12"/>
  <c r="O411" i="12"/>
  <c r="O409" i="12"/>
  <c r="O408" i="12"/>
  <c r="O407" i="12"/>
  <c r="O405" i="12"/>
  <c r="O404" i="12"/>
  <c r="O403" i="12"/>
  <c r="O353" i="12"/>
  <c r="L529" i="12"/>
  <c r="O297" i="12"/>
  <c r="O225" i="12"/>
  <c r="O197" i="12"/>
  <c r="O196" i="12"/>
  <c r="O195" i="12"/>
  <c r="O194" i="12"/>
  <c r="O188" i="12"/>
  <c r="O187" i="12"/>
  <c r="O186" i="12"/>
  <c r="O185" i="12"/>
  <c r="O183" i="12"/>
  <c r="O178" i="12"/>
  <c r="O170" i="12"/>
  <c r="O168" i="12"/>
  <c r="O167" i="12"/>
  <c r="L555" i="12"/>
  <c r="O165" i="12"/>
  <c r="O161" i="12"/>
  <c r="O160" i="12"/>
  <c r="O159" i="12"/>
  <c r="O158" i="12"/>
  <c r="O157" i="12"/>
  <c r="O154" i="12"/>
  <c r="O153" i="12"/>
  <c r="O149" i="12"/>
  <c r="L122" i="12"/>
  <c r="J122" i="12"/>
  <c r="I122" i="12"/>
  <c r="L113" i="12"/>
  <c r="J113" i="12"/>
  <c r="I113" i="12"/>
  <c r="L99" i="12"/>
  <c r="I99" i="12"/>
  <c r="J94" i="12"/>
  <c r="J99" i="12" s="1"/>
  <c r="L91" i="12"/>
  <c r="J91" i="12"/>
  <c r="I91" i="12"/>
  <c r="L15" i="12"/>
  <c r="J12" i="12"/>
  <c r="J15" i="12" s="1"/>
  <c r="K1099" i="11"/>
  <c r="K556" i="11"/>
  <c r="K546" i="11"/>
  <c r="M1030" i="11"/>
  <c r="K535" i="11"/>
  <c r="N1008" i="11"/>
  <c r="N977" i="11"/>
  <c r="M938" i="11"/>
  <c r="N937" i="11"/>
  <c r="M937" i="11"/>
  <c r="M910" i="11"/>
  <c r="N908" i="11"/>
  <c r="N882" i="11"/>
  <c r="N881" i="11"/>
  <c r="N847" i="11"/>
  <c r="N846" i="11"/>
  <c r="N845" i="11"/>
  <c r="M835" i="11"/>
  <c r="N829" i="11"/>
  <c r="N828" i="11"/>
  <c r="N827" i="11"/>
  <c r="N826" i="11"/>
  <c r="N822" i="11"/>
  <c r="N819" i="11"/>
  <c r="N817" i="11"/>
  <c r="N816" i="11"/>
  <c r="N812" i="11"/>
  <c r="N806" i="11"/>
  <c r="N778" i="11"/>
  <c r="N777" i="11"/>
  <c r="M769" i="11"/>
  <c r="N739" i="11"/>
  <c r="K426" i="11"/>
  <c r="N643" i="11"/>
  <c r="K411" i="11"/>
  <c r="N609" i="11"/>
  <c r="N604" i="11"/>
  <c r="N598" i="11"/>
  <c r="K399" i="11"/>
  <c r="N445" i="11"/>
  <c r="N444" i="11"/>
  <c r="N443" i="11"/>
  <c r="N442" i="11"/>
  <c r="N441" i="11"/>
  <c r="N439" i="11"/>
  <c r="N438" i="11"/>
  <c r="N437" i="11"/>
  <c r="N435" i="11"/>
  <c r="N431" i="11"/>
  <c r="N412" i="11"/>
  <c r="N411" i="11"/>
  <c r="N410" i="11"/>
  <c r="N409" i="11"/>
  <c r="N408" i="11"/>
  <c r="N406" i="11"/>
  <c r="N405" i="11"/>
  <c r="N404" i="11"/>
  <c r="N353" i="11"/>
  <c r="K306" i="11"/>
  <c r="N297" i="11"/>
  <c r="N228" i="11"/>
  <c r="N198" i="11"/>
  <c r="N197" i="11"/>
  <c r="N196" i="11"/>
  <c r="N195" i="11"/>
  <c r="N189" i="11"/>
  <c r="N188" i="11"/>
  <c r="N187" i="11"/>
  <c r="N186" i="11"/>
  <c r="N184" i="11"/>
  <c r="N179" i="11"/>
  <c r="N171" i="11"/>
  <c r="N169" i="11"/>
  <c r="N168" i="11"/>
  <c r="K261" i="11"/>
  <c r="N166" i="11"/>
  <c r="N162" i="11"/>
  <c r="N161" i="11"/>
  <c r="N160" i="11"/>
  <c r="N159" i="11"/>
  <c r="N158" i="11"/>
  <c r="N155" i="11"/>
  <c r="N154" i="11"/>
  <c r="N150" i="11"/>
  <c r="K122" i="11"/>
  <c r="K123" i="11" s="1"/>
  <c r="I122" i="11"/>
  <c r="I123" i="11" s="1"/>
  <c r="H122" i="11"/>
  <c r="H123" i="11" s="1"/>
  <c r="K113" i="11"/>
  <c r="I113" i="11"/>
  <c r="H113" i="11"/>
  <c r="K99" i="11"/>
  <c r="H99" i="11"/>
  <c r="I94" i="11"/>
  <c r="I99" i="11" s="1"/>
  <c r="I100" i="11" s="1"/>
  <c r="I101" i="11" s="1"/>
  <c r="K91" i="11"/>
  <c r="K100" i="11" s="1"/>
  <c r="K101" i="11" s="1"/>
  <c r="K124" i="11" s="1"/>
  <c r="I91" i="11"/>
  <c r="H91" i="11"/>
  <c r="K15" i="11"/>
  <c r="I12" i="11"/>
  <c r="I15" i="11" s="1"/>
  <c r="H100" i="11" l="1"/>
  <c r="H101" i="11" s="1"/>
  <c r="M574" i="12"/>
  <c r="M542" i="12"/>
  <c r="I123" i="12"/>
  <c r="L100" i="12"/>
  <c r="L101" i="12" s="1"/>
  <c r="L123" i="12"/>
  <c r="I100" i="12"/>
  <c r="I101" i="12" s="1"/>
  <c r="J123" i="12"/>
  <c r="J100" i="12"/>
  <c r="J101" i="12" s="1"/>
  <c r="H124" i="11"/>
  <c r="I124" i="11"/>
  <c r="K1030" i="10"/>
  <c r="K1094" i="10"/>
  <c r="K1067" i="10"/>
  <c r="M1030" i="10"/>
  <c r="N1008" i="10"/>
  <c r="N977" i="10"/>
  <c r="M938" i="10"/>
  <c r="N937" i="10"/>
  <c r="M937" i="10"/>
  <c r="M910" i="10"/>
  <c r="N908" i="10"/>
  <c r="N882" i="10"/>
  <c r="N881" i="10"/>
  <c r="N847" i="10"/>
  <c r="N846" i="10"/>
  <c r="N845" i="10"/>
  <c r="M835" i="10"/>
  <c r="N829" i="10"/>
  <c r="N828" i="10"/>
  <c r="N827" i="10"/>
  <c r="N826" i="10"/>
  <c r="N822" i="10"/>
  <c r="N819" i="10"/>
  <c r="N817" i="10"/>
  <c r="N816" i="10"/>
  <c r="N812" i="10"/>
  <c r="N806" i="10"/>
  <c r="N778" i="10"/>
  <c r="N777" i="10"/>
  <c r="M769" i="10"/>
  <c r="N739" i="10"/>
  <c r="K688" i="10"/>
  <c r="N643" i="10"/>
  <c r="K630" i="10"/>
  <c r="N609" i="10"/>
  <c r="N604" i="10"/>
  <c r="N598" i="10"/>
  <c r="K596" i="10"/>
  <c r="N445" i="10"/>
  <c r="N444" i="10"/>
  <c r="N443" i="10"/>
  <c r="N442" i="10"/>
  <c r="N441" i="10"/>
  <c r="N439" i="10"/>
  <c r="N438" i="10"/>
  <c r="N437" i="10"/>
  <c r="N435" i="10"/>
  <c r="N431" i="10"/>
  <c r="N412" i="10"/>
  <c r="N411" i="10"/>
  <c r="N410" i="10"/>
  <c r="N409" i="10"/>
  <c r="N408" i="10"/>
  <c r="N406" i="10"/>
  <c r="N405" i="10"/>
  <c r="N404" i="10"/>
  <c r="N353" i="10"/>
  <c r="K322" i="10"/>
  <c r="N297" i="10"/>
  <c r="N228" i="10"/>
  <c r="N198" i="10"/>
  <c r="N197" i="10"/>
  <c r="N196" i="10"/>
  <c r="N195" i="10"/>
  <c r="N189" i="10"/>
  <c r="N188" i="10"/>
  <c r="N187" i="10"/>
  <c r="N186" i="10"/>
  <c r="N184" i="10"/>
  <c r="N179" i="10"/>
  <c r="N171" i="10"/>
  <c r="N169" i="10"/>
  <c r="N168" i="10"/>
  <c r="K168" i="10"/>
  <c r="N166" i="10"/>
  <c r="N162" i="10"/>
  <c r="N161" i="10"/>
  <c r="N160" i="10"/>
  <c r="N159" i="10"/>
  <c r="N158" i="10"/>
  <c r="N155" i="10"/>
  <c r="N154" i="10"/>
  <c r="N150" i="10"/>
  <c r="K122" i="10"/>
  <c r="I122" i="10"/>
  <c r="H122" i="10"/>
  <c r="K113" i="10"/>
  <c r="I113" i="10"/>
  <c r="H113" i="10"/>
  <c r="K99" i="10"/>
  <c r="H99" i="10"/>
  <c r="I94" i="10"/>
  <c r="I99" i="10" s="1"/>
  <c r="K91" i="10"/>
  <c r="I91" i="10"/>
  <c r="H91" i="10"/>
  <c r="K15" i="10"/>
  <c r="I12" i="10"/>
  <c r="I15" i="10" s="1"/>
  <c r="M34" i="9"/>
  <c r="R33" i="9"/>
  <c r="I124" i="12" l="1"/>
  <c r="L124" i="12"/>
  <c r="J124" i="12"/>
  <c r="K100" i="10"/>
  <c r="K101" i="10" s="1"/>
  <c r="H123" i="10"/>
  <c r="H100" i="10"/>
  <c r="H101" i="10" s="1"/>
  <c r="I100" i="10"/>
  <c r="I101" i="10" s="1"/>
  <c r="I123" i="10"/>
  <c r="K123" i="10"/>
  <c r="K124" i="10" l="1"/>
  <c r="H124" i="10"/>
  <c r="I124" i="10"/>
  <c r="K1099" i="10" l="1"/>
  <c r="O40" i="9" l="1"/>
  <c r="Q40" i="9"/>
  <c r="O98" i="9"/>
  <c r="P98" i="9"/>
  <c r="K98" i="9"/>
  <c r="N97" i="9"/>
  <c r="Q97" i="9" s="1"/>
  <c r="R97" i="9" s="1"/>
  <c r="N96" i="9"/>
  <c r="M91" i="9"/>
  <c r="L91" i="9"/>
  <c r="N90" i="9"/>
  <c r="Q90" i="9" s="1"/>
  <c r="R90" i="9" s="1"/>
  <c r="N89" i="9"/>
  <c r="Q89" i="9" s="1"/>
  <c r="R89" i="9" s="1"/>
  <c r="N88" i="9"/>
  <c r="P88" i="9" s="1"/>
  <c r="R88" i="9" s="1"/>
  <c r="N87" i="9"/>
  <c r="P87" i="9" s="1"/>
  <c r="R87" i="9" s="1"/>
  <c r="N86" i="9"/>
  <c r="P86" i="9" s="1"/>
  <c r="N85" i="9"/>
  <c r="P85" i="9" s="1"/>
  <c r="R85" i="9" s="1"/>
  <c r="N84" i="9"/>
  <c r="P84" i="9" s="1"/>
  <c r="R84" i="9" s="1"/>
  <c r="N83" i="9"/>
  <c r="P83" i="9" s="1"/>
  <c r="R83" i="9" s="1"/>
  <c r="N82" i="9"/>
  <c r="P82" i="9" s="1"/>
  <c r="R82" i="9" s="1"/>
  <c r="N81" i="9"/>
  <c r="O81" i="9" s="1"/>
  <c r="R81" i="9" s="1"/>
  <c r="N80" i="9"/>
  <c r="O80" i="9" s="1"/>
  <c r="R80" i="9" s="1"/>
  <c r="N79" i="9"/>
  <c r="O79" i="9" s="1"/>
  <c r="R79" i="9" s="1"/>
  <c r="N78" i="9"/>
  <c r="O78" i="9" s="1"/>
  <c r="R78" i="9" s="1"/>
  <c r="N77" i="9"/>
  <c r="P77" i="9" s="1"/>
  <c r="R77" i="9" s="1"/>
  <c r="N76" i="9"/>
  <c r="Q76" i="9" s="1"/>
  <c r="R76" i="9" s="1"/>
  <c r="N75" i="9"/>
  <c r="O75" i="9" s="1"/>
  <c r="R75" i="9" s="1"/>
  <c r="N74" i="9"/>
  <c r="Q74" i="9" s="1"/>
  <c r="N73" i="9"/>
  <c r="O73" i="9" s="1"/>
  <c r="R73" i="9" s="1"/>
  <c r="N72" i="9"/>
  <c r="P72" i="9" s="1"/>
  <c r="R72" i="9" s="1"/>
  <c r="N71" i="9"/>
  <c r="P71" i="9" s="1"/>
  <c r="R71" i="9" s="1"/>
  <c r="N70" i="9"/>
  <c r="O70" i="9" s="1"/>
  <c r="R70" i="9" s="1"/>
  <c r="N69" i="9"/>
  <c r="O69" i="9" s="1"/>
  <c r="N68" i="9"/>
  <c r="O68" i="9" s="1"/>
  <c r="R68" i="9" s="1"/>
  <c r="N67" i="9"/>
  <c r="O67" i="9" s="1"/>
  <c r="R67" i="9" s="1"/>
  <c r="N66" i="9"/>
  <c r="O66" i="9" s="1"/>
  <c r="R66" i="9" s="1"/>
  <c r="N65" i="9"/>
  <c r="O65" i="9" s="1"/>
  <c r="R65" i="9" s="1"/>
  <c r="N64" i="9"/>
  <c r="O64" i="9" s="1"/>
  <c r="R64" i="9" s="1"/>
  <c r="N63" i="9"/>
  <c r="O63" i="9" s="1"/>
  <c r="R63" i="9" s="1"/>
  <c r="N62" i="9"/>
  <c r="O62" i="9" s="1"/>
  <c r="R62" i="9" s="1"/>
  <c r="N61" i="9"/>
  <c r="O61" i="9" s="1"/>
  <c r="R61" i="9" s="1"/>
  <c r="N60" i="9"/>
  <c r="O60" i="9" s="1"/>
  <c r="R60" i="9" s="1"/>
  <c r="N59" i="9"/>
  <c r="O59" i="9" s="1"/>
  <c r="R59" i="9" s="1"/>
  <c r="N58" i="9"/>
  <c r="O58" i="9" s="1"/>
  <c r="R58" i="9" s="1"/>
  <c r="N57" i="9"/>
  <c r="O57" i="9" s="1"/>
  <c r="R57" i="9" s="1"/>
  <c r="N56" i="9"/>
  <c r="O56" i="9" s="1"/>
  <c r="M53" i="9"/>
  <c r="L53" i="9"/>
  <c r="K53" i="9"/>
  <c r="K92" i="9" s="1"/>
  <c r="N52" i="9"/>
  <c r="O52" i="9" s="1"/>
  <c r="N51" i="9"/>
  <c r="Q51" i="9" s="1"/>
  <c r="R51" i="9" s="1"/>
  <c r="N50" i="9"/>
  <c r="Q50" i="9" s="1"/>
  <c r="N49" i="9"/>
  <c r="P49" i="9" s="1"/>
  <c r="P53" i="9" s="1"/>
  <c r="N48" i="9"/>
  <c r="M40" i="9"/>
  <c r="L40" i="9"/>
  <c r="K40" i="9"/>
  <c r="N39" i="9"/>
  <c r="P39" i="9" s="1"/>
  <c r="R39" i="9" s="1"/>
  <c r="N38" i="9"/>
  <c r="P38" i="9" s="1"/>
  <c r="R38" i="9" s="1"/>
  <c r="P37" i="9"/>
  <c r="R37" i="9" s="1"/>
  <c r="N35" i="9"/>
  <c r="L34" i="9"/>
  <c r="K34" i="9"/>
  <c r="Q32" i="9"/>
  <c r="R32" i="9" s="1"/>
  <c r="Q31" i="9"/>
  <c r="R31" i="9" s="1"/>
  <c r="Q30" i="9"/>
  <c r="R30" i="9" s="1"/>
  <c r="P29" i="9"/>
  <c r="R28" i="9"/>
  <c r="R27" i="9"/>
  <c r="O26" i="9"/>
  <c r="R26" i="9" s="1"/>
  <c r="O25" i="9"/>
  <c r="R25" i="9" s="1"/>
  <c r="O24" i="9"/>
  <c r="R24" i="9" s="1"/>
  <c r="O23" i="9"/>
  <c r="R23" i="9" s="1"/>
  <c r="O22" i="9"/>
  <c r="R22" i="9" s="1"/>
  <c r="O21" i="9"/>
  <c r="R21" i="9" s="1"/>
  <c r="R20" i="9"/>
  <c r="O19" i="9"/>
  <c r="R19" i="9" s="1"/>
  <c r="O18" i="9"/>
  <c r="R18" i="9" s="1"/>
  <c r="P17" i="9"/>
  <c r="R17" i="9" s="1"/>
  <c r="O16" i="9"/>
  <c r="R16" i="9" s="1"/>
  <c r="O15" i="9"/>
  <c r="R15" i="9" s="1"/>
  <c r="O14" i="9"/>
  <c r="R14" i="9" s="1"/>
  <c r="O13" i="9"/>
  <c r="R13" i="9" s="1"/>
  <c r="P12" i="9"/>
  <c r="R12" i="9" s="1"/>
  <c r="Q11" i="9"/>
  <c r="R11" i="9" s="1"/>
  <c r="O10" i="9"/>
  <c r="R10" i="9" s="1"/>
  <c r="O9" i="9"/>
  <c r="R9" i="9" s="1"/>
  <c r="O8" i="9"/>
  <c r="R8" i="9" s="1"/>
  <c r="Q7" i="9"/>
  <c r="P6" i="9"/>
  <c r="R6" i="9" s="1"/>
  <c r="O5" i="9"/>
  <c r="R5" i="9" s="1"/>
  <c r="R4" i="9"/>
  <c r="L92" i="9" l="1"/>
  <c r="M92" i="9"/>
  <c r="N98" i="9"/>
  <c r="R69" i="9"/>
  <c r="O91" i="9"/>
  <c r="Q96" i="9"/>
  <c r="R96" i="9" s="1"/>
  <c r="N34" i="9"/>
  <c r="K99" i="9"/>
  <c r="L99" i="9"/>
  <c r="N40" i="9"/>
  <c r="P40" i="9"/>
  <c r="R40" i="9" s="1"/>
  <c r="R7" i="9"/>
  <c r="Q34" i="9"/>
  <c r="R74" i="9"/>
  <c r="Q91" i="9"/>
  <c r="R56" i="9"/>
  <c r="R52" i="9"/>
  <c r="O53" i="9"/>
  <c r="R50" i="9"/>
  <c r="Q53" i="9"/>
  <c r="M99" i="9"/>
  <c r="R49" i="9"/>
  <c r="N53" i="9"/>
  <c r="R29" i="9"/>
  <c r="P34" i="9"/>
  <c r="R86" i="9"/>
  <c r="P91" i="9"/>
  <c r="N91" i="9"/>
  <c r="O34" i="9"/>
  <c r="P93" i="9" l="1"/>
  <c r="P92" i="9"/>
  <c r="P99" i="9" s="1"/>
  <c r="O92" i="9"/>
  <c r="Q93" i="9"/>
  <c r="Q92" i="9"/>
  <c r="N92" i="9"/>
  <c r="N99" i="9" s="1"/>
  <c r="O93" i="9"/>
  <c r="Q98" i="9"/>
  <c r="R98" i="9" s="1"/>
  <c r="R53" i="9"/>
  <c r="O99" i="9"/>
  <c r="R34" i="9"/>
  <c r="R91" i="9"/>
  <c r="J206" i="6"/>
  <c r="F191" i="6"/>
  <c r="J197" i="6"/>
  <c r="J76" i="6"/>
  <c r="R92" i="9" l="1"/>
  <c r="R93" i="9"/>
  <c r="Q99" i="9"/>
  <c r="R99" i="9" s="1"/>
  <c r="E191" i="6"/>
  <c r="H118" i="6"/>
  <c r="H139" i="6"/>
  <c r="H136" i="6"/>
  <c r="L70" i="5"/>
  <c r="M137" i="5"/>
  <c r="H19" i="9" l="1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54" i="9"/>
  <c r="H55" i="9"/>
  <c r="H56" i="9"/>
  <c r="H57" i="9"/>
  <c r="H58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4" i="9"/>
  <c r="H62" i="9" l="1"/>
  <c r="D5" i="7"/>
  <c r="D6" i="7"/>
  <c r="D7" i="7"/>
  <c r="E7" i="7" s="1"/>
  <c r="D8" i="7"/>
  <c r="E8" i="7" s="1"/>
  <c r="D9" i="7"/>
  <c r="E9" i="7" s="1"/>
  <c r="D10" i="7"/>
  <c r="E10" i="7" s="1"/>
  <c r="D11" i="7"/>
  <c r="D12" i="7"/>
  <c r="D13" i="7"/>
  <c r="E13" i="7" s="1"/>
  <c r="D14" i="7"/>
  <c r="E14" i="7" s="1"/>
  <c r="D15" i="7"/>
  <c r="D2" i="7"/>
  <c r="E2" i="7" s="1"/>
  <c r="B17" i="7"/>
  <c r="D4" i="7"/>
  <c r="E4" i="7" s="1"/>
  <c r="D3" i="7"/>
  <c r="E3" i="7" s="1"/>
  <c r="C17" i="7" l="1"/>
  <c r="D17" i="7" s="1"/>
  <c r="E17" i="7" s="1"/>
  <c r="D61" i="9" l="1"/>
  <c r="E58" i="9"/>
  <c r="B68" i="9"/>
  <c r="D68" i="9"/>
  <c r="C68" i="9"/>
  <c r="E67" i="9"/>
  <c r="F58" i="9" s="1"/>
  <c r="E66" i="9"/>
  <c r="F57" i="9" s="1"/>
  <c r="E65" i="9"/>
  <c r="E60" i="9"/>
  <c r="F45" i="9" s="1"/>
  <c r="E59" i="9"/>
  <c r="F44" i="9" s="1"/>
  <c r="E57" i="9"/>
  <c r="D40" i="9"/>
  <c r="E39" i="9"/>
  <c r="E38" i="9"/>
  <c r="F38" i="9" s="1"/>
  <c r="F37" i="9"/>
  <c r="D34" i="9"/>
  <c r="C34" i="9"/>
  <c r="B34" i="9"/>
  <c r="F33" i="9"/>
  <c r="F32" i="9"/>
  <c r="F31" i="9"/>
  <c r="F30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D40" i="2"/>
  <c r="C40" i="2"/>
  <c r="E68" i="9" l="1"/>
  <c r="F59" i="9" s="1"/>
  <c r="F39" i="9"/>
  <c r="E40" i="9"/>
  <c r="F40" i="9" s="1"/>
  <c r="E61" i="9"/>
  <c r="F46" i="9" s="1"/>
  <c r="B62" i="9"/>
  <c r="B69" i="9" s="1"/>
  <c r="E34" i="9"/>
  <c r="F34" i="9" s="1"/>
  <c r="F56" i="9"/>
  <c r="F43" i="9"/>
  <c r="C62" i="9"/>
  <c r="C69" i="9" s="1"/>
  <c r="D62" i="9"/>
  <c r="D69" i="9" s="1"/>
  <c r="C43" i="9"/>
  <c r="D43" i="9"/>
  <c r="B45" i="9" l="1"/>
  <c r="E62" i="9"/>
  <c r="E69" i="9" s="1"/>
  <c r="N101" i="9" s="1"/>
  <c r="E207" i="6"/>
  <c r="F207" i="6"/>
  <c r="G207" i="6"/>
  <c r="D207" i="6"/>
  <c r="M1078" i="8"/>
  <c r="N1078" i="8"/>
  <c r="O1078" i="8"/>
  <c r="L874" i="8"/>
  <c r="F53" i="9" l="1"/>
  <c r="L635" i="8"/>
  <c r="E201" i="6"/>
  <c r="F201" i="6"/>
  <c r="G201" i="6"/>
  <c r="D201" i="6"/>
  <c r="H208" i="6"/>
  <c r="H207" i="6"/>
  <c r="H206" i="6"/>
  <c r="H205" i="6"/>
  <c r="H204" i="6"/>
  <c r="H203" i="6"/>
  <c r="H200" i="6"/>
  <c r="H199" i="6"/>
  <c r="H198" i="6"/>
  <c r="J201" i="6"/>
  <c r="L1250" i="8"/>
  <c r="L1242" i="8"/>
  <c r="L1203" i="8"/>
  <c r="M1148" i="8"/>
  <c r="M1149" i="8" s="1"/>
  <c r="L1148" i="8"/>
  <c r="L1077" i="8"/>
  <c r="K1077" i="8"/>
  <c r="J1077" i="8"/>
  <c r="I1077" i="8"/>
  <c r="L1073" i="8"/>
  <c r="K1073" i="8"/>
  <c r="J1073" i="8"/>
  <c r="I1073" i="8"/>
  <c r="L1060" i="8"/>
  <c r="K1060" i="8"/>
  <c r="J1060" i="8"/>
  <c r="I1060" i="8"/>
  <c r="L1034" i="8"/>
  <c r="K1034" i="8"/>
  <c r="J1034" i="8"/>
  <c r="I1034" i="8"/>
  <c r="L1024" i="8"/>
  <c r="L1020" i="8"/>
  <c r="K1020" i="8"/>
  <c r="J1020" i="8"/>
  <c r="I1020" i="8"/>
  <c r="L985" i="8"/>
  <c r="K985" i="8"/>
  <c r="J985" i="8"/>
  <c r="I985" i="8"/>
  <c r="L966" i="8"/>
  <c r="K966" i="8"/>
  <c r="J966" i="8"/>
  <c r="I966" i="8"/>
  <c r="L937" i="8"/>
  <c r="K937" i="8"/>
  <c r="J937" i="8"/>
  <c r="I937" i="8"/>
  <c r="L926" i="8"/>
  <c r="K926" i="8"/>
  <c r="J926" i="8"/>
  <c r="I926" i="8"/>
  <c r="K874" i="8"/>
  <c r="J874" i="8"/>
  <c r="L868" i="8"/>
  <c r="K868" i="8"/>
  <c r="J868" i="8"/>
  <c r="I868" i="8"/>
  <c r="L831" i="8"/>
  <c r="K831" i="8"/>
  <c r="J831" i="8"/>
  <c r="I831" i="8"/>
  <c r="L794" i="8"/>
  <c r="K794" i="8"/>
  <c r="J794" i="8"/>
  <c r="I794" i="8"/>
  <c r="L781" i="8"/>
  <c r="K781" i="8"/>
  <c r="J781" i="8"/>
  <c r="I781" i="8"/>
  <c r="L773" i="8"/>
  <c r="K773" i="8"/>
  <c r="J773" i="8"/>
  <c r="I773" i="8"/>
  <c r="L748" i="8"/>
  <c r="K748" i="8"/>
  <c r="J748" i="8"/>
  <c r="I748" i="8"/>
  <c r="L743" i="8"/>
  <c r="K743" i="8"/>
  <c r="J743" i="8"/>
  <c r="I743" i="8"/>
  <c r="L738" i="8"/>
  <c r="K738" i="8"/>
  <c r="J738" i="8"/>
  <c r="I738" i="8"/>
  <c r="L719" i="8"/>
  <c r="K719" i="8"/>
  <c r="J719" i="8"/>
  <c r="I719" i="8"/>
  <c r="L701" i="8"/>
  <c r="K701" i="8"/>
  <c r="J701" i="8"/>
  <c r="I701" i="8"/>
  <c r="L689" i="8"/>
  <c r="K689" i="8"/>
  <c r="J689" i="8"/>
  <c r="I689" i="8"/>
  <c r="J681" i="8"/>
  <c r="L671" i="8"/>
  <c r="K671" i="8"/>
  <c r="J671" i="8"/>
  <c r="I671" i="8"/>
  <c r="K635" i="8"/>
  <c r="J635" i="8"/>
  <c r="I635" i="8"/>
  <c r="L625" i="8"/>
  <c r="K625" i="8"/>
  <c r="J625" i="8"/>
  <c r="I625" i="8"/>
  <c r="L618" i="8"/>
  <c r="K618" i="8"/>
  <c r="J618" i="8"/>
  <c r="I618" i="8"/>
  <c r="L598" i="8"/>
  <c r="K598" i="8"/>
  <c r="J598" i="8"/>
  <c r="I598" i="8"/>
  <c r="L577" i="8"/>
  <c r="K577" i="8"/>
  <c r="J577" i="8"/>
  <c r="I577" i="8"/>
  <c r="L564" i="8"/>
  <c r="K564" i="8"/>
  <c r="J564" i="8"/>
  <c r="I564" i="8"/>
  <c r="L537" i="8"/>
  <c r="K537" i="8"/>
  <c r="J537" i="8"/>
  <c r="I537" i="8"/>
  <c r="L509" i="8"/>
  <c r="K509" i="8"/>
  <c r="J509" i="8"/>
  <c r="I509" i="8"/>
  <c r="L496" i="8"/>
  <c r="K496" i="8"/>
  <c r="J496" i="8"/>
  <c r="I496" i="8"/>
  <c r="L488" i="8"/>
  <c r="L483" i="8"/>
  <c r="L472" i="8"/>
  <c r="K472" i="8"/>
  <c r="J472" i="8"/>
  <c r="I472" i="8"/>
  <c r="L467" i="8"/>
  <c r="K467" i="8"/>
  <c r="J467" i="8"/>
  <c r="I467" i="8"/>
  <c r="L448" i="8"/>
  <c r="K448" i="8"/>
  <c r="J448" i="8"/>
  <c r="I448" i="8"/>
  <c r="L441" i="8"/>
  <c r="K441" i="8"/>
  <c r="J441" i="8"/>
  <c r="I441" i="8"/>
  <c r="L420" i="8"/>
  <c r="K420" i="8"/>
  <c r="J420" i="8"/>
  <c r="I420" i="8"/>
  <c r="L413" i="8"/>
  <c r="K413" i="8"/>
  <c r="J413" i="8"/>
  <c r="I413" i="8"/>
  <c r="L400" i="8"/>
  <c r="K400" i="8"/>
  <c r="J400" i="8"/>
  <c r="I400" i="8"/>
  <c r="L383" i="8"/>
  <c r="K383" i="8"/>
  <c r="J383" i="8"/>
  <c r="I383" i="8"/>
  <c r="L372" i="8"/>
  <c r="K372" i="8"/>
  <c r="J372" i="8"/>
  <c r="I372" i="8"/>
  <c r="L360" i="8"/>
  <c r="K360" i="8"/>
  <c r="J360" i="8"/>
  <c r="I360" i="8"/>
  <c r="L354" i="8"/>
  <c r="K354" i="8"/>
  <c r="J354" i="8"/>
  <c r="I354" i="8"/>
  <c r="L343" i="8"/>
  <c r="L344" i="8" s="1"/>
  <c r="J343" i="8"/>
  <c r="I343" i="8"/>
  <c r="L338" i="8"/>
  <c r="K338" i="8"/>
  <c r="K344" i="8" s="1"/>
  <c r="J338" i="8"/>
  <c r="I338" i="8"/>
  <c r="I287" i="8"/>
  <c r="L278" i="8"/>
  <c r="K278" i="8"/>
  <c r="J278" i="8"/>
  <c r="I278" i="8"/>
  <c r="L256" i="8"/>
  <c r="K256" i="8"/>
  <c r="J256" i="8"/>
  <c r="I256" i="8"/>
  <c r="L244" i="8"/>
  <c r="K244" i="8"/>
  <c r="J244" i="8"/>
  <c r="I244" i="8"/>
  <c r="L235" i="8"/>
  <c r="K235" i="8"/>
  <c r="J235" i="8"/>
  <c r="I235" i="8"/>
  <c r="L229" i="8"/>
  <c r="K229" i="8"/>
  <c r="J229" i="8"/>
  <c r="I229" i="8"/>
  <c r="L195" i="8"/>
  <c r="K195" i="8"/>
  <c r="J195" i="8"/>
  <c r="L186" i="8"/>
  <c r="K186" i="8"/>
  <c r="J186" i="8"/>
  <c r="I186" i="8"/>
  <c r="L149" i="8"/>
  <c r="K149" i="8"/>
  <c r="J149" i="8"/>
  <c r="I149" i="8"/>
  <c r="L145" i="8"/>
  <c r="K145" i="8"/>
  <c r="J145" i="8"/>
  <c r="I145" i="8"/>
  <c r="L92" i="8"/>
  <c r="K92" i="8"/>
  <c r="J92" i="8"/>
  <c r="I92" i="8"/>
  <c r="L75" i="8"/>
  <c r="K75" i="8"/>
  <c r="J75" i="8"/>
  <c r="I75" i="8"/>
  <c r="L56" i="8"/>
  <c r="K56" i="8"/>
  <c r="J56" i="8"/>
  <c r="I56" i="8"/>
  <c r="K47" i="8"/>
  <c r="J47" i="8"/>
  <c r="I47" i="8"/>
  <c r="L36" i="8"/>
  <c r="L22" i="8"/>
  <c r="L7" i="8"/>
  <c r="L37" i="8" l="1"/>
  <c r="L47" i="8" s="1"/>
  <c r="I626" i="8"/>
  <c r="I344" i="8"/>
  <c r="F60" i="9"/>
  <c r="H201" i="6"/>
  <c r="K361" i="8"/>
  <c r="J421" i="8"/>
  <c r="I449" i="8"/>
  <c r="I473" i="8"/>
  <c r="L489" i="8"/>
  <c r="K230" i="8"/>
  <c r="K401" i="8"/>
  <c r="L565" i="8"/>
  <c r="K599" i="8"/>
  <c r="L94" i="8"/>
  <c r="L95" i="8" s="1"/>
  <c r="L230" i="8"/>
  <c r="L361" i="8"/>
  <c r="L401" i="8"/>
  <c r="K421" i="8"/>
  <c r="J449" i="8"/>
  <c r="J473" i="8"/>
  <c r="I565" i="8"/>
  <c r="L599" i="8"/>
  <c r="J626" i="8"/>
  <c r="J1035" i="8"/>
  <c r="I94" i="8"/>
  <c r="I95" i="8" s="1"/>
  <c r="I230" i="8"/>
  <c r="I361" i="8"/>
  <c r="I401" i="8"/>
  <c r="L421" i="8"/>
  <c r="K449" i="8"/>
  <c r="K473" i="8"/>
  <c r="J565" i="8"/>
  <c r="I599" i="8"/>
  <c r="K626" i="8"/>
  <c r="K1035" i="8"/>
  <c r="K94" i="8"/>
  <c r="K95" i="8" s="1"/>
  <c r="I1035" i="8"/>
  <c r="J94" i="8"/>
  <c r="J95" i="8" s="1"/>
  <c r="J230" i="8"/>
  <c r="J344" i="8"/>
  <c r="J361" i="8"/>
  <c r="J401" i="8"/>
  <c r="I421" i="8"/>
  <c r="L449" i="8"/>
  <c r="L473" i="8"/>
  <c r="K565" i="8"/>
  <c r="J599" i="8"/>
  <c r="L626" i="8"/>
  <c r="L1035" i="8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6" i="6"/>
  <c r="M441" i="5"/>
  <c r="M906" i="5"/>
  <c r="E30" i="6"/>
  <c r="D30" i="6"/>
  <c r="E33" i="6"/>
  <c r="E35" i="6"/>
  <c r="E41" i="6"/>
  <c r="E46" i="6"/>
  <c r="E47" i="6"/>
  <c r="H47" i="6" s="1"/>
  <c r="E51" i="6"/>
  <c r="E68" i="6"/>
  <c r="D51" i="6"/>
  <c r="D41" i="6"/>
  <c r="D33" i="6"/>
  <c r="M730" i="5"/>
  <c r="M969" i="5"/>
  <c r="M964" i="5"/>
  <c r="M959" i="5"/>
  <c r="M954" i="5"/>
  <c r="M949" i="5"/>
  <c r="M944" i="5"/>
  <c r="M939" i="5"/>
  <c r="M934" i="5"/>
  <c r="M929" i="5"/>
  <c r="M927" i="5"/>
  <c r="M925" i="5"/>
  <c r="M923" i="5"/>
  <c r="M918" i="5"/>
  <c r="M917" i="5"/>
  <c r="M915" i="5"/>
  <c r="M910" i="5"/>
  <c r="M908" i="5"/>
  <c r="M901" i="5"/>
  <c r="M898" i="5"/>
  <c r="M896" i="5"/>
  <c r="F30" i="6"/>
  <c r="M874" i="5"/>
  <c r="M970" i="5"/>
  <c r="M886" i="5"/>
  <c r="M885" i="5"/>
  <c r="M847" i="5"/>
  <c r="M327" i="5"/>
  <c r="M38" i="5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8" i="6"/>
  <c r="H137" i="6"/>
  <c r="H132" i="6"/>
  <c r="H131" i="6"/>
  <c r="H130" i="6"/>
  <c r="H129" i="6"/>
  <c r="H128" i="6"/>
  <c r="H127" i="6"/>
  <c r="H125" i="6"/>
  <c r="H124" i="6"/>
  <c r="H123" i="6"/>
  <c r="H122" i="6"/>
  <c r="H121" i="6"/>
  <c r="H120" i="6"/>
  <c r="H119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G191" i="6"/>
  <c r="D191" i="6"/>
  <c r="H82" i="2"/>
  <c r="H80" i="2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5" i="6"/>
  <c r="H44" i="6"/>
  <c r="H43" i="6"/>
  <c r="H42" i="6"/>
  <c r="H40" i="6"/>
  <c r="H39" i="6"/>
  <c r="H38" i="6"/>
  <c r="H37" i="6"/>
  <c r="H36" i="6"/>
  <c r="H34" i="6"/>
  <c r="M128" i="5"/>
  <c r="M171" i="5"/>
  <c r="M170" i="5"/>
  <c r="M181" i="5"/>
  <c r="M196" i="5"/>
  <c r="M260" i="5"/>
  <c r="M269" i="5"/>
  <c r="M259" i="5"/>
  <c r="M250" i="5"/>
  <c r="M241" i="5"/>
  <c r="M232" i="5"/>
  <c r="M223" i="5"/>
  <c r="M214" i="5"/>
  <c r="M205" i="5"/>
  <c r="M195" i="5"/>
  <c r="M186" i="5"/>
  <c r="M180" i="5"/>
  <c r="M169" i="5"/>
  <c r="M160" i="5"/>
  <c r="M156" i="5"/>
  <c r="M152" i="5"/>
  <c r="M143" i="5"/>
  <c r="M828" i="5"/>
  <c r="G74" i="6"/>
  <c r="F74" i="6"/>
  <c r="H28" i="6"/>
  <c r="H23" i="6"/>
  <c r="H24" i="6"/>
  <c r="H25" i="6"/>
  <c r="H26" i="6"/>
  <c r="H27" i="6"/>
  <c r="H29" i="6"/>
  <c r="G30" i="6"/>
  <c r="M853" i="5"/>
  <c r="M857" i="5"/>
  <c r="M863" i="5"/>
  <c r="M867" i="5"/>
  <c r="M871" i="5"/>
  <c r="M878" i="5"/>
  <c r="M827" i="5"/>
  <c r="M807" i="5"/>
  <c r="M788" i="5"/>
  <c r="M769" i="5"/>
  <c r="M750" i="5"/>
  <c r="M657" i="5"/>
  <c r="M711" i="5"/>
  <c r="M692" i="5"/>
  <c r="M673" i="5"/>
  <c r="M650" i="5"/>
  <c r="M630" i="5"/>
  <c r="M611" i="5"/>
  <c r="M599" i="5"/>
  <c r="M585" i="5"/>
  <c r="M566" i="5"/>
  <c r="M556" i="5"/>
  <c r="M541" i="5"/>
  <c r="M346" i="5"/>
  <c r="M515" i="5"/>
  <c r="M495" i="5"/>
  <c r="M484" i="5"/>
  <c r="M481" i="5"/>
  <c r="M479" i="5"/>
  <c r="M470" i="5"/>
  <c r="M462" i="5"/>
  <c r="M443" i="5"/>
  <c r="M409" i="5"/>
  <c r="M370" i="5"/>
  <c r="M350" i="5"/>
  <c r="M116" i="5"/>
  <c r="M108" i="5"/>
  <c r="M103" i="5"/>
  <c r="M98" i="5"/>
  <c r="M89" i="5"/>
  <c r="M87" i="5"/>
  <c r="M82" i="5"/>
  <c r="M75" i="5"/>
  <c r="M49" i="5"/>
  <c r="M63" i="5"/>
  <c r="M59" i="5"/>
  <c r="M47" i="5"/>
  <c r="H30" i="6" l="1"/>
  <c r="H41" i="6"/>
  <c r="H191" i="6"/>
  <c r="J198" i="6" s="1"/>
  <c r="G209" i="6"/>
  <c r="H33" i="6"/>
  <c r="F209" i="6"/>
  <c r="L1078" i="8"/>
  <c r="L1079" i="8" s="1"/>
  <c r="J1078" i="8"/>
  <c r="J1079" i="8" s="1"/>
  <c r="I1078" i="8"/>
  <c r="I1079" i="8" s="1"/>
  <c r="K1078" i="8"/>
  <c r="K1079" i="8" s="1"/>
  <c r="H35" i="6"/>
  <c r="E74" i="6"/>
  <c r="E209" i="6" s="1"/>
  <c r="H46" i="6"/>
  <c r="D74" i="6"/>
  <c r="M270" i="5"/>
  <c r="H74" i="6" l="1"/>
  <c r="D209" i="6"/>
  <c r="H209" i="6" s="1"/>
  <c r="L72" i="5"/>
  <c r="L71" i="5"/>
  <c r="N857" i="5"/>
  <c r="N845" i="5"/>
  <c r="N769" i="5"/>
  <c r="N706" i="5"/>
  <c r="N677" i="5"/>
  <c r="N676" i="5"/>
  <c r="N675" i="5"/>
  <c r="N654" i="5"/>
  <c r="N653" i="5"/>
  <c r="N645" i="5"/>
  <c r="N603" i="5"/>
  <c r="N602" i="5"/>
  <c r="L376" i="5"/>
  <c r="L423" i="5"/>
  <c r="N394" i="5"/>
  <c r="L390" i="5"/>
  <c r="N288" i="5"/>
  <c r="N287" i="5"/>
  <c r="N286" i="5"/>
  <c r="N285" i="5"/>
  <c r="N282" i="5"/>
  <c r="N268" i="5"/>
  <c r="N267" i="5"/>
  <c r="N266" i="5"/>
  <c r="N265" i="5"/>
  <c r="N261" i="5"/>
  <c r="N259" i="5"/>
  <c r="N258" i="5"/>
  <c r="N257" i="5"/>
  <c r="N203" i="5"/>
  <c r="L383" i="5"/>
  <c r="N121" i="5"/>
  <c r="N61" i="5"/>
  <c r="N26" i="5"/>
  <c r="N25" i="5"/>
  <c r="N22" i="5"/>
  <c r="L410" i="5"/>
  <c r="N14" i="5"/>
  <c r="N13" i="5"/>
  <c r="N12" i="5"/>
  <c r="N11" i="5"/>
  <c r="N7" i="5"/>
  <c r="N4" i="5"/>
  <c r="M378" i="5" l="1"/>
  <c r="M521" i="5"/>
  <c r="M118" i="5"/>
  <c r="L972" i="5"/>
  <c r="M397" i="5"/>
  <c r="M429" i="5"/>
  <c r="M72" i="5"/>
  <c r="L2620" i="4"/>
  <c r="L2581" i="4"/>
  <c r="M2526" i="4"/>
  <c r="M2527" i="4" s="1"/>
  <c r="L2526" i="4"/>
  <c r="L2455" i="4"/>
  <c r="K2455" i="4"/>
  <c r="J2455" i="4"/>
  <c r="I2455" i="4"/>
  <c r="L2451" i="4"/>
  <c r="K2451" i="4"/>
  <c r="J2451" i="4"/>
  <c r="I2451" i="4"/>
  <c r="L2438" i="4"/>
  <c r="K2438" i="4"/>
  <c r="J2438" i="4"/>
  <c r="I2438" i="4"/>
  <c r="L2412" i="4"/>
  <c r="K2412" i="4"/>
  <c r="J2412" i="4"/>
  <c r="I2412" i="4"/>
  <c r="L2402" i="4"/>
  <c r="M2398" i="4"/>
  <c r="N2398" i="4" s="1"/>
  <c r="L2398" i="4"/>
  <c r="K2398" i="4"/>
  <c r="J2398" i="4"/>
  <c r="I2398" i="4"/>
  <c r="M2363" i="4"/>
  <c r="M2365" i="4" s="1"/>
  <c r="N2363" i="4" s="1"/>
  <c r="L2363" i="4"/>
  <c r="K2363" i="4"/>
  <c r="J2363" i="4"/>
  <c r="I2363" i="4"/>
  <c r="M2346" i="4"/>
  <c r="M2344" i="4"/>
  <c r="L2344" i="4"/>
  <c r="K2344" i="4"/>
  <c r="J2344" i="4"/>
  <c r="I2344" i="4"/>
  <c r="N2317" i="4"/>
  <c r="L2315" i="4"/>
  <c r="K2315" i="4"/>
  <c r="J2315" i="4"/>
  <c r="I2315" i="4"/>
  <c r="L2304" i="4"/>
  <c r="K2304" i="4"/>
  <c r="J2304" i="4"/>
  <c r="I2304" i="4"/>
  <c r="N2273" i="4"/>
  <c r="L2252" i="4"/>
  <c r="K2252" i="4"/>
  <c r="J2252" i="4"/>
  <c r="N2251" i="4"/>
  <c r="L2246" i="4"/>
  <c r="K2246" i="4"/>
  <c r="J2246" i="4"/>
  <c r="I2246" i="4"/>
  <c r="L2209" i="4"/>
  <c r="K2209" i="4"/>
  <c r="J2209" i="4"/>
  <c r="I2209" i="4"/>
  <c r="L2172" i="4"/>
  <c r="K2172" i="4"/>
  <c r="J2172" i="4"/>
  <c r="I2172" i="4"/>
  <c r="L2159" i="4"/>
  <c r="K2159" i="4"/>
  <c r="J2159" i="4"/>
  <c r="I2159" i="4"/>
  <c r="L2151" i="4"/>
  <c r="K2151" i="4"/>
  <c r="J2151" i="4"/>
  <c r="I2151" i="4"/>
  <c r="L2126" i="4"/>
  <c r="K2126" i="4"/>
  <c r="J2126" i="4"/>
  <c r="I2126" i="4"/>
  <c r="L2121" i="4"/>
  <c r="K2121" i="4"/>
  <c r="J2121" i="4"/>
  <c r="I2121" i="4"/>
  <c r="L2116" i="4"/>
  <c r="K2116" i="4"/>
  <c r="J2116" i="4"/>
  <c r="I2116" i="4"/>
  <c r="L2097" i="4"/>
  <c r="K2097" i="4"/>
  <c r="J2097" i="4"/>
  <c r="I2097" i="4"/>
  <c r="N2091" i="4"/>
  <c r="N2079" i="4"/>
  <c r="L2079" i="4"/>
  <c r="K2079" i="4"/>
  <c r="J2079" i="4"/>
  <c r="I2079" i="4"/>
  <c r="N2075" i="4"/>
  <c r="L2067" i="4"/>
  <c r="K2067" i="4"/>
  <c r="J2067" i="4"/>
  <c r="I2067" i="4"/>
  <c r="J2059" i="4"/>
  <c r="N2049" i="4"/>
  <c r="L2049" i="4"/>
  <c r="K2049" i="4"/>
  <c r="J2049" i="4"/>
  <c r="I2049" i="4"/>
  <c r="N2048" i="4"/>
  <c r="N2047" i="4"/>
  <c r="N2039" i="4"/>
  <c r="N2040" i="4" s="1"/>
  <c r="N2035" i="4"/>
  <c r="L2013" i="4"/>
  <c r="K2013" i="4"/>
  <c r="J2013" i="4"/>
  <c r="I2013" i="4"/>
  <c r="L2003" i="4"/>
  <c r="K2003" i="4"/>
  <c r="J2003" i="4"/>
  <c r="I2003" i="4"/>
  <c r="N2000" i="4"/>
  <c r="N1999" i="4"/>
  <c r="L1996" i="4"/>
  <c r="K1996" i="4"/>
  <c r="J1996" i="4"/>
  <c r="I1996" i="4"/>
  <c r="L1976" i="4"/>
  <c r="K1976" i="4"/>
  <c r="J1976" i="4"/>
  <c r="I1976" i="4"/>
  <c r="L1955" i="4"/>
  <c r="K1955" i="4"/>
  <c r="J1955" i="4"/>
  <c r="I1955" i="4"/>
  <c r="M1947" i="4"/>
  <c r="L1942" i="4"/>
  <c r="K1942" i="4"/>
  <c r="J1942" i="4"/>
  <c r="I1942" i="4"/>
  <c r="L1915" i="4"/>
  <c r="K1915" i="4"/>
  <c r="J1915" i="4"/>
  <c r="I1915" i="4"/>
  <c r="N1893" i="4"/>
  <c r="N1890" i="4"/>
  <c r="L1887" i="4"/>
  <c r="K1887" i="4"/>
  <c r="J1887" i="4"/>
  <c r="I1887" i="4"/>
  <c r="M1879" i="4"/>
  <c r="L1874" i="4"/>
  <c r="K1874" i="4"/>
  <c r="J1874" i="4"/>
  <c r="I1874" i="4"/>
  <c r="L1866" i="4"/>
  <c r="L1861" i="4"/>
  <c r="M1860" i="4"/>
  <c r="M1859" i="4"/>
  <c r="M1855" i="4"/>
  <c r="L1850" i="4"/>
  <c r="K1850" i="4"/>
  <c r="J1850" i="4"/>
  <c r="I1850" i="4"/>
  <c r="L1845" i="4"/>
  <c r="K1845" i="4"/>
  <c r="J1845" i="4"/>
  <c r="I1845" i="4"/>
  <c r="L1826" i="4"/>
  <c r="K1826" i="4"/>
  <c r="J1826" i="4"/>
  <c r="I1826" i="4"/>
  <c r="N1823" i="4"/>
  <c r="L1819" i="4"/>
  <c r="K1819" i="4"/>
  <c r="J1819" i="4"/>
  <c r="I1819" i="4"/>
  <c r="L1798" i="4"/>
  <c r="K1798" i="4"/>
  <c r="J1798" i="4"/>
  <c r="I1798" i="4"/>
  <c r="M1792" i="4"/>
  <c r="L1791" i="4"/>
  <c r="K1791" i="4"/>
  <c r="J1791" i="4"/>
  <c r="I1791" i="4"/>
  <c r="L1778" i="4"/>
  <c r="K1778" i="4"/>
  <c r="J1778" i="4"/>
  <c r="I1778" i="4"/>
  <c r="L1761" i="4"/>
  <c r="K1761" i="4"/>
  <c r="J1761" i="4"/>
  <c r="I1761" i="4"/>
  <c r="L1750" i="4"/>
  <c r="K1750" i="4"/>
  <c r="J1750" i="4"/>
  <c r="I1750" i="4"/>
  <c r="L1738" i="4"/>
  <c r="K1738" i="4"/>
  <c r="J1738" i="4"/>
  <c r="I1738" i="4"/>
  <c r="L1732" i="4"/>
  <c r="K1732" i="4"/>
  <c r="J1732" i="4"/>
  <c r="I1732" i="4"/>
  <c r="L1721" i="4"/>
  <c r="J1721" i="4"/>
  <c r="I1721" i="4"/>
  <c r="L1716" i="4"/>
  <c r="K1716" i="4"/>
  <c r="K1722" i="4" s="1"/>
  <c r="J1716" i="4"/>
  <c r="I1716" i="4"/>
  <c r="N1714" i="4"/>
  <c r="N1710" i="4"/>
  <c r="N1708" i="4"/>
  <c r="I1665" i="4"/>
  <c r="L1656" i="4"/>
  <c r="K1656" i="4"/>
  <c r="J1656" i="4"/>
  <c r="I1656" i="4"/>
  <c r="L1634" i="4"/>
  <c r="K1634" i="4"/>
  <c r="J1634" i="4"/>
  <c r="I1634" i="4"/>
  <c r="L1622" i="4"/>
  <c r="K1622" i="4"/>
  <c r="J1622" i="4"/>
  <c r="I1622" i="4"/>
  <c r="L1613" i="4"/>
  <c r="K1613" i="4"/>
  <c r="J1613" i="4"/>
  <c r="I1613" i="4"/>
  <c r="L1607" i="4"/>
  <c r="K1607" i="4"/>
  <c r="J1607" i="4"/>
  <c r="I1607" i="4"/>
  <c r="L1573" i="4"/>
  <c r="K1573" i="4"/>
  <c r="J1573" i="4"/>
  <c r="L1564" i="4"/>
  <c r="K1564" i="4"/>
  <c r="J1564" i="4"/>
  <c r="I1564" i="4"/>
  <c r="L1527" i="4"/>
  <c r="K1527" i="4"/>
  <c r="J1527" i="4"/>
  <c r="I1527" i="4"/>
  <c r="L1523" i="4"/>
  <c r="K1523" i="4"/>
  <c r="J1523" i="4"/>
  <c r="I1523" i="4"/>
  <c r="N1488" i="4"/>
  <c r="L1470" i="4"/>
  <c r="K1470" i="4"/>
  <c r="J1470" i="4"/>
  <c r="I1470" i="4"/>
  <c r="L1453" i="4"/>
  <c r="K1453" i="4"/>
  <c r="J1453" i="4"/>
  <c r="I1453" i="4"/>
  <c r="L1434" i="4"/>
  <c r="K1434" i="4"/>
  <c r="J1434" i="4"/>
  <c r="I1434" i="4"/>
  <c r="K1425" i="4"/>
  <c r="J1425" i="4"/>
  <c r="I1425" i="4"/>
  <c r="L1414" i="4"/>
  <c r="L1400" i="4"/>
  <c r="L1385" i="4"/>
  <c r="N1363" i="4"/>
  <c r="N1321" i="4"/>
  <c r="M1276" i="4"/>
  <c r="N1273" i="4"/>
  <c r="M1273" i="4"/>
  <c r="M1227" i="4"/>
  <c r="N1224" i="4"/>
  <c r="N1179" i="4"/>
  <c r="N1178" i="4"/>
  <c r="N1139" i="4"/>
  <c r="N1108" i="4"/>
  <c r="N1107" i="4"/>
  <c r="N1106" i="4"/>
  <c r="M1093" i="4"/>
  <c r="N1084" i="4"/>
  <c r="N1083" i="4"/>
  <c r="N1082" i="4"/>
  <c r="N1081" i="4"/>
  <c r="N1074" i="4"/>
  <c r="N1071" i="4"/>
  <c r="N1069" i="4"/>
  <c r="N1068" i="4"/>
  <c r="N1064" i="4"/>
  <c r="N1055" i="4"/>
  <c r="N1011" i="4"/>
  <c r="N1010" i="4"/>
  <c r="M997" i="4"/>
  <c r="L874" i="4"/>
  <c r="L796" i="4"/>
  <c r="N770" i="4"/>
  <c r="N763" i="4"/>
  <c r="N754" i="4"/>
  <c r="L748" i="4"/>
  <c r="N548" i="4"/>
  <c r="N547" i="4"/>
  <c r="N546" i="4"/>
  <c r="N545" i="4"/>
  <c r="N541" i="4"/>
  <c r="N539" i="4"/>
  <c r="N538" i="4"/>
  <c r="N537" i="4"/>
  <c r="N536" i="4"/>
  <c r="N532" i="4"/>
  <c r="N507" i="4"/>
  <c r="N506" i="4"/>
  <c r="N505" i="4"/>
  <c r="N504" i="4"/>
  <c r="N500" i="4"/>
  <c r="N498" i="4"/>
  <c r="N497" i="4"/>
  <c r="N496" i="4"/>
  <c r="N433" i="4"/>
  <c r="L380" i="4"/>
  <c r="N345" i="4"/>
  <c r="N255" i="4"/>
  <c r="N211" i="4"/>
  <c r="N210" i="4"/>
  <c r="N209" i="4"/>
  <c r="N208" i="4"/>
  <c r="N200" i="4"/>
  <c r="N199" i="4"/>
  <c r="N198" i="4"/>
  <c r="N197" i="4"/>
  <c r="N195" i="4"/>
  <c r="N190" i="4"/>
  <c r="N181" i="4"/>
  <c r="N179" i="4"/>
  <c r="N175" i="4"/>
  <c r="L175" i="4"/>
  <c r="N170" i="4"/>
  <c r="N166" i="4"/>
  <c r="N165" i="4"/>
  <c r="N164" i="4"/>
  <c r="N163" i="4"/>
  <c r="N159" i="4"/>
  <c r="N156" i="4"/>
  <c r="N155" i="4"/>
  <c r="N150" i="4"/>
  <c r="L122" i="4"/>
  <c r="J122" i="4"/>
  <c r="I122" i="4"/>
  <c r="L113" i="4"/>
  <c r="J113" i="4"/>
  <c r="I113" i="4"/>
  <c r="L99" i="4"/>
  <c r="I99" i="4"/>
  <c r="J94" i="4"/>
  <c r="J99" i="4" s="1"/>
  <c r="L91" i="4"/>
  <c r="J91" i="4"/>
  <c r="I91" i="4"/>
  <c r="L15" i="4"/>
  <c r="J12" i="4"/>
  <c r="J15" i="4" s="1"/>
  <c r="L1867" i="4" l="1"/>
  <c r="K1799" i="4"/>
  <c r="L123" i="4"/>
  <c r="J1722" i="4"/>
  <c r="J1827" i="4"/>
  <c r="N2089" i="4"/>
  <c r="N2092" i="4" s="1"/>
  <c r="L100" i="4"/>
  <c r="L101" i="4" s="1"/>
  <c r="K2004" i="4"/>
  <c r="M2345" i="4"/>
  <c r="I100" i="4"/>
  <c r="I101" i="4" s="1"/>
  <c r="J123" i="4"/>
  <c r="J1472" i="4"/>
  <c r="J1473" i="4" s="1"/>
  <c r="J1608" i="4"/>
  <c r="J1739" i="4"/>
  <c r="J1779" i="4"/>
  <c r="I1799" i="4"/>
  <c r="L1827" i="4"/>
  <c r="L1851" i="4"/>
  <c r="L1943" i="4"/>
  <c r="K1977" i="4"/>
  <c r="I2004" i="4"/>
  <c r="J2413" i="4"/>
  <c r="K1472" i="4"/>
  <c r="K1473" i="4" s="1"/>
  <c r="K1608" i="4"/>
  <c r="L1722" i="4"/>
  <c r="K1739" i="4"/>
  <c r="K1779" i="4"/>
  <c r="J1799" i="4"/>
  <c r="I1827" i="4"/>
  <c r="I1851" i="4"/>
  <c r="I1943" i="4"/>
  <c r="L1977" i="4"/>
  <c r="J2004" i="4"/>
  <c r="N2399" i="4"/>
  <c r="K2413" i="4"/>
  <c r="L1472" i="4"/>
  <c r="L1608" i="4"/>
  <c r="L1739" i="4"/>
  <c r="L1779" i="4"/>
  <c r="J1851" i="4"/>
  <c r="J1943" i="4"/>
  <c r="I1977" i="4"/>
  <c r="L2413" i="4"/>
  <c r="I123" i="4"/>
  <c r="L1415" i="4"/>
  <c r="L1425" i="4" s="1"/>
  <c r="I1472" i="4"/>
  <c r="I1473" i="4" s="1"/>
  <c r="I1608" i="4"/>
  <c r="I1722" i="4"/>
  <c r="I1739" i="4"/>
  <c r="I1779" i="4"/>
  <c r="L1799" i="4"/>
  <c r="K1827" i="4"/>
  <c r="K1851" i="4"/>
  <c r="K1943" i="4"/>
  <c r="J1977" i="4"/>
  <c r="L2004" i="4"/>
  <c r="I2413" i="4"/>
  <c r="J100" i="4"/>
  <c r="J101" i="4" s="1"/>
  <c r="N176" i="4"/>
  <c r="G1398" i="3"/>
  <c r="K1386" i="3"/>
  <c r="J1383" i="3"/>
  <c r="H1383" i="3"/>
  <c r="G1383" i="3"/>
  <c r="J1373" i="3"/>
  <c r="I1373" i="3"/>
  <c r="H1373" i="3"/>
  <c r="G1373" i="3"/>
  <c r="I1365" i="3"/>
  <c r="H1365" i="3"/>
  <c r="G1365" i="3"/>
  <c r="J1362" i="3"/>
  <c r="J1365" i="3" s="1"/>
  <c r="J1354" i="3"/>
  <c r="I1354" i="3"/>
  <c r="H1354" i="3"/>
  <c r="G1354" i="3"/>
  <c r="J1318" i="3"/>
  <c r="I1318" i="3"/>
  <c r="H1318" i="3"/>
  <c r="G1318" i="3"/>
  <c r="I1306" i="3"/>
  <c r="H1306" i="3"/>
  <c r="G1306" i="3"/>
  <c r="J1299" i="3"/>
  <c r="J1306" i="3" s="1"/>
  <c r="J1291" i="3"/>
  <c r="K1291" i="3" s="1"/>
  <c r="I1291" i="3"/>
  <c r="H1291" i="3"/>
  <c r="G1291" i="3"/>
  <c r="J1221" i="3"/>
  <c r="I1221" i="3"/>
  <c r="H1221" i="3"/>
  <c r="G1221" i="3"/>
  <c r="I1175" i="3"/>
  <c r="H1175" i="3"/>
  <c r="G1175" i="3"/>
  <c r="K1162" i="3"/>
  <c r="K1163" i="3" s="1"/>
  <c r="J1162" i="3"/>
  <c r="J1175" i="3" s="1"/>
  <c r="J1157" i="3"/>
  <c r="I1157" i="3"/>
  <c r="H1157" i="3"/>
  <c r="G1157" i="3"/>
  <c r="J1078" i="3"/>
  <c r="I1078" i="3"/>
  <c r="H1078" i="3"/>
  <c r="G1078" i="3"/>
  <c r="J1074" i="3"/>
  <c r="I1074" i="3"/>
  <c r="H1074" i="3"/>
  <c r="G1074" i="3"/>
  <c r="J1061" i="3"/>
  <c r="I1061" i="3"/>
  <c r="H1061" i="3"/>
  <c r="G1061" i="3"/>
  <c r="J1035" i="3"/>
  <c r="I1035" i="3"/>
  <c r="H1035" i="3"/>
  <c r="G1035" i="3"/>
  <c r="J1025" i="3"/>
  <c r="K1021" i="3"/>
  <c r="L1021" i="3" s="1"/>
  <c r="J1021" i="3"/>
  <c r="I1021" i="3"/>
  <c r="H1021" i="3"/>
  <c r="G1021" i="3"/>
  <c r="K986" i="3"/>
  <c r="K988" i="3" s="1"/>
  <c r="L986" i="3" s="1"/>
  <c r="J986" i="3"/>
  <c r="I986" i="3"/>
  <c r="H986" i="3"/>
  <c r="G986" i="3"/>
  <c r="K969" i="3"/>
  <c r="K967" i="3"/>
  <c r="J967" i="3"/>
  <c r="I967" i="3"/>
  <c r="H967" i="3"/>
  <c r="G967" i="3"/>
  <c r="L940" i="3"/>
  <c r="J938" i="3"/>
  <c r="I938" i="3"/>
  <c r="H938" i="3"/>
  <c r="G938" i="3"/>
  <c r="J927" i="3"/>
  <c r="I927" i="3"/>
  <c r="H927" i="3"/>
  <c r="G927" i="3"/>
  <c r="L896" i="3"/>
  <c r="J875" i="3"/>
  <c r="I875" i="3"/>
  <c r="H875" i="3"/>
  <c r="L874" i="3"/>
  <c r="J869" i="3"/>
  <c r="I869" i="3"/>
  <c r="H869" i="3"/>
  <c r="G869" i="3"/>
  <c r="J832" i="3"/>
  <c r="I832" i="3"/>
  <c r="H832" i="3"/>
  <c r="G832" i="3"/>
  <c r="J795" i="3"/>
  <c r="I795" i="3"/>
  <c r="H795" i="3"/>
  <c r="G795" i="3"/>
  <c r="J782" i="3"/>
  <c r="I782" i="3"/>
  <c r="H782" i="3"/>
  <c r="G782" i="3"/>
  <c r="J774" i="3"/>
  <c r="I774" i="3"/>
  <c r="H774" i="3"/>
  <c r="G774" i="3"/>
  <c r="J749" i="3"/>
  <c r="I749" i="3"/>
  <c r="H749" i="3"/>
  <c r="G749" i="3"/>
  <c r="J744" i="3"/>
  <c r="I744" i="3"/>
  <c r="H744" i="3"/>
  <c r="G744" i="3"/>
  <c r="J739" i="3"/>
  <c r="I739" i="3"/>
  <c r="H739" i="3"/>
  <c r="G739" i="3"/>
  <c r="J720" i="3"/>
  <c r="I720" i="3"/>
  <c r="H720" i="3"/>
  <c r="G720" i="3"/>
  <c r="L714" i="3"/>
  <c r="L702" i="3"/>
  <c r="J702" i="3"/>
  <c r="I702" i="3"/>
  <c r="H702" i="3"/>
  <c r="G702" i="3"/>
  <c r="L698" i="3"/>
  <c r="J690" i="3"/>
  <c r="I690" i="3"/>
  <c r="H690" i="3"/>
  <c r="G690" i="3"/>
  <c r="H682" i="3"/>
  <c r="L672" i="3"/>
  <c r="J672" i="3"/>
  <c r="I672" i="3"/>
  <c r="H672" i="3"/>
  <c r="G672" i="3"/>
  <c r="L671" i="3"/>
  <c r="L670" i="3"/>
  <c r="L662" i="3"/>
  <c r="L663" i="3" s="1"/>
  <c r="L658" i="3"/>
  <c r="J636" i="3"/>
  <c r="I636" i="3"/>
  <c r="H636" i="3"/>
  <c r="G636" i="3"/>
  <c r="J626" i="3"/>
  <c r="I626" i="3"/>
  <c r="H626" i="3"/>
  <c r="G626" i="3"/>
  <c r="L623" i="3"/>
  <c r="L622" i="3"/>
  <c r="J619" i="3"/>
  <c r="I619" i="3"/>
  <c r="H619" i="3"/>
  <c r="G619" i="3"/>
  <c r="J599" i="3"/>
  <c r="I599" i="3"/>
  <c r="H599" i="3"/>
  <c r="G599" i="3"/>
  <c r="J578" i="3"/>
  <c r="I578" i="3"/>
  <c r="H578" i="3"/>
  <c r="G578" i="3"/>
  <c r="K570" i="3"/>
  <c r="J565" i="3"/>
  <c r="I565" i="3"/>
  <c r="H565" i="3"/>
  <c r="G565" i="3"/>
  <c r="J538" i="3"/>
  <c r="I538" i="3"/>
  <c r="H538" i="3"/>
  <c r="G538" i="3"/>
  <c r="L516" i="3"/>
  <c r="L513" i="3"/>
  <c r="J510" i="3"/>
  <c r="I510" i="3"/>
  <c r="H510" i="3"/>
  <c r="G510" i="3"/>
  <c r="K502" i="3"/>
  <c r="J497" i="3"/>
  <c r="I497" i="3"/>
  <c r="H497" i="3"/>
  <c r="G497" i="3"/>
  <c r="J489" i="3"/>
  <c r="J484" i="3"/>
  <c r="J490" i="3" s="1"/>
  <c r="K483" i="3"/>
  <c r="K482" i="3"/>
  <c r="K478" i="3"/>
  <c r="J473" i="3"/>
  <c r="I473" i="3"/>
  <c r="H473" i="3"/>
  <c r="G473" i="3"/>
  <c r="J468" i="3"/>
  <c r="I468" i="3"/>
  <c r="H468" i="3"/>
  <c r="G468" i="3"/>
  <c r="J449" i="3"/>
  <c r="I449" i="3"/>
  <c r="H449" i="3"/>
  <c r="G449" i="3"/>
  <c r="L446" i="3"/>
  <c r="J442" i="3"/>
  <c r="I442" i="3"/>
  <c r="H442" i="3"/>
  <c r="G442" i="3"/>
  <c r="J421" i="3"/>
  <c r="I421" i="3"/>
  <c r="H421" i="3"/>
  <c r="G421" i="3"/>
  <c r="K415" i="3"/>
  <c r="J414" i="3"/>
  <c r="I414" i="3"/>
  <c r="H414" i="3"/>
  <c r="G414" i="3"/>
  <c r="J401" i="3"/>
  <c r="I401" i="3"/>
  <c r="H401" i="3"/>
  <c r="G401" i="3"/>
  <c r="J384" i="3"/>
  <c r="I384" i="3"/>
  <c r="H384" i="3"/>
  <c r="G384" i="3"/>
  <c r="J373" i="3"/>
  <c r="I373" i="3"/>
  <c r="H373" i="3"/>
  <c r="G373" i="3"/>
  <c r="J361" i="3"/>
  <c r="I361" i="3"/>
  <c r="H361" i="3"/>
  <c r="G361" i="3"/>
  <c r="J355" i="3"/>
  <c r="I355" i="3"/>
  <c r="H355" i="3"/>
  <c r="G355" i="3"/>
  <c r="J344" i="3"/>
  <c r="H344" i="3"/>
  <c r="G344" i="3"/>
  <c r="J339" i="3"/>
  <c r="I339" i="3"/>
  <c r="I345" i="3" s="1"/>
  <c r="H339" i="3"/>
  <c r="G339" i="3"/>
  <c r="L337" i="3"/>
  <c r="L333" i="3"/>
  <c r="L331" i="3"/>
  <c r="G288" i="3"/>
  <c r="J279" i="3"/>
  <c r="I279" i="3"/>
  <c r="H279" i="3"/>
  <c r="G279" i="3"/>
  <c r="J257" i="3"/>
  <c r="I257" i="3"/>
  <c r="H257" i="3"/>
  <c r="G257" i="3"/>
  <c r="J245" i="3"/>
  <c r="I245" i="3"/>
  <c r="H245" i="3"/>
  <c r="G245" i="3"/>
  <c r="J236" i="3"/>
  <c r="I236" i="3"/>
  <c r="H236" i="3"/>
  <c r="G236" i="3"/>
  <c r="J230" i="3"/>
  <c r="I230" i="3"/>
  <c r="H230" i="3"/>
  <c r="G230" i="3"/>
  <c r="J196" i="3"/>
  <c r="I196" i="3"/>
  <c r="H196" i="3"/>
  <c r="J187" i="3"/>
  <c r="I187" i="3"/>
  <c r="H187" i="3"/>
  <c r="G187" i="3"/>
  <c r="J150" i="3"/>
  <c r="I150" i="3"/>
  <c r="H150" i="3"/>
  <c r="G150" i="3"/>
  <c r="J146" i="3"/>
  <c r="I146" i="3"/>
  <c r="H146" i="3"/>
  <c r="G146" i="3"/>
  <c r="L111" i="3"/>
  <c r="J93" i="3"/>
  <c r="I93" i="3"/>
  <c r="H93" i="3"/>
  <c r="G93" i="3"/>
  <c r="J76" i="3"/>
  <c r="I76" i="3"/>
  <c r="H76" i="3"/>
  <c r="G76" i="3"/>
  <c r="J57" i="3"/>
  <c r="I57" i="3"/>
  <c r="H57" i="3"/>
  <c r="G57" i="3"/>
  <c r="I48" i="3"/>
  <c r="H48" i="3"/>
  <c r="G48" i="3"/>
  <c r="J37" i="3"/>
  <c r="J23" i="3"/>
  <c r="J8" i="3"/>
  <c r="J627" i="3" l="1"/>
  <c r="G402" i="3"/>
  <c r="J422" i="3"/>
  <c r="I450" i="3"/>
  <c r="K968" i="3"/>
  <c r="L1022" i="3"/>
  <c r="H1319" i="3"/>
  <c r="J38" i="3"/>
  <c r="J48" i="3" s="1"/>
  <c r="G231" i="3"/>
  <c r="G627" i="3"/>
  <c r="H345" i="3"/>
  <c r="L124" i="4"/>
  <c r="I124" i="4"/>
  <c r="L2456" i="4"/>
  <c r="L1473" i="4"/>
  <c r="K2456" i="4"/>
  <c r="I2456" i="4"/>
  <c r="J2456" i="4"/>
  <c r="J124" i="4"/>
  <c r="G95" i="3"/>
  <c r="G96" i="3" s="1"/>
  <c r="G345" i="3"/>
  <c r="I566" i="3"/>
  <c r="H1374" i="3"/>
  <c r="H95" i="3"/>
  <c r="H96" i="3" s="1"/>
  <c r="H231" i="3"/>
  <c r="H362" i="3"/>
  <c r="H402" i="3"/>
  <c r="G422" i="3"/>
  <c r="J450" i="3"/>
  <c r="J474" i="3"/>
  <c r="J566" i="3"/>
  <c r="I600" i="3"/>
  <c r="H1036" i="3"/>
  <c r="J1222" i="3"/>
  <c r="I1319" i="3"/>
  <c r="I1374" i="3"/>
  <c r="G362" i="3"/>
  <c r="I474" i="3"/>
  <c r="G1036" i="3"/>
  <c r="I1222" i="3"/>
  <c r="I95" i="3"/>
  <c r="I96" i="3" s="1"/>
  <c r="I231" i="3"/>
  <c r="J345" i="3"/>
  <c r="I362" i="3"/>
  <c r="I402" i="3"/>
  <c r="H422" i="3"/>
  <c r="G450" i="3"/>
  <c r="G474" i="3"/>
  <c r="G566" i="3"/>
  <c r="J600" i="3"/>
  <c r="H627" i="3"/>
  <c r="I1036" i="3"/>
  <c r="G1222" i="3"/>
  <c r="J1319" i="3"/>
  <c r="J1374" i="3"/>
  <c r="H600" i="3"/>
  <c r="J95" i="3"/>
  <c r="J231" i="3"/>
  <c r="J362" i="3"/>
  <c r="J402" i="3"/>
  <c r="I422" i="3"/>
  <c r="H450" i="3"/>
  <c r="H474" i="3"/>
  <c r="H566" i="3"/>
  <c r="G600" i="3"/>
  <c r="I627" i="3"/>
  <c r="L712" i="3"/>
  <c r="L715" i="3" s="1"/>
  <c r="J1036" i="3"/>
  <c r="H1222" i="3"/>
  <c r="G1319" i="3"/>
  <c r="G1374" i="3"/>
  <c r="I1079" i="3" l="1"/>
  <c r="J96" i="3"/>
  <c r="I1385" i="3"/>
  <c r="G1079" i="3"/>
  <c r="G1080" i="3" s="1"/>
  <c r="G1384" i="3" s="1"/>
  <c r="J1079" i="3"/>
  <c r="G1385" i="3"/>
  <c r="J1385" i="3"/>
  <c r="L1385" i="3" s="1"/>
  <c r="H1079" i="3"/>
  <c r="H1385" i="3"/>
  <c r="I2457" i="4"/>
  <c r="K2457" i="4"/>
  <c r="J2457" i="4"/>
  <c r="L2457" i="4"/>
  <c r="I1080" i="3"/>
  <c r="I1384" i="3" s="1"/>
  <c r="I1386" i="3" s="1"/>
  <c r="H1397" i="3" l="1"/>
  <c r="J1397" i="3" s="1"/>
  <c r="J1080" i="3"/>
  <c r="J1384" i="3" s="1"/>
  <c r="H1396" i="3" s="1"/>
  <c r="J1396" i="3" s="1"/>
  <c r="H1080" i="3"/>
  <c r="H1384" i="3" s="1"/>
  <c r="H1386" i="3" s="1"/>
  <c r="G1386" i="3"/>
  <c r="L2628" i="4"/>
  <c r="J1386" i="3"/>
  <c r="L1384" i="3" l="1"/>
  <c r="H1398" i="3"/>
  <c r="J1398" i="3" s="1"/>
  <c r="J1399" i="3" s="1"/>
  <c r="K1396" i="3"/>
  <c r="K1397" i="3" s="1"/>
  <c r="L1386" i="3"/>
  <c r="D87" i="2" l="1"/>
  <c r="C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5" i="2"/>
  <c r="E66" i="2"/>
  <c r="E67" i="2"/>
  <c r="E68" i="2"/>
  <c r="E69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49" i="2"/>
  <c r="B47" i="2"/>
  <c r="C47" i="2"/>
  <c r="D47" i="2"/>
  <c r="B40" i="2"/>
  <c r="E38" i="2"/>
  <c r="E46" i="2"/>
  <c r="E45" i="2"/>
  <c r="E44" i="2"/>
  <c r="E43" i="2"/>
  <c r="E42" i="2"/>
  <c r="E41" i="2"/>
  <c r="E37" i="2"/>
  <c r="E40" i="2" s="1"/>
  <c r="E39" i="2"/>
  <c r="E47" i="2" l="1"/>
  <c r="E87" i="2"/>
  <c r="D94" i="2" l="1"/>
  <c r="C94" i="2"/>
  <c r="B94" i="2"/>
  <c r="E93" i="2"/>
  <c r="E92" i="2"/>
  <c r="E91" i="2"/>
  <c r="D34" i="2"/>
  <c r="D88" i="2" s="1"/>
  <c r="D95" i="2" s="1"/>
  <c r="C34" i="2"/>
  <c r="C88" i="2" s="1"/>
  <c r="C95" i="2" s="1"/>
  <c r="B34" i="2"/>
  <c r="B88" i="2" s="1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C97" i="2" l="1"/>
  <c r="D97" i="2"/>
  <c r="B95" i="2"/>
  <c r="E34" i="2"/>
  <c r="E88" i="2" s="1"/>
  <c r="E94" i="2"/>
  <c r="E95" i="2" l="1"/>
  <c r="E98" i="2" s="1"/>
  <c r="B98" i="2"/>
  <c r="B100" i="2"/>
</calcChain>
</file>

<file path=xl/sharedStrings.xml><?xml version="1.0" encoding="utf-8"?>
<sst xmlns="http://schemas.openxmlformats.org/spreadsheetml/2006/main" count="41435" uniqueCount="2131">
  <si>
    <t>PART 1. RECEIPTS PROGRAM</t>
  </si>
  <si>
    <t>RECEIPTS PROGRAM</t>
  </si>
  <si>
    <t>FY 2018-2020</t>
  </si>
  <si>
    <t>MAYOR</t>
  </si>
  <si>
    <t>PARTICULARS</t>
  </si>
  <si>
    <t>INCOME CLASSIFICATION</t>
  </si>
  <si>
    <t>PAST YEAR ACTUAL  2019</t>
  </si>
  <si>
    <t>CURRENT YEAR (ESTIMATE)   2020</t>
  </si>
  <si>
    <t>BUDGET YEAR (RECEIPTS) 2021</t>
  </si>
  <si>
    <t xml:space="preserve">           I.  Beginning Balance</t>
  </si>
  <si>
    <t xml:space="preserve">    </t>
  </si>
  <si>
    <t>General fund</t>
  </si>
  <si>
    <t xml:space="preserve">     </t>
  </si>
  <si>
    <t>20% Development Fund</t>
  </si>
  <si>
    <t>Retained Operating  Surplus 2018</t>
  </si>
  <si>
    <t>Total</t>
  </si>
  <si>
    <t xml:space="preserve">          II.  Receipts</t>
  </si>
  <si>
    <t xml:space="preserve">           </t>
  </si>
  <si>
    <t>A. Local Sources</t>
  </si>
  <si>
    <t>SP LEGISLATIVE</t>
  </si>
  <si>
    <t xml:space="preserve">     1. TAX REVENUES </t>
  </si>
  <si>
    <t>SP SEC</t>
  </si>
  <si>
    <t xml:space="preserve">                a. REAL PROPERTY TAX </t>
  </si>
  <si>
    <t xml:space="preserve">LIBRARY </t>
  </si>
  <si>
    <t>HR</t>
  </si>
  <si>
    <t>R</t>
  </si>
  <si>
    <t>LEGAL</t>
  </si>
  <si>
    <t>CPDO</t>
  </si>
  <si>
    <t>BUDGET</t>
  </si>
  <si>
    <t>ACCOUNTING</t>
  </si>
  <si>
    <t xml:space="preserve">                b. TAX ON BUSINESS </t>
  </si>
  <si>
    <t>GSO</t>
  </si>
  <si>
    <t>TREASURY</t>
  </si>
  <si>
    <t>ASSESSOR</t>
  </si>
  <si>
    <t>CIVL REG</t>
  </si>
  <si>
    <t>CHO</t>
  </si>
  <si>
    <t>CSWO</t>
  </si>
  <si>
    <t>CAO</t>
  </si>
  <si>
    <t xml:space="preserve">                c. OTHER TAXES </t>
  </si>
  <si>
    <t>VET</t>
  </si>
  <si>
    <t>ENGINEERING</t>
  </si>
  <si>
    <t>BLDG</t>
  </si>
  <si>
    <t>iii. Franchise Tax (Cockpit)</t>
  </si>
  <si>
    <t>iv. Other Local Taxes:</t>
  </si>
  <si>
    <t>v.    Tax on Ambulant and Itenirant Amusement Operators</t>
  </si>
  <si>
    <t xml:space="preserve">     2. NON-TAX REVENUES</t>
  </si>
  <si>
    <t xml:space="preserve">               a. PERMIT AND REGULATORY FEES</t>
  </si>
  <si>
    <t>i.   On the Operation of Business</t>
  </si>
  <si>
    <t>ii.  On other activities</t>
  </si>
  <si>
    <t>iii. Permit Fees: Other Regulatory Fees</t>
  </si>
  <si>
    <t>iv.  Permit fees for cockpit owners/operators licenses</t>
  </si>
  <si>
    <t>v.   Special permit for cockfighting</t>
  </si>
  <si>
    <t>vi.  Promoters of Derbies and Pintakasi</t>
  </si>
  <si>
    <t>vii.  Annual License Fee for cockpit</t>
  </si>
  <si>
    <t>viii. Building Permit and Related Fees</t>
  </si>
  <si>
    <t>ix.   Permit Fee for Zoning/Locational Clearance</t>
  </si>
  <si>
    <t>x.    Permit fee for the storage of flammable &amp; combustible</t>
  </si>
  <si>
    <t>xi.  Permit Fee on Parades/ motorcade/recorida</t>
  </si>
  <si>
    <t>xii.   Permit Fee for Sealing and Llicensing of Weights and Measures</t>
  </si>
  <si>
    <t>xiii.  Registration and Transfer Fees on Large Cattle</t>
  </si>
  <si>
    <t>xix. Permit Fee for excavation</t>
  </si>
  <si>
    <t>xx.  Permit Fees on Tricycle Opeartion</t>
  </si>
  <si>
    <t>xxi. Permit fee on occupation/ calling no. requiring government examination</t>
  </si>
  <si>
    <t>xxii. Permit fee for the conduct of group activities</t>
  </si>
  <si>
    <t>xxiii. Permit Fee on the Hanging of Streamers /Tarpaulins</t>
  </si>
  <si>
    <t>PAST YEAR ACTUAL  2018</t>
  </si>
  <si>
    <t>CURRENT YEAR (ESTIMATE)   2019</t>
  </si>
  <si>
    <t>BUDGET YEAR (RECEIPTS) 2020</t>
  </si>
  <si>
    <t xml:space="preserve">               b. SERVICE FEES</t>
  </si>
  <si>
    <t>Secretary's fees</t>
  </si>
  <si>
    <t>Local Civil Registry Fees</t>
  </si>
  <si>
    <t>Mayor's and Police Clearance Fees</t>
  </si>
  <si>
    <t>Sanitary Inspection Fees</t>
  </si>
  <si>
    <t>Service Fees for Health Examination</t>
  </si>
  <si>
    <t xml:space="preserve">Rentals of personal &amp; real </t>
  </si>
  <si>
    <t>Service charge for garbage collection</t>
  </si>
  <si>
    <t>City Health Office Service Fees</t>
  </si>
  <si>
    <t>Cemetery Charges</t>
  </si>
  <si>
    <t>Dayo Fees</t>
  </si>
  <si>
    <t>Fines and penalties on traffic rules</t>
  </si>
  <si>
    <t>Other receipts</t>
  </si>
  <si>
    <t>Interest income</t>
  </si>
  <si>
    <t>NR</t>
  </si>
  <si>
    <t xml:space="preserve">TOTAL INCOME-LOCAL SOURCES </t>
  </si>
  <si>
    <t>EXTERNAL SOURCES</t>
  </si>
  <si>
    <t xml:space="preserve">Share from National Tax Collection </t>
  </si>
  <si>
    <t>Internal Revenue Allotment</t>
  </si>
  <si>
    <t>Share  from PCSO</t>
  </si>
  <si>
    <t>Grants and Donation in Kind</t>
  </si>
  <si>
    <t>Subsidy from National Government</t>
  </si>
  <si>
    <t>Shares from Tobacco Excise Tax (RA 7171)</t>
  </si>
  <si>
    <t xml:space="preserve">TOTAL INCOME/RECEIPTS FROM EXTERNAL SOURCES </t>
  </si>
  <si>
    <t xml:space="preserve">TOTAL INCOME- GENERAL FUND </t>
  </si>
  <si>
    <t>TOTAL AVAILABLE RESOURCES</t>
  </si>
  <si>
    <t xml:space="preserve">Income from Economic Enterprises (Business Income) </t>
  </si>
  <si>
    <t xml:space="preserve">             Income from market</t>
  </si>
  <si>
    <t>Receipts from market</t>
  </si>
  <si>
    <t>Garbage fees</t>
  </si>
  <si>
    <t>Fee for sealing &amp; licensing of weights &amp; measure</t>
  </si>
  <si>
    <t>Parking fees</t>
  </si>
  <si>
    <t>Weighing scale</t>
  </si>
  <si>
    <t>Empanada Stall</t>
  </si>
  <si>
    <t>Other Fees</t>
  </si>
  <si>
    <t xml:space="preserve">           Income from slaughterhouse</t>
  </si>
  <si>
    <t>Receipts from slaughterhouse</t>
  </si>
  <si>
    <t>Slaughter permit</t>
  </si>
  <si>
    <t>Ante mortem</t>
  </si>
  <si>
    <t>Meat inspection fee</t>
  </si>
  <si>
    <t>Post mortem fees</t>
  </si>
  <si>
    <t>Poundage fees</t>
  </si>
  <si>
    <t>Income from lease &amp; rental of city stalls</t>
  </si>
  <si>
    <t>TOTAL INCOME FROM ECONOMIC ENTERPRISES</t>
  </si>
  <si>
    <t>LBP FORM NO. 2</t>
  </si>
  <si>
    <t>PROGRAMMED APPROPRIATION AND OBLIGATION BY OBJECT OF EXPENDITURE</t>
  </si>
  <si>
    <t>LGU: BATAC CITY</t>
  </si>
  <si>
    <t>Object of Expenditure</t>
  </si>
  <si>
    <t>Account Code</t>
  </si>
  <si>
    <t>Past Year  2020(Actual)</t>
  </si>
  <si>
    <t>Current Year 2021(Estimate)</t>
  </si>
  <si>
    <t>Actual Expenditures as of July 31, 2021</t>
  </si>
  <si>
    <t>Budget Year 2022(Proposed)</t>
  </si>
  <si>
    <t>1.0     Current Operating Expenditure</t>
  </si>
  <si>
    <t>Personal Services</t>
  </si>
  <si>
    <t>PS</t>
  </si>
  <si>
    <t>Salaries and Wages-Regular Pay</t>
  </si>
  <si>
    <t>5-01-01-010</t>
  </si>
  <si>
    <t>Salaries and Wages-Casual</t>
  </si>
  <si>
    <t>5-01-01-020</t>
  </si>
  <si>
    <t>Step Increment</t>
  </si>
  <si>
    <t>Personal Economic Relief Allowance</t>
  </si>
  <si>
    <t>5-01-02-010</t>
  </si>
  <si>
    <t>Representation Allowance</t>
  </si>
  <si>
    <t>5-01-02-020</t>
  </si>
  <si>
    <t>Transportation Allowance</t>
  </si>
  <si>
    <t>5-01-02-030</t>
  </si>
  <si>
    <t>Overtime Pay</t>
  </si>
  <si>
    <t>5-01-02-130</t>
  </si>
  <si>
    <t>Clothing allowance</t>
  </si>
  <si>
    <t>5-01-02-040</t>
  </si>
  <si>
    <t>Other bonuses and Alowances- Mid-Year Bonus</t>
  </si>
  <si>
    <t>5-01-04-990</t>
  </si>
  <si>
    <t>Year-End Bonus</t>
  </si>
  <si>
    <t>5-01-02-140</t>
  </si>
  <si>
    <t>Cash Gift</t>
  </si>
  <si>
    <t>5-01-02-150</t>
  </si>
  <si>
    <t>Productivity Enhancement Incentive</t>
  </si>
  <si>
    <t>5-01-02-080</t>
  </si>
  <si>
    <t>Anniversary Bonus</t>
  </si>
  <si>
    <t>5-01-02-990</t>
  </si>
  <si>
    <t>Hazard Pay</t>
  </si>
  <si>
    <t>5-01-02-110</t>
  </si>
  <si>
    <t>Service Recognition Incentive</t>
  </si>
  <si>
    <t>Lump sum  Appropriation for Salary Adjustment</t>
  </si>
  <si>
    <t>Life &amp; Ret. Insurance Contributions</t>
  </si>
  <si>
    <t>5-01-03-010</t>
  </si>
  <si>
    <t>Pag-ibig Contributions</t>
  </si>
  <si>
    <t>5-01-03-020</t>
  </si>
  <si>
    <t>Philhealth Contributions</t>
  </si>
  <si>
    <t>5-01-03-030</t>
  </si>
  <si>
    <t>ECC Contributions</t>
  </si>
  <si>
    <t>5-01-03-040</t>
  </si>
  <si>
    <t>Sub-Total</t>
  </si>
  <si>
    <t>Maintenance and Other Operating Expense</t>
  </si>
  <si>
    <t>MOOE</t>
  </si>
  <si>
    <t>Traveling Expenses-Local</t>
  </si>
  <si>
    <t>5-02-01-010</t>
  </si>
  <si>
    <t>Training Expenses</t>
  </si>
  <si>
    <t>5-02-02-010</t>
  </si>
  <si>
    <t>Office supplies expenses</t>
  </si>
  <si>
    <t>5-02-03-010</t>
  </si>
  <si>
    <t>Other Supplies &amp; Materials Expenses</t>
  </si>
  <si>
    <t>5-02-03-990</t>
  </si>
  <si>
    <t>Fuel, oil &amp; lubricants expenses</t>
  </si>
  <si>
    <t>5-02-03-090</t>
  </si>
  <si>
    <t>Cleaning supplies expenses</t>
  </si>
  <si>
    <t>Personal Protection Supplies</t>
  </si>
  <si>
    <t>Postage and Courier Services</t>
  </si>
  <si>
    <t>5-02-05-010</t>
  </si>
  <si>
    <t>Telephone Expenses</t>
  </si>
  <si>
    <t>5-02-05-020</t>
  </si>
  <si>
    <t>Telephone &amp; Internet Expenses -Landline</t>
  </si>
  <si>
    <t>Telephone Expenses-Mobile</t>
  </si>
  <si>
    <t>Internet Subscription Expenses</t>
  </si>
  <si>
    <t>5-02-05-030</t>
  </si>
  <si>
    <t>Extraordinary and Miscellaneous Expenses</t>
  </si>
  <si>
    <t>5-02-10-030</t>
  </si>
  <si>
    <t>Repair &amp; Maintenance- Machinery &amp; Equipment</t>
  </si>
  <si>
    <t>5-02-13-050</t>
  </si>
  <si>
    <t>Repair &amp; Maintenance-Transportation Equipment</t>
  </si>
  <si>
    <t>5-02-13-060</t>
  </si>
  <si>
    <t>Advertising Expenses</t>
  </si>
  <si>
    <t>5-02-99-010</t>
  </si>
  <si>
    <t>Representation Expenses</t>
  </si>
  <si>
    <t>5-02-99-030</t>
  </si>
  <si>
    <t>Subscription Expenses</t>
  </si>
  <si>
    <t>5-02-99-070</t>
  </si>
  <si>
    <t>Membership dues &amp; contributions to Professional Orgn.</t>
  </si>
  <si>
    <t>5-02-99-090</t>
  </si>
  <si>
    <t>Other Maintenance and Operating Expenses</t>
  </si>
  <si>
    <t>5-02-99-990</t>
  </si>
  <si>
    <t>Sub-total</t>
  </si>
  <si>
    <t>CO</t>
  </si>
  <si>
    <t>Other Property, Plant &amp; Equipment, Outlay</t>
  </si>
  <si>
    <t>Purchase of 1 unit Desktop Computer</t>
  </si>
  <si>
    <t>Purchase of 1 unit Laptop Computer</t>
  </si>
  <si>
    <t>Purchase of 2 units Computer Printer Continuous</t>
  </si>
  <si>
    <t>Purchase of 2 pcs. Visitors Chairs</t>
  </si>
  <si>
    <t>Purchase of 1 unit Water Dispencer</t>
  </si>
  <si>
    <t>TOTAL</t>
  </si>
  <si>
    <t>OFFICE OF THE CITY MAYOR- PUBLIC SAFETY AND INFORMATION ASSISTANCE SECTION</t>
  </si>
  <si>
    <t>Subsistence Allowance</t>
  </si>
  <si>
    <t>Laundry Allowance</t>
  </si>
  <si>
    <t>5-01-02-060</t>
  </si>
  <si>
    <t>Other Supplies and Materials Expenses</t>
  </si>
  <si>
    <t xml:space="preserve">     Purchase of Personnel Protection Supplies</t>
  </si>
  <si>
    <t xml:space="preserve">     Purchase of Portable Wireless Amplifier</t>
  </si>
  <si>
    <t>Telephone Expenses -Landline</t>
  </si>
  <si>
    <t>Cable Expenses</t>
  </si>
  <si>
    <t>5-02-05-040</t>
  </si>
  <si>
    <t>Purchase of 1 set Radio Base</t>
  </si>
  <si>
    <t>Purchase of 3 midchairs</t>
  </si>
  <si>
    <t>Purchase of 1 Electric Scooter</t>
  </si>
  <si>
    <t>Purchase of 3 Electric Scooters</t>
  </si>
  <si>
    <t>Purchase of Filing Cabinet</t>
  </si>
  <si>
    <t>Purchase of Desktop Computer</t>
  </si>
  <si>
    <t>Purchase of Smart Television 43"</t>
  </si>
  <si>
    <t>Purchase of 1 unit Multi-function printer (print, scan &amp; copy)</t>
  </si>
  <si>
    <t>Honoraria</t>
  </si>
  <si>
    <t>5-01-02-100</t>
  </si>
  <si>
    <t>Purchcase of 1 unit Camera</t>
  </si>
  <si>
    <t>Purchase of 2 units Laptop computer</t>
  </si>
  <si>
    <t>Loyalty Award</t>
  </si>
  <si>
    <t>5-01-02-120</t>
  </si>
  <si>
    <t>Other Supllies and Materials Expenses</t>
  </si>
  <si>
    <t>Telephone Expenses -Mobile</t>
  </si>
  <si>
    <t>Repair and Maintenance-Machinery and equipment</t>
  </si>
  <si>
    <t>Membership Dues &amp; Contributions to Organizations</t>
  </si>
  <si>
    <t>5-02-99-060</t>
  </si>
  <si>
    <t>Purchase of 2 units Airconditioner (Riverside Empanadaan)</t>
  </si>
  <si>
    <t>Purchase of 1 set Furnitures and Fixtures (Riverside Empanadaan)</t>
  </si>
  <si>
    <t>Purchase of 4 pcs. Empanada Statues</t>
  </si>
  <si>
    <t>Purchase of 3 units Computer Printer</t>
  </si>
  <si>
    <t>Purchase of 1 Desktop Computer</t>
  </si>
  <si>
    <t xml:space="preserve">       Purchase of Personal Protection Supplies</t>
  </si>
  <si>
    <t>Purchase of 1 unit- Scanner</t>
  </si>
  <si>
    <t>Purchase of 1 unit desktop computer</t>
  </si>
  <si>
    <t>Purchase of 1 unit multi-function printer (print,scan &amp; copy)</t>
  </si>
  <si>
    <t>Hazard pay</t>
  </si>
  <si>
    <t>Other supplies &amp; materials expenses</t>
  </si>
  <si>
    <t xml:space="preserve">    Personal Protection Supplies &amp; Expenses</t>
  </si>
  <si>
    <t>Telephone Expenses-Landline</t>
  </si>
  <si>
    <t>Purchase of Printer, Multi-Function (print, scan &amp; copy), continuous ink system (CIS)</t>
  </si>
  <si>
    <t>Purchase of 1 Laptop Computer</t>
  </si>
  <si>
    <t>Purchase of Hanging Wooden File Cabinet</t>
  </si>
  <si>
    <t>Purchase of Smart TV 42" (Wall Mounted)</t>
  </si>
  <si>
    <t>Purchase and installation of Glass Door (2 Panels)</t>
  </si>
  <si>
    <t>Purchase of 1 Airconditiong Split Type, 2.5 HP</t>
  </si>
  <si>
    <t>Purchase of 4 units Handheld Radio (w/ recharge battery)</t>
  </si>
  <si>
    <t>Purchase of 1 unit Wireless HDMI Transmitter</t>
  </si>
  <si>
    <t>Purchase of 1 unit Wireless Microphone</t>
  </si>
  <si>
    <t>Purchase if 1 unit Video Switcher</t>
  </si>
  <si>
    <t>Purchase of 1 unit Smartphone/ Tablet Teleprompter</t>
  </si>
  <si>
    <t>Purchase of 1 unit Tabletphone</t>
  </si>
  <si>
    <t>Purchase of 2 units Laptop Computer</t>
  </si>
  <si>
    <t>Purchase of Service Vehicle</t>
  </si>
  <si>
    <t>Purchase of 1 Wide Lens for Canon 80D Camera</t>
  </si>
  <si>
    <t>Purchase of 2 units heavy duty tripod with fluid video head</t>
  </si>
  <si>
    <t>Purchase of Camcorder</t>
  </si>
  <si>
    <t>Purchase of continuos LED Light (for photo &amp; video)</t>
  </si>
  <si>
    <t>Purchase of Heavy duty light stand</t>
  </si>
  <si>
    <t>Purchase of DSLR Camera (body)</t>
  </si>
  <si>
    <t>Purchase of DSLR Camera lens</t>
  </si>
  <si>
    <t>Purchase of Laptop docking station</t>
  </si>
  <si>
    <t>Purchase of Wireless HDMI Transmitter</t>
  </si>
  <si>
    <t>Service Recognition  Incentive</t>
  </si>
  <si>
    <t xml:space="preserve">     Personal Protective Gears</t>
  </si>
  <si>
    <t xml:space="preserve">     knapsack sprayer</t>
  </si>
  <si>
    <t>Repair &amp; Maintenance- Machinery &amp; Equipment For Biodegradable Non Biodegradable Wastes</t>
  </si>
  <si>
    <t>Operation and maintenance of Machineries for Biodegradable and Non-biodegradable Wastes</t>
  </si>
  <si>
    <t>Maintenance of Engineered Sanitary Landfill (Garbage pond &amp; leachate pond)</t>
  </si>
  <si>
    <t>5-02-13-990</t>
  </si>
  <si>
    <t>Printing and Publication Expenses</t>
  </si>
  <si>
    <t>5-02-99-020</t>
  </si>
  <si>
    <t>Purchase of 6 units Handheld radio (w/ recharge battery)</t>
  </si>
  <si>
    <t>Purchase of Air Conditioner 1.5HP</t>
  </si>
  <si>
    <t>Purchase of Water Dispenser (Black, hot, cold and warm with spacious cabinet)</t>
  </si>
  <si>
    <t>Purchase of Grass Cutter and accessories</t>
  </si>
  <si>
    <t>Purchase of 1 unit laptop Computer</t>
  </si>
  <si>
    <t>Other supplies and materials expenses</t>
  </si>
  <si>
    <t>Telephone &amp; Internet Expenses</t>
  </si>
  <si>
    <t>Purchase of Computer Printer</t>
  </si>
  <si>
    <t>OFFICE OF THE CITY VICE MAYOR</t>
  </si>
  <si>
    <t>5-05-01-010</t>
  </si>
  <si>
    <t>5-02-02-020</t>
  </si>
  <si>
    <t>Office Supplies Expenses</t>
  </si>
  <si>
    <t>Fuel, Oil &amp; Lubricants Expenses</t>
  </si>
  <si>
    <t>Postage &amp; Courier Services</t>
  </si>
  <si>
    <t>Repair &amp; Maintenance-Machinery and Equipment</t>
  </si>
  <si>
    <t>Repair  and Maintenance-Transportation Equipment</t>
  </si>
  <si>
    <t>Membership dues &amp; Contributions to Organization</t>
  </si>
  <si>
    <t>Other Maint. and Operating Expenses</t>
  </si>
  <si>
    <t>Benchmarking</t>
  </si>
  <si>
    <t>Renovation of the Vice Mayor's Office</t>
  </si>
  <si>
    <t>Additional funding for the Purchase of Executive Table &amp; Chair (PPMP 2017)</t>
  </si>
  <si>
    <t>Purchase of Legislative Kiosk</t>
  </si>
  <si>
    <t xml:space="preserve">    Purchase of Electric Fans</t>
  </si>
  <si>
    <t xml:space="preserve">    Purchase of Water Dispenser</t>
  </si>
  <si>
    <t>Repair and Maintenance- Buildings &amp; other structures</t>
  </si>
  <si>
    <t>5-02-13-040</t>
  </si>
  <si>
    <t>Printing &amp; Publication Expenses</t>
  </si>
  <si>
    <t>Purchase of 12 units Computer Chairs</t>
  </si>
  <si>
    <t>Purchase of Sound System for the Session Hall</t>
  </si>
  <si>
    <t>Training expenses</t>
  </si>
  <si>
    <t xml:space="preserve">    Additional funding for the purchase of Water Dispenser in PPMP (2018)</t>
  </si>
  <si>
    <t>Internet  Subscription Expenses</t>
  </si>
  <si>
    <t>Web Hosting</t>
  </si>
  <si>
    <t>Purchase of 10 units Computer Chairs</t>
  </si>
  <si>
    <t>Purchase of 2 units 3-in-1 Printer</t>
  </si>
  <si>
    <t>Anniversay Bonus</t>
  </si>
  <si>
    <t>Other Supplies and Materials expenses</t>
  </si>
  <si>
    <t xml:space="preserve">     Purchase of Water Dispenser</t>
  </si>
  <si>
    <t>Purchase of 2 units desktop computer</t>
  </si>
  <si>
    <t>Purchase of 2 units 3-in-1 printer</t>
  </si>
  <si>
    <t>Purchase of Airconditioner</t>
  </si>
  <si>
    <t>OFFICE OF THE CITY ADMINISTRATOR</t>
  </si>
  <si>
    <t>Other Property, Plant and Equipment</t>
  </si>
  <si>
    <t>OFFICE OF THE CITY LEGAL OFFICER</t>
  </si>
  <si>
    <t>Membership Dues &amp; Contributions to Organization</t>
  </si>
  <si>
    <t>Terminal leave claim for city officials &amp; employees</t>
  </si>
  <si>
    <t>5-01-04-030</t>
  </si>
  <si>
    <t xml:space="preserve">      Personnel Protection Supplies</t>
  </si>
  <si>
    <t>Printing and publication expenses</t>
  </si>
  <si>
    <t>Purchase of 10 units face and Fingerprint Time Attendance</t>
  </si>
  <si>
    <t>Purchase of 1 unit Scanner</t>
  </si>
  <si>
    <t>Purchase of 1 unit filing cabinet</t>
  </si>
  <si>
    <t>Purchase of 1 Computer table</t>
  </si>
  <si>
    <t>Purchase of 1 filing cabinet lateral-4 drawers</t>
  </si>
  <si>
    <t>OFFICE OF THE CITY PLANNING AND DEVELOPMENT COORDINATOR</t>
  </si>
  <si>
    <t xml:space="preserve">     Personal Protective Equipment (PPE)</t>
  </si>
  <si>
    <t xml:space="preserve">     Purchase of 1 unit Stand Fan</t>
  </si>
  <si>
    <t xml:space="preserve">     Purchase of 10 units clear acryllic table counter shield</t>
  </si>
  <si>
    <t xml:space="preserve">     Purchase of 1 working table-rectangular-solid plastic</t>
  </si>
  <si>
    <t>Printing and binding expenses</t>
  </si>
  <si>
    <t>Purchase of Furniture and Fixtures</t>
  </si>
  <si>
    <t>Purchase of 3 units laptop computer</t>
  </si>
  <si>
    <t>Purchase of 1 unit Scanner-A3 with ADF</t>
  </si>
  <si>
    <t>Purchase of 1 unit Printer (multi-function WIFI, Duplex all-in-one ink tank with ADF)</t>
  </si>
  <si>
    <t>Purchase of 1 unit Printer (multi-fundtion WIFI, Duplex all-in-one ink tank with ADF)A3+ borderless photo printing</t>
  </si>
  <si>
    <t>Purchase of Window Type Aircondition (Inverter 2.0 HP w/ 8 in 1 air filter system)</t>
  </si>
  <si>
    <t xml:space="preserve">          Purchase of Personnel Protection Supplies</t>
  </si>
  <si>
    <t>Purchase of 2 Units Laptop Computer</t>
  </si>
  <si>
    <t>Purchase of 1 unit Refrigerator</t>
  </si>
  <si>
    <t>OFFICE OF THE CITY ACCOUNTANT</t>
  </si>
  <si>
    <t>Traveling Expenses</t>
  </si>
  <si>
    <t xml:space="preserve">     Purchase of 2 units Foldable Table</t>
  </si>
  <si>
    <t>Repair &amp; Maintenance of Office Equipment</t>
  </si>
  <si>
    <t>5-02-13-050-02</t>
  </si>
  <si>
    <t>Membership dues &amp; Contributions to Org'n.</t>
  </si>
  <si>
    <t>Purchase of 3 units Filing Cabinets, 4 drawers lateral</t>
  </si>
  <si>
    <t>Purchase of 1 unit Vault</t>
  </si>
  <si>
    <t>Purchase of 2 units Office Tables, L-Shaped</t>
  </si>
  <si>
    <t>Purchase of 5 units Laptop</t>
  </si>
  <si>
    <t>Purchase of 2 units Printer (Print, scan,copy, ICS)</t>
  </si>
  <si>
    <t>Purchase of 3 units Desktop Computer</t>
  </si>
  <si>
    <t>Purchase of 3 units Printer (printer/ Scanner/ Copier)</t>
  </si>
  <si>
    <t>Purchase of Refrigerator</t>
  </si>
  <si>
    <t>Purchase of 3 units Filing Cabinet (lateral)</t>
  </si>
  <si>
    <t>Purchase of 1 unit UPS</t>
  </si>
  <si>
    <t>Purchase of Binding Machine 24 Holes</t>
  </si>
  <si>
    <t>Fuel, oil &amp; lubricants expenses-different offices</t>
  </si>
  <si>
    <t>Fuel, oil &amp; lubricants expenses-COVID-19</t>
  </si>
  <si>
    <t>Fuel, oil &amp; lubricants Garbage Collection-Diff. Brgys-Waste Segregation</t>
  </si>
  <si>
    <t>Fuel, oil &amp; lubricants-Power Generator</t>
  </si>
  <si>
    <t xml:space="preserve">    Purchase of 2 Brush Cutter</t>
  </si>
  <si>
    <t xml:space="preserve">    Purchase of 8 mobile Garbage Bin</t>
  </si>
  <si>
    <t xml:space="preserve">    Purchase of Personnel Protection Supplies</t>
  </si>
  <si>
    <t xml:space="preserve">    Purchase of Foldable Tables-medium</t>
  </si>
  <si>
    <t xml:space="preserve">    Purchase of Foldable Tables-small</t>
  </si>
  <si>
    <t xml:space="preserve">    Health and Sanitation Supplies</t>
  </si>
  <si>
    <t xml:space="preserve">    Carpentry supplies and materials</t>
  </si>
  <si>
    <t>Supplies &amp; Materials (STREET LIGHTS)</t>
  </si>
  <si>
    <t>Purchase of Health and Sanitation Supplies</t>
  </si>
  <si>
    <t>Water Expenses</t>
  </si>
  <si>
    <t>5-02-04-010</t>
  </si>
  <si>
    <t>Electricity Expenses</t>
  </si>
  <si>
    <t>5-02-04-020</t>
  </si>
  <si>
    <t xml:space="preserve">Repair &amp; Maintenance- Machinery and Equipment </t>
  </si>
  <si>
    <t>Repair &amp; Maintenance of CCTV  System</t>
  </si>
  <si>
    <t>5-02-13-050-03</t>
  </si>
  <si>
    <t>Repair &amp; Maintenance of LED Wall</t>
  </si>
  <si>
    <t>Repair &amp; Maintenance of Streetlights</t>
  </si>
  <si>
    <t>5-02-13-050-99</t>
  </si>
  <si>
    <t>Repair &amp; Maintenance of vehicle &amp; Heavy Equipment</t>
  </si>
  <si>
    <t>Repair &amp; Maintenance of Transportation Equipment</t>
  </si>
  <si>
    <t>Insurance Expenses</t>
  </si>
  <si>
    <t>5-02-16-030</t>
  </si>
  <si>
    <t xml:space="preserve">    Motor Vehicle Registration</t>
  </si>
  <si>
    <t xml:space="preserve">    Motor Vehicle Insurance</t>
  </si>
  <si>
    <t xml:space="preserve">    Motor Vehicle Emission Testing</t>
  </si>
  <si>
    <t xml:space="preserve">    Fire Insurance for Buildings</t>
  </si>
  <si>
    <t>Membership Dues &amp; Contributions to org'n.</t>
  </si>
  <si>
    <t>INFORMATION TECHNOLOGY EQPT.</t>
  </si>
  <si>
    <t xml:space="preserve">    Purchase of 4 sets Desktop Computer</t>
  </si>
  <si>
    <t xml:space="preserve">    Purchase of 3 units Printer, Print, scan, Copy, Continuous Ink System</t>
  </si>
  <si>
    <t xml:space="preserve">    Purchase of 3 units Laptop Computer</t>
  </si>
  <si>
    <t xml:space="preserve">    Purchase of Desktop Computer i5, 23 inches, 8GB</t>
  </si>
  <si>
    <t xml:space="preserve">    Purchase of printer (3 in 1)</t>
  </si>
  <si>
    <t xml:space="preserve">    Purchase of Laptop Computer</t>
  </si>
  <si>
    <t>TRANSPORTATION EQUIPMENT</t>
  </si>
  <si>
    <t xml:space="preserve">    Purchase of Siphoning Truck</t>
  </si>
  <si>
    <t>OFFICE EQUIPMENT</t>
  </si>
  <si>
    <t xml:space="preserve">    Purchase of Electric Water Pump 2 HP</t>
  </si>
  <si>
    <t xml:space="preserve">    Purchase of pressure tank, 82 gals</t>
  </si>
  <si>
    <t>OTHER MACHINERY AND EQUIPMENT</t>
  </si>
  <si>
    <t xml:space="preserve">    Purchase of 6 units Electric Water Pump</t>
  </si>
  <si>
    <t xml:space="preserve">    Purchase of 6 units Water Tank with Accessories</t>
  </si>
  <si>
    <t xml:space="preserve">    Purchase of 1 unit Water Pump, Diesel</t>
  </si>
  <si>
    <t xml:space="preserve">    Purchase of 2 units Brush Cutter</t>
  </si>
  <si>
    <t xml:space="preserve">    Purchase of 1 unit Chainsaw</t>
  </si>
  <si>
    <t xml:space="preserve">    Purchase of 1 unit Ladder, 24ft</t>
  </si>
  <si>
    <t xml:space="preserve">    Purchase of 10 units Tent</t>
  </si>
  <si>
    <t xml:space="preserve">    Purchase of Air Purifiers</t>
  </si>
  <si>
    <t xml:space="preserve">    Purchase of 3 Airconditioning unit for the City Prosecutor's Office Bldg.</t>
  </si>
  <si>
    <t>OTHER PROPERTY, PLANT AND  EQUIPMENT</t>
  </si>
  <si>
    <t xml:space="preserve">    Purchase of Curtain Blinds for the Kalipi Center</t>
  </si>
  <si>
    <t>OFFICE OF THE CITY TREASURER</t>
  </si>
  <si>
    <t>Accountable Forms Expenses</t>
  </si>
  <si>
    <t>5-02-03-020</t>
  </si>
  <si>
    <t xml:space="preserve">    Purchase of 2 Emergency Light</t>
  </si>
  <si>
    <t xml:space="preserve">    Purchase of 2 units Electric Fan</t>
  </si>
  <si>
    <t>Fidelity Bond Premiums</t>
  </si>
  <si>
    <t>5-02-16-020</t>
  </si>
  <si>
    <t>Membership Dues &amp; Contributions to Org'n.</t>
  </si>
  <si>
    <t>Purchase of 1 unit Ring Binding Machine</t>
  </si>
  <si>
    <t>Purchase of 2 units 3in1 Computer Printer</t>
  </si>
  <si>
    <t>Purchase of 1 unit Money Counter</t>
  </si>
  <si>
    <t>Purchase of 1 Airconditioner 1.5HP Inverter, Split Type</t>
  </si>
  <si>
    <t>OFFICE OF THE CITY ASSESSOR</t>
  </si>
  <si>
    <t xml:space="preserve">    Purchase of Furnitures and Fixtures</t>
  </si>
  <si>
    <t>Membership Dues &amp; Contributions to Professional Org'n.</t>
  </si>
  <si>
    <t>Funding for the cost of survey for 2 lots in the proposed Sports Complex</t>
  </si>
  <si>
    <t>RPTA-DC (RPAS Maintenance)</t>
  </si>
  <si>
    <t>Conduct of General Revision (1st Year Activities)</t>
  </si>
  <si>
    <t>Transfer of Ownership &amp; Titling of Land</t>
  </si>
  <si>
    <t>Purchase of 3 units Laptop Computer</t>
  </si>
  <si>
    <t>Purchase of 1 unit 1-door Refrigerator</t>
  </si>
  <si>
    <t>Purchase of Window Blinds</t>
  </si>
  <si>
    <t>Purchase of 6 Office Tables</t>
  </si>
  <si>
    <t>Purchase of Aircondition unit</t>
  </si>
  <si>
    <t>Purchase of 2 units lateral filing cabinet</t>
  </si>
  <si>
    <t>Purchase of 2 units 4 door steel filing cabinet</t>
  </si>
  <si>
    <t>Purchase of 1 unit Multi-function printer (Plotter)</t>
  </si>
  <si>
    <t>Purchase of 1 unit 2.5HP Inverter-split type aircon</t>
  </si>
  <si>
    <t>Purchase of 1 unit Window Type Aircondition</t>
  </si>
  <si>
    <t>Purchase of 2 Steel filing cabinet, 4 drawers</t>
  </si>
  <si>
    <t>OFFICE OF THE CITY CIVIL REGISTRAR</t>
  </si>
  <si>
    <t>Cleaning supplies expenses (COVID)</t>
  </si>
  <si>
    <t>Membership Dues &amp; Contributions to Professional Org.</t>
  </si>
  <si>
    <t>Purchase of 1 unit Document Scanner, DS</t>
  </si>
  <si>
    <t>Purchase of 1 Cabinet for Registry Books (wood type)</t>
  </si>
  <si>
    <t>Purchase of Furniture and Fixtures:</t>
  </si>
  <si>
    <t xml:space="preserve">    Fabrication of Glass door</t>
  </si>
  <si>
    <t xml:space="preserve">    Fabrication of Counter Shield Glass</t>
  </si>
  <si>
    <t>OFFICE OF THE CITY HEALTH OFFICER</t>
  </si>
  <si>
    <t>5-01-02-050</t>
  </si>
  <si>
    <t>COVID-19 Special Risk Allowance</t>
  </si>
  <si>
    <t>Drugs and Medicines Expenses</t>
  </si>
  <si>
    <t>5-02-03-070</t>
  </si>
  <si>
    <t>Medical,Dental and laboratory Supplies Expenses</t>
  </si>
  <si>
    <t>5-02-03-080</t>
  </si>
  <si>
    <t>Laboratory Supplies Expenses</t>
  </si>
  <si>
    <t>Batac City Maternal Child Health Center</t>
  </si>
  <si>
    <t>Cable expenses</t>
  </si>
  <si>
    <t>Repair &amp; Maintenance of Health Facilities</t>
  </si>
  <si>
    <t>5-02-13-050-11</t>
  </si>
  <si>
    <t>Registration Fee</t>
  </si>
  <si>
    <t>Purchase of 5 units Computer Printer, Multifunction, Continuous Ink</t>
  </si>
  <si>
    <t>Purchase of 5 units Desktop Computer</t>
  </si>
  <si>
    <t>Purchase of 6 units Laptop Computer</t>
  </si>
  <si>
    <t>Purchase of 1 unit Projector (DDU)</t>
  </si>
  <si>
    <t xml:space="preserve">Purchase of 1 Filing Cabinet, Swing Door </t>
  </si>
  <si>
    <t>Purchase of 1 Filing Cabinet, vertical, 4 drawers</t>
  </si>
  <si>
    <t>Purchase of 1 unit Refrigerator 10 cu. Ft., 2 door</t>
  </si>
  <si>
    <t>Purchase of 1 unit Washing Machine 10 kgs.</t>
  </si>
  <si>
    <t>Purchase of 1 unit Ring Binding Machine, Heavy Duty</t>
  </si>
  <si>
    <t>Purchase of 2 pcs. Office Table</t>
  </si>
  <si>
    <t>Purchase of Split Type Airconditioner, 2HP</t>
  </si>
  <si>
    <t>Purchase &amp; Installation of Airconditioning units for the City Health Facilities</t>
  </si>
  <si>
    <t>Purchase of 5 units Multi-function printer (print, scan &amp; copy)</t>
  </si>
  <si>
    <t>Purchase of UPS, 650VA</t>
  </si>
  <si>
    <t>Purchase of Floor mounted Airconditioner (Stock room &amp; Lobby)</t>
  </si>
  <si>
    <t>Purchase of Gang Chair, 5 seater, Stainless Steel</t>
  </si>
  <si>
    <t>Purchase of 3 units Laptop</t>
  </si>
  <si>
    <t xml:space="preserve">Purchase of 3 units Computer Set </t>
  </si>
  <si>
    <t>Purchase of 1 Filing Cabinet, Swing Door</t>
  </si>
  <si>
    <t>Purchase of 6 units Filing Cabinet lateral 5 layers</t>
  </si>
  <si>
    <t>Portable Sound System with microphone</t>
  </si>
  <si>
    <t>Sound System for conference Room</t>
  </si>
  <si>
    <t>Multi-function Photocopier Machine</t>
  </si>
  <si>
    <t>Purchase of 1 unit Hematology Analyzer</t>
  </si>
  <si>
    <t>Purchase of 4 units Medicine Storage Cabinet</t>
  </si>
  <si>
    <t>Purchase of Conference Table with Chair</t>
  </si>
  <si>
    <t>Purchase of 3 units Material Recovery Bin/Receptacle</t>
  </si>
  <si>
    <t>Purchase of 2 units Pharmaceutical Refrigerator</t>
  </si>
  <si>
    <t>Purchase of 1 unit Refrigerator 8.9 cu ft. 2 door (Laboratory)</t>
  </si>
  <si>
    <t>Purchase of 1 unit Refrigerator 3.5 cu ft. 2 door (SI)</t>
  </si>
  <si>
    <t>Purchase of 1 unit Refrigerator 8.6 cu ft. 2 door (Swabbing Logistics)</t>
  </si>
  <si>
    <t>Purchase of 2 units Ambulance</t>
  </si>
  <si>
    <t>Purchase of 2 units Service Vehicle</t>
  </si>
  <si>
    <t>Purchase of 2 units Water Dispenser w/ mini compartment (Nurses Office &amp; ABTC)</t>
  </si>
  <si>
    <t>Purchase of Portable Minor Surgery Operating Light</t>
  </si>
  <si>
    <t>Supplies and Materials for CDC</t>
  </si>
  <si>
    <t xml:space="preserve">    Purchase of 3 Foldable Tables</t>
  </si>
  <si>
    <t>Telephone Expenses-Landline with Internet</t>
  </si>
  <si>
    <t>Purchase  of 1 Computer printer, 3-in-1</t>
  </si>
  <si>
    <t>Purchase  of 2 units Computer printer, 3-in-1</t>
  </si>
  <si>
    <t>Purchase of 2 units Desktop Computer</t>
  </si>
  <si>
    <t>Purchase of 1 unit Laptop</t>
  </si>
  <si>
    <t>OFFICE OF THE CITY AGRICULTURIST</t>
  </si>
  <si>
    <t xml:space="preserve">     Purchase of 3 sets Desktop Computer Table</t>
  </si>
  <si>
    <t xml:space="preserve">     Purchase of 2 units Drone Battery</t>
  </si>
  <si>
    <t xml:space="preserve">     Purchase of 1 unit Extension Wheel Cable, 30m</t>
  </si>
  <si>
    <t xml:space="preserve">     Purchase of 1 unit Digital Weighing Scale</t>
  </si>
  <si>
    <t xml:space="preserve">     Purchase of 2 units Plastic Film Sealer</t>
  </si>
  <si>
    <t xml:space="preserve">     Purchase of 1 unit Plastic Comb Punch and Binding Machine</t>
  </si>
  <si>
    <t xml:space="preserve">     Purchase of 1 unit Grain Moisture Meter</t>
  </si>
  <si>
    <t xml:space="preserve">     Purchase of 10 units Trapal</t>
  </si>
  <si>
    <t xml:space="preserve">     Purchase of 5 Portable Long Table</t>
  </si>
  <si>
    <t>Repair &amp; Maintenance of Vehicle</t>
  </si>
  <si>
    <t>Purchase of 12 units Filing Cabinet, 4 drawers-vertical</t>
  </si>
  <si>
    <t>Purchase of 2 units Portable Sound System trolley with wireless microphone</t>
  </si>
  <si>
    <t>Purchase of 1 unit Electronic Drawing Pad</t>
  </si>
  <si>
    <t>Purchase of 3 units Steel Tape</t>
  </si>
  <si>
    <t>Purchase of 1 unit Label Printer</t>
  </si>
  <si>
    <t>Purchase of Licensed Autocad Software 2021</t>
  </si>
  <si>
    <t>Purchase of 1 unit Drop Side Truck</t>
  </si>
  <si>
    <t>Purchase of 1 unit Automatic Seed Counter</t>
  </si>
  <si>
    <t>Purchase of 1 unit Document Scanner</t>
  </si>
  <si>
    <t>Purchase of 1 unit Digital Tachometer</t>
  </si>
  <si>
    <t>Purchase of 1 unit Moisture Soil Tester</t>
  </si>
  <si>
    <t>Purchase of 1 unit Moisture Soil Meter</t>
  </si>
  <si>
    <t>Purchase of 25 pcs. Plastic Pallete</t>
  </si>
  <si>
    <t>Purchase of 1 unit Hand Pallete Truck</t>
  </si>
  <si>
    <t>Purchase of 1 unit Flow Velocity Measuring Instrument</t>
  </si>
  <si>
    <t>Purchase of 1 roll Polypropylene Rope, 18mm X 220m</t>
  </si>
  <si>
    <t>Purchase of 2 units Collapsible Tent with G.I. Pipe Tube</t>
  </si>
  <si>
    <t>Purchase of 1 unit Wireless Printer</t>
  </si>
  <si>
    <t>Purchase of 2 units Printer</t>
  </si>
  <si>
    <t>Purchase of 1 unit Multi-function Printer (Plotter)</t>
  </si>
  <si>
    <t>Purchase of 2 units Handheld GPS with Camera</t>
  </si>
  <si>
    <t>Purchase of 1 unit Xerox Machine, Multi-function</t>
  </si>
  <si>
    <t>OFFICE OF THE CITY VETERINARIAN</t>
  </si>
  <si>
    <t>Janitorial supplies expenses</t>
  </si>
  <si>
    <t>Repair &amp; Maintenance of office equipment</t>
  </si>
  <si>
    <t>Purchase of 1 Filing cabinet, 4 drawers</t>
  </si>
  <si>
    <t>Office Supplies expenses</t>
  </si>
  <si>
    <t>Cleaning Supplies expenses</t>
  </si>
  <si>
    <t>Repair &amp; Maint.-Heavy Equipment</t>
  </si>
  <si>
    <t>Purchase of Tires</t>
  </si>
  <si>
    <t>Fabrication of 7 Office Table made of wood, 3 drawers, L-4ft x W 2ft</t>
  </si>
  <si>
    <t>Fabrication of 3 Office Table Wooden L-shaped</t>
  </si>
  <si>
    <t>Purchase of Rebound Hammer Tester</t>
  </si>
  <si>
    <t>Purchase of Soil Density Tester</t>
  </si>
  <si>
    <t xml:space="preserve">Purchase of 5 units Multi-Function Printer(Print, Scan &amp; copy) </t>
  </si>
  <si>
    <t>Purchase of 1 unit Camera with GPS</t>
  </si>
  <si>
    <t>Purchase of 2 units Motorcycle</t>
  </si>
  <si>
    <t xml:space="preserve">     Purchase of 2 Stand Electric Fan</t>
  </si>
  <si>
    <t>Internet Subscription expenses</t>
  </si>
  <si>
    <t>Purchase of 1 Unit Aircon, Split Type, 2.5HP</t>
  </si>
  <si>
    <t>Purchase of 2 units Computer printer, 3 in 1</t>
  </si>
  <si>
    <t>Purchase of 3 Office Table</t>
  </si>
  <si>
    <t>Purchase of Digital Camera, DSLR</t>
  </si>
  <si>
    <t>Purchase of 4 Filing Cabinet (lateral)</t>
  </si>
  <si>
    <t>Purchase of Window Glass</t>
  </si>
  <si>
    <t>Page 34</t>
  </si>
  <si>
    <t>3.0</t>
  </si>
  <si>
    <t>SPECIAL PURPOSE ALLOCATION</t>
  </si>
  <si>
    <t>Budgetary Requirements</t>
  </si>
  <si>
    <r>
      <rPr>
        <b/>
        <sz val="14"/>
        <rFont val="Cambria"/>
        <family val="1"/>
      </rPr>
      <t>1.0</t>
    </r>
    <r>
      <rPr>
        <sz val="14"/>
        <rFont val="Cambria"/>
        <family val="1"/>
      </rPr>
      <t xml:space="preserve"> Local Disaster Risk Reduction Management Fund</t>
    </r>
  </si>
  <si>
    <t>Thematic 1- Disaster Prevention and Mitigation</t>
  </si>
  <si>
    <t>Clearing, pruning, brushing and cutting of trees in the different barangays and schools</t>
  </si>
  <si>
    <t>Cash for work program before calamities</t>
  </si>
  <si>
    <t>Dredging, decloging and cleaning of rivers, creeks, canals, small farm reservoirs and other waterways</t>
  </si>
  <si>
    <t>Sub total</t>
  </si>
  <si>
    <t>Thematic 2- Disaster Preparedness</t>
  </si>
  <si>
    <t>Conduct of Capacity Training of C/BDRRMC, SDRRMC, NGO'S, Government and Private sectors and volunteers on Disaster Risk Reduction and Management</t>
  </si>
  <si>
    <t>Updating of various CDRRM Plans</t>
  </si>
  <si>
    <t>Conduct of Earthquake, Flood and Fire Evacuation Drills Oplan Ligtas na Pamayanan</t>
  </si>
  <si>
    <t>Information Education Campaign (IEC): Early Warning System and Pre-evacuation Management, Disaster preparedness; production, formulation and distribution of materials (manuals, leaflets, pamphlets, flyers, brochures, posters, early warning signages); dialogues w/ schools and the community; and others</t>
  </si>
  <si>
    <t>Conduct of DRRM-related Contests</t>
  </si>
  <si>
    <t>Stockpiling and Prepositioning of Supplies and Materials (Food and Non-Food items/ medicines)</t>
  </si>
  <si>
    <t>Acquisition of Search, rescue and retrieval (SRR) equipment; personal protective equipment; and other office facilities, materials, supplies, uniforms and maintenance of evacuation center</t>
  </si>
  <si>
    <t>Purchase of 1 unit Photocopying Machine</t>
  </si>
  <si>
    <t>Fogging and Preventive measures against dengue</t>
  </si>
  <si>
    <t>Purchase of 1 unit Brand New Rescue Vehicle</t>
  </si>
  <si>
    <t>Purchase of 2 units Brand New Multi-Purpose Vehicle</t>
  </si>
  <si>
    <t>Purchase of 1 unit Brand New Patient Transport Vehicle</t>
  </si>
  <si>
    <t>Thematic 3 and 4- Disaster Response, Rehabilitation and Recovery</t>
  </si>
  <si>
    <t>Quick Response Fund</t>
  </si>
  <si>
    <t>Provision of basic needs of evacuees, responders and other staff on-duty (food, clothing, shelter, medicines and others) and Other services</t>
  </si>
  <si>
    <t>Fuel and oil for disaster response, relief operations, assessment of Infrastructure, agriculture, fishery and livestock and other damages and other services</t>
  </si>
  <si>
    <t>Conduct of Nutrition in Emergencies Program</t>
  </si>
  <si>
    <t>Cash for work program every after calamities</t>
  </si>
  <si>
    <t>Infrastructure Rehabilitation-Rehabilitation/ Repair/ Maintenance of Calamity and Disaster Damages</t>
  </si>
  <si>
    <t>Gravelling of road shoulders and backfilling potholes</t>
  </si>
  <si>
    <t>Stockpiling of Gravel and Sand for regravelling of roadshoulders and Backfilling potholes</t>
  </si>
  <si>
    <t>Agricultural Rehabilitation Program for Agriculture, Fishery and Livestock</t>
  </si>
  <si>
    <t>Emegency Shelter Assistance (ESA)</t>
  </si>
  <si>
    <t>Repair and Maintenance of Vehicles, heavy equipment, machineries and other SRR equipment</t>
  </si>
  <si>
    <t>TOTAL LDRRMF</t>
  </si>
  <si>
    <t>Page 35</t>
  </si>
  <si>
    <r>
      <rPr>
        <b/>
        <sz val="14"/>
        <rFont val="Cambria"/>
        <family val="1"/>
      </rPr>
      <t>2.0</t>
    </r>
    <r>
      <rPr>
        <sz val="14"/>
        <rFont val="Cambria"/>
        <family val="1"/>
      </rPr>
      <t xml:space="preserve"> Aid to Barangays</t>
    </r>
  </si>
  <si>
    <t>Total Budgetary Requirements</t>
  </si>
  <si>
    <t>3.0 APPROPRIATIONS FOR DEVELOPMENT PROGRAMS AND PROJECTS- 20% DEVELOPMENT FUND</t>
  </si>
  <si>
    <t>SOCIAL DEVELOPMENT</t>
  </si>
  <si>
    <t>Support to COVID-19 related PPAs</t>
  </si>
  <si>
    <t>Recovery Assistance to Hog Raisers affected to African Swine Fever (ASF)</t>
  </si>
  <si>
    <t>ECONOMIC DEVELOPMENT</t>
  </si>
  <si>
    <t>Concreting of Farm-to-Market Road</t>
  </si>
  <si>
    <t>Road Widening</t>
  </si>
  <si>
    <t>Additional Funding for the Construction of Sumader SWIP</t>
  </si>
  <si>
    <t>Rehabilitation of Spillway</t>
  </si>
  <si>
    <t>Improvement of small water impounfding</t>
  </si>
  <si>
    <t>Concreting of irrigation Canal</t>
  </si>
  <si>
    <t xml:space="preserve">Rehabilitation /Excavation of Small Farm Reservior (SFR) </t>
  </si>
  <si>
    <t>Construction and rehabilitation of Diversion Dam</t>
  </si>
  <si>
    <t>Development of Public Market</t>
  </si>
  <si>
    <t xml:space="preserve">    Installation of Cargo Lift (3 units)</t>
  </si>
  <si>
    <t xml:space="preserve">    Installation of Elecrical Wirings for Bldg. 1-6</t>
  </si>
  <si>
    <t xml:space="preserve">    Construction of Roll -Up doors Building 1 to 6</t>
  </si>
  <si>
    <t xml:space="preserve">    Construction of Gadgadan Bldg.</t>
  </si>
  <si>
    <t xml:space="preserve">    Construction of two storey CR from Bldgs 1 to 6</t>
  </si>
  <si>
    <t>Rehabilitation /Excavation of Small Farm Reservior (SFR) 30 Farming Brgys.</t>
  </si>
  <si>
    <t>Purchase of backhoe</t>
  </si>
  <si>
    <t>ENVIRONMENTAL MANAGEMENT</t>
  </si>
  <si>
    <t>Solid Waste management Program</t>
  </si>
  <si>
    <t xml:space="preserve">       Upkeeping &amp; preservation of the City Waste Disposal Site</t>
  </si>
  <si>
    <t xml:space="preserve">       Construction of Slope Protection &amp; Drainage System along the Garbage pond &amp; Concreting of Road Network</t>
  </si>
  <si>
    <t xml:space="preserve">       Purchase of Dumptruck</t>
  </si>
  <si>
    <t xml:space="preserve">       Purchase of Backhoe w/ dozer</t>
  </si>
  <si>
    <t xml:space="preserve">       Purchase of Coconut Husk Shredder</t>
  </si>
  <si>
    <t>Establishment of operational MRF</t>
  </si>
  <si>
    <t>Construction of Roadway Slope Protection</t>
  </si>
  <si>
    <t>Construction of Slope Protection &amp; drainage System along Garbage Pond &amp; Concreting of Road Network</t>
  </si>
  <si>
    <t>Purchase of Garbage Compactor</t>
  </si>
  <si>
    <t>Purchase of Dumptruck</t>
  </si>
  <si>
    <t>Purchase of Payloader</t>
  </si>
  <si>
    <t>Purchase of Pre-Fab Container Van for Environment Section Sattelite office &amp; Guard House</t>
  </si>
  <si>
    <t>Dredging of Waterways (rivers/ creeks/ canals)</t>
  </si>
  <si>
    <t>Total 20% Dev. Fund</t>
  </si>
  <si>
    <t>Total Special Purpose Allocation</t>
  </si>
  <si>
    <t>Page 36</t>
  </si>
  <si>
    <t>4.0     OTHER SPECIAL PURPOSE APPROPRIATIONS</t>
  </si>
  <si>
    <t>GENDER AND DEVELOPMENT</t>
  </si>
  <si>
    <t>Social Welfare Services</t>
  </si>
  <si>
    <t>Provision of Financial Assistance to AICS</t>
  </si>
  <si>
    <t>Emergency Shelter Assistance</t>
  </si>
  <si>
    <t>Social Fund</t>
  </si>
  <si>
    <t>Maint.  Of the Women &amp; Child Crisis Center</t>
  </si>
  <si>
    <t>Pneumococcal/Flu shots vaccines for Senior Citizens</t>
  </si>
  <si>
    <t>Capacity Development for Men &amp; Women under the Commission of Population Development Programs/ Projects/ Activities</t>
  </si>
  <si>
    <t>A. Responsible Parenthood &amp; Family Planning</t>
  </si>
  <si>
    <t xml:space="preserve">    a. Couple's Trail</t>
  </si>
  <si>
    <t xml:space="preserve">    b. Paren-Teen Talk</t>
  </si>
  <si>
    <t xml:space="preserve">    c. Women's Month Celebration (City &amp; Provinces)</t>
  </si>
  <si>
    <t xml:space="preserve">    d. Revision/ Update of the Violence Against Women (VAW) Form</t>
  </si>
  <si>
    <t xml:space="preserve">    e. Livelihood/ Skills Training of Women/ Women in Crisis/ Solo Parents</t>
  </si>
  <si>
    <t xml:space="preserve">    f. Lecture on Women's Rights/ Human Rights to vulnerable group of women</t>
  </si>
  <si>
    <t xml:space="preserve">    g. BSPO Team Building</t>
  </si>
  <si>
    <t xml:space="preserve">    h. Organization of the Federated KALIPI NASYONAL, Inc.</t>
  </si>
  <si>
    <t>B. Adolescent Health Youth and Development</t>
  </si>
  <si>
    <t xml:space="preserve">    a. Lecture/ Symposium</t>
  </si>
  <si>
    <t xml:space="preserve">    b. U4U Teen Trail</t>
  </si>
  <si>
    <t>C. Population Development</t>
  </si>
  <si>
    <t xml:space="preserve">    a. POVDEC Mentoring and Coaching</t>
  </si>
  <si>
    <t xml:space="preserve">    b. Monthly Meeting (Host City)</t>
  </si>
  <si>
    <t xml:space="preserve">    c. BSPO Benchmarking</t>
  </si>
  <si>
    <t>Pag-asa Youth Association of the Philippines (PYAP)/ Unlad Kabataan Program (UKP)</t>
  </si>
  <si>
    <t>A. Organization/ Orientation re: PYAP</t>
  </si>
  <si>
    <t>B. Monthly Meetings</t>
  </si>
  <si>
    <t>C. Skills Training</t>
  </si>
  <si>
    <t>D. Advocacy/ Lectures/ Symposium</t>
  </si>
  <si>
    <t>E. Founding Anniversary Celebration Of Pag-Asa Youth Association and Other Special Activities</t>
  </si>
  <si>
    <t>Capacity Development for Women &amp; Men</t>
  </si>
  <si>
    <t>Maint. Of the Gender &amp; Development Building</t>
  </si>
  <si>
    <t>Maint. Of the Women and Children Crisis</t>
  </si>
  <si>
    <t>Premium Subsidy for Sponsored (indigent) Program</t>
  </si>
  <si>
    <t>Point of Service</t>
  </si>
  <si>
    <t>City of Batac Medical Trust Fund</t>
  </si>
  <si>
    <t>Observance of the Women's Month</t>
  </si>
  <si>
    <t>Page 37</t>
  </si>
  <si>
    <t>Health Services</t>
  </si>
  <si>
    <t>PhilHealth Program for Brgy. Health Workers, Brgy. Nutrition Scholars, Brgy. Services Point Officers, Brgy. Officials, Brgy. Tanods</t>
  </si>
  <si>
    <t>Agricultural Services</t>
  </si>
  <si>
    <t>Purchase of Seedling trays, Vegetables seeds, fertilizer and Other materials for Vegetable seedlings</t>
  </si>
  <si>
    <t>Techno Demo on Vegetable</t>
  </si>
  <si>
    <t>Gulayan sa Barangay</t>
  </si>
  <si>
    <t>Farmer's Field School on Crop Production</t>
  </si>
  <si>
    <t>Purchase of Equipment for Tabug Mushroom Grower's Association</t>
  </si>
  <si>
    <t>Capability Enhancement Training for One Barangay, One Product and Other Livelihood Projects</t>
  </si>
  <si>
    <t>Capability Enhancement Training for Farmer's and Irrigation Association</t>
  </si>
  <si>
    <t>Establishment of Good Agricultural Practices In Lowland Vegetables</t>
  </si>
  <si>
    <t>Rehabilitation of Bamboo Tree Production</t>
  </si>
  <si>
    <t>Capability Enhancement Training on Food Production for Youth</t>
  </si>
  <si>
    <t>Season Long Training-Farmer Fields School on Crop Production</t>
  </si>
  <si>
    <t>Training on Mango Production and Product Management</t>
  </si>
  <si>
    <t>Training on Rice Machinery Operation</t>
  </si>
  <si>
    <t>Capacity Training for Women Leaders on Livelihood Development and Communication Skills</t>
  </si>
  <si>
    <t>Training on Construction of fish cages and fish stocking</t>
  </si>
  <si>
    <t>Gulayan sa Bawat Bahay</t>
  </si>
  <si>
    <t>Capability Enhancement Training on Peanut Production and Processing</t>
  </si>
  <si>
    <t>Capability Enhancement Training on Ginger and Turmeric Processing</t>
  </si>
  <si>
    <t>Training on Mushroom Production</t>
  </si>
  <si>
    <t>Basic Skills Leadership Training for 4-H Leaders and Members</t>
  </si>
  <si>
    <t>Basic Leadership and Skills Training for various organization</t>
  </si>
  <si>
    <t>Revitalization of sugarcane industry in the City of Batac</t>
  </si>
  <si>
    <t>Capability Enhancement Training on Value Added Products</t>
  </si>
  <si>
    <t>Training on Swine Production with Starter Kit</t>
  </si>
  <si>
    <t>Page 38</t>
  </si>
  <si>
    <t>Veterinary Services</t>
  </si>
  <si>
    <t>Livelihood Program for Youth</t>
  </si>
  <si>
    <t>Training and Demo on Free Range Chicken with Starter Kit</t>
  </si>
  <si>
    <t xml:space="preserve">Training on Ready to Lay Egg for Rural Improvement Club (RIC) </t>
  </si>
  <si>
    <t>Training on Meat Safety and Proper Handling for Meat Vendors</t>
  </si>
  <si>
    <t>Backyard Swine Fattening</t>
  </si>
  <si>
    <t>Capacity Development Program Among Butchers</t>
  </si>
  <si>
    <t>Human Resource and Development Services</t>
  </si>
  <si>
    <t>Conduct of Monthly Management Meeting</t>
  </si>
  <si>
    <t>Leadership and Management Training for Department/ Section Heads and Second Level Employees</t>
  </si>
  <si>
    <t>Leadership and Management Training</t>
  </si>
  <si>
    <t>Health and Wellness Program</t>
  </si>
  <si>
    <t xml:space="preserve">     Conduct of Random Drug Testing</t>
  </si>
  <si>
    <t xml:space="preserve">     Provision of Free Complete Blood Chemistry to all City Employees</t>
  </si>
  <si>
    <t xml:space="preserve">     Provision of Chest X-ray</t>
  </si>
  <si>
    <t xml:space="preserve">     Provision of Free Vitamin C with Zinc</t>
  </si>
  <si>
    <t xml:space="preserve">     Provision of Multi-vitamins</t>
  </si>
  <si>
    <t xml:space="preserve">     Provision of anti-flu Vaccine</t>
  </si>
  <si>
    <t xml:space="preserve">     Provision of anti-pnuemonia Vaccine</t>
  </si>
  <si>
    <t xml:space="preserve">     Attendance to CGB Fun Run/ Walk and Other Invitational Fun Run/ Walks</t>
  </si>
  <si>
    <t xml:space="preserve">     Provision of Comprehensive Health Insurance Coverage </t>
  </si>
  <si>
    <t xml:space="preserve">     Establishment of Fitness Center and Provision of Sports Equipment</t>
  </si>
  <si>
    <t>Gender and Development Training to City Employees</t>
  </si>
  <si>
    <t>CGB Sports Festival</t>
  </si>
  <si>
    <t>Gender Sensitivity Training</t>
  </si>
  <si>
    <t>Total OSPA GAD</t>
  </si>
  <si>
    <t>BARANGAY ASSISTANCE PROGRAM</t>
  </si>
  <si>
    <t>Purchase of lot for Barangay Quiling Norte Community Center</t>
  </si>
  <si>
    <t>Barangay Development &amp; Social Justice Fund</t>
  </si>
  <si>
    <t>OTHER SPECIAL PURPOSE ALLOCATION</t>
  </si>
  <si>
    <t>Financial Assistance to Barangay Frontliners</t>
  </si>
  <si>
    <t>Financial Assistance-COVID-19 Positive</t>
  </si>
  <si>
    <t>Goods and Services for Social Amelioration Measures</t>
  </si>
  <si>
    <t>Establishment, Construction and Operation of Temporary Medical Facilities</t>
  </si>
  <si>
    <t>Fund for the Purchase of Personal Protective Equipment, Medical Supplies, Cleaning Materials, Common Medicines</t>
  </si>
  <si>
    <t>Livelihood Programs</t>
  </si>
  <si>
    <t>Page 39</t>
  </si>
  <si>
    <t>OTHER SPECIAL PURPOSE ALLOCATION-SPECIAL ACCOUNT</t>
  </si>
  <si>
    <t>Procurement of Personal Protective Equipment</t>
  </si>
  <si>
    <t>Equipment, Reagents, and Kits for COVID-19 Testing</t>
  </si>
  <si>
    <t>Procurement of Hospital Equipment and Supplies</t>
  </si>
  <si>
    <t>Medicines and vitamins</t>
  </si>
  <si>
    <t>Food, Transportation (including fuel) of Medical Personnel and Other LGU Personnel</t>
  </si>
  <si>
    <t>Food Assistances and Other Relief Goods for Affected Households</t>
  </si>
  <si>
    <t>Expenses for the construction/repair/lease/rental of space additional space/ building to accommodate COVID-19 patients and person under monitoring/ investigation</t>
  </si>
  <si>
    <t>Other Necessary COVID-19 Related PPAs and Expenses</t>
  </si>
  <si>
    <t>City of Batac Crisis Cash Assistance Fund</t>
  </si>
  <si>
    <t>A. COVID-19 Purposes</t>
  </si>
  <si>
    <t xml:space="preserve">    a. Expenses for Food, Accomodation for COVID-19 persons under monitoring staying in the city facility </t>
  </si>
  <si>
    <t xml:space="preserve">    b. Expenses for the lease/ rental of additional space / building to accommodate COVID-19 patients and persons under monitoring/ investigation</t>
  </si>
  <si>
    <t xml:space="preserve">    c. Purchase of goods such as personal protective equipment and consumables</t>
  </si>
  <si>
    <t xml:space="preserve">    d. Other necessary COVID-19 related PPAS and expenses</t>
  </si>
  <si>
    <t xml:space="preserve">          1. Purchase of Sofa Beds</t>
  </si>
  <si>
    <t xml:space="preserve">          3. Purchase of Electric Fans</t>
  </si>
  <si>
    <t>D.LDRRM-Purposes</t>
  </si>
  <si>
    <t xml:space="preserve">    b. Provision of basic needs of evacuees, responders and other staff on duty (food, clothing, shelter, medicines and other) and other services</t>
  </si>
  <si>
    <t xml:space="preserve">    c. Purchase of Modular Tent</t>
  </si>
  <si>
    <t>COVID-19 Swabbing Logistics</t>
  </si>
  <si>
    <t>RA7171- LBM NO.79</t>
  </si>
  <si>
    <t>Purchase of Mungbean</t>
  </si>
  <si>
    <t>Purchase of Drying Net for Rice Farmers</t>
  </si>
  <si>
    <t>Purchase of Corn and Fertilizer</t>
  </si>
  <si>
    <t>Purchase of Diesel Engine Water Pump</t>
  </si>
  <si>
    <t>Purchase of Grass Cutter for Rice and Reaper</t>
  </si>
  <si>
    <t>TOTAL RA7171-LBM NO. 79</t>
  </si>
  <si>
    <t>Page 40</t>
  </si>
  <si>
    <t>3.0     Other  Special Purpose Allocation</t>
  </si>
  <si>
    <t>Subsidy to National Government Agencies</t>
  </si>
  <si>
    <t>Aid to Commission on Audit</t>
  </si>
  <si>
    <t>A. Maint. And  Other Operating Expenses</t>
  </si>
  <si>
    <t xml:space="preserve">      Traveling expenses (local)</t>
  </si>
  <si>
    <t xml:space="preserve">      Training Expenses</t>
  </si>
  <si>
    <t xml:space="preserve">      Office Supplies Expenses</t>
  </si>
  <si>
    <t xml:space="preserve">      Other Supplies &amp; Materials Expenses</t>
  </si>
  <si>
    <t xml:space="preserve">      Cleaning Supplies Expenses</t>
  </si>
  <si>
    <t xml:space="preserve">      Water Expenses</t>
  </si>
  <si>
    <t xml:space="preserve">      Postage and Courier Services</t>
  </si>
  <si>
    <t xml:space="preserve">      Telephone &amp; Internet Subscription expenses</t>
  </si>
  <si>
    <t xml:space="preserve">      Printing and Publication Expenses</t>
  </si>
  <si>
    <t xml:space="preserve">      Membership Dues and Contributions to Organizations</t>
  </si>
  <si>
    <t>B.  Property, Plant and Equipment</t>
  </si>
  <si>
    <t xml:space="preserve">      Purchase of Digital Camera</t>
  </si>
  <si>
    <t xml:space="preserve">      Purchase of 2 Open Shelves steel cabinet</t>
  </si>
  <si>
    <t>Aid to Judicial Bodies</t>
  </si>
  <si>
    <t xml:space="preserve">          City Trial Court</t>
  </si>
  <si>
    <t xml:space="preserve">     Traveling Expenses-Local</t>
  </si>
  <si>
    <t xml:space="preserve">     Training Expenses</t>
  </si>
  <si>
    <t xml:space="preserve">     Office supplies expenses</t>
  </si>
  <si>
    <t xml:space="preserve">     Internet &amp; Telephone Expenses</t>
  </si>
  <si>
    <t xml:space="preserve">     Other Maintenance and Operating Expenses</t>
  </si>
  <si>
    <t xml:space="preserve">       Purchase of 1 set Desktop Computer with Printer</t>
  </si>
  <si>
    <t xml:space="preserve">       Purchase of 1 unit Computer Printer</t>
  </si>
  <si>
    <t xml:space="preserve">       Purchase of 3 in 1 Computer printer</t>
  </si>
  <si>
    <t>Regional Trial Court 17</t>
  </si>
  <si>
    <t>A. Maintenance and Other Operating Expense</t>
  </si>
  <si>
    <t xml:space="preserve">     Internet Subscription Expenses</t>
  </si>
  <si>
    <t xml:space="preserve">     Electricity Expenses</t>
  </si>
  <si>
    <t xml:space="preserve">     Other supplies &amp; materials expenses</t>
  </si>
  <si>
    <t>Page 41</t>
  </si>
  <si>
    <t>Regional Trial Court 18</t>
  </si>
  <si>
    <t xml:space="preserve">     Training expenses</t>
  </si>
  <si>
    <t xml:space="preserve">     Office Supplies expenses</t>
  </si>
  <si>
    <t xml:space="preserve">     Other Supplies and Materials Expenses </t>
  </si>
  <si>
    <t xml:space="preserve">     Internet Subscription expenses</t>
  </si>
  <si>
    <t>Sub Total</t>
  </si>
  <si>
    <t xml:space="preserve">     Purchase of 1 unit Laptop Computer</t>
  </si>
  <si>
    <t xml:space="preserve">     Purchase of Multi-function (print,scan &amp; copy) Wifi &amp; Wifi Direct, Continous ink system (CIS)</t>
  </si>
  <si>
    <t xml:space="preserve">     Purchase of Document Scanner, Automatic Document Feeder</t>
  </si>
  <si>
    <t xml:space="preserve">     Purchase of Portable sound system trolley with wireless microphone</t>
  </si>
  <si>
    <t xml:space="preserve">     Purchase of Office Equipment</t>
  </si>
  <si>
    <t xml:space="preserve">     Office Renovation/ Refurbishment</t>
  </si>
  <si>
    <t>Public Attorney's Office</t>
  </si>
  <si>
    <t>A. Maintenance and Other Operating Expenses</t>
  </si>
  <si>
    <t xml:space="preserve">     Travelling expenses</t>
  </si>
  <si>
    <t xml:space="preserve">    Office supplies expenses</t>
  </si>
  <si>
    <t xml:space="preserve">     Fuel, Oil and Lubricants</t>
  </si>
  <si>
    <t xml:space="preserve">     Other Supplies and Materials Expenses</t>
  </si>
  <si>
    <t xml:space="preserve">           Purchase of 1 pc. Plastic Table</t>
  </si>
  <si>
    <t xml:space="preserve">    Cleaning Supplies Expenses</t>
  </si>
  <si>
    <t xml:space="preserve">    Other Maintenance and Operating Expenses</t>
  </si>
  <si>
    <t xml:space="preserve">     Purchase of 3 units Executive Chairs</t>
  </si>
  <si>
    <t xml:space="preserve">     Purchase of 2 units Executive Chairs</t>
  </si>
  <si>
    <t xml:space="preserve">     Purchase of 2 units Multi-function Printer</t>
  </si>
  <si>
    <t>City Prosecutor's Office</t>
  </si>
  <si>
    <t xml:space="preserve">     Fuel, Oil and Lubricants Expenses</t>
  </si>
  <si>
    <t xml:space="preserve">     Cleaning supplies expenses</t>
  </si>
  <si>
    <t>Page 42</t>
  </si>
  <si>
    <t xml:space="preserve">          Purchase of 5 San-yang Office Table</t>
  </si>
  <si>
    <t xml:space="preserve">          Purchase of 3 Computer Table</t>
  </si>
  <si>
    <t xml:space="preserve">          Purchase of 2 units Clerical Table</t>
  </si>
  <si>
    <t xml:space="preserve">          Purchase of 20 pcs. Plastic Chairs</t>
  </si>
  <si>
    <t xml:space="preserve">          Purchase of 1 pc. Plastic Table</t>
  </si>
  <si>
    <t xml:space="preserve">     Water Expenses</t>
  </si>
  <si>
    <t xml:space="preserve">     Internet  Subscription Expenses</t>
  </si>
  <si>
    <t xml:space="preserve">     Telephone &amp; Internet  Subscription Expenses</t>
  </si>
  <si>
    <t xml:space="preserve">         Purchase of 2.5 HP Aircon Inverter Type</t>
  </si>
  <si>
    <t xml:space="preserve">         Purchase of 4 units Computer Printer, Continous Ink</t>
  </si>
  <si>
    <t xml:space="preserve">         Purchase of 3 units Executive Chairs</t>
  </si>
  <si>
    <t xml:space="preserve">         Purchase of 1 unit Laptop</t>
  </si>
  <si>
    <t>Office of the Clerk of Court</t>
  </si>
  <si>
    <t xml:space="preserve">    Other Maintenance &amp; Operating Expenses</t>
  </si>
  <si>
    <t xml:space="preserve">     Purchase of 10 units Open Shelves Steel Cabinet (90cm (w) x 40cm (D) x 180cm (H)</t>
  </si>
  <si>
    <t xml:space="preserve">     Purchase of Money counter</t>
  </si>
  <si>
    <t>Regional Trial Court Branch #6-Family Court</t>
  </si>
  <si>
    <t xml:space="preserve">     Travelling Expenses</t>
  </si>
  <si>
    <t xml:space="preserve">     Office Supplies Expenses</t>
  </si>
  <si>
    <t xml:space="preserve">     Other Supplies &amp; Materials Expenses</t>
  </si>
  <si>
    <t xml:space="preserve">     Other Maintenance &amp; Operating Expenses</t>
  </si>
  <si>
    <t xml:space="preserve">     Purchase of 1 unit Laptop Computer </t>
  </si>
  <si>
    <t xml:space="preserve">     Purchase of Sound System with Complete Accessories</t>
  </si>
  <si>
    <t>Page 43</t>
  </si>
  <si>
    <t>Aid to LGOO</t>
  </si>
  <si>
    <t xml:space="preserve">     Repair &amp; Maintenance- Machinery &amp; Equipment</t>
  </si>
  <si>
    <t>Assistance to PNP</t>
  </si>
  <si>
    <t xml:space="preserve">     Fuel, oil &amp; lubricants expenses</t>
  </si>
  <si>
    <t xml:space="preserve">     Cleaning Supplies Expenses</t>
  </si>
  <si>
    <t xml:space="preserve">     Repair &amp; Maintenance- Transportation Equipment</t>
  </si>
  <si>
    <t xml:space="preserve">     Purchase of 5 units Desktop Computer</t>
  </si>
  <si>
    <t xml:space="preserve">     Purchase of 1 unit Camera, DSLR</t>
  </si>
  <si>
    <t xml:space="preserve">     Purchase of 2 units Computer Printer (3 in 1 Continuous ink system)</t>
  </si>
  <si>
    <t xml:space="preserve">     Purchase of 8 Vertical Steel Filing Cabinet, 4 layers</t>
  </si>
  <si>
    <t xml:space="preserve">     Purchase of 3 units Aircon, Inverter, 2Hp</t>
  </si>
  <si>
    <t xml:space="preserve">     Purchase of 1 unit Chainsaw</t>
  </si>
  <si>
    <t xml:space="preserve">     Purchase of 1 unit Rubber Boat</t>
  </si>
  <si>
    <t xml:space="preserve">     Purchase of laptop</t>
  </si>
  <si>
    <t xml:space="preserve">     Purchase of Camera (DSLR)</t>
  </si>
  <si>
    <t xml:space="preserve">     Purchase of 1 unit Multi-Function Printer</t>
  </si>
  <si>
    <t xml:space="preserve">     Purchase of lateral steel filing cabinet, 3 layers</t>
  </si>
  <si>
    <t xml:space="preserve">     Purchase of vertical steel filing cabinet, 4 layers</t>
  </si>
  <si>
    <t xml:space="preserve">     Purchase of Office Table</t>
  </si>
  <si>
    <t xml:space="preserve">     Purchase of Aircon, Window Type, 2 HP</t>
  </si>
  <si>
    <t xml:space="preserve">     Purchase of Steel Gang Chair, 4 seater</t>
  </si>
  <si>
    <t>Page 44</t>
  </si>
  <si>
    <t>C. Other Activities</t>
  </si>
  <si>
    <t>I.Police Community Relations Activities (PCR)</t>
  </si>
  <si>
    <t xml:space="preserve">   a. BPATS Training</t>
  </si>
  <si>
    <t xml:space="preserve">   b. VAWC Seminar/ Symposium</t>
  </si>
  <si>
    <t xml:space="preserve">   c. Feeding Program and Gift Giving</t>
  </si>
  <si>
    <t xml:space="preserve">   d. Drug Symposium Lecture</t>
  </si>
  <si>
    <t xml:space="preserve">   e. Initiated Activities of PWUD's</t>
  </si>
  <si>
    <t xml:space="preserve">   f. BPAT's ID</t>
  </si>
  <si>
    <t xml:space="preserve">   g.  Annual PCR Month Celebration</t>
  </si>
  <si>
    <t xml:space="preserve">   h. PCR Trainings and Seminars</t>
  </si>
  <si>
    <t xml:space="preserve">   i. Barangayanihan Activities</t>
  </si>
  <si>
    <t>II.Operation Activities</t>
  </si>
  <si>
    <t xml:space="preserve">   a. Maint. Of Police Asst. Centers</t>
  </si>
  <si>
    <t xml:space="preserve">   b. Relocation, Renovation &amp; Maint. Of HIPAD (Highway Public Asst. Desk)</t>
  </si>
  <si>
    <t xml:space="preserve">   c. Conduct of Community Anti-Terrorism Awareness Seminar (CATA) and Knowing the Enemy (KTE)</t>
  </si>
  <si>
    <t xml:space="preserve">   d. Acquisition of Checkpoint Operation  Materials and Maint. Of Checkpoint Barricade</t>
  </si>
  <si>
    <t xml:space="preserve">   e. Traffic and Rerouting Signages during Major Events</t>
  </si>
  <si>
    <t xml:space="preserve">   f. Formulation of LACAP</t>
  </si>
  <si>
    <t xml:space="preserve">   g. Enhanced Managing Police Operation (EMPO) Conference</t>
  </si>
  <si>
    <t xml:space="preserve">   h. Tourist Police Training</t>
  </si>
  <si>
    <t xml:space="preserve">   i. Fuel, Oil &amp; Lubricants Expenses</t>
  </si>
  <si>
    <t xml:space="preserve">   j. Enhanced Managing Police (EMPO) Conference</t>
  </si>
  <si>
    <t xml:space="preserve">   k. Annual Directorate for Investigation Detection and Management Validation</t>
  </si>
  <si>
    <t xml:space="preserve">   l. Revalidation of City Strategic Management Unit</t>
  </si>
  <si>
    <t xml:space="preserve">   m. Annual Operations Plans and Budget Conference</t>
  </si>
  <si>
    <t>Page 45</t>
  </si>
  <si>
    <t>Assistance to BJMP</t>
  </si>
  <si>
    <t xml:space="preserve">     Other  supplies and Materials Expenses</t>
  </si>
  <si>
    <t xml:space="preserve">           Purchase of  1 unit Exhaust Fan- Ceiling Type</t>
  </si>
  <si>
    <t xml:space="preserve">           Purchase of 50 Monoblock Chairs</t>
  </si>
  <si>
    <t xml:space="preserve">           Purchase of 6 units Handheld Radio (ICOM)</t>
  </si>
  <si>
    <t xml:space="preserve">           Purchase of 1 unit Megaphone</t>
  </si>
  <si>
    <t xml:space="preserve">     Purchase of  1 Filing Cabinet</t>
  </si>
  <si>
    <t xml:space="preserve">     Purchase of 1 Executive Chair</t>
  </si>
  <si>
    <t xml:space="preserve">     Purchase of 1 Submersible Water Pump</t>
  </si>
  <si>
    <t xml:space="preserve">       Purchase of Desktop Computer i5</t>
  </si>
  <si>
    <t xml:space="preserve">       Purchase of Computer Printer 3in1</t>
  </si>
  <si>
    <t xml:space="preserve">       Purchase of all in one Computer Table with printer stand and drawer w945x D480xH945mm</t>
  </si>
  <si>
    <t xml:space="preserve">       Purchase of Laminating Machine with Film, Reverse, Heavy Duty</t>
  </si>
  <si>
    <t>Assistance to Fire Department</t>
  </si>
  <si>
    <t>A. Maint. Other Operating Expenses</t>
  </si>
  <si>
    <t xml:space="preserve">      Fuel, Oil &amp; Lubricants Expenses</t>
  </si>
  <si>
    <t xml:space="preserve">       Other Supplies and Materials Expenses</t>
  </si>
  <si>
    <t xml:space="preserve">           First Aid Kit cabinet</t>
  </si>
  <si>
    <t xml:space="preserve">           Lifeguard Rescue Can</t>
  </si>
  <si>
    <t xml:space="preserve">           Sam Splint</t>
  </si>
  <si>
    <t xml:space="preserve">           Foldable Basket Strecher</t>
  </si>
  <si>
    <t xml:space="preserve">           Flash Light</t>
  </si>
  <si>
    <t xml:space="preserve">           Office Tables (5 pcs.)</t>
  </si>
  <si>
    <t xml:space="preserve">          Monoblock Chairs (20 pcs.)</t>
  </si>
  <si>
    <t xml:space="preserve">          Desktop Computer Table (1 pc)</t>
  </si>
  <si>
    <t xml:space="preserve">       Repair &amp; maint. of Firetruck &amp; Emergency Vehicle</t>
  </si>
  <si>
    <t xml:space="preserve">       Printing and Publication Expenses</t>
  </si>
  <si>
    <t xml:space="preserve">       Purchase of tires</t>
  </si>
  <si>
    <t xml:space="preserve">       Purchase of 1 unit Desktop Computer</t>
  </si>
  <si>
    <t xml:space="preserve">       Purchase of 2 units Computer printer</t>
  </si>
  <si>
    <t xml:space="preserve">       Purchase of Sala Set</t>
  </si>
  <si>
    <t xml:space="preserve">       Purchase of Aircondition unit 1.5 HP</t>
  </si>
  <si>
    <t>Page 46</t>
  </si>
  <si>
    <t>Aid to SK Federation</t>
  </si>
  <si>
    <t>Aid to Special Bodies</t>
  </si>
  <si>
    <t>Aid to Liga ng mga  Barangay</t>
  </si>
  <si>
    <t>Conduct of Mass Civil Wedding Program (Ordinance No. 5, S 1998)</t>
  </si>
  <si>
    <t>Mayor's Award for Academic Excellence &amp; Leadership Award- Ordinance No. 4SP 2018-04</t>
  </si>
  <si>
    <t>Alay kay KOSA 2022</t>
  </si>
  <si>
    <t>Pinagririnnanud ti Paskua</t>
  </si>
  <si>
    <t>Support to Bids and Awards Committee</t>
  </si>
  <si>
    <t xml:space="preserve">     Traveling expenses</t>
  </si>
  <si>
    <t xml:space="preserve">     Telephone expenses</t>
  </si>
  <si>
    <t xml:space="preserve">     Internet  Subscription expenses</t>
  </si>
  <si>
    <t xml:space="preserve">     Repair &amp; maint. Of office equipment</t>
  </si>
  <si>
    <t xml:space="preserve">     Other Maint. &amp; Operating Expenses</t>
  </si>
  <si>
    <t xml:space="preserve">      Purchase of 1 unit LCD Projector</t>
  </si>
  <si>
    <t xml:space="preserve">      Purchase of 1 unit Television 55 inches</t>
  </si>
  <si>
    <t xml:space="preserve">      Purchase of 4 units Computer Printer</t>
  </si>
  <si>
    <t xml:space="preserve">      Purchase of 1 unit 3 in 1 Printer with WIFI</t>
  </si>
  <si>
    <t>SOCIAL DEVELOPMENT SERVICES (From LDRRM Fund 2014 &amp; 2015)</t>
  </si>
  <si>
    <t>Nagbacalan Dam Protection Wall Rehabilitation</t>
  </si>
  <si>
    <t>Protection Wall  with Gabion @ Colo (road leading to Dr. Mamotos)</t>
  </si>
  <si>
    <t>Purchase of Patient Transport Vehicle</t>
  </si>
  <si>
    <t xml:space="preserve">Purchase of Food Van/Truck </t>
  </si>
  <si>
    <t>Purchase of Crawler Excavator</t>
  </si>
  <si>
    <t>Purchase of Drilling Rig</t>
  </si>
  <si>
    <t>COVID-19  Related Programs</t>
  </si>
  <si>
    <t>Page 47</t>
  </si>
  <si>
    <t>Peace and Order Development Program</t>
  </si>
  <si>
    <t>Fund Support to Lupon ng Barangay</t>
  </si>
  <si>
    <t>Anti-illegal Drug Campaign</t>
  </si>
  <si>
    <t>Fund support for Barangay Tanods</t>
  </si>
  <si>
    <t>Aid to Katarungan Pambarangay</t>
  </si>
  <si>
    <t>Purchase of 2 units Patrol car</t>
  </si>
  <si>
    <t>Education and Manpower</t>
  </si>
  <si>
    <t>Hiring of Teachers (Contract of Service)</t>
  </si>
  <si>
    <t>Provision of Cash Incentives/ Stipend to Top 5 deserving children of Permanent and Casual Employees</t>
  </si>
  <si>
    <t>Provision of Financial Support to Qualified Beneficiaries of the Financial Assistance Program of Board/ Bar Exam Takers</t>
  </si>
  <si>
    <t>Provision of Accident, Sickness/ Hospital and Death financial assistance for the Career and Non-Career Employees of the CGB and/or their nearest relative within the first degree of consanguinity or affinity</t>
  </si>
  <si>
    <t>Scholarship Program</t>
  </si>
  <si>
    <t>Support to Public Education-Awards and Incentives Programs for Outstanding Performances of Pupils and Students in DepEd Initiated Regional and National Athletic/Sports Competitions (Ord. No. 4SP 2018-03)</t>
  </si>
  <si>
    <t>Support to Education-Janitorial Services, Security Services &amp; Fuel &amp; Oil</t>
  </si>
  <si>
    <t>Support to Public Education -Sports Development Prog.</t>
  </si>
  <si>
    <t>Support to Public Education -Provision of Educational Supplies and Materials to Pupils &amp; Students</t>
  </si>
  <si>
    <t>LABOR AND EMPLOYMENT</t>
  </si>
  <si>
    <t>Special Program for the Employment of students</t>
  </si>
  <si>
    <t>Maint of  PESO &amp; CTEC Program</t>
  </si>
  <si>
    <t xml:space="preserve">    Conduct of Job Fair</t>
  </si>
  <si>
    <t xml:space="preserve">    Career Guidance and Employment Coaching</t>
  </si>
  <si>
    <t xml:space="preserve">    Provision of Labor Market Information</t>
  </si>
  <si>
    <t xml:space="preserve">    Employee Referral and Placement</t>
  </si>
  <si>
    <t xml:space="preserve">    Assistance to Displaced Returning Filipino Overseas</t>
  </si>
  <si>
    <t xml:space="preserve">    Skills Registry System</t>
  </si>
  <si>
    <t>Hiring of Government Internship Program (GIP)</t>
  </si>
  <si>
    <t>Page 48</t>
  </si>
  <si>
    <t>TOURISM &amp; EVENTS SECTION</t>
  </si>
  <si>
    <t>Tourism Development Program</t>
  </si>
  <si>
    <t>Cultural Affairs Program</t>
  </si>
  <si>
    <t>Empanada Festival</t>
  </si>
  <si>
    <t>Tan-ok Festival</t>
  </si>
  <si>
    <t>Tan-ok ni Ilocano Festival of Festivals</t>
  </si>
  <si>
    <t>May Flower Festival</t>
  </si>
  <si>
    <t xml:space="preserve"> Celebration of City Fiesta</t>
  </si>
  <si>
    <t>Culture and Arts Development Program</t>
  </si>
  <si>
    <t xml:space="preserve">Culture &amp; Arts Devt. &amp; Training Programs </t>
  </si>
  <si>
    <t>Provision of Incentives for Culture and the Arts Activity Performers/ Talents</t>
  </si>
  <si>
    <t>Fiesta Marmarna</t>
  </si>
  <si>
    <t>Ar-aria Festival</t>
  </si>
  <si>
    <t>City Charter Day</t>
  </si>
  <si>
    <t>City Charter Day Celebration-Libreng Gupit</t>
  </si>
  <si>
    <t>Araw ng Kagitingan</t>
  </si>
  <si>
    <t>Inauguration Program &amp; Ball</t>
  </si>
  <si>
    <t>LICENSING SECTION</t>
  </si>
  <si>
    <t>Awards &amp; Incentives for Top 50 Prompt Taxpayers and Top 5 Highest Taxpayers</t>
  </si>
  <si>
    <t>Awards &amp; Incentives for Prompt and top 15 Taxpayers</t>
  </si>
  <si>
    <t>COMMUNITY AFFAIRS</t>
  </si>
  <si>
    <t>Information Education Communication Campaigns</t>
  </si>
  <si>
    <t>Community Empowement Program</t>
  </si>
  <si>
    <t>Page 49</t>
  </si>
  <si>
    <t>ENVIRONMENTAL MGT. SECTION</t>
  </si>
  <si>
    <t>Solid Waste Management Implementation</t>
  </si>
  <si>
    <t>Maintenance and operation of SWM Non-Biodegradable Machineries (Multi-purpose Shredder, Glass Pulveriser, mixer, CHB/ Bricks Maker)</t>
  </si>
  <si>
    <t>Maintenance and operation of SWM Biodegradable Machineries (Multi-purpose Shredder, Bio-Reactor, Rotary Drum Composter)</t>
  </si>
  <si>
    <t>ECC application fees and other Environmental permits and charges</t>
  </si>
  <si>
    <t>Construction of Slope Protection and Drainage System at Sanitary landfill</t>
  </si>
  <si>
    <t>Construction of Sharp Vault at City Dumpsite</t>
  </si>
  <si>
    <t>Finalization of Solid Waste Management Plan</t>
  </si>
  <si>
    <t xml:space="preserve">   Ground Verification/ Delineation of forest line boundary of 321.73 ha.</t>
  </si>
  <si>
    <t xml:space="preserve">   Identification &amp; delineation of proposed tree plantations, proposed grazing areas &amp; eco-tourism areas</t>
  </si>
  <si>
    <t xml:space="preserve">   Maintenance of Nursery</t>
  </si>
  <si>
    <t xml:space="preserve">   Maintenance/ Protection of 381.28 ha. Established 2011-2013, 2017 National Greening Program</t>
  </si>
  <si>
    <t xml:space="preserve"> </t>
  </si>
  <si>
    <t xml:space="preserve">   Establishment/ Maint. Of 140.26 Bamboo plantation</t>
  </si>
  <si>
    <t xml:space="preserve">   Stakeholders Meeting</t>
  </si>
  <si>
    <t>LOCAL YOUTH &amp; DEVELOPMENT</t>
  </si>
  <si>
    <t>Inter- High School Tournament</t>
  </si>
  <si>
    <t xml:space="preserve"> Inter- Elementary Basketball Tournament</t>
  </si>
  <si>
    <t xml:space="preserve"> Inter-Barangay Basketball Tournament</t>
  </si>
  <si>
    <t>Other  Sports Activites  participated by the  City</t>
  </si>
  <si>
    <t>International  Youth Week</t>
  </si>
  <si>
    <t>Page 50</t>
  </si>
  <si>
    <t>HUMAN RESOURCE &amp; MGT. OFFICE</t>
  </si>
  <si>
    <t>A. Learning Development Program</t>
  </si>
  <si>
    <t xml:space="preserve">    1. Professional /Scientific Technical Programs</t>
  </si>
  <si>
    <t xml:space="preserve">    2. Staff Development Course</t>
  </si>
  <si>
    <t xml:space="preserve">    3. Scholarship Program for City employees</t>
  </si>
  <si>
    <t xml:space="preserve">    4. General Assembly of Employees</t>
  </si>
  <si>
    <t>B. Program to Institutionalize Meritocracy and Excellence in Human Resource Management (PRIME-HRM)</t>
  </si>
  <si>
    <t>C. Program on Rewards &amp; Incentives for Service Excellence</t>
  </si>
  <si>
    <t>D. Philippine Civil Service Anniversary</t>
  </si>
  <si>
    <t>E. Monetization of Leave Credits</t>
  </si>
  <si>
    <t>F. CGB Sports Festival</t>
  </si>
  <si>
    <t>CITY PLANNING DEV. OFFICE</t>
  </si>
  <si>
    <t>Finalization -Local Public Transport Route Plan (LPTRP)</t>
  </si>
  <si>
    <t>Enhancement Learning on the Implementation of GIS, e-GAPS and surveying using robotic  total station</t>
  </si>
  <si>
    <t>Development Plans Formulation/Preparation /Updating</t>
  </si>
  <si>
    <t>Executive-Legislative Agenda Formulation</t>
  </si>
  <si>
    <t xml:space="preserve">Information Systems Strategic Plan Formulation </t>
  </si>
  <si>
    <t xml:space="preserve"> Centralized Automated LGU  System ( Phase II) EGAS</t>
  </si>
  <si>
    <t xml:space="preserve"> Information Technology Development</t>
  </si>
  <si>
    <t xml:space="preserve">Twinning with other LGUs  </t>
  </si>
  <si>
    <t>Zoning Ordinance Implementation</t>
  </si>
  <si>
    <t>Conduct of Performance Evaluation Conference</t>
  </si>
  <si>
    <t>Pre-implementation-monitoring &amp; evaluation of  Projects</t>
  </si>
  <si>
    <t>Projects, Programs and Activities (for the inspection, validation, survey, securing of other government permits, monitoring, evaluation (supplies and materials)</t>
  </si>
  <si>
    <t xml:space="preserve">  Government Permits</t>
  </si>
  <si>
    <t xml:space="preserve">  Lot Survey and Topographic Survey</t>
  </si>
  <si>
    <t>Maintenance of City Cemetery , Brgy. Tabug Nagcalaoan &amp; Lipit</t>
  </si>
  <si>
    <t>Maintenance of City Cemetery</t>
  </si>
  <si>
    <t xml:space="preserve">    Upkeeping and Maintenance of the City Cemetery</t>
  </si>
  <si>
    <t xml:space="preserve">    City Cemetery Care taker</t>
  </si>
  <si>
    <t xml:space="preserve">    Development of the South Western portion of the City Cemetery</t>
  </si>
  <si>
    <t>Updating of the Comprehensive Development Plan (CDP) (trainings, supplies &amp; materials, fuel &amp; oil ,Office Equipment)</t>
  </si>
  <si>
    <t>Subdivision-Consolidation Survey of the Government Center</t>
  </si>
  <si>
    <t>Construction of Warehouse for Safekeeping of Equipment and Other Properties of the City</t>
  </si>
  <si>
    <t>Upgrading and Enhancing VHF Radio Network for SARANAY base</t>
  </si>
  <si>
    <t>Replacement of Ceiling at Imelda Cultural Center</t>
  </si>
  <si>
    <t>Purchase of Air Conditioning units for the City Hall Lobby</t>
  </si>
  <si>
    <t>Repair of damaged Ceiling in the Office of the City Mayor</t>
  </si>
  <si>
    <t>Installation of Electrical and water system at City Park</t>
  </si>
  <si>
    <t>Construction of Public Comfort Room</t>
  </si>
  <si>
    <t>Repair of damaged CCTV caused by typhoon Ompong</t>
  </si>
  <si>
    <t>Fabrication of Signages</t>
  </si>
  <si>
    <t>Purchase of Recreational facility equipment of Water park</t>
  </si>
  <si>
    <t>Beautification/Cleanliness</t>
  </si>
  <si>
    <t xml:space="preserve">    Pruning/ Cutting of Trees/ Brushing (Fuel and Oil)</t>
  </si>
  <si>
    <t xml:space="preserve">    Trimming of Grasses (Fuel and Oil)</t>
  </si>
  <si>
    <t xml:space="preserve">    Watering of Plants at Parks, Plaza Monuments and Other Government Facilities (Fuel and Oil)</t>
  </si>
  <si>
    <t xml:space="preserve">    Repair and Maintenance of Various Garden Equipment</t>
  </si>
  <si>
    <t>Page 51</t>
  </si>
  <si>
    <t xml:space="preserve">    Purchase of Pots and Plants</t>
  </si>
  <si>
    <t xml:space="preserve">    Painting of Walls, Sidewalks of Parks and Other Government Structure/ Facilities</t>
  </si>
  <si>
    <t xml:space="preserve">    Purchase of Park Lights</t>
  </si>
  <si>
    <t xml:space="preserve">    Purchase of Decorative Lights and Various Electrical Materials During Events</t>
  </si>
  <si>
    <t xml:space="preserve">    Purchase of Various materials for the improvement of Parks and Plazas</t>
  </si>
  <si>
    <t xml:space="preserve">    Repair of existing decorative/ park lights</t>
  </si>
  <si>
    <t xml:space="preserve">    Purchase of Gardening Tools &amp; Materials</t>
  </si>
  <si>
    <t>Repair &amp; Rehabilitation of Gov't Facilities</t>
  </si>
  <si>
    <t xml:space="preserve">    Repair and Maintenance of Water System</t>
  </si>
  <si>
    <t xml:space="preserve">    Repair and Maintenance of CR</t>
  </si>
  <si>
    <t xml:space="preserve">    Repair and Maintenance of Fire Suppressors</t>
  </si>
  <si>
    <t xml:space="preserve">    Repair and Maintenance of Quarantine Facilities</t>
  </si>
  <si>
    <t xml:space="preserve">    Painting of City Hall Building, ICC Court and Posts</t>
  </si>
  <si>
    <t xml:space="preserve">    Replacement of Damaged Electrical Wirings/ Connections</t>
  </si>
  <si>
    <t xml:space="preserve">    Purchase of Various Reserve Hardware Materials</t>
  </si>
  <si>
    <t xml:space="preserve">    Purchase of Oxygen Tank Refill</t>
  </si>
  <si>
    <t xml:space="preserve">    Repair and Maintenance of Other Gov't Facilities</t>
  </si>
  <si>
    <t xml:space="preserve">    Termite Control of Various Buildings of the City</t>
  </si>
  <si>
    <t>Funding for the petition of re-issuance of new owner's duplicate copy of title owner by the City Government of Batac</t>
  </si>
  <si>
    <t>Funding for the additional payment of BLISS lots in Brgy. Camandingan</t>
  </si>
  <si>
    <t>Conduct of General Revision(2nd Year Activities Continuation)</t>
  </si>
  <si>
    <t>CITY HEALTH OFFICE</t>
  </si>
  <si>
    <t>Special Health Programs</t>
  </si>
  <si>
    <t xml:space="preserve">    Breastfeeding &amp; family planning Awareness</t>
  </si>
  <si>
    <t xml:space="preserve">    Adolescent HealthProgram </t>
  </si>
  <si>
    <t xml:space="preserve">    National Adolescent Immunization Month- School based Immunization of Adolescents</t>
  </si>
  <si>
    <t xml:space="preserve">     CGB Vol. Blood Donation Program</t>
  </si>
  <si>
    <t xml:space="preserve">     HIV Program</t>
  </si>
  <si>
    <t xml:space="preserve">     HIV/AIDS Program</t>
  </si>
  <si>
    <t xml:space="preserve">     Renal Disease Control Program</t>
  </si>
  <si>
    <t xml:space="preserve">     Philippine Heart Month</t>
  </si>
  <si>
    <t xml:space="preserve">     World Health Day</t>
  </si>
  <si>
    <t xml:space="preserve">     Obesity Prevention Awareness Week</t>
  </si>
  <si>
    <t xml:space="preserve">     Food Handler's Training</t>
  </si>
  <si>
    <t xml:space="preserve">     Wash during emergencies and disasters</t>
  </si>
  <si>
    <t xml:space="preserve">     Wash on World Health Day</t>
  </si>
  <si>
    <t xml:space="preserve">     Sabayang Taktak (larviciding)</t>
  </si>
  <si>
    <t xml:space="preserve">     Simultaneous Tatak (larviciding)</t>
  </si>
  <si>
    <t>Page 52</t>
  </si>
  <si>
    <t xml:space="preserve"> Special Nutrition Program</t>
  </si>
  <si>
    <t xml:space="preserve">     Nutrition Supplementation </t>
  </si>
  <si>
    <t xml:space="preserve">     Monitoring &amp; Evaluation of Local Level Plan Implementation</t>
  </si>
  <si>
    <t xml:space="preserve">     Malnutrition Reduction Program</t>
  </si>
  <si>
    <t xml:space="preserve">     Micronutrient Supplementation</t>
  </si>
  <si>
    <t xml:space="preserve">     Vegetable Seed Distribution</t>
  </si>
  <si>
    <t xml:space="preserve">     Milk Feeding Program</t>
  </si>
  <si>
    <t xml:space="preserve">     Feeding Program</t>
  </si>
  <si>
    <t xml:space="preserve">     Nutrition Education Classes/ Pabasa sa Nutrisyon in the Brgy. Level</t>
  </si>
  <si>
    <t xml:space="preserve">     Nutrition Month Celebration</t>
  </si>
  <si>
    <t xml:space="preserve">    Coaching &amp; Mentoring Brgy. Nutrition Scholars</t>
  </si>
  <si>
    <t xml:space="preserve">     Nutrition in Emergencies Program</t>
  </si>
  <si>
    <t xml:space="preserve">     Nutrition Supplementation skin Health Caravan</t>
  </si>
  <si>
    <t xml:space="preserve">     Purchase of Jetmatic Pumps with Fittings</t>
  </si>
  <si>
    <t>Barangay Medical Mission</t>
  </si>
  <si>
    <t>Fund support for Brgy. Health Workers</t>
  </si>
  <si>
    <t>Fund support for Brgy. Nutrition Scholar</t>
  </si>
  <si>
    <t>Fund support for Brgy. Service Point Officer</t>
  </si>
  <si>
    <t>SOCIAL WELFARE OFFICE</t>
  </si>
  <si>
    <t>Purchase of 43 units Multi-Purpose Motor Tricycle</t>
  </si>
  <si>
    <t>Child Development Worker's Program</t>
  </si>
  <si>
    <t>Death Aid to Barangay Volunteers</t>
  </si>
  <si>
    <t>Death Aid to Brgy. Volunteers to include Brgy. SK as per Ordinance No. 5SP 2020-10</t>
  </si>
  <si>
    <t>Construction of Indigent Tombs</t>
  </si>
  <si>
    <t>Provision of School Supplies to Pre-elementary Pupils and  Grade 1-12 Pupils and Students</t>
  </si>
  <si>
    <t>Donations to Other Agencies/ LGU's</t>
  </si>
  <si>
    <t>LOCAL COUNCIL FOR THE PROTECTION OF CHILDREN(1% of NTA 741,305,374.00=7,413,053.74)</t>
  </si>
  <si>
    <t>ECCD-Early Childhood Care and Development</t>
  </si>
  <si>
    <t>1. National Child and Developpment Center (NCDC) Maintenance</t>
  </si>
  <si>
    <t>2. Celebration of the National Children's Month</t>
  </si>
  <si>
    <t>3. Maintenance/ Repair of Child Development Centers</t>
  </si>
  <si>
    <t>4. Kamp Bulilit</t>
  </si>
  <si>
    <t>5. Supplemental Learning Materials for Children</t>
  </si>
  <si>
    <t xml:space="preserve">     5.1 Workbooks</t>
  </si>
  <si>
    <t xml:space="preserve">     5.2 Other Learning Materials</t>
  </si>
  <si>
    <t>6. Supplies and Equipments for Child Development Centers (CDC)</t>
  </si>
  <si>
    <t>Page 53</t>
  </si>
  <si>
    <t>LOCAL COUNCIL FOR THE PROTECTION OF CHILDREN</t>
  </si>
  <si>
    <t>7. Other Social Services for Children</t>
  </si>
  <si>
    <t xml:space="preserve">     7.1 Educational/ Financial Assistance for Indigent Students</t>
  </si>
  <si>
    <t xml:space="preserve">     7.2 Child Friendly Spaces in the evacuation centers</t>
  </si>
  <si>
    <t>8. Care and Maintenance of the Child In Conflict with the Law (CICL) &amp; Child At Risk (CAR)</t>
  </si>
  <si>
    <t>9. Trainings, Symposiums/ Forums (Child Rights)</t>
  </si>
  <si>
    <t>10. LGU counterpart-Supplementary Feeding program</t>
  </si>
  <si>
    <t>11. LCPC Meeting and Local State for Children's Report</t>
  </si>
  <si>
    <t>NTA</t>
  </si>
  <si>
    <t>SUPPORT TO SENIOR CITIZEN(.5% of Total Income 857,363,458.65=4,286,817.29)</t>
  </si>
  <si>
    <t>Gift Giving for Senior Citizens</t>
  </si>
  <si>
    <t xml:space="preserve">     Wheelchair</t>
  </si>
  <si>
    <t xml:space="preserve">     Oxygen Tank, 2 units</t>
  </si>
  <si>
    <t>Incentives for Barangay Coordinators</t>
  </si>
  <si>
    <t>Financial Assistance for the Mobility devices/ aids for senior citizens</t>
  </si>
  <si>
    <t>Activities for the Celebrations of Senior Citizens Month</t>
  </si>
  <si>
    <t>Christmas Festival &amp; Gift giving for  Senior Citizens</t>
  </si>
  <si>
    <t>Human Resource   devt. And Capability Bldg. for Older Persons &amp; Implemetors</t>
  </si>
  <si>
    <t xml:space="preserve">     Pre-centenarian, Centenarian and Nonanegarian Awards</t>
  </si>
  <si>
    <t xml:space="preserve">     Support to Senior Citizens(burial)</t>
  </si>
  <si>
    <t xml:space="preserve">     Social Pension Program</t>
  </si>
  <si>
    <t xml:space="preserve">    City of Batac Social Pension Program/ Financial Assistance</t>
  </si>
  <si>
    <t>Emerging Expenses for Senior Citizen/ attendance to meetings</t>
  </si>
  <si>
    <t>Laptop and accessories</t>
  </si>
  <si>
    <t>Miscellaneous Expenses</t>
  </si>
  <si>
    <t>Supplies and materials</t>
  </si>
  <si>
    <t>SUPPORT TO PERSON WITH DISABILITY(.5% of Total Income 857,363,458.65=4,286,817.29)</t>
  </si>
  <si>
    <t>Stimulation Therapeutic Activity Center</t>
  </si>
  <si>
    <t>Other programs /Projects/Activities/Services for perosn w/ disabilities</t>
  </si>
  <si>
    <t>Supplies and Materials for Physical Therapy, Fine Motor Development and Special Education</t>
  </si>
  <si>
    <t xml:space="preserve">     Physical Therapy</t>
  </si>
  <si>
    <t xml:space="preserve">     Fine Motor Development</t>
  </si>
  <si>
    <t xml:space="preserve">    Special Education Materials</t>
  </si>
  <si>
    <t xml:space="preserve">     Common Office Supplies</t>
  </si>
  <si>
    <t xml:space="preserve">     Cleaning Supplies/ Janitorial Supplies</t>
  </si>
  <si>
    <t xml:space="preserve">     Medical and Hygiene Kit/ Supplies</t>
  </si>
  <si>
    <t xml:space="preserve">     Illumination and Water Expenses</t>
  </si>
  <si>
    <t xml:space="preserve">     Educational Assistance for Persons/ Children with Disabilities</t>
  </si>
  <si>
    <t xml:space="preserve">     Supplementary Feeding Program</t>
  </si>
  <si>
    <t>Page 54</t>
  </si>
  <si>
    <t>SUPPORT TO PERSON WITH DISABILITY</t>
  </si>
  <si>
    <t xml:space="preserve">     Socialization</t>
  </si>
  <si>
    <t xml:space="preserve">     National disability Prevention and Rehabilitation Week (NDPRW) Celebration &amp; Gift Giving</t>
  </si>
  <si>
    <t xml:space="preserve">     STAC Hydrotherapy</t>
  </si>
  <si>
    <t xml:space="preserve">     Monthly Supply of Multivitamins for Children with Disability (50CDWs ages 0-14)</t>
  </si>
  <si>
    <t>Christmas Program &amp; Gift Giving</t>
  </si>
  <si>
    <t>Quarterly meetings</t>
  </si>
  <si>
    <t>Financial Assistance for Mobility Devices &amp; Prosthesis</t>
  </si>
  <si>
    <t>Sustainable Livelihood Programs for PWD</t>
  </si>
  <si>
    <t>Purchase of Office Furnitures for Office of the Persons with Disability Affairs</t>
  </si>
  <si>
    <t>Women with Disability Month Celebration</t>
  </si>
  <si>
    <t>Support to Emergency Welfare</t>
  </si>
  <si>
    <t>Family and Community Disaster Preparedness</t>
  </si>
  <si>
    <t>Logistic Support in the Implementation of Pantawid Pamilyang Pilipino &amp; Sustainable &amp; livelihood Program</t>
  </si>
  <si>
    <t>Parent Leaders Team Building</t>
  </si>
  <si>
    <t>Parent Leader Quarterly Meeting</t>
  </si>
  <si>
    <t>City Advisory Committee Meeting</t>
  </si>
  <si>
    <t>Youth Development Session</t>
  </si>
  <si>
    <t>Bio Intensive Garden Program</t>
  </si>
  <si>
    <t>Pantawid Pamilya Graduation</t>
  </si>
  <si>
    <t>Sustainable Livelihood Program</t>
  </si>
  <si>
    <t>AGRICULTURAL SERVICES</t>
  </si>
  <si>
    <t>Farmer's Festival</t>
  </si>
  <si>
    <t>Assistance to Agriculture &amp; Fishery Council</t>
  </si>
  <si>
    <t>Aquacultural &amp; Fisheries Program</t>
  </si>
  <si>
    <t>Supplies and Materials for the City Plant Nursery</t>
  </si>
  <si>
    <t>Provision of Plastic Mulch for Vegetable Growers</t>
  </si>
  <si>
    <t>Purchase of Coconut and Fruit Tree Seedlings</t>
  </si>
  <si>
    <t>Organic Agriculture Program</t>
  </si>
  <si>
    <t>Provision of Manual Fertilizer Applicator for Corn Growers</t>
  </si>
  <si>
    <t>Fertilizer for Vegetable Growers</t>
  </si>
  <si>
    <t>Purchase of Fertilizer for Distribution to Farmers</t>
  </si>
  <si>
    <t>Purchase of Palay Seeds for Distribution to Farmers</t>
  </si>
  <si>
    <t>Fuel for Farm Machinery Service to Farmers</t>
  </si>
  <si>
    <t>Purchase of Assorted Hybrid Vegetables Seeds for Distribution to Farmers</t>
  </si>
  <si>
    <t>Purchase of Hybrid Yellow Corn and Fertilizer</t>
  </si>
  <si>
    <t>Purchase of Jetmatic   Pump with fittings</t>
  </si>
  <si>
    <t>Improvement of small water Impounding</t>
  </si>
  <si>
    <t xml:space="preserve">Palay Subsidy to farmers </t>
  </si>
  <si>
    <t>Fertilizer and materials distribution to Tobacco Farmers</t>
  </si>
  <si>
    <t>Improving Mango Production Thru Provision of Agricultural Input</t>
  </si>
  <si>
    <t>Purchase of Smarthouse with CR and Lavatory</t>
  </si>
  <si>
    <t>Enhancing Garlic and Onion Productivity thru Productivity on Inorganic and Foliar Fertilizer</t>
  </si>
  <si>
    <t xml:space="preserve">      Distribution of Free Medicines &amp; Dewormers (Flu kit &amp; Vit.) for Livestock Raisers</t>
  </si>
  <si>
    <t>Construction of slope protection at Quiling Sur, Norther Part of Quiling Sur Community Center</t>
  </si>
  <si>
    <t>TOTAL GENERAL</t>
  </si>
  <si>
    <t>OFFICE OF THE MAYOR-MARKET</t>
  </si>
  <si>
    <t xml:space="preserve">            Purchase of Personnel Protection Supplies</t>
  </si>
  <si>
    <t xml:space="preserve">            Purchase of 8 pieces Thermal Scanner</t>
  </si>
  <si>
    <t xml:space="preserve">            Purchase of Health and Sanitation Supplies</t>
  </si>
  <si>
    <t>Telephone Expenses-Landline &amp; Internet Expenses</t>
  </si>
  <si>
    <t>Repair &amp; Maint. -Buildings &amp; Other Structures</t>
  </si>
  <si>
    <t>Repair &amp; maint. Of  Office Equipment</t>
  </si>
  <si>
    <t>Repair &amp; Maintenance- Transportation Vehicle</t>
  </si>
  <si>
    <t>Purchase of 2 sets Electric Motor 1 HP with Complete Accessories &amp; 82gal. Pressure Tank</t>
  </si>
  <si>
    <t>Purchase of 2 units Filing Cabinet, 4 drawers- vertical</t>
  </si>
  <si>
    <t>Purchase of 2 sets Hand Pump with Accessories</t>
  </si>
  <si>
    <t>Purchase of 5 units Industrial Fan, 30"</t>
  </si>
  <si>
    <t>Purchase of 1 unit Printer, Multi-Function (print, scan &amp; Copy). WIFI &amp; WIFI Direct, Continuous ink system (CIS)</t>
  </si>
  <si>
    <t>Purchase of 1 unit Laptop, 14 inches, i5</t>
  </si>
  <si>
    <t>Purchase of 1 unit Computer Printer</t>
  </si>
  <si>
    <t>Purchase of 1 set Desktop Computer with UPS</t>
  </si>
  <si>
    <t>Purchase of 2 sets Electri Motor (Goulds) 1 HP, with complete accessories &amp; 82 gal pressure tank</t>
  </si>
  <si>
    <t>Purchase of 2 units Megaphone</t>
  </si>
  <si>
    <t>Additional funding for the purchase of Centralized Paging System (for the whole Batac City Public Market)</t>
  </si>
  <si>
    <t>Purchase of 3 Electric Motor 1HP,w/ Complete Accessories &amp; 84 gals. Pressure tank</t>
  </si>
  <si>
    <t>Purchase of Portable Welding Machine</t>
  </si>
  <si>
    <t>Purchase of 1 bar Cutter, Cut-Off</t>
  </si>
  <si>
    <t>OFFICE OF THE CITY VETERINARIAN-SLAUGHTERHOUSE</t>
  </si>
  <si>
    <t>Night Shift Differential</t>
  </si>
  <si>
    <t>5-02-01-020</t>
  </si>
  <si>
    <t xml:space="preserve">    Purchase of  Personnel Protection Supplies</t>
  </si>
  <si>
    <t>Repair &amp; Maint. Of Bldgs. &amp; other Structures</t>
  </si>
  <si>
    <t>Repair &amp; Maintenance- Office Equipment</t>
  </si>
  <si>
    <t>Purchase of 1 set Portable Sound System Trolley with Wireless Microphone</t>
  </si>
  <si>
    <t>Purchase of 1 unit Filing Cabinet, 4 Drawers-Lateral</t>
  </si>
  <si>
    <t>Purchase of 1 unit Portable Welding Machine (300amp)</t>
  </si>
  <si>
    <t>Purchase of 1 unit Aircon (1hp, window type)</t>
  </si>
  <si>
    <t>Fabrication of Wheel Bath</t>
  </si>
  <si>
    <t>Purchase of 1 unit Grass Cutter (4 stroke;36cc; 1.3HP/7000;0.65L)</t>
  </si>
  <si>
    <t>Purchase of 1 unit Electric Water Pump (2HP)</t>
  </si>
  <si>
    <t>Purchase of 1 unit Printer (3 in 1)</t>
  </si>
  <si>
    <t>Purchase of 1 unit water pump ( diesel)</t>
  </si>
  <si>
    <t>OFFICE OF THE TREASURER-MARKET</t>
  </si>
  <si>
    <t>Accountable Forms</t>
  </si>
  <si>
    <t>Repair &amp; Maintenance- Office  Equipment</t>
  </si>
  <si>
    <t>Purchase of 2 Filing Cabinet 4 drawers-Vertical</t>
  </si>
  <si>
    <t>1-07-07-010</t>
  </si>
  <si>
    <t>Purchase of 2 units Desktop Computer w/ AVR &amp; UPS</t>
  </si>
  <si>
    <t>Purchase of 3 units Handheld Radio</t>
  </si>
  <si>
    <t>Purchase of 1 unit Money Counting Machine</t>
  </si>
  <si>
    <t>Replacement of OLD ABC Building Roofing</t>
  </si>
  <si>
    <t>Replacement of Carinderia Section Roofing</t>
  </si>
  <si>
    <t>Repainting of trusses of Carinderia Section</t>
  </si>
  <si>
    <t>Rehabilitation of gutter at Imee Building</t>
  </si>
  <si>
    <t>Provision of Gutter between Main Building and Imee Bldg.</t>
  </si>
  <si>
    <t>Repair of Roll-up doors at 2nd Floor Commercial Building 1-6</t>
  </si>
  <si>
    <t>TOTAL ECONOMIC</t>
  </si>
  <si>
    <t>GRAND TOTAL</t>
  </si>
  <si>
    <t>INCOME</t>
  </si>
  <si>
    <t>EXPENDITURES</t>
  </si>
  <si>
    <t>DIFFERENCE</t>
  </si>
  <si>
    <t>GENERAL</t>
  </si>
  <si>
    <t>ECONOMIC</t>
  </si>
  <si>
    <t>TOTAL INCOME</t>
  </si>
  <si>
    <t>OFFICE</t>
  </si>
  <si>
    <t>LOCAL YOUTH</t>
  </si>
  <si>
    <t>SOCIAL WELFARE</t>
  </si>
  <si>
    <t>SUB TOTAL</t>
  </si>
  <si>
    <t>MARKET</t>
  </si>
  <si>
    <t>SLAUGHTERHOUSE</t>
  </si>
  <si>
    <t>TREASURY-MARKET</t>
  </si>
  <si>
    <t xml:space="preserve">      Purchase of 4 units laptop computer</t>
  </si>
  <si>
    <t xml:space="preserve">      Purchase of Personalized Filing Cabinet</t>
  </si>
  <si>
    <t>AID TO BRGYS.</t>
  </si>
  <si>
    <t>LDRRMF-5 %</t>
  </si>
  <si>
    <t>PERSONAL SERVICES</t>
  </si>
  <si>
    <t>20% DEV. FUND</t>
  </si>
  <si>
    <t>TOTAL SPA</t>
  </si>
  <si>
    <t>OSPA-GAD</t>
  </si>
  <si>
    <t>SOCIAL SERVICES</t>
  </si>
  <si>
    <t>VETERINARY SERVICES</t>
  </si>
  <si>
    <t>HRD SERVICES</t>
  </si>
  <si>
    <t>TOTA OSPA-GAD</t>
  </si>
  <si>
    <t>BRGY. ASSISTANCE PROGRAM</t>
  </si>
  <si>
    <t>OSPA-OFFICES</t>
  </si>
  <si>
    <t>AID TO COA</t>
  </si>
  <si>
    <t>CITY TRIAL COURT</t>
  </si>
  <si>
    <t>RTC # 17</t>
  </si>
  <si>
    <t>RTC # 18</t>
  </si>
  <si>
    <t>PUBLIC ATTY'S OFFICE</t>
  </si>
  <si>
    <t>CITY PROSECUTOR'S OFFICE</t>
  </si>
  <si>
    <t>CLERK OF COURT</t>
  </si>
  <si>
    <t>FAMILY COURT</t>
  </si>
  <si>
    <t>AID TO LGOO</t>
  </si>
  <si>
    <t>ASST. TO PNP</t>
  </si>
  <si>
    <t xml:space="preserve">         OTHER ACTIVITIES</t>
  </si>
  <si>
    <t>ASST. TO BJMP</t>
  </si>
  <si>
    <t>ASST. TO FIRE DEPARTMENT</t>
  </si>
  <si>
    <t>OTM-OSPA</t>
  </si>
  <si>
    <t>SUPPORT TO BAC</t>
  </si>
  <si>
    <t>PEACE AND ORDER</t>
  </si>
  <si>
    <t>EDUCATION AND MANPOWER</t>
  </si>
  <si>
    <t>TOURISM &amp; EVENTS</t>
  </si>
  <si>
    <t>HUMAN RESOURCE</t>
  </si>
  <si>
    <t>GENERAL SERVICES</t>
  </si>
  <si>
    <t xml:space="preserve">AGRICULTURE </t>
  </si>
  <si>
    <t>VETERINARY</t>
  </si>
  <si>
    <t>TOTA OSPA-OFFICES</t>
  </si>
  <si>
    <t>ECONOMIC ENTERPRISES</t>
  </si>
  <si>
    <t xml:space="preserve">      SUPPORT TO EMERGENCY WELFARE</t>
  </si>
  <si>
    <t xml:space="preserve">      LOGISTIC SUPPORT</t>
  </si>
  <si>
    <t xml:space="preserve">      PWD</t>
  </si>
  <si>
    <t xml:space="preserve">      SENIOR CITIZEN</t>
  </si>
  <si>
    <t xml:space="preserve">      LCPC</t>
  </si>
  <si>
    <t>Terminal Leave Benefits</t>
  </si>
  <si>
    <t>Repair &amp; Maintenance of farm machineries</t>
  </si>
  <si>
    <t xml:space="preserve">      Recovery Assistance to Hog Raisers affected to African Swine Fever (ASF)</t>
  </si>
  <si>
    <t>ENGINEERING SERVICES</t>
  </si>
  <si>
    <t>TOTAL OTHER SPECIAL PURPOSE ALLOC.-OFFICES</t>
  </si>
  <si>
    <t>TOTAL GENERAL FUND</t>
  </si>
  <si>
    <t>page 55</t>
  </si>
  <si>
    <t>page 56</t>
  </si>
  <si>
    <t>TOTAL ECONOMIC ENTERPRISES</t>
  </si>
  <si>
    <t>TOTAL GENERAL &amp; ECONOMIC ENT.</t>
  </si>
  <si>
    <t>Prepared by:</t>
  </si>
  <si>
    <t>Approved by:</t>
  </si>
  <si>
    <t xml:space="preserve">                       WILMA T. ICUSPIT</t>
  </si>
  <si>
    <t>ENGR. ALBERT D. CHUA</t>
  </si>
  <si>
    <t xml:space="preserve">                       City Budget Officer</t>
  </si>
  <si>
    <t>City Mayor</t>
  </si>
  <si>
    <t>GEN</t>
  </si>
  <si>
    <t>SOC</t>
  </si>
  <si>
    <t>ECON</t>
  </si>
  <si>
    <t>5-01-01-010-1</t>
  </si>
  <si>
    <t>DESKTOP</t>
  </si>
  <si>
    <t>LAPTOP</t>
  </si>
  <si>
    <t>PRINTER</t>
  </si>
  <si>
    <t>RADIO</t>
  </si>
  <si>
    <t>CHAIRS</t>
  </si>
  <si>
    <t>DISPENCER</t>
  </si>
  <si>
    <t>SCOOTER</t>
  </si>
  <si>
    <t>CABINET</t>
  </si>
  <si>
    <t>TV</t>
  </si>
  <si>
    <t>SCANNER</t>
  </si>
  <si>
    <t>TRANSMITTER</t>
  </si>
  <si>
    <t>MIC</t>
  </si>
  <si>
    <t>VIDEO SWI</t>
  </si>
  <si>
    <t>PHONE</t>
  </si>
  <si>
    <t>CAMERA</t>
  </si>
  <si>
    <t>REFRIGERATOR</t>
  </si>
  <si>
    <t>INK SCOPY, CO</t>
  </si>
  <si>
    <t>LADDER</t>
  </si>
  <si>
    <t>BLINDS</t>
  </si>
  <si>
    <t>OPPE</t>
  </si>
  <si>
    <t>TIME ATTENDANCE</t>
  </si>
  <si>
    <t>VAULT</t>
  </si>
  <si>
    <t>TABLE</t>
  </si>
  <si>
    <t>WATER PUMP</t>
  </si>
  <si>
    <t>WATER TANK</t>
  </si>
  <si>
    <t>BRUSH CUTTER</t>
  </si>
  <si>
    <t>CHAINSAW</t>
  </si>
  <si>
    <t>TENT</t>
  </si>
  <si>
    <t>AIR PURIFIERS</t>
  </si>
  <si>
    <t>TABLES</t>
  </si>
  <si>
    <t>PROJECTOR</t>
  </si>
  <si>
    <t>BINDING MACHINE</t>
  </si>
  <si>
    <t>WASHING MACHINE</t>
  </si>
  <si>
    <t>TABLE OFFICE</t>
  </si>
  <si>
    <t>OTHER SERVICES</t>
  </si>
  <si>
    <t>ECONOMIC SERVICES</t>
  </si>
  <si>
    <t>ACCOUNT CODE</t>
  </si>
  <si>
    <t>OBJECT OF EXPENDITURES</t>
  </si>
  <si>
    <t>PART 4. SUMMARY OF THE FY 2022 NEW APPROPRIATIONS</t>
  </si>
  <si>
    <t>1. NEW APPROPRIATIONS BY OBJECT OF EXPENDITURES AND BY SECTOR</t>
  </si>
  <si>
    <t>TOTAL PERSONAL SERVICES</t>
  </si>
  <si>
    <t>MAINTENANCE AND OTHER OPERATING EXPENSES</t>
  </si>
  <si>
    <t>Fuel, oil and lubricants expenses</t>
  </si>
  <si>
    <t>Repair &amp; Maintenance of Buildings and Other Structures</t>
  </si>
  <si>
    <t>Extraordinary &amp; Miscellaneous Expenses</t>
  </si>
  <si>
    <t>Repair &amp; Maintenance of CCTV System</t>
  </si>
  <si>
    <t>Repair &amp; Maitenance of Streetlights</t>
  </si>
  <si>
    <t xml:space="preserve">    Motor vehicle registration</t>
  </si>
  <si>
    <t xml:space="preserve">    Motor vehicle insurance</t>
  </si>
  <si>
    <t xml:space="preserve">    Motor vehicle emission testing</t>
  </si>
  <si>
    <t>TOTAL MAINTENANCE &amp; OTHER OPERATING EXPENSES</t>
  </si>
  <si>
    <t>PROPERTY, PLANT AND EQUIPMENT</t>
  </si>
  <si>
    <t>Purchase of Air Purifiers</t>
  </si>
  <si>
    <t>Purchase of 2 units Brush Cutter</t>
  </si>
  <si>
    <t>Purchase of 1 unit Chainsaw</t>
  </si>
  <si>
    <t>Purchase of 4 sets Desktop Computer</t>
  </si>
  <si>
    <t>Purchase of 3 units Printer, Print, scan, Copy, Continuous Ink System</t>
  </si>
  <si>
    <t>Purchase of 1 unit Ladder, 24ft</t>
  </si>
  <si>
    <t>Purchase of 10 units Tent</t>
  </si>
  <si>
    <t>Purchase of 6 units Electric Water Pump</t>
  </si>
  <si>
    <t>Purchase of 1 unit Water Pump, Diesel</t>
  </si>
  <si>
    <t>Purchase of 6 units Water Tank with Accessories</t>
  </si>
  <si>
    <t>TOTAL PROPERTY PLANT AND EQUIPMENT</t>
  </si>
  <si>
    <t>SPECIAL PURPOSE APPROPRIATIONS</t>
  </si>
  <si>
    <t>Local Disaster Risk Reduction Management Fund</t>
  </si>
  <si>
    <t>Aid to Barangays</t>
  </si>
  <si>
    <t>General Public Services</t>
  </si>
  <si>
    <t>Economic Services</t>
  </si>
  <si>
    <t>TOTAL SPECIAL PURPOSE APPROPRIATIONS</t>
  </si>
  <si>
    <t>TOTAL APPROPRIATIONS</t>
  </si>
  <si>
    <t>2. NEW APPROPRIATION BY OFFICE</t>
  </si>
  <si>
    <t>OFFICE OF THE CITY MAYOR</t>
  </si>
  <si>
    <t>OFFICE OF THE CITY MAYOR- LABOR AND EMPLOYMENT</t>
  </si>
  <si>
    <t>OFFICE OF THE CITY MAYOR- TOURISM AND EVENTS SECTION</t>
  </si>
  <si>
    <t>OFFICE OF THE CITY MAYOR- RECORDS SECTION</t>
  </si>
  <si>
    <t>OFFICE OF THE CITY MAYOR- BUSINESS, PERMITS AND LICENSING SECTION</t>
  </si>
  <si>
    <t>OFFICE OF THE CITY MAYOR- COMMUNITY AFFAIRS &amp; DEVELOPMENT SECTION</t>
  </si>
  <si>
    <t>OFFICE OF THE CITY MAYOR-ENVIRONMENTAL MANAGEMENT SECTION</t>
  </si>
  <si>
    <t>OFFICE OF THE CITY MAYOR- LOCAL YOUTH DEVELOPMENT SECTION</t>
  </si>
  <si>
    <t>OFFICE OF THE CITY MAYOR-CITY DISASTER RISK REDUCTION MGT. OFFICE</t>
  </si>
  <si>
    <t>OFFICE OF THE SANGGUNIANG PANLUNGSOD-LEGISLATIVE</t>
  </si>
  <si>
    <t>OFFICE OF THE SANGGUNIANG PANLUNGSOD-SECRETARIAT</t>
  </si>
  <si>
    <t>OFFICE OF THE SANGGUNIANG PANLUNGSOD-LIBRARY</t>
  </si>
  <si>
    <t>OFFICE OF THE HUMAN RESOURCE MANAGEMENT OFFICER</t>
  </si>
  <si>
    <t>OFFICE OF THE CITY BUDGET OFFICER</t>
  </si>
  <si>
    <t>OFFICE OF THE GENERAL SERVICES OFFICER</t>
  </si>
  <si>
    <t>OFFICE OF THE CITY SOCIAL WELFARE &amp; DEVELOPMENT OFFICER</t>
  </si>
  <si>
    <t>OFFICE OF THE CITY BUILDING OFFICIAL</t>
  </si>
  <si>
    <t>OFFICE OF THE CITY ENGINEER</t>
  </si>
  <si>
    <t>TOTAL OTHER SPECIAL PURPOSE APPROPRIATIONS</t>
  </si>
  <si>
    <t>OTHER SPECIAL PURPOSE APPROPRIATIONS</t>
  </si>
  <si>
    <t xml:space="preserve">SPECIAL PURPOSE APPROPRIATIONS </t>
  </si>
  <si>
    <t>PROPERTY, PLANT &amp; EQPT.</t>
  </si>
  <si>
    <t>OFFICE OF THE CITY MAYOR- MARKET</t>
  </si>
  <si>
    <t>CAPITAL OUTLAY</t>
  </si>
  <si>
    <t>2022</t>
  </si>
  <si>
    <t>20% DEVELOPMENT FUND</t>
  </si>
  <si>
    <t>LDRRM FUND</t>
  </si>
  <si>
    <t>AID TO BRGYS</t>
  </si>
  <si>
    <t>SPECIAL PURPOSE APPROP.</t>
  </si>
  <si>
    <t>OTHER SPECIAL PURPOSE APPROP.</t>
  </si>
  <si>
    <t>OFFICES</t>
  </si>
  <si>
    <t>GAD</t>
  </si>
  <si>
    <t>COVID</t>
  </si>
  <si>
    <t>BRGY. ASST. PROGRAM</t>
  </si>
  <si>
    <t>INC./ DEC.</t>
  </si>
  <si>
    <t>PERCENT</t>
  </si>
  <si>
    <t>PERCENTAGE</t>
  </si>
  <si>
    <t>Purchase of 3 units Multi-Function Printer</t>
  </si>
  <si>
    <t>PUBLIC SAFETY</t>
  </si>
  <si>
    <t>LABOR</t>
  </si>
  <si>
    <t>TOURISM</t>
  </si>
  <si>
    <t>RECORDS</t>
  </si>
  <si>
    <t>LICENSE</t>
  </si>
  <si>
    <t>CDRRMO</t>
  </si>
  <si>
    <t>VICE MAYOR</t>
  </si>
  <si>
    <t>SP OFFICE</t>
  </si>
  <si>
    <t>SP SECRETARIAT</t>
  </si>
  <si>
    <t>SP-LIBRARY</t>
  </si>
  <si>
    <t>ADMINISTRATOR</t>
  </si>
  <si>
    <t>HRMO</t>
  </si>
  <si>
    <t>LCR</t>
  </si>
  <si>
    <t>AGRICULTURIST</t>
  </si>
  <si>
    <t>CITY VETERINARIAN</t>
  </si>
  <si>
    <t>BUILDING OFFICIAL</t>
  </si>
  <si>
    <t>SOCIAL</t>
  </si>
  <si>
    <t>2. Proposed New Appropriation, by Object of Expenditure</t>
  </si>
  <si>
    <t>Purchase of 1 unit Filing Cabinet, 4 layers, vertical</t>
  </si>
  <si>
    <t>Repair &amp; Maintenance- Transportation Equipment</t>
  </si>
  <si>
    <t>Repair &amp; Maintenance-Machinery &amp; Equipment</t>
  </si>
  <si>
    <t>Purchase of 12 units Multifunction Printer (Print/ Scan/ Copy)</t>
  </si>
  <si>
    <t>Purchase of 2 units Multifunction Printer Wifi/ Wifi Direct (Print/ Scan/ Copy)</t>
  </si>
  <si>
    <t>Purchase of 4 units Multifunction Printer wifi/ wifi direct (Print/ Scan/ Copy)</t>
  </si>
  <si>
    <t>Purchase of 1 unit Lateral Filing Cabinet</t>
  </si>
  <si>
    <t>OTHER SPECIAL PURPOSE APPROP.-GAD</t>
  </si>
  <si>
    <t>OTHER SPECIAL PURPOSE APPROP.-OFFICES</t>
  </si>
  <si>
    <t>TOTAL OSPA-OFFICES</t>
  </si>
  <si>
    <t xml:space="preserve">      LOCAL COUNCIL FOR THE PROTECTION OF CHILDREN</t>
  </si>
  <si>
    <t xml:space="preserve">      PERSON WITH DISABILITY</t>
  </si>
  <si>
    <t>Income-Local Sources</t>
  </si>
  <si>
    <t>National Tax Allotment</t>
  </si>
  <si>
    <t>ENCOME FROM ECONOMIC ENTERPRISES</t>
  </si>
  <si>
    <t>Income from Market</t>
  </si>
  <si>
    <t>Income from Slaughterhouse</t>
  </si>
  <si>
    <t>YEAR '2021</t>
  </si>
  <si>
    <t>YEAR 2022</t>
  </si>
  <si>
    <t>Page 3</t>
  </si>
  <si>
    <t xml:space="preserve">Current Year 2022 (Balance) </t>
  </si>
  <si>
    <t>Budget Year 2023(Proposed)</t>
  </si>
  <si>
    <t>Budget Year 2023(Proposed) w/o C. O.</t>
  </si>
  <si>
    <t xml:space="preserve">Budget Year 2023(Proposed). </t>
  </si>
  <si>
    <t>Other Bonuses and Allowances- Mid-Year Bonus</t>
  </si>
  <si>
    <t>Other Bonuses and Allowances- Performance Based Bonus</t>
  </si>
  <si>
    <t>Other Personnel Benefits-PEI</t>
  </si>
  <si>
    <t>Other Personnel Benefits- SRI</t>
  </si>
  <si>
    <t>Retirement &amp; Life Insurance Premiums</t>
  </si>
  <si>
    <t>Employees Compensation Insurance Premiums</t>
  </si>
  <si>
    <t>Awards &amp; Rewards Expenses</t>
  </si>
  <si>
    <t>Scholarship Grants/ Expenses</t>
  </si>
  <si>
    <t>Postage and Deliveries</t>
  </si>
  <si>
    <t>Donations</t>
  </si>
  <si>
    <t>OMOE</t>
  </si>
  <si>
    <t xml:space="preserve">   Provision of School Uniforms for Public Learners</t>
  </si>
  <si>
    <t xml:space="preserve">   Conduct of Mass Civil Wedding Program (Ord. No. 5's 1998)</t>
  </si>
  <si>
    <t xml:space="preserve">   Alay kay KOSA 2023</t>
  </si>
  <si>
    <t xml:space="preserve">   Pinagririnnanud ti Paskua</t>
  </si>
  <si>
    <t xml:space="preserve">   Twinning with other LGUs  </t>
  </si>
  <si>
    <t xml:space="preserve">   Provision of Financial Support to Qualified Beneficiaries of the Financial Assistance Program of Board/ Bar Exam Takers</t>
  </si>
  <si>
    <t xml:space="preserve">   Support to Boys Scouts of the Philippines</t>
  </si>
  <si>
    <t xml:space="preserve">   Support to Public Education-Awards and Incentives Programs for Outstanding Performances of Pupils and Students in DepEd Initiated Regional and National Athletic/Sports Competitions (Ord. No. 4SP 2018-03)</t>
  </si>
  <si>
    <t xml:space="preserve">   Support to Public Education -Provision of Educational Supplies and Materials to Pupils &amp; Students</t>
  </si>
  <si>
    <t>Maintenance and Other Operating Expenses</t>
  </si>
  <si>
    <t>Cable, Satellite, Telegraph and Radio Expenses</t>
  </si>
  <si>
    <t>Special Program for the Employment of Students (SPES)</t>
  </si>
  <si>
    <t>Conduct of Job Fair</t>
  </si>
  <si>
    <t>Career Advocacy and Employment Coaching Services</t>
  </si>
  <si>
    <t xml:space="preserve">CGB Internship Program </t>
  </si>
  <si>
    <t>Other Personnel Benefits- Terminal Leave Benefits</t>
  </si>
  <si>
    <t>Longevity Pay</t>
  </si>
  <si>
    <t>Other Maintenance and Operating Expenses(JO)</t>
  </si>
  <si>
    <t xml:space="preserve">   Farmer's Festival</t>
  </si>
  <si>
    <t xml:space="preserve">   Tourism Development Program</t>
  </si>
  <si>
    <t xml:space="preserve">   Lovebeats: A Valentive Program</t>
  </si>
  <si>
    <t xml:space="preserve">   Open Capitol</t>
  </si>
  <si>
    <t xml:space="preserve">   Provincial Fiesta (Search for Miss Ilocos Norte)</t>
  </si>
  <si>
    <t xml:space="preserve">   Independence Day</t>
  </si>
  <si>
    <t xml:space="preserve">   Aglipay Day</t>
  </si>
  <si>
    <t xml:space="preserve">   Marcos Fiesta</t>
  </si>
  <si>
    <t xml:space="preserve">   Ricarte Day</t>
  </si>
  <si>
    <t xml:space="preserve">   Abbeats: Batac Labs Lokal</t>
  </si>
  <si>
    <t xml:space="preserve">   Tourism Month  Celebration</t>
  </si>
  <si>
    <t xml:space="preserve">   Empanada Festival</t>
  </si>
  <si>
    <t xml:space="preserve">   Tan-ok ni Ilocano Festival of Festivals</t>
  </si>
  <si>
    <t xml:space="preserve">    Celebration of City Fiesta</t>
  </si>
  <si>
    <t xml:space="preserve">   Culture and Arts Development Program</t>
  </si>
  <si>
    <t xml:space="preserve">   Fiesta Marmarna</t>
  </si>
  <si>
    <t xml:space="preserve">   Ar-aria Festival</t>
  </si>
  <si>
    <t xml:space="preserve">   City Charter Day</t>
  </si>
  <si>
    <t xml:space="preserve">   Araw ng Kagitingan</t>
  </si>
  <si>
    <t>OMOE- Awards &amp; Incentives for Top 50 Prompt Taxpayers and Top 5 Highest Taxpayers</t>
  </si>
  <si>
    <t>Other bonuses and Alowances- Peformance Based Bonus</t>
  </si>
  <si>
    <t xml:space="preserve">Repairs and Maintenance- Machinery &amp; Equipment </t>
  </si>
  <si>
    <t>Repairs and Maintenance- Buildings &amp; Other Structures</t>
  </si>
  <si>
    <t>Taxes, Duties and Licenses (ECC application fees and other Environmental permits and charges)</t>
  </si>
  <si>
    <t>Annual Search for the Cleanest &amp; Greenest Barangays &amp; Schools</t>
  </si>
  <si>
    <t>Celebration of Environmental Awareness Month</t>
  </si>
  <si>
    <t xml:space="preserve">     Poster Making Contest</t>
  </si>
  <si>
    <t xml:space="preserve">     Launching of Palit Basura Program to Schools Supplies/ Groceries</t>
  </si>
  <si>
    <t xml:space="preserve">     Cash for Work Program (Clean-up drive and Brgy. MRF Operations)</t>
  </si>
  <si>
    <t xml:space="preserve">     Environmental Photography Contest</t>
  </si>
  <si>
    <t xml:space="preserve">     Film Showing/ IEC to Schools</t>
  </si>
  <si>
    <t xml:space="preserve">     Volunteer Tree-Planting</t>
  </si>
  <si>
    <t xml:space="preserve">     Distribution of IEC materials to Barangays regarding proper solid waste management</t>
  </si>
  <si>
    <t xml:space="preserve">     Bring your own Eco-Bag Program</t>
  </si>
  <si>
    <t xml:space="preserve">     Trash Art Contest</t>
  </si>
  <si>
    <t xml:space="preserve">     Maintenance and Protection of Established National Greening Program</t>
  </si>
  <si>
    <t xml:space="preserve">     Establishment/ Maintenance of 42. 20 ha. Fuelwood Plantation</t>
  </si>
  <si>
    <t>Construction of Perimeter Fence to the Allocated Pasture Land</t>
  </si>
  <si>
    <t>Excavation and establishment of Deep Well</t>
  </si>
  <si>
    <t xml:space="preserve">   Support to Public Education -Sports Dev't Prog.</t>
  </si>
  <si>
    <t xml:space="preserve">   Inter- High School Tournament</t>
  </si>
  <si>
    <t xml:space="preserve">   Inter- Elementary Basketball Tournament</t>
  </si>
  <si>
    <t xml:space="preserve">   Inter-Barangay Basketball Tournament</t>
  </si>
  <si>
    <t xml:space="preserve">   Inter Agency Friendship Games</t>
  </si>
  <si>
    <t xml:space="preserve">   Other  Sports Activites  participated by the  City</t>
  </si>
  <si>
    <t>Fuel oil and lubricants expenses</t>
  </si>
  <si>
    <t>Taxes, Duties and Licenses (Registration of Machinery &amp; Equipment)</t>
  </si>
  <si>
    <t>Additional Funding for the Renovation of Vice Mayor's Office</t>
  </si>
  <si>
    <t>Other Maintenance &amp; Operating Expenses</t>
  </si>
  <si>
    <t>Other Maint. and Operating Expenses (JO)</t>
  </si>
  <si>
    <t xml:space="preserve">   Learning Development Program</t>
  </si>
  <si>
    <t xml:space="preserve">      Staff Development Course</t>
  </si>
  <si>
    <t xml:space="preserve">      General Assembly of Employees</t>
  </si>
  <si>
    <t xml:space="preserve">      Teambuilding Program</t>
  </si>
  <si>
    <t xml:space="preserve">   Program to Institutionalize Meritocracy and Excellence in Human Resource Management (PRIME-HRM)</t>
  </si>
  <si>
    <t xml:space="preserve">   Program on Awards &amp; Incentives for Service Excellence</t>
  </si>
  <si>
    <t xml:space="preserve">   Philippine Civil Service Anniversary</t>
  </si>
  <si>
    <t xml:space="preserve">   CGB Sports Festival</t>
  </si>
  <si>
    <t>Human Resource Management System</t>
  </si>
  <si>
    <t>Taxes, duties and licenses (Government Permits)</t>
  </si>
  <si>
    <t>Survey Expenses</t>
  </si>
  <si>
    <t xml:space="preserve">   Conduct of Performance Evaluation Conference</t>
  </si>
  <si>
    <t>Information Technology Development</t>
  </si>
  <si>
    <t>Longevity pay</t>
  </si>
  <si>
    <t>Repair &amp; Maintenance-Infrastructure Assets (Power Supply &amp; Water Supply System)</t>
  </si>
  <si>
    <t>Repair and Maintenance-Buildings and Other Structures</t>
  </si>
  <si>
    <t>Taxes, Duties &amp; Licenses (Registration Expenses for Office equipment)</t>
  </si>
  <si>
    <t>Other General Services-(Termite and Pest Control)</t>
  </si>
  <si>
    <t>Relocation of Main Distribution Panel of City Hall Building</t>
  </si>
  <si>
    <t>Purchase of 2 units Airconditioning unit, 3 toner floor mounted</t>
  </si>
  <si>
    <t xml:space="preserve">  Transfer of Ownership &amp; Titling of Land</t>
  </si>
  <si>
    <t xml:space="preserve">  Subdivision/ Consolidation of the Bliss Site</t>
  </si>
  <si>
    <t xml:space="preserve">   Funding for the petition of re-issuance of new owner's duplicate copy of title owner by the City Government of Batac</t>
  </si>
  <si>
    <t>Land Acquisition Program (New Economic Zone)</t>
  </si>
  <si>
    <t>Establishment of Record's Room/ Archive Room</t>
  </si>
  <si>
    <t>Repair &amp; Maintenance- Buildings &amp; Other Structures</t>
  </si>
  <si>
    <t>Other Maintenance and Operating Expenses (JO)</t>
  </si>
  <si>
    <t xml:space="preserve">  Philippine Heart Month</t>
  </si>
  <si>
    <t xml:space="preserve">  Worlds Health Day</t>
  </si>
  <si>
    <t xml:space="preserve">  Obesity Prevention Awareness Week</t>
  </si>
  <si>
    <t xml:space="preserve">  Anti-Flu and Pneumonia Vaccination to Senior Citizen</t>
  </si>
  <si>
    <t xml:space="preserve">  National Immunization Program "Batac-Batacqueno, Protektado on Fully Immunized Child"</t>
  </si>
  <si>
    <t xml:space="preserve">  National Immunization Program "Batac-Batacqueno, Protektado"</t>
  </si>
  <si>
    <t xml:space="preserve">  Breastfeeding Awareness Month</t>
  </si>
  <si>
    <t xml:space="preserve">  Adolescent Health Symposium</t>
  </si>
  <si>
    <t xml:space="preserve">  Gestational Diabetes Screening for Overweight Pregnant Women</t>
  </si>
  <si>
    <t xml:space="preserve">  Annual Check up to Brgy. Frontliners-Free Blood Chemistry to Brgy. Frontliners of the City of Batac during their birth months</t>
  </si>
  <si>
    <t xml:space="preserve">  CGB Vol. Blood Donation Program</t>
  </si>
  <si>
    <t xml:space="preserve">  HIV/AIDS Program</t>
  </si>
  <si>
    <t xml:space="preserve">  Food Handler's Training</t>
  </si>
  <si>
    <t xml:space="preserve">  Wash during emergencies and disasters</t>
  </si>
  <si>
    <t xml:space="preserve">  Wash on World Water Day</t>
  </si>
  <si>
    <t xml:space="preserve">  Simultaneous/ Sabayang Taktak (larviciding)</t>
  </si>
  <si>
    <t xml:space="preserve">  Monitoring &amp; Evaluation of Local Level Plan Implementation (MELLPI)</t>
  </si>
  <si>
    <t xml:space="preserve">  Micronutrient Supplementation</t>
  </si>
  <si>
    <t xml:space="preserve">  Feeding Program</t>
  </si>
  <si>
    <t xml:space="preserve">  Nutrition Month Celebration</t>
  </si>
  <si>
    <t xml:space="preserve">  Coaching &amp; Mentoring Brgy. Nutrition Scholars</t>
  </si>
  <si>
    <t xml:space="preserve">  Nutrition in Emergencies Program</t>
  </si>
  <si>
    <t xml:space="preserve">  First 1000 Days Program</t>
  </si>
  <si>
    <t xml:space="preserve">  Dietary Supplementation for Pregnant Women</t>
  </si>
  <si>
    <t xml:space="preserve">  Integrated Management of Acute Malnutrition</t>
  </si>
  <si>
    <t xml:space="preserve">  Overweight and Obesity Management and Prevention Program</t>
  </si>
  <si>
    <t xml:space="preserve">  Barangay Medical Mission</t>
  </si>
  <si>
    <t xml:space="preserve">  Training for Brgy. Nutrition Scholar</t>
  </si>
  <si>
    <t>Textbooks and Instructional Materials Expenses</t>
  </si>
  <si>
    <t>LOCAL COUNCIL FOR THE PROTECTION OF CHILDREN(1% of NTA 634,039,219.00=6,340,392.19)</t>
  </si>
  <si>
    <t>Celebration of the National Children's Month &amp; Gift Giving</t>
  </si>
  <si>
    <t>Celebration of the National Children's Month</t>
  </si>
  <si>
    <t>Kamp Bulilit</t>
  </si>
  <si>
    <t>Capability Building/ Training for Day Care Workers</t>
  </si>
  <si>
    <t>Day Care Workers-Attendance in the Regional Convention</t>
  </si>
  <si>
    <t>Other Social Services for Children</t>
  </si>
  <si>
    <t xml:space="preserve">     Educational/ Financial Assistance for Indigent Students</t>
  </si>
  <si>
    <t>Care and Maintenance of the Child In Conflict with the Law (CICL) &amp; Child At Risk (CAR)</t>
  </si>
  <si>
    <t>Trainings, Symposiums/ Forums (Child Rights)</t>
  </si>
  <si>
    <t>LGU Counterpart- Supplementary Feeding</t>
  </si>
  <si>
    <t>LCPC Meeting and Local State for Children's Report</t>
  </si>
  <si>
    <t>Activities for the Celebrations of "Elderly Week"/ Senior Citizens Month</t>
  </si>
  <si>
    <t>Pre-centenarian, Centenarian and Nonanegarian Awards</t>
  </si>
  <si>
    <t>Support to Senior Citizens(burial)</t>
  </si>
  <si>
    <t>Social Pension Program</t>
  </si>
  <si>
    <t>City of Batac Social Pension Program/ Financial Assistance</t>
  </si>
  <si>
    <t>Quarterly meetings of OSCA Brgy. Coordinators/ Social Pension Payouts and other activities (meals/ snacks)</t>
  </si>
  <si>
    <t>Supplies and Materials Expenses</t>
  </si>
  <si>
    <t xml:space="preserve">     Educational Assistance for Persons/ Children with Disabilities/ Tulong Aral Walang Sagabal for Children with Disability</t>
  </si>
  <si>
    <t xml:space="preserve">     STAC Center Maintenance &amp; improvement</t>
  </si>
  <si>
    <t>Person With Disability</t>
  </si>
  <si>
    <t>Knowledge Management Journey</t>
  </si>
  <si>
    <t>Social Pension/ Financial Subsidy for PWDs</t>
  </si>
  <si>
    <t>OMOE- Logistic Support in the Implementation of Pantawid Pamilyang Pilipino &amp; Sustainable &amp; livelihood Program</t>
  </si>
  <si>
    <t>Agricultural &amp; Marine Supplies Expenses- Supplies and Materials for the City Plant Nursery</t>
  </si>
  <si>
    <t xml:space="preserve">   Provision of Fertilizer Applicator for Corn Growers</t>
  </si>
  <si>
    <t xml:space="preserve">   Provision of Plastic Mulch for Vegetable Growers</t>
  </si>
  <si>
    <t xml:space="preserve">   Purchase of Coconut and Fruit Tree Seedlings</t>
  </si>
  <si>
    <t xml:space="preserve">   Assistance to Agriculture &amp; Fishery Council</t>
  </si>
  <si>
    <t xml:space="preserve">   Aquacultural &amp; Fisheries Program</t>
  </si>
  <si>
    <t xml:space="preserve">   Organic Agriculture Program</t>
  </si>
  <si>
    <t xml:space="preserve">   Fuel Subsidy Program for Farmer's</t>
  </si>
  <si>
    <t xml:space="preserve">   Fuel for Farm Machinery Service to Farmers</t>
  </si>
  <si>
    <t>Other bonuses and Alowances- Performace Based Bonus</t>
  </si>
  <si>
    <t xml:space="preserve">  Purchase of Veterinary Medicines and Vitamins</t>
  </si>
  <si>
    <t xml:space="preserve">  Massive Anti-Rabies Vaccination</t>
  </si>
  <si>
    <t xml:space="preserve">  Animal Dispersal Program</t>
  </si>
  <si>
    <t xml:space="preserve">  Rabbit Meat for Health and Livelihood </t>
  </si>
  <si>
    <t xml:space="preserve">  Livelihood Program to displaced workers (OFW &amp; Non-OFW)</t>
  </si>
  <si>
    <t xml:space="preserve">  Conduct of Farmer Livestock School</t>
  </si>
  <si>
    <t xml:space="preserve">  Support to Frontliners for ASF and Other Livestock Poultry Disease Response</t>
  </si>
  <si>
    <t xml:space="preserve">  Aso mo, Itali mo Program</t>
  </si>
  <si>
    <t>Rehabilitation of Slope Protection of the Southern Part of Biningan Elementary School Covered Court</t>
  </si>
  <si>
    <t>OMOE- Pasilaw Pro Poor Program Fund- Ordinance No. 5SP 2022-03</t>
  </si>
  <si>
    <t>Purchase of 1 set Multi-Hazard Early Warning Device</t>
  </si>
  <si>
    <t>Purchase of 2 sets CPR mannequin</t>
  </si>
  <si>
    <t>Purchase of 1 set Air-Lifting flat bags</t>
  </si>
  <si>
    <t>Purchase of 1 set Vehicle Stabilization Kit</t>
  </si>
  <si>
    <t>Purchase of 43 units spineboar with spider strap and Cervical Collar (neck brace) for distribution to the 43 Brgys.</t>
  </si>
  <si>
    <t>Purchase of 43 units trauma bag for distribution to the 43 Barangays.</t>
  </si>
  <si>
    <t>Infrastructure Rehabilitation- Rehabilitation/ Repair/ Maintenance of Calamity and Disaster Damages</t>
  </si>
  <si>
    <t>Emergency Shelter Assistance (ESA)</t>
  </si>
  <si>
    <t xml:space="preserve">       Aid to LIGA ng mga Barangay</t>
  </si>
  <si>
    <t xml:space="preserve">       Aid to SK Federation</t>
  </si>
  <si>
    <t xml:space="preserve">           International Youth Week</t>
  </si>
  <si>
    <t xml:space="preserve">       Barangay Development and Social Justice Fund</t>
  </si>
  <si>
    <t>LDRRMF-(2016, 2017 &amp; 2018)</t>
  </si>
  <si>
    <t>Purchase of 1 unit Brand New Mobile Water Treatment</t>
  </si>
  <si>
    <t>Purchase of 1 unit Brand New Manlift</t>
  </si>
  <si>
    <t>Purchase of 53 sets Padded Board Splint set for distribution to the 43 Barangays (1 set each) and 10 sets for the CDRRMO</t>
  </si>
  <si>
    <t>Purchase of 43 units 28 ft. Extension Ladder for distribution to the 43 Barangays</t>
  </si>
  <si>
    <t>Purchase of 215 units rescue helmets for distribution to the 43 Barangays</t>
  </si>
  <si>
    <t>Purchase of 215 unitd head lamps for distribution to the 43 Barangays</t>
  </si>
  <si>
    <t>Purchase of 43 units chainsaw 36", 2-stroke for distribution to the 43 Barangays</t>
  </si>
  <si>
    <t>Purchase of 43 sets oxygen tank with regulator fro distribution to the 43 Barangays</t>
  </si>
  <si>
    <t>Purchase of 2 sets Self Contained Underwater Breathing Apparatus Diving Equipment</t>
  </si>
  <si>
    <t>Purchase of 50 sets Trauma Bag for 26 Public Elementary School, 5 Public Junior High School, 5 Public Senior High School, 5 Private ES, 5 Private JHS, 3 Private SHS and 1 SUC</t>
  </si>
  <si>
    <t>TOTAL LDRRMF 2016, 2017 &amp; 2018</t>
  </si>
  <si>
    <t>Purchase of Tail lift (1 ton Capacity)</t>
  </si>
  <si>
    <t>Acquisition of 1 unit Digital Weighing Scale for Hogs and Large Animals</t>
  </si>
  <si>
    <t>Purchase &amp; Installation of Public Address System for the whole public market with complete accessories</t>
  </si>
  <si>
    <t>Purchase of Weighing Scale for Distribution to Brgy.</t>
  </si>
  <si>
    <t>Purchase of 2 units Garbage Compactor</t>
  </si>
  <si>
    <t>Purchase of 2 units Dump Truck</t>
  </si>
  <si>
    <t>Purchase of 2 units Forward Truck (Drop-side)</t>
  </si>
  <si>
    <t xml:space="preserve">  Upkeeping &amp; preservation of the City Waste Disposal Site</t>
  </si>
  <si>
    <t xml:space="preserve">  Construction of Slope Protection &amp; Drainage System along the Garbage pond &amp; Concreting of Road Network</t>
  </si>
  <si>
    <t xml:space="preserve">  Purchase of Dumptruck</t>
  </si>
  <si>
    <t>SPECIAL PURPOSE APPROPRIATIONS- AO NO. 5SP 2022-04</t>
  </si>
  <si>
    <t>RA 7171- FY 2017</t>
  </si>
  <si>
    <t>Purchase of Garlic and Onion Planting Materials and Fertilizer (580-700 Garlic and Onion Farmers)</t>
  </si>
  <si>
    <t>Purchase of Fetilizer, Pesticide/ Insecticide and Other Production materials for Tobacco farmers (560-650 Tobacco farmers)</t>
  </si>
  <si>
    <t>Purchase of Fetilizer, Pesticide/ Insecticide and Other Production materials for Mango Growers/ Stakeholders/ sprayer (200-235 Mango growers/ stakeholders)</t>
  </si>
  <si>
    <t>Purchase of Resilient Crops and Soil Ameliorants/ conditioner (400-510 Farmers)</t>
  </si>
  <si>
    <t>Purchase of Hybrid Yellow Corn and Fertilizer (3000-4000 Corn Farmers)</t>
  </si>
  <si>
    <t>Purchase of Construction Materials for Flu-Curing Barn (300-450 Tobacco Farmers)</t>
  </si>
  <si>
    <t>Construction of Building/ Processing Center for Quiling Norte Peanut Processors Association</t>
  </si>
  <si>
    <t>RA 8240-FY 2017</t>
  </si>
  <si>
    <t>Concreting of Farm to Market Roads at Brgy. Payao</t>
  </si>
  <si>
    <t>Concreting of Farm to Market Roads at Brgy. Magnuang</t>
  </si>
  <si>
    <t>Concreting of Farm to Market Roads at Brgy. Bungon</t>
  </si>
  <si>
    <t>Concreting of Farm to Market Roads at Brgy. Baay</t>
  </si>
  <si>
    <t>Concreting of Farm to Market Roads at Brgy. Quiling Norte</t>
  </si>
  <si>
    <t>TOTAL RA7171 &amp; RA8240- FY 2017</t>
  </si>
  <si>
    <t>SPECIAL PURPOSE APPROPRIATIONS-SB2</t>
  </si>
  <si>
    <t>RA 7171-FY 2018-(LBM 83-Annex A)</t>
  </si>
  <si>
    <t>Purchase of 14 units Combine Harvester for Farmers of 14 Rural Brgys.</t>
  </si>
  <si>
    <t>Purchase of 600 units Knapsack Sprayer for Farmers of 30 Rural Brgys.</t>
  </si>
  <si>
    <t>Purchase of 30 units Hand Tractor for 37 Farmers/ Irrigators Association</t>
  </si>
  <si>
    <t xml:space="preserve">Purchase of Drying Net for 6150 farmers registered to RSBA </t>
  </si>
  <si>
    <t>Concreting of Farm to Market Roads at Brgy. Nagbacalan</t>
  </si>
  <si>
    <t>Concreting of Farm to Market Roads at Brgys. Dariwdiw</t>
  </si>
  <si>
    <t>Concreting of Farm to Market Roads at Brgy. Pimentel</t>
  </si>
  <si>
    <t>Sub total- LBM 83-Annex A</t>
  </si>
  <si>
    <t>RA 7171 FY 2019-(LBM 84-Annex A)</t>
  </si>
  <si>
    <t xml:space="preserve">Purchase of 1000 units Water Pump Diesel Fed Engine </t>
  </si>
  <si>
    <t>Purchase of Irrigation Hoses (various sizes) (107 Farmers/ Irrigators Associations)</t>
  </si>
  <si>
    <t>Conreting of Farm to Market Roads:</t>
  </si>
  <si>
    <t xml:space="preserve">      Barangay 15 Baligat</t>
  </si>
  <si>
    <t xml:space="preserve">      Barangay 13 Bungon</t>
  </si>
  <si>
    <t xml:space="preserve">      Barangay 17 Tabug</t>
  </si>
  <si>
    <t xml:space="preserve">      Barangay 20-N Colo</t>
  </si>
  <si>
    <t xml:space="preserve">      Barangay 20-S Mabaleng</t>
  </si>
  <si>
    <t xml:space="preserve">      Barangay 21 Quiom</t>
  </si>
  <si>
    <t xml:space="preserve">      Barangay 22 Maipalig</t>
  </si>
  <si>
    <t xml:space="preserve">      Barangay 25-S Payao</t>
  </si>
  <si>
    <t xml:space="preserve">      Barangay 16-S Quiling Sur</t>
  </si>
  <si>
    <t>Sub total- LBM 84-Annex A</t>
  </si>
  <si>
    <t>RA 8240-FY 2018-(LBM 83 Annex B)</t>
  </si>
  <si>
    <t>Purchase of 1 unit Rice Planter(Farmers of Brgy. San Pedro)</t>
  </si>
  <si>
    <t>Purchase of 30 units Electric Pump (Farmers of 15 Rural Brgys.)</t>
  </si>
  <si>
    <t>Purchase of 10 units Hold-on Thresher (Farmers for 7 Rural Brgys.)</t>
  </si>
  <si>
    <t>Sub total- LBM 83-Annex B</t>
  </si>
  <si>
    <t>RA 8240-FY 2019-(LBM 84 Annex B)</t>
  </si>
  <si>
    <t>Purchase of 20 units Multi-Cultivator (Farmers of 14 Barangays)</t>
  </si>
  <si>
    <t>Concreting of Farm to Market Roads at Barangay Palongpong</t>
  </si>
  <si>
    <t>Sub total- LBM 84-Annex B</t>
  </si>
  <si>
    <t>Total RA7171 &amp; RA 8240- FY 2018, 2019</t>
  </si>
  <si>
    <t>3.0   SPECIAL PURPOSE APPROPRIATIONS</t>
  </si>
  <si>
    <t>GENDER AND DEVELOPMENT ( 5% of the Total Income 803,464,862.72=40,173,243.14)</t>
  </si>
  <si>
    <t xml:space="preserve">    d. Updates of the Violence Against Women (VAW) Form</t>
  </si>
  <si>
    <t xml:space="preserve">    i. Conduct of KATROPA</t>
  </si>
  <si>
    <t xml:space="preserve">     j. Accreditation of PMOC members</t>
  </si>
  <si>
    <t xml:space="preserve">    a. Lecture/ Symposium on Teenage Pregnancy</t>
  </si>
  <si>
    <t xml:space="preserve">    b. Sexually Transmitted Diseases Lecture</t>
  </si>
  <si>
    <t xml:space="preserve">    c. U4U Teen Trail</t>
  </si>
  <si>
    <t xml:space="preserve">    d. Fertility Awareness Symposium</t>
  </si>
  <si>
    <t xml:space="preserve">    e. Conduct of SHAPE-Sexually Health and Personally Effective Adolescent</t>
  </si>
  <si>
    <t xml:space="preserve">    f. Establishment of TEEN CENTER</t>
  </si>
  <si>
    <t xml:space="preserve">    a. POVDEV Mentoring and Coaching</t>
  </si>
  <si>
    <t>Support to Women's Welfare</t>
  </si>
  <si>
    <t>City Committee on Trafficking-Violence Against Women and their Children Quarterly Meetings</t>
  </si>
  <si>
    <t>Skills Training &amp; Capital Assistance to Trafficking in Person-Violenc Against Woment (TIP-VAW) Victims</t>
  </si>
  <si>
    <t>Financial Assistance to Trafficked and VAW Victims</t>
  </si>
  <si>
    <t xml:space="preserve">   Family and Community Disaster Preparedness</t>
  </si>
  <si>
    <t>Maint. Of the Women and Child Crisis Building</t>
  </si>
  <si>
    <t>City Medical Trust Fund</t>
  </si>
  <si>
    <t>Capability Training for Child Development Workers</t>
  </si>
  <si>
    <t>Livelihood Program for LGBTQ Community, Solo Parents and dis-advantaged women</t>
  </si>
  <si>
    <t>Quartery Meeting of Local Committee on Poverty and Violence Against Women</t>
  </si>
  <si>
    <t>Training on mungbean and peanut production for women in rural Barangays</t>
  </si>
  <si>
    <t>Training on Organic Compost Production</t>
  </si>
  <si>
    <t>Establishment and Improvement of Gulayan sa Barangay</t>
  </si>
  <si>
    <t>Establishment and Improvement of Gulayan sa Paaralan</t>
  </si>
  <si>
    <t>Establishment of Technology Demonstration Sites on Wet Direct Seedling on Rice during Dry Season</t>
  </si>
  <si>
    <t>Establishment of Technology Demonstration Sites on Wet Direct Seedling on Rice during Wet Season</t>
  </si>
  <si>
    <t>Training on Fall Army Worm Management for Corn Farmers</t>
  </si>
  <si>
    <t>Enhancement Training on Sweet Potato Processing</t>
  </si>
  <si>
    <t>Capability Enhancement Training for MSME's on Food processing, Business Planning</t>
  </si>
  <si>
    <t>Training on management of Tilapia Production</t>
  </si>
  <si>
    <t>Season-Long Farmers Field School on Crop Production</t>
  </si>
  <si>
    <t>Training and Distribution of Livelihood to affected Hog Raisers due to African Swine Fever (ASF)</t>
  </si>
  <si>
    <t>Conduct of Silage Making to Livestock Raisers</t>
  </si>
  <si>
    <t>Distribution of Swine to selected indigent in the rural Barangays</t>
  </si>
  <si>
    <t>Recovery Assistance to Hog Raisers Affected by African Swine Fever (ASF)</t>
  </si>
  <si>
    <t>Provision of Gender and Development Training to City Employees</t>
  </si>
  <si>
    <t>Provision of Capacity Development Training to the GAD Focal Point System</t>
  </si>
  <si>
    <t>Provision of Rostrum for the 43 Barangays &amp; 33 Public Schools (Elementary &amp; High School) of the City of Batac.</t>
  </si>
  <si>
    <t>Provision of Long Sleeve shirts for farmers of the City of Batac.</t>
  </si>
  <si>
    <t>Provision of T-shirt for Barangay Officials, BNS, BHW &amp; BSPO of the City of Batac</t>
  </si>
  <si>
    <t>Provision of Water jugs for the Tricycle Waiting Area of the City of Batac.</t>
  </si>
  <si>
    <t>Provision of Basketball Board for Barangay Camandingan &amp; Nagbacalan</t>
  </si>
  <si>
    <t>Provision of Jacket for Senior Citizen Coordinators and OSCA Chairman of the City of Batac.</t>
  </si>
  <si>
    <t>Provision of Search and Rescue Paraphernalia (Flashlight)</t>
  </si>
  <si>
    <t>Provision of Wall Fans for Community Centers of 43 Barangays of the City of Batac</t>
  </si>
  <si>
    <t>Provision of Photocopier Machine for use of Day Care Centers (5  Clusters) of the City of Batac.</t>
  </si>
  <si>
    <t>Provision of Laptop Computer for use of Day Care Centers (5 Clusters) of the City of Batac</t>
  </si>
  <si>
    <t>Provision of Computer Printers for use of Day Care Centers (5 Clusters) of the City of Batac</t>
  </si>
  <si>
    <t>Provision of Smart TV (42 inches) for use of Day Care Centers of the City of Batac</t>
  </si>
  <si>
    <t>Provision of Portable Sound System for use of Day Care Centers of the City of Batac</t>
  </si>
  <si>
    <t>Provision of Streetlights (Solar) with Installation for use of Different Barangays of the City of Batac</t>
  </si>
  <si>
    <t>Provision of Bicycle for Patrolling for use of Brgy. Tanods of the City of Batac</t>
  </si>
  <si>
    <t>Provision of Filing Cabinet for use of 43 Barangays of the City of Batac</t>
  </si>
  <si>
    <t>COVID-19  APPROPRIATIONS</t>
  </si>
  <si>
    <t>Provision of Hygiene Kits to Families</t>
  </si>
  <si>
    <t>Provision of Vitamins</t>
  </si>
  <si>
    <t xml:space="preserve"> Expenses for Food, Accomodation for COVID-19 persons under monitoring staying in the city facility </t>
  </si>
  <si>
    <t xml:space="preserve"> Procurement of Personal Protective Equipment</t>
  </si>
  <si>
    <t xml:space="preserve"> COVID -19 Swabbing Logistics</t>
  </si>
  <si>
    <t>Support to COVID-19 Related PPAS</t>
  </si>
  <si>
    <t>Purchase of Cleaning and Janitorial Supplies for the City Quarantine Facilities</t>
  </si>
  <si>
    <t>Purchase of Other Supplies, Materials, Equipment such as beddings, PPE, Disinfectant Spray, Disinfectant Solutions and Other Consumables needed for the COVID-19 Operations of the City</t>
  </si>
  <si>
    <t>Purchase of Acrylic Sheets for the Fabrication of Shield Barriers for tables and for use of various offices</t>
  </si>
  <si>
    <t>3.0    Special Purpose Appropriation</t>
  </si>
  <si>
    <t xml:space="preserve">      Internet Subscription expenses</t>
  </si>
  <si>
    <t>B.  Capital Outlay</t>
  </si>
  <si>
    <t xml:space="preserve">      Purchase of 1 unit Laptop Computer</t>
  </si>
  <si>
    <t>City Trial Court</t>
  </si>
  <si>
    <t xml:space="preserve">     Traveling Expenses</t>
  </si>
  <si>
    <t xml:space="preserve">     Telephone Expenses</t>
  </si>
  <si>
    <t xml:space="preserve">         Purchase of Blinds</t>
  </si>
  <si>
    <t xml:space="preserve">     Repair &amp; Maintenance-Machinery &amp; Equipment</t>
  </si>
  <si>
    <t xml:space="preserve">     Purchase of 18 units Desktop Computer</t>
  </si>
  <si>
    <t xml:space="preserve">     Purchase of 2 units Laptop Computer</t>
  </si>
  <si>
    <t xml:space="preserve">     Purchase of 2 units Executive Desk</t>
  </si>
  <si>
    <t xml:space="preserve">     BPATS Training</t>
  </si>
  <si>
    <t xml:space="preserve">     VAWC Seminar/ Symposium</t>
  </si>
  <si>
    <t xml:space="preserve">     Feeding Program and Gift Giving</t>
  </si>
  <si>
    <t xml:space="preserve">     Drug Symposium Lecture</t>
  </si>
  <si>
    <t xml:space="preserve">     Livestock Distribution to PWUD's </t>
  </si>
  <si>
    <t xml:space="preserve">     Initiated Activities of PWUD's</t>
  </si>
  <si>
    <t xml:space="preserve">     BPAT's ID</t>
  </si>
  <si>
    <t xml:space="preserve">     Annual PCR Month Celebration</t>
  </si>
  <si>
    <t xml:space="preserve">     PCR Trainings and Seminars</t>
  </si>
  <si>
    <t xml:space="preserve">     Barangayanihan Activities</t>
  </si>
  <si>
    <t xml:space="preserve">     Disaster Preparedness Training</t>
  </si>
  <si>
    <t xml:space="preserve">     PRO1 5Ps Project</t>
  </si>
  <si>
    <t xml:space="preserve">     Maintenance of Police Station and Police Assistance Centers</t>
  </si>
  <si>
    <t xml:space="preserve">     Maint. Of Police Asst. Centers</t>
  </si>
  <si>
    <t xml:space="preserve">     Relocation, Renovation &amp; Maint. Of HIPAD (Highway Public Asst. Desk)</t>
  </si>
  <si>
    <t xml:space="preserve">     Conduct of Community Anti-Terrorism Awareness Seminar (CATA) and Knowing the Enemy (KTE)</t>
  </si>
  <si>
    <t xml:space="preserve">     Acquisition of Checkpoint Operation  Materials and Maint. Of Checkpoint Barricade</t>
  </si>
  <si>
    <t xml:space="preserve">     Traffic and Rerouting Signages during Major Events</t>
  </si>
  <si>
    <t xml:space="preserve">     Formulation of LACAP</t>
  </si>
  <si>
    <t xml:space="preserve">     Enhanced Managing Police Operation (EMPO) Conference</t>
  </si>
  <si>
    <t xml:space="preserve">     Tourist Police Training</t>
  </si>
  <si>
    <t xml:space="preserve">     Seminar on Barangay Intelligence (BIN)</t>
  </si>
  <si>
    <t xml:space="preserve">     Annual Directorate for Investigation Detection and Management Validation</t>
  </si>
  <si>
    <t xml:space="preserve">     Revalidation of City Strategic Management Unit</t>
  </si>
  <si>
    <t xml:space="preserve">     Annual Operations Plans and Budget Conference</t>
  </si>
  <si>
    <t xml:space="preserve">     Purchase of Laminating Machine with Film, Reverse, Heavy Duty</t>
  </si>
  <si>
    <t xml:space="preserve">      Internet Subscription Expenses</t>
  </si>
  <si>
    <t xml:space="preserve">      Other Supplies and Materials Expenses</t>
  </si>
  <si>
    <t xml:space="preserve">      Repair &amp; maintenance- Machinery &amp; Equipment</t>
  </si>
  <si>
    <t xml:space="preserve">       Purchase of Generator Set</t>
  </si>
  <si>
    <t>Provision of Benches for the diff. tricycle terminals</t>
  </si>
  <si>
    <t>Provision of Basketball Balls</t>
  </si>
  <si>
    <t>Provision of Basketball Boards for dist. to the diff. brgys.</t>
  </si>
  <si>
    <t>BPATS  Training</t>
  </si>
  <si>
    <t>Support to Bos Scouts of the Philippines</t>
  </si>
  <si>
    <t>FLUP Implementation</t>
  </si>
  <si>
    <t>Ground Verification/ Delineation of forest line boundary of 321.73 ha.</t>
  </si>
  <si>
    <t>Identification &amp; delineation of proposed tree plantations, proposed grazing areas &amp; eco-tourism areas</t>
  </si>
  <si>
    <t>Maintenance of Nursery</t>
  </si>
  <si>
    <t>Maintenance/ Protection of 381.28 ha. Established 2011-2013, 2017 National Greening Program</t>
  </si>
  <si>
    <t>Establishment/ Maint. Of 140.26 Bamboo plantation</t>
  </si>
  <si>
    <t>Inter Agency Friendship Games</t>
  </si>
  <si>
    <t>Learning Development Program</t>
  </si>
  <si>
    <t>Program to Institutionalize Meritocracy and Excellence in Human Resource Management (PRIME-HRM)</t>
  </si>
  <si>
    <t>Program on Awards &amp; Incentives for Service Excellence</t>
  </si>
  <si>
    <t>Philippine Civil Service Anniversary</t>
  </si>
  <si>
    <t>Monetization of Leave Credits</t>
  </si>
  <si>
    <t>Pre-implementation /Monitoring &amp; Evaluation of National-Regional/Provincial/Locally Funded Projects, Programs and Activities (For Inspection,Validation,Survey, Securing of Other Government Permits, Fees for Water Analysis of Major Waterways)</t>
  </si>
  <si>
    <t>Lot re-location/ consolidation/ subdivision survey at the Givernment Center</t>
  </si>
  <si>
    <t>Pre-implementation-monitoring &amp; evaluation of Projects, Programs and Activities (for the inspection, validation, survey, securing of other government permits, monitoring, evaluation (supplies and materials)</t>
  </si>
  <si>
    <t>Updating of the Comprehensive Development Plan (CDP) (trainings, supplies &amp; materials, fuel &amp; oil , Office Equipment)</t>
  </si>
  <si>
    <t>Painting of Exterior and Interior, Installation of Partition walls and stage, replacement of electrical wirings</t>
  </si>
  <si>
    <t>Purchase of Blinds for the GAD Building</t>
  </si>
  <si>
    <t xml:space="preserve">    Repair and Maintenance of City Hall building and other gov't. facilities</t>
  </si>
  <si>
    <t>CGB Vol. Blood Donation Program</t>
  </si>
  <si>
    <t>HIV Program</t>
  </si>
  <si>
    <t>HIV/AIDS Program</t>
  </si>
  <si>
    <t>Food Handler's Training</t>
  </si>
  <si>
    <t>Wash during emergencies and disasters</t>
  </si>
  <si>
    <t>Wash on World Water Day</t>
  </si>
  <si>
    <t>Sabayang Taktak (larviciding)</t>
  </si>
  <si>
    <t>Simultaneous Tatak (larviciding)</t>
  </si>
  <si>
    <t xml:space="preserve">Nutrition Supplementation </t>
  </si>
  <si>
    <t>Monitoring &amp; Evaluation of Local Level Plan Implementation (MELLPI)</t>
  </si>
  <si>
    <t>Malnutrition Reduction Program</t>
  </si>
  <si>
    <t>Micronutrient Supplementation</t>
  </si>
  <si>
    <t>Feeding Program</t>
  </si>
  <si>
    <t>Nutrition Month Celebration</t>
  </si>
  <si>
    <t>Coaching &amp; Mentoring Brgy. Nutrition Scholars</t>
  </si>
  <si>
    <t>Nutrition in Emergencies Program</t>
  </si>
  <si>
    <t>Support to Barangays Health Emergency Response</t>
  </si>
  <si>
    <t>Fuel Subsidy for tricycle and jeepney operators</t>
  </si>
  <si>
    <t>National Child and Developpment Center (NCDC) Maintenance</t>
  </si>
  <si>
    <t>Supplemental Learning Materials/ Workbooks</t>
  </si>
  <si>
    <t>Supplemental Learning Materials for Children</t>
  </si>
  <si>
    <t xml:space="preserve">     Workbooks</t>
  </si>
  <si>
    <t xml:space="preserve">     Other Learning Materials</t>
  </si>
  <si>
    <t>Other Learning Materials for Children</t>
  </si>
  <si>
    <t>Supplies and Equipments for Child Development Centers (CDC)</t>
  </si>
  <si>
    <t xml:space="preserve">     Child Friendly Spaces in the evacuation centers</t>
  </si>
  <si>
    <t>LGU counterpart-Supplementary Feeding program</t>
  </si>
  <si>
    <t>Provision of Hygiene Kits</t>
  </si>
  <si>
    <t>SUPPORT TO SENIOR CITIZEN(.5% of Total Income 752,443,981.64=3,762,219.91)</t>
  </si>
  <si>
    <t>SUPPORT TO PERSON WITH DISABILITY(.5% of Total Income 752,443,981.64=3,762,219.91)</t>
  </si>
  <si>
    <t>Benchmarking Activity</t>
  </si>
  <si>
    <t>Purchase of Garlic and Onion Planting Materials, and Fertilizer for distribution to Farmers</t>
  </si>
  <si>
    <t>Purchase of Fertilizer, Pesticide/ Insecticide and Other Production Materials for Tobacco Farmers</t>
  </si>
  <si>
    <t>Purchase of Fertilizer, Pesticide/ Insecticide and Other Production Materials for Mango Growers/ Stakeholders/ Sprayer</t>
  </si>
  <si>
    <t>Purchase of Resilient Crops and Soil Ameliorants/ Conditioner</t>
  </si>
  <si>
    <t>Purchase of Irrigation Hose with Various Sizes</t>
  </si>
  <si>
    <t>Purchase of 4-Wheeled Tractor</t>
  </si>
  <si>
    <t>Purchase of Construction Materials for Flu-Curing Barn</t>
  </si>
  <si>
    <t>Fuel for Tractor Service to Farmers</t>
  </si>
  <si>
    <t>Purchase of Water Pump</t>
  </si>
  <si>
    <t>Purchase of Knapsack Sprayer for Distribution to Tobacco Farmers</t>
  </si>
  <si>
    <t>Fuel Subsidy Program for Farmer's</t>
  </si>
  <si>
    <t>Distribution of Free Medicines &amp; Dewormers (Flu kit &amp; Vit.) for Livestock Raisers</t>
  </si>
  <si>
    <t>Purchase of Backhoe</t>
  </si>
  <si>
    <t>Page 55</t>
  </si>
  <si>
    <t>Repair &amp; Maintenance -Buildings &amp; Other Structures</t>
  </si>
  <si>
    <t>Purchase of 2 sets Electri Motor 1HP with complete accessories &amp; 82 gal pressure tank</t>
  </si>
  <si>
    <t>Purchase of 2 unit Sound System with complete accessories, with stand</t>
  </si>
  <si>
    <t>Purchase of 1 unit Waterpump, with complete accessories</t>
  </si>
  <si>
    <t>Repair &amp; Maintenance-Buildings &amp; other Structures</t>
  </si>
  <si>
    <t>Acquisition of 1 unit Electric Water Pump 2.5HP</t>
  </si>
  <si>
    <t>page 57</t>
  </si>
  <si>
    <t>Purchase of 1 unit Motorcycle</t>
  </si>
  <si>
    <t>WILMA T. ICUSPIT</t>
  </si>
  <si>
    <t>City Budget Officer</t>
  </si>
  <si>
    <t>LABOR &amp; EMPLOYMENT</t>
  </si>
  <si>
    <t>ENVIRONMENTAL MGT.</t>
  </si>
  <si>
    <t>SP LIBRARY</t>
  </si>
  <si>
    <t>CITY ADMINISTRATOR</t>
  </si>
  <si>
    <t>LEGAL OFFICE</t>
  </si>
  <si>
    <t>CIVIL REGISTRAR</t>
  </si>
  <si>
    <t>AGRICULTURE</t>
  </si>
  <si>
    <t>CITY VETERINARY</t>
  </si>
  <si>
    <t>BUILDING OFFICE</t>
  </si>
  <si>
    <t>TOTAL PS GENERAL</t>
  </si>
  <si>
    <t>MAYOR-MARKET</t>
  </si>
  <si>
    <t>TOTAL PS ECONOMIC</t>
  </si>
  <si>
    <t>TOTAL PS</t>
  </si>
  <si>
    <t>TOTAL MOOE GENERAL</t>
  </si>
  <si>
    <t>TOTAL MOOE ECONOMIC</t>
  </si>
  <si>
    <t xml:space="preserve">TOTAL MOOE </t>
  </si>
  <si>
    <t>TOTAL CO GENERAL</t>
  </si>
  <si>
    <t>TOTAL CO ECONOMIC</t>
  </si>
  <si>
    <t xml:space="preserve">TOTAL CO </t>
  </si>
  <si>
    <t>LDRRMF 5%</t>
  </si>
  <si>
    <t>AID TO BRGY.</t>
  </si>
  <si>
    <t>SPA-LDRRMF 2016, 2017, 2018</t>
  </si>
  <si>
    <t>SPA RA7171 &amp; 8240-FY 2017</t>
  </si>
  <si>
    <t>SPA RA7171 &amp; 8240-FY 2018,2019</t>
  </si>
  <si>
    <t>BRGY. DEV. &amp; SOCIAL JUSTICE FUND</t>
  </si>
  <si>
    <t>COVID-19 APPROP.</t>
  </si>
  <si>
    <t>OSPA COVID</t>
  </si>
  <si>
    <t>SPA OFFICES</t>
  </si>
  <si>
    <t>MOOE-OMOE</t>
  </si>
  <si>
    <t>MOOE-OMOE-1</t>
  </si>
  <si>
    <t>MOOE-OMOE-1.1</t>
  </si>
  <si>
    <t>MOOE-OMOE-1.2</t>
  </si>
  <si>
    <t>MOOE-OMOE-1.3</t>
  </si>
  <si>
    <t>OMOE-OMOE</t>
  </si>
  <si>
    <t>SOC.</t>
  </si>
  <si>
    <t>Repair and Maintenance- Machinery and equipment</t>
  </si>
  <si>
    <t>Purchase of 4 units Desktop Computer</t>
  </si>
  <si>
    <t>TOTAL CAPITAL OUTLAY</t>
  </si>
  <si>
    <t>5-02-03-100</t>
  </si>
  <si>
    <t>Agricultural and Marine Supplies Expenses</t>
  </si>
  <si>
    <t>5-02-16-010</t>
  </si>
  <si>
    <t>Taxes, Duties and Licenses</t>
  </si>
  <si>
    <t>Other Maintenance and Operating Expenses-Programs</t>
  </si>
  <si>
    <t>5-02-06-010</t>
  </si>
  <si>
    <t>Awards and Rewards Expenses</t>
  </si>
  <si>
    <t xml:space="preserve">Cable, Satellite, Telegraph and Radio Expenses </t>
  </si>
  <si>
    <t>5-02-99-080</t>
  </si>
  <si>
    <t>5-02-12-990</t>
  </si>
  <si>
    <t>Other General Services</t>
  </si>
  <si>
    <t>Repair &amp; Maintenance- Infrastructure Assets</t>
  </si>
  <si>
    <t>Repair &amp; Maintenance - Buildings and Other Structures</t>
  </si>
  <si>
    <t>5-02-07-010</t>
  </si>
  <si>
    <t>5-02-03-110</t>
  </si>
  <si>
    <t>Other Personnel Benefits- Productivity Enhancement Incentive</t>
  </si>
  <si>
    <t>PART 4. SUMMARY OF THE FY 2023 NEW APPROPRIATIONS</t>
  </si>
  <si>
    <t>2023</t>
  </si>
  <si>
    <t>AMOUNT</t>
  </si>
  <si>
    <t>1. Statutory and Contractual Obligations</t>
  </si>
  <si>
    <t xml:space="preserve">          1.3 Pag-ibig Contributions</t>
  </si>
  <si>
    <t>2. Budgetary Requirements</t>
  </si>
  <si>
    <t xml:space="preserve">          2.2  5% Local Disaster Risk Reduction and Management Fund (LDRRMF)</t>
  </si>
  <si>
    <t xml:space="preserve">          2.3 Aid to Barangays</t>
  </si>
  <si>
    <t xml:space="preserve">           TOTAL</t>
  </si>
  <si>
    <t xml:space="preserve">          1.5 Employees Compensation Insurance Premiums</t>
  </si>
  <si>
    <t xml:space="preserve">          1.2 Retirement &amp; Life Insurance Premiums</t>
  </si>
  <si>
    <t xml:space="preserve">          1.1 Other Personnel Benefits- Terminal Leave Benefits</t>
  </si>
  <si>
    <t xml:space="preserve">          1.4 PhilHealth Contributions</t>
  </si>
  <si>
    <t>3. STATEMENT OF STATUTORY AND CONTRACTUAL OBLIGATIONS AND BUDGETARY REQUIREMENTS CY 2023</t>
  </si>
  <si>
    <t>LGU: CITY GOVERNMENT OF BATAC</t>
  </si>
  <si>
    <t>LBP Form No. 7</t>
  </si>
  <si>
    <t>Clothing/ Uniform Allowance</t>
  </si>
  <si>
    <t>Purchase of 12 units Laptop Computer</t>
  </si>
  <si>
    <t>Past Year  2021(Actual)</t>
  </si>
  <si>
    <t>Current Year 2022 (Estimate)</t>
  </si>
  <si>
    <t>Current Year 2022</t>
  </si>
  <si>
    <t>Current Year 2022 (Actual) As of August 31, 2022</t>
  </si>
  <si>
    <r>
      <t>Actual-1</t>
    </r>
    <r>
      <rPr>
        <b/>
        <vertAlign val="superscript"/>
        <sz val="12"/>
        <rFont val="Cambria"/>
        <family val="1"/>
      </rPr>
      <t>st</t>
    </r>
    <r>
      <rPr>
        <b/>
        <sz val="12"/>
        <rFont val="Cambria"/>
        <family val="1"/>
      </rPr>
      <t xml:space="preserve"> Semester</t>
    </r>
  </si>
  <si>
    <r>
      <t>Estimate-2</t>
    </r>
    <r>
      <rPr>
        <b/>
        <vertAlign val="superscript"/>
        <sz val="12"/>
        <rFont val="Cambria"/>
        <family val="1"/>
      </rPr>
      <t>nd</t>
    </r>
    <r>
      <rPr>
        <b/>
        <sz val="12"/>
        <rFont val="Cambria"/>
        <family val="1"/>
      </rPr>
      <t xml:space="preserve"> Semester</t>
    </r>
  </si>
  <si>
    <t xml:space="preserve">   Support to Qualified Beneficiaries of the Financial Assistance Program of Board/ Bar Exam Takers</t>
  </si>
  <si>
    <t>PART 2. EXPENDITURE PROGRAM</t>
  </si>
  <si>
    <t>Purchase of 1 unit Drone Camera</t>
  </si>
  <si>
    <t>Purchase of 1 unit Mirrorless Camera</t>
  </si>
  <si>
    <t xml:space="preserve">   Inter- High School Sports Tournament</t>
  </si>
  <si>
    <t>Purchase of 2 Desktop Computer</t>
  </si>
  <si>
    <t>Purchase of 2 unit Desktop Computer</t>
  </si>
  <si>
    <t>Support to Brgy. Health Workers</t>
  </si>
  <si>
    <t>Support to Brgy. Nutrition Scholar</t>
  </si>
  <si>
    <t>Support to Brgy. Service Point Officer</t>
  </si>
  <si>
    <t>Purchase of 13 units Laptop Computer</t>
  </si>
  <si>
    <t>AID TO LIGA NG BRGY.</t>
  </si>
  <si>
    <t>AID TO SK FED.</t>
  </si>
  <si>
    <t xml:space="preserve">    INT'L. YOUTH WEEK</t>
  </si>
  <si>
    <t>BDF</t>
  </si>
  <si>
    <t>cdrrm</t>
  </si>
  <si>
    <t>spo</t>
  </si>
  <si>
    <t>vm</t>
  </si>
  <si>
    <t>spsec</t>
  </si>
  <si>
    <t>gso</t>
  </si>
  <si>
    <t>otm</t>
  </si>
  <si>
    <t xml:space="preserve">   Search for Miss Ilocos Norte</t>
  </si>
  <si>
    <t xml:space="preserve">   446th Founding Anniversary Celebration of Batac</t>
  </si>
  <si>
    <t xml:space="preserve">          2.1 20 % of NTA for Development Fund</t>
  </si>
  <si>
    <t>5-02-13-030</t>
  </si>
  <si>
    <t>1-07-05-030</t>
  </si>
  <si>
    <t>1-07-01-010</t>
  </si>
  <si>
    <t>1-07-03-050</t>
  </si>
  <si>
    <t>1-07-05-020</t>
  </si>
  <si>
    <t>69</t>
  </si>
  <si>
    <t>70</t>
  </si>
  <si>
    <t>71</t>
  </si>
  <si>
    <t>20% DEVELOPMENT FUND PROJECTS</t>
  </si>
  <si>
    <t>LOCAL DISASTER RISK REDUCTION MANAGEMENT FUND-5 %</t>
  </si>
  <si>
    <t>Other Infrastructure Assets</t>
  </si>
  <si>
    <t xml:space="preserve">Land </t>
  </si>
  <si>
    <t>Buildings</t>
  </si>
  <si>
    <t>Information and Communication Technology Equipment</t>
  </si>
  <si>
    <t>Office Equipment</t>
  </si>
  <si>
    <t>Motor Vehicle</t>
  </si>
  <si>
    <t>Power Supply System</t>
  </si>
  <si>
    <t>Other Land Improvements</t>
  </si>
  <si>
    <t>Water Supply System</t>
  </si>
  <si>
    <t>1-07-02-990</t>
  </si>
  <si>
    <t>1-07-03-040</t>
  </si>
  <si>
    <t>1-07-04-010</t>
  </si>
  <si>
    <t>Improvement of Assessor's Office (Record's/ Archive Room)</t>
  </si>
  <si>
    <t>1-07-06-010</t>
  </si>
  <si>
    <t>1-07-03-990</t>
  </si>
  <si>
    <t>Repair &amp; Maintenance-Transpo. Eqpt.</t>
  </si>
  <si>
    <t>Other bonuses and Allowances- Mid-Year Bonus</t>
  </si>
  <si>
    <t>tourism</t>
  </si>
  <si>
    <t>agri</t>
  </si>
  <si>
    <t>cvet</t>
  </si>
  <si>
    <t>otm-market</t>
  </si>
  <si>
    <t>tres.- market</t>
  </si>
  <si>
    <t>envi</t>
  </si>
  <si>
    <t>eng'g.</t>
  </si>
  <si>
    <t>b.o.</t>
  </si>
  <si>
    <t>slaughter</t>
  </si>
  <si>
    <t>Personnel Economic Relief Allowance</t>
  </si>
  <si>
    <t>Retirement &amp; Life Insurance Contributions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</si>
</sst>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.00_);_(* \(#,##0.00\);_(* &quot;-&quot;??_);_(@_)"/>
    <numFmt numFmtId="165" formatCode="#,##0.00\ ;&quot; (&quot;#,##0.00\);&quot; -&quot;#\ ;@\ 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mbria"/>
      <family val="1"/>
    </font>
    <font>
      <sz val="14"/>
      <name val="Cambria"/>
      <family val="1"/>
    </font>
    <font>
      <sz val="12"/>
      <name val="Cambria"/>
      <family val="1"/>
    </font>
    <font>
      <sz val="12"/>
      <color theme="1"/>
      <name val="Cambria"/>
      <family val="1"/>
    </font>
    <font>
      <sz val="11"/>
      <name val="Cambria"/>
      <family val="1"/>
    </font>
    <font>
      <b/>
      <sz val="16"/>
      <name val="Cambria"/>
      <family val="1"/>
    </font>
    <font>
      <b/>
      <sz val="12"/>
      <name val="Cambria"/>
      <family val="1"/>
    </font>
    <font>
      <b/>
      <sz val="10"/>
      <name val="Cambria"/>
      <family val="1"/>
    </font>
    <font>
      <sz val="10"/>
      <name val="Cambria"/>
      <family val="1"/>
    </font>
    <font>
      <sz val="13"/>
      <name val="Cambria"/>
      <family val="1"/>
    </font>
    <font>
      <sz val="9"/>
      <name val="Cambria"/>
      <family val="1"/>
    </font>
    <font>
      <sz val="11"/>
      <name val="Calibri"/>
      <family val="2"/>
      <scheme val="minor"/>
    </font>
    <font>
      <sz val="11"/>
      <color theme="1"/>
      <name val="Cambria"/>
      <family val="1"/>
    </font>
    <font>
      <sz val="14"/>
      <color theme="1"/>
      <name val="Calibri"/>
      <family val="2"/>
      <scheme val="minor"/>
    </font>
    <font>
      <sz val="14"/>
      <color theme="1"/>
      <name val="Cambria"/>
      <family val="1"/>
    </font>
    <font>
      <b/>
      <sz val="11"/>
      <name val="Calibri"/>
      <family val="2"/>
      <scheme val="minor"/>
    </font>
    <font>
      <sz val="8"/>
      <name val="Cambria"/>
      <family val="1"/>
    </font>
    <font>
      <b/>
      <sz val="11"/>
      <name val="Cambria"/>
      <family val="1"/>
    </font>
    <font>
      <i/>
      <sz val="8"/>
      <name val="Cambria"/>
      <family val="1"/>
    </font>
    <font>
      <b/>
      <sz val="8"/>
      <name val="Cambria"/>
      <family val="1"/>
    </font>
    <font>
      <b/>
      <sz val="14"/>
      <color theme="1"/>
      <name val="Cambria"/>
      <family val="1"/>
    </font>
    <font>
      <b/>
      <sz val="12"/>
      <color theme="1"/>
      <name val="Cambria"/>
      <family val="1"/>
    </font>
    <font>
      <b/>
      <sz val="12"/>
      <name val="Calibri Light"/>
      <family val="1"/>
      <scheme val="major"/>
    </font>
    <font>
      <sz val="12"/>
      <color theme="0"/>
      <name val="Cambria"/>
      <family val="1"/>
    </font>
    <font>
      <sz val="10"/>
      <color theme="1"/>
      <name val="Cambria"/>
      <family val="1"/>
    </font>
    <font>
      <b/>
      <sz val="11"/>
      <color theme="1"/>
      <name val="Cambria"/>
      <family val="1"/>
    </font>
    <font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2"/>
      <color theme="1"/>
      <name val="Cambria"/>
      <family val="1"/>
    </font>
    <font>
      <i/>
      <sz val="12"/>
      <color theme="1"/>
      <name val="Calibri"/>
      <family val="2"/>
      <scheme val="minor"/>
    </font>
    <font>
      <i/>
      <sz val="12"/>
      <color theme="1"/>
      <name val="Cambria"/>
      <family val="1"/>
    </font>
    <font>
      <b/>
      <i/>
      <sz val="12"/>
      <color theme="1"/>
      <name val="Calibri"/>
      <family val="2"/>
      <scheme val="minor"/>
    </font>
    <font>
      <sz val="12"/>
      <color rgb="FFFF0000"/>
      <name val="Cambria"/>
      <family val="1"/>
    </font>
    <font>
      <sz val="11"/>
      <color theme="0"/>
      <name val="Cambria"/>
      <family val="1"/>
    </font>
    <font>
      <sz val="10"/>
      <color theme="0"/>
      <name val="Cambria"/>
      <family val="1"/>
    </font>
    <font>
      <sz val="14"/>
      <color theme="0"/>
      <name val="Cambria"/>
      <family val="1"/>
    </font>
    <font>
      <b/>
      <sz val="14"/>
      <color rgb="FFFF0000"/>
      <name val="Cambria"/>
      <family val="1"/>
    </font>
    <font>
      <b/>
      <sz val="12"/>
      <color rgb="FFFF0000"/>
      <name val="Cambria"/>
      <family val="1"/>
    </font>
    <font>
      <sz val="14"/>
      <color rgb="FFFF0000"/>
      <name val="Cambria"/>
      <family val="1"/>
    </font>
    <font>
      <b/>
      <vertAlign val="superscript"/>
      <sz val="12"/>
      <name val="Cambria"/>
      <family val="1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Cambria"/>
      <family val="1"/>
    </font>
    <font>
      <b/>
      <i/>
      <sz val="12"/>
      <color theme="0"/>
      <name val="Calibri"/>
      <family val="2"/>
      <scheme val="minor"/>
    </font>
    <font>
      <sz val="20"/>
      <color theme="1"/>
      <name val="Cambria"/>
      <family val="1"/>
    </font>
    <font>
      <sz val="20"/>
      <name val="Cambria"/>
      <family val="1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729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top"/>
    </xf>
    <xf numFmtId="0" fontId="6" fillId="0" borderId="0" xfId="0" applyFont="1" applyFill="1" applyAlignment="1">
      <alignment vertical="top"/>
    </xf>
    <xf numFmtId="164" fontId="6" fillId="0" borderId="0" xfId="1" applyFont="1" applyFill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/>
    <xf numFmtId="0" fontId="8" fillId="0" borderId="0" xfId="0" applyFont="1" applyFill="1"/>
    <xf numFmtId="164" fontId="8" fillId="0" borderId="0" xfId="1" applyFont="1" applyFill="1"/>
    <xf numFmtId="0" fontId="10" fillId="0" borderId="0" xfId="0" applyFont="1" applyFill="1" applyAlignment="1">
      <alignment horizontal="center" vertical="top"/>
    </xf>
    <xf numFmtId="0" fontId="5" fillId="0" borderId="9" xfId="0" applyFont="1" applyFill="1" applyBorder="1" applyAlignment="1">
      <alignment vertical="center" wrapText="1"/>
    </xf>
    <xf numFmtId="0" fontId="12" fillId="0" borderId="5" xfId="0" applyFont="1" applyFill="1" applyBorder="1" applyAlignment="1">
      <alignment horizontal="center" vertical="center" wrapText="1"/>
    </xf>
    <xf numFmtId="164" fontId="6" fillId="0" borderId="5" xfId="3" applyFont="1" applyFill="1" applyBorder="1" applyAlignment="1">
      <alignment horizontal="center" vertical="top" wrapText="1"/>
    </xf>
    <xf numFmtId="164" fontId="6" fillId="0" borderId="11" xfId="3" applyFont="1" applyFill="1" applyBorder="1" applyAlignment="1">
      <alignment vertical="top" wrapText="1"/>
    </xf>
    <xf numFmtId="0" fontId="5" fillId="0" borderId="9" xfId="0" applyFont="1" applyFill="1" applyBorder="1" applyAlignment="1">
      <alignment horizontal="left" vertical="center" wrapText="1"/>
    </xf>
    <xf numFmtId="164" fontId="6" fillId="0" borderId="5" xfId="3" applyFont="1" applyFill="1" applyBorder="1" applyAlignment="1">
      <alignment horizontal="right" vertical="top" wrapText="1"/>
    </xf>
    <xf numFmtId="164" fontId="6" fillId="0" borderId="12" xfId="3" applyFont="1" applyFill="1" applyBorder="1" applyAlignment="1">
      <alignment vertical="top" wrapText="1"/>
    </xf>
    <xf numFmtId="165" fontId="6" fillId="0" borderId="11" xfId="0" applyNumberFormat="1" applyFont="1" applyFill="1" applyBorder="1" applyAlignment="1">
      <alignment vertical="top"/>
    </xf>
    <xf numFmtId="165" fontId="6" fillId="0" borderId="11" xfId="0" applyNumberFormat="1" applyFont="1" applyBorder="1" applyAlignment="1">
      <alignment vertical="top"/>
    </xf>
    <xf numFmtId="164" fontId="6" fillId="0" borderId="9" xfId="3" applyFont="1" applyFill="1" applyBorder="1" applyAlignment="1">
      <alignment horizontal="right" vertical="top" wrapText="1"/>
    </xf>
    <xf numFmtId="0" fontId="4" fillId="0" borderId="9" xfId="0" applyFont="1" applyFill="1" applyBorder="1" applyAlignment="1"/>
    <xf numFmtId="0" fontId="4" fillId="0" borderId="0" xfId="0" applyFont="1" applyFill="1" applyBorder="1" applyAlignment="1"/>
    <xf numFmtId="0" fontId="10" fillId="0" borderId="1" xfId="0" applyFont="1" applyFill="1" applyBorder="1" applyAlignment="1"/>
    <xf numFmtId="0" fontId="4" fillId="0" borderId="10" xfId="0" applyFont="1" applyFill="1" applyBorder="1" applyAlignment="1"/>
    <xf numFmtId="4" fontId="6" fillId="0" borderId="5" xfId="0" applyNumberFormat="1" applyFont="1" applyFill="1" applyBorder="1" applyAlignment="1">
      <alignment horizontal="center"/>
    </xf>
    <xf numFmtId="164" fontId="6" fillId="0" borderId="5" xfId="3" applyFont="1" applyFill="1" applyBorder="1" applyAlignment="1">
      <alignment vertical="top"/>
    </xf>
    <xf numFmtId="164" fontId="6" fillId="0" borderId="9" xfId="3" applyFont="1" applyFill="1" applyBorder="1" applyAlignment="1">
      <alignment vertical="top"/>
    </xf>
    <xf numFmtId="164" fontId="6" fillId="0" borderId="11" xfId="3" applyFont="1" applyFill="1" applyBorder="1" applyAlignment="1">
      <alignment vertical="top"/>
    </xf>
    <xf numFmtId="0" fontId="6" fillId="0" borderId="9" xfId="0" applyFont="1" applyFill="1" applyBorder="1"/>
    <xf numFmtId="0" fontId="6" fillId="0" borderId="1" xfId="0" applyFont="1" applyFill="1" applyBorder="1"/>
    <xf numFmtId="0" fontId="6" fillId="0" borderId="1" xfId="0" applyFont="1" applyBorder="1"/>
    <xf numFmtId="0" fontId="6" fillId="0" borderId="0" xfId="0" applyFont="1"/>
    <xf numFmtId="164" fontId="6" fillId="0" borderId="11" xfId="3" applyFont="1" applyFill="1" applyBorder="1" applyAlignment="1">
      <alignment horizontal="right" vertical="top"/>
    </xf>
    <xf numFmtId="0" fontId="4" fillId="0" borderId="9" xfId="0" applyFont="1" applyFill="1" applyBorder="1" applyAlignment="1">
      <alignment horizontal="center"/>
    </xf>
    <xf numFmtId="0" fontId="4" fillId="0" borderId="0" xfId="0" applyFont="1" applyFill="1" applyBorder="1"/>
    <xf numFmtId="0" fontId="10" fillId="0" borderId="9" xfId="0" applyFont="1" applyFill="1" applyBorder="1"/>
    <xf numFmtId="0" fontId="5" fillId="0" borderId="0" xfId="0" applyFont="1" applyFill="1" applyBorder="1"/>
    <xf numFmtId="0" fontId="8" fillId="0" borderId="0" xfId="0" applyFont="1" applyFill="1" applyBorder="1" applyAlignment="1">
      <alignment vertical="center"/>
    </xf>
    <xf numFmtId="164" fontId="6" fillId="0" borderId="9" xfId="3" applyFont="1" applyFill="1" applyBorder="1"/>
    <xf numFmtId="0" fontId="5" fillId="0" borderId="0" xfId="0" applyFont="1"/>
    <xf numFmtId="0" fontId="10" fillId="0" borderId="9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4" fontId="6" fillId="0" borderId="5" xfId="0" applyNumberFormat="1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2" fontId="6" fillId="0" borderId="5" xfId="3" applyNumberFormat="1" applyFont="1" applyFill="1" applyBorder="1" applyAlignment="1">
      <alignment vertical="top"/>
    </xf>
    <xf numFmtId="0" fontId="8" fillId="0" borderId="0" xfId="0" applyFont="1" applyFill="1" applyBorder="1"/>
    <xf numFmtId="0" fontId="10" fillId="0" borderId="0" xfId="0" applyFont="1" applyFill="1" applyBorder="1"/>
    <xf numFmtId="4" fontId="6" fillId="0" borderId="9" xfId="0" applyNumberFormat="1" applyFont="1" applyFill="1" applyBorder="1" applyAlignment="1">
      <alignment horizontal="center" vertical="center"/>
    </xf>
    <xf numFmtId="164" fontId="6" fillId="0" borderId="0" xfId="3" applyFont="1" applyFill="1" applyBorder="1" applyAlignment="1">
      <alignment vertical="top"/>
    </xf>
    <xf numFmtId="164" fontId="6" fillId="0" borderId="13" xfId="3" applyFont="1" applyFill="1" applyBorder="1" applyAlignment="1">
      <alignment vertical="top"/>
    </xf>
    <xf numFmtId="164" fontId="6" fillId="3" borderId="14" xfId="3" applyFont="1" applyFill="1" applyBorder="1"/>
    <xf numFmtId="4" fontId="6" fillId="0" borderId="9" xfId="0" applyNumberFormat="1" applyFont="1" applyFill="1" applyBorder="1" applyAlignment="1">
      <alignment horizontal="center"/>
    </xf>
    <xf numFmtId="164" fontId="6" fillId="0" borderId="15" xfId="3" applyFont="1" applyFill="1" applyBorder="1" applyAlignment="1">
      <alignment vertical="top"/>
    </xf>
    <xf numFmtId="0" fontId="10" fillId="0" borderId="14" xfId="0" applyFont="1" applyFill="1" applyBorder="1"/>
    <xf numFmtId="164" fontId="6" fillId="0" borderId="0" xfId="3" applyFont="1" applyFill="1" applyBorder="1"/>
    <xf numFmtId="164" fontId="6" fillId="0" borderId="13" xfId="3" applyFont="1" applyFill="1" applyBorder="1"/>
    <xf numFmtId="4" fontId="6" fillId="0" borderId="0" xfId="0" applyNumberFormat="1" applyFont="1" applyFill="1" applyBorder="1" applyAlignment="1">
      <alignment horizontal="center"/>
    </xf>
    <xf numFmtId="0" fontId="5" fillId="0" borderId="0" xfId="0" applyFont="1" applyFill="1"/>
    <xf numFmtId="2" fontId="6" fillId="0" borderId="13" xfId="3" applyNumberFormat="1" applyFont="1" applyFill="1" applyBorder="1"/>
    <xf numFmtId="2" fontId="6" fillId="0" borderId="15" xfId="3" applyNumberFormat="1" applyFont="1" applyFill="1" applyBorder="1" applyAlignment="1">
      <alignment vertical="top"/>
    </xf>
    <xf numFmtId="164" fontId="6" fillId="0" borderId="0" xfId="3" applyFont="1" applyFill="1" applyBorder="1" applyAlignment="1">
      <alignment horizontal="right"/>
    </xf>
    <xf numFmtId="164" fontId="6" fillId="0" borderId="13" xfId="3" applyFont="1" applyFill="1" applyBorder="1" applyAlignment="1">
      <alignment horizontal="right"/>
    </xf>
    <xf numFmtId="164" fontId="6" fillId="0" borderId="15" xfId="3" applyFont="1" applyFill="1" applyBorder="1" applyAlignment="1">
      <alignment horizontal="right" vertical="top"/>
    </xf>
    <xf numFmtId="0" fontId="6" fillId="0" borderId="14" xfId="0" applyFont="1" applyFill="1" applyBorder="1"/>
    <xf numFmtId="0" fontId="6" fillId="0" borderId="14" xfId="0" applyFont="1" applyFill="1" applyBorder="1" applyAlignment="1">
      <alignment horizontal="left" wrapText="1"/>
    </xf>
    <xf numFmtId="0" fontId="6" fillId="0" borderId="0" xfId="0" applyNumberFormat="1" applyFont="1" applyFill="1" applyBorder="1" applyAlignment="1">
      <alignment horizontal="center"/>
    </xf>
    <xf numFmtId="0" fontId="6" fillId="0" borderId="13" xfId="0" applyNumberFormat="1" applyFont="1" applyFill="1" applyBorder="1" applyAlignment="1">
      <alignment horizontal="center"/>
    </xf>
    <xf numFmtId="0" fontId="10" fillId="0" borderId="16" xfId="0" applyFont="1" applyFill="1" applyBorder="1" applyAlignment="1">
      <alignment horizontal="left"/>
    </xf>
    <xf numFmtId="0" fontId="6" fillId="0" borderId="14" xfId="0" applyFont="1" applyBorder="1"/>
    <xf numFmtId="0" fontId="6" fillId="0" borderId="0" xfId="0" applyFont="1" applyBorder="1"/>
    <xf numFmtId="0" fontId="6" fillId="0" borderId="13" xfId="0" applyFont="1" applyBorder="1"/>
    <xf numFmtId="0" fontId="6" fillId="0" borderId="15" xfId="0" applyFont="1" applyBorder="1" applyAlignment="1">
      <alignment vertical="top"/>
    </xf>
    <xf numFmtId="0" fontId="6" fillId="0" borderId="15" xfId="0" applyFont="1" applyFill="1" applyBorder="1" applyAlignment="1">
      <alignment vertical="top"/>
    </xf>
    <xf numFmtId="4" fontId="6" fillId="0" borderId="13" xfId="0" applyNumberFormat="1" applyFont="1" applyFill="1" applyBorder="1" applyAlignment="1">
      <alignment horizontal="center"/>
    </xf>
    <xf numFmtId="164" fontId="10" fillId="0" borderId="0" xfId="3" applyFont="1" applyFill="1" applyBorder="1"/>
    <xf numFmtId="164" fontId="10" fillId="0" borderId="13" xfId="3" applyFont="1" applyFill="1" applyBorder="1" applyAlignment="1">
      <alignment horizontal="right"/>
    </xf>
    <xf numFmtId="164" fontId="10" fillId="0" borderId="15" xfId="3" applyFont="1" applyFill="1" applyBorder="1" applyAlignment="1">
      <alignment vertical="top"/>
    </xf>
    <xf numFmtId="164" fontId="10" fillId="0" borderId="15" xfId="3" applyFont="1" applyFill="1" applyBorder="1" applyAlignment="1">
      <alignment horizontal="right" vertical="top"/>
    </xf>
    <xf numFmtId="164" fontId="10" fillId="0" borderId="13" xfId="3" applyFont="1" applyFill="1" applyBorder="1"/>
    <xf numFmtId="0" fontId="10" fillId="0" borderId="17" xfId="0" applyFont="1" applyFill="1" applyBorder="1"/>
    <xf numFmtId="0" fontId="4" fillId="0" borderId="18" xfId="0" applyFont="1" applyFill="1" applyBorder="1"/>
    <xf numFmtId="164" fontId="10" fillId="0" borderId="18" xfId="3" applyFont="1" applyFill="1" applyBorder="1" applyAlignment="1">
      <alignment horizontal="right"/>
    </xf>
    <xf numFmtId="164" fontId="10" fillId="0" borderId="19" xfId="3" applyFont="1" applyFill="1" applyBorder="1" applyAlignment="1">
      <alignment horizontal="right"/>
    </xf>
    <xf numFmtId="4" fontId="10" fillId="0" borderId="19" xfId="0" applyNumberFormat="1" applyFont="1" applyFill="1" applyBorder="1" applyAlignment="1">
      <alignment horizontal="center"/>
    </xf>
    <xf numFmtId="164" fontId="10" fillId="0" borderId="20" xfId="3" applyFont="1" applyFill="1" applyBorder="1" applyAlignment="1">
      <alignment horizontal="right" vertical="top"/>
    </xf>
    <xf numFmtId="0" fontId="14" fillId="0" borderId="0" xfId="0" applyFont="1"/>
    <xf numFmtId="164" fontId="8" fillId="0" borderId="0" xfId="3" applyFont="1"/>
    <xf numFmtId="0" fontId="10" fillId="2" borderId="21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vertical="center"/>
    </xf>
    <xf numFmtId="2" fontId="6" fillId="0" borderId="22" xfId="0" applyNumberFormat="1" applyFont="1" applyBorder="1" applyAlignment="1">
      <alignment vertical="top"/>
    </xf>
    <xf numFmtId="2" fontId="6" fillId="0" borderId="22" xfId="0" applyNumberFormat="1" applyFont="1" applyFill="1" applyBorder="1" applyAlignment="1">
      <alignment vertical="top"/>
    </xf>
    <xf numFmtId="0" fontId="5" fillId="0" borderId="25" xfId="0" applyFont="1" applyBorder="1" applyAlignment="1">
      <alignment vertical="center"/>
    </xf>
    <xf numFmtId="2" fontId="6" fillId="0" borderId="25" xfId="0" applyNumberFormat="1" applyFont="1" applyBorder="1" applyAlignment="1">
      <alignment vertical="top"/>
    </xf>
    <xf numFmtId="2" fontId="6" fillId="0" borderId="25" xfId="0" applyNumberFormat="1" applyFont="1" applyFill="1" applyBorder="1" applyAlignment="1">
      <alignment vertical="top"/>
    </xf>
    <xf numFmtId="0" fontId="6" fillId="0" borderId="25" xfId="0" applyFont="1" applyBorder="1" applyAlignment="1">
      <alignment horizontal="center" vertical="center"/>
    </xf>
    <xf numFmtId="4" fontId="6" fillId="0" borderId="25" xfId="0" applyNumberFormat="1" applyFont="1" applyBorder="1" applyAlignment="1">
      <alignment vertical="top"/>
    </xf>
    <xf numFmtId="4" fontId="6" fillId="0" borderId="25" xfId="0" applyNumberFormat="1" applyFont="1" applyFill="1" applyBorder="1" applyAlignment="1">
      <alignment vertical="top"/>
    </xf>
    <xf numFmtId="17" fontId="6" fillId="0" borderId="25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4" fontId="6" fillId="0" borderId="27" xfId="0" applyNumberFormat="1" applyFont="1" applyBorder="1" applyAlignment="1">
      <alignment vertical="top"/>
    </xf>
    <xf numFmtId="4" fontId="6" fillId="0" borderId="27" xfId="0" applyNumberFormat="1" applyFont="1" applyFill="1" applyBorder="1" applyAlignment="1">
      <alignment vertical="top"/>
    </xf>
    <xf numFmtId="0" fontId="5" fillId="0" borderId="28" xfId="0" applyFont="1" applyBorder="1" applyAlignment="1">
      <alignment horizontal="left" vertical="center" wrapText="1"/>
    </xf>
    <xf numFmtId="0" fontId="5" fillId="0" borderId="27" xfId="0" applyFont="1" applyBorder="1" applyAlignment="1">
      <alignment vertical="center"/>
    </xf>
    <xf numFmtId="4" fontId="10" fillId="0" borderId="27" xfId="0" applyNumberFormat="1" applyFont="1" applyBorder="1" applyAlignment="1">
      <alignment vertical="top"/>
    </xf>
    <xf numFmtId="4" fontId="10" fillId="0" borderId="27" xfId="0" applyNumberFormat="1" applyFont="1" applyFill="1" applyBorder="1" applyAlignment="1">
      <alignment vertical="top"/>
    </xf>
    <xf numFmtId="4" fontId="6" fillId="0" borderId="23" xfId="0" applyNumberFormat="1" applyFont="1" applyFill="1" applyBorder="1" applyAlignment="1">
      <alignment vertical="top"/>
    </xf>
    <xf numFmtId="4" fontId="6" fillId="0" borderId="23" xfId="0" applyNumberFormat="1" applyFont="1" applyBorder="1" applyAlignment="1">
      <alignment vertical="top"/>
    </xf>
    <xf numFmtId="0" fontId="5" fillId="0" borderId="0" xfId="0" applyFont="1" applyBorder="1" applyAlignment="1">
      <alignment vertical="center" wrapText="1"/>
    </xf>
    <xf numFmtId="0" fontId="5" fillId="0" borderId="24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5" fillId="0" borderId="25" xfId="0" applyFont="1" applyBorder="1" applyAlignment="1">
      <alignment vertical="center" wrapText="1"/>
    </xf>
    <xf numFmtId="4" fontId="6" fillId="0" borderId="29" xfId="0" applyNumberFormat="1" applyFont="1" applyFill="1" applyBorder="1" applyAlignment="1">
      <alignment vertical="top"/>
    </xf>
    <xf numFmtId="4" fontId="6" fillId="0" borderId="29" xfId="0" applyNumberFormat="1" applyFont="1" applyBorder="1" applyAlignment="1">
      <alignment vertical="top"/>
    </xf>
    <xf numFmtId="4" fontId="10" fillId="0" borderId="31" xfId="0" applyNumberFormat="1" applyFont="1" applyBorder="1" applyAlignment="1">
      <alignment vertical="top"/>
    </xf>
    <xf numFmtId="0" fontId="5" fillId="0" borderId="33" xfId="0" applyFont="1" applyBorder="1" applyAlignment="1">
      <alignment vertical="center"/>
    </xf>
    <xf numFmtId="4" fontId="6" fillId="0" borderId="33" xfId="0" applyNumberFormat="1" applyFont="1" applyBorder="1" applyAlignment="1">
      <alignment vertical="top"/>
    </xf>
    <xf numFmtId="4" fontId="6" fillId="0" borderId="0" xfId="0" applyNumberFormat="1" applyFont="1" applyFill="1" applyBorder="1" applyAlignment="1">
      <alignment vertical="top"/>
    </xf>
    <xf numFmtId="4" fontId="10" fillId="0" borderId="36" xfId="0" applyNumberFormat="1" applyFont="1" applyBorder="1" applyAlignment="1">
      <alignment vertical="top"/>
    </xf>
    <xf numFmtId="0" fontId="4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4" fontId="10" fillId="0" borderId="0" xfId="0" applyNumberFormat="1" applyFont="1" applyBorder="1" applyAlignment="1">
      <alignment vertical="top"/>
    </xf>
    <xf numFmtId="4" fontId="10" fillId="0" borderId="0" xfId="0" applyNumberFormat="1" applyFont="1" applyFill="1" applyBorder="1" applyAlignment="1">
      <alignment vertical="top"/>
    </xf>
    <xf numFmtId="0" fontId="6" fillId="0" borderId="0" xfId="0" applyFont="1" applyFill="1"/>
    <xf numFmtId="0" fontId="4" fillId="0" borderId="0" xfId="0" applyFont="1" applyFill="1" applyBorder="1" applyAlignment="1">
      <alignment vertical="center"/>
    </xf>
    <xf numFmtId="0" fontId="10" fillId="2" borderId="21" xfId="0" applyFont="1" applyFill="1" applyBorder="1" applyAlignment="1">
      <alignment horizontal="center" vertical="top" wrapText="1"/>
    </xf>
    <xf numFmtId="0" fontId="5" fillId="0" borderId="25" xfId="0" applyFont="1" applyBorder="1" applyAlignment="1">
      <alignment horizontal="center" vertical="center"/>
    </xf>
    <xf numFmtId="17" fontId="5" fillId="0" borderId="25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0" xfId="0" applyFont="1" applyAlignment="1">
      <alignment vertical="center"/>
    </xf>
    <xf numFmtId="0" fontId="16" fillId="0" borderId="25" xfId="0" applyFont="1" applyBorder="1" applyAlignment="1">
      <alignment vertical="center"/>
    </xf>
    <xf numFmtId="0" fontId="7" fillId="0" borderId="25" xfId="0" applyFont="1" applyBorder="1" applyAlignment="1">
      <alignment vertical="top"/>
    </xf>
    <xf numFmtId="164" fontId="7" fillId="0" borderId="25" xfId="1" applyFont="1" applyFill="1" applyBorder="1" applyAlignment="1">
      <alignment vertical="top"/>
    </xf>
    <xf numFmtId="0" fontId="7" fillId="0" borderId="0" xfId="0" applyFont="1" applyAlignment="1">
      <alignment vertical="top"/>
    </xf>
    <xf numFmtId="4" fontId="6" fillId="0" borderId="0" xfId="0" applyNumberFormat="1" applyFont="1" applyBorder="1" applyAlignment="1">
      <alignment vertical="top"/>
    </xf>
    <xf numFmtId="0" fontId="17" fillId="0" borderId="0" xfId="0" applyFont="1"/>
    <xf numFmtId="0" fontId="5" fillId="0" borderId="24" xfId="0" applyFont="1" applyBorder="1" applyAlignment="1">
      <alignment horizontal="center" vertical="center"/>
    </xf>
    <xf numFmtId="17" fontId="5" fillId="0" borderId="24" xfId="0" applyNumberFormat="1" applyFont="1" applyBorder="1" applyAlignment="1">
      <alignment horizontal="center" vertical="center"/>
    </xf>
    <xf numFmtId="4" fontId="6" fillId="0" borderId="33" xfId="0" applyNumberFormat="1" applyFont="1" applyFill="1" applyBorder="1" applyAlignment="1">
      <alignment vertical="top"/>
    </xf>
    <xf numFmtId="0" fontId="0" fillId="0" borderId="0" xfId="0" applyFill="1"/>
    <xf numFmtId="0" fontId="16" fillId="0" borderId="0" xfId="0" applyFont="1" applyAlignment="1">
      <alignment vertical="center"/>
    </xf>
    <xf numFmtId="0" fontId="7" fillId="0" borderId="27" xfId="0" applyFont="1" applyBorder="1" applyAlignment="1">
      <alignment vertical="top"/>
    </xf>
    <xf numFmtId="0" fontId="7" fillId="0" borderId="27" xfId="0" applyFont="1" applyFill="1" applyBorder="1" applyAlignment="1">
      <alignment vertical="top"/>
    </xf>
    <xf numFmtId="4" fontId="10" fillId="0" borderId="31" xfId="0" applyNumberFormat="1" applyFont="1" applyFill="1" applyBorder="1" applyAlignment="1">
      <alignment vertical="top"/>
    </xf>
    <xf numFmtId="0" fontId="4" fillId="0" borderId="0" xfId="0" applyFont="1"/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5" fillId="0" borderId="23" xfId="0" applyFont="1" applyBorder="1" applyAlignment="1">
      <alignment horizontal="left" vertical="center"/>
    </xf>
    <xf numFmtId="4" fontId="10" fillId="0" borderId="25" xfId="0" applyNumberFormat="1" applyFont="1" applyBorder="1" applyAlignment="1">
      <alignment vertical="top"/>
    </xf>
    <xf numFmtId="4" fontId="10" fillId="0" borderId="25" xfId="0" applyNumberFormat="1" applyFont="1" applyFill="1" applyBorder="1" applyAlignment="1">
      <alignment vertical="top"/>
    </xf>
    <xf numFmtId="0" fontId="8" fillId="0" borderId="0" xfId="0" applyFont="1" applyAlignment="1">
      <alignment vertical="center"/>
    </xf>
    <xf numFmtId="4" fontId="10" fillId="0" borderId="36" xfId="0" applyNumberFormat="1" applyFont="1" applyFill="1" applyBorder="1" applyAlignment="1">
      <alignment vertical="top"/>
    </xf>
    <xf numFmtId="0" fontId="4" fillId="0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top"/>
    </xf>
    <xf numFmtId="0" fontId="6" fillId="0" borderId="0" xfId="0" applyFont="1" applyFill="1" applyBorder="1" applyAlignment="1">
      <alignment vertical="top"/>
    </xf>
    <xf numFmtId="4" fontId="6" fillId="0" borderId="41" xfId="0" applyNumberFormat="1" applyFont="1" applyFill="1" applyBorder="1" applyAlignment="1">
      <alignment vertical="top"/>
    </xf>
    <xf numFmtId="4" fontId="6" fillId="0" borderId="42" xfId="0" applyNumberFormat="1" applyFont="1" applyFill="1" applyBorder="1" applyAlignment="1">
      <alignment vertical="top"/>
    </xf>
    <xf numFmtId="0" fontId="5" fillId="0" borderId="43" xfId="0" applyFont="1" applyBorder="1" applyAlignment="1">
      <alignment horizontal="left" vertical="center" wrapText="1"/>
    </xf>
    <xf numFmtId="0" fontId="4" fillId="0" borderId="43" xfId="0" applyFont="1" applyBorder="1" applyAlignment="1">
      <alignment horizontal="left" vertical="center" wrapText="1"/>
    </xf>
    <xf numFmtId="14" fontId="5" fillId="0" borderId="25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5" fillId="0" borderId="25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0" borderId="24" xfId="0" applyFont="1" applyFill="1" applyBorder="1" applyAlignment="1">
      <alignment vertical="center" wrapText="1"/>
    </xf>
    <xf numFmtId="0" fontId="5" fillId="0" borderId="25" xfId="0" applyFont="1" applyFill="1" applyBorder="1" applyAlignment="1">
      <alignment horizontal="center" vertical="center"/>
    </xf>
    <xf numFmtId="0" fontId="5" fillId="0" borderId="23" xfId="0" applyFont="1" applyBorder="1" applyAlignment="1">
      <alignment horizontal="left" vertical="top" wrapText="1"/>
    </xf>
    <xf numFmtId="0" fontId="5" fillId="0" borderId="0" xfId="0" applyFont="1" applyBorder="1" applyAlignment="1">
      <alignment vertical="top" wrapText="1"/>
    </xf>
    <xf numFmtId="0" fontId="5" fillId="0" borderId="24" xfId="0" applyFont="1" applyBorder="1" applyAlignment="1">
      <alignment vertical="top" wrapText="1"/>
    </xf>
    <xf numFmtId="0" fontId="5" fillId="0" borderId="25" xfId="0" applyFont="1" applyBorder="1" applyAlignment="1">
      <alignment horizontal="center" vertical="top"/>
    </xf>
    <xf numFmtId="164" fontId="6" fillId="0" borderId="0" xfId="1" applyFont="1" applyFill="1" applyAlignment="1">
      <alignment vertical="top"/>
    </xf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0" fontId="5" fillId="0" borderId="0" xfId="0" applyFont="1" applyFill="1" applyBorder="1" applyAlignment="1">
      <alignment vertical="top"/>
    </xf>
    <xf numFmtId="0" fontId="5" fillId="0" borderId="27" xfId="0" applyFont="1" applyBorder="1" applyAlignment="1">
      <alignment horizontal="center" vertical="top"/>
    </xf>
    <xf numFmtId="4" fontId="10" fillId="0" borderId="37" xfId="0" applyNumberFormat="1" applyFont="1" applyBorder="1" applyAlignment="1">
      <alignment vertical="top"/>
    </xf>
    <xf numFmtId="4" fontId="10" fillId="0" borderId="37" xfId="0" applyNumberFormat="1" applyFont="1" applyFill="1" applyBorder="1" applyAlignment="1">
      <alignment vertical="top"/>
    </xf>
    <xf numFmtId="0" fontId="20" fillId="3" borderId="0" xfId="0" applyFont="1" applyFill="1" applyBorder="1"/>
    <xf numFmtId="0" fontId="20" fillId="3" borderId="24" xfId="0" applyFont="1" applyFill="1" applyBorder="1"/>
    <xf numFmtId="0" fontId="4" fillId="0" borderId="25" xfId="0" applyFont="1" applyBorder="1" applyAlignment="1">
      <alignment vertical="center"/>
    </xf>
    <xf numFmtId="0" fontId="5" fillId="0" borderId="44" xfId="0" applyFont="1" applyBorder="1" applyAlignment="1">
      <alignment horizontal="left" vertical="center" wrapText="1"/>
    </xf>
    <xf numFmtId="164" fontId="6" fillId="0" borderId="0" xfId="1" applyFont="1" applyFill="1"/>
    <xf numFmtId="4" fontId="21" fillId="0" borderId="25" xfId="0" applyNumberFormat="1" applyFont="1" applyBorder="1" applyAlignment="1">
      <alignment vertical="top"/>
    </xf>
    <xf numFmtId="0" fontId="22" fillId="3" borderId="0" xfId="0" applyFont="1" applyFill="1" applyBorder="1"/>
    <xf numFmtId="0" fontId="0" fillId="0" borderId="0" xfId="0" applyFont="1"/>
    <xf numFmtId="0" fontId="20" fillId="3" borderId="0" xfId="0" applyFont="1" applyFill="1" applyBorder="1" applyAlignment="1">
      <alignment vertical="top"/>
    </xf>
    <xf numFmtId="164" fontId="8" fillId="0" borderId="0" xfId="1" applyFont="1" applyFill="1" applyAlignment="1">
      <alignment vertical="top"/>
    </xf>
    <xf numFmtId="0" fontId="0" fillId="0" borderId="0" xfId="0" applyFont="1" applyFill="1"/>
    <xf numFmtId="0" fontId="6" fillId="0" borderId="2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0" borderId="38" xfId="0" applyFont="1" applyBorder="1" applyAlignment="1">
      <alignment horizontal="left" vertical="center" wrapText="1"/>
    </xf>
    <xf numFmtId="0" fontId="4" fillId="3" borderId="0" xfId="0" applyFont="1" applyFill="1" applyBorder="1"/>
    <xf numFmtId="0" fontId="5" fillId="3" borderId="0" xfId="0" applyFont="1" applyFill="1" applyBorder="1"/>
    <xf numFmtId="4" fontId="6" fillId="0" borderId="0" xfId="0" applyNumberFormat="1" applyFont="1" applyAlignment="1">
      <alignment vertical="top"/>
    </xf>
    <xf numFmtId="4" fontId="6" fillId="0" borderId="0" xfId="0" applyNumberFormat="1" applyFont="1" applyFill="1" applyAlignment="1">
      <alignment vertical="top"/>
    </xf>
    <xf numFmtId="0" fontId="21" fillId="2" borderId="21" xfId="0" applyFont="1" applyFill="1" applyBorder="1" applyAlignment="1">
      <alignment horizontal="center" vertical="top" wrapText="1"/>
    </xf>
    <xf numFmtId="0" fontId="15" fillId="0" borderId="0" xfId="0" applyFont="1" applyFill="1"/>
    <xf numFmtId="0" fontId="20" fillId="0" borderId="0" xfId="0" applyFont="1" applyFill="1" applyBorder="1"/>
    <xf numFmtId="0" fontId="6" fillId="0" borderId="25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164" fontId="8" fillId="0" borderId="0" xfId="1" applyFont="1" applyFill="1" applyAlignment="1"/>
    <xf numFmtId="0" fontId="0" fillId="0" borderId="0" xfId="0" applyFont="1" applyAlignment="1"/>
    <xf numFmtId="4" fontId="6" fillId="0" borderId="22" xfId="0" applyNumberFormat="1" applyFont="1" applyBorder="1" applyAlignment="1">
      <alignment vertical="top"/>
    </xf>
    <xf numFmtId="4" fontId="6" fillId="0" borderId="22" xfId="0" applyNumberFormat="1" applyFont="1" applyFill="1" applyBorder="1" applyAlignment="1">
      <alignment vertical="top"/>
    </xf>
    <xf numFmtId="0" fontId="4" fillId="0" borderId="23" xfId="0" applyFont="1" applyBorder="1" applyAlignment="1">
      <alignment horizontal="left" vertical="center"/>
    </xf>
    <xf numFmtId="0" fontId="0" fillId="0" borderId="0" xfId="0" applyAlignment="1"/>
    <xf numFmtId="4" fontId="10" fillId="0" borderId="21" xfId="0" applyNumberFormat="1" applyFont="1" applyFill="1" applyBorder="1" applyAlignment="1">
      <alignment vertical="top"/>
    </xf>
    <xf numFmtId="0" fontId="5" fillId="0" borderId="44" xfId="0" applyFont="1" applyBorder="1" applyAlignment="1">
      <alignment horizontal="left" vertical="center"/>
    </xf>
    <xf numFmtId="0" fontId="5" fillId="0" borderId="45" xfId="0" applyFont="1" applyFill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5" fillId="0" borderId="46" xfId="0" applyFont="1" applyBorder="1" applyAlignment="1">
      <alignment vertical="center"/>
    </xf>
    <xf numFmtId="0" fontId="5" fillId="0" borderId="37" xfId="0" applyFont="1" applyBorder="1" applyAlignment="1">
      <alignment horizontal="center" vertical="center"/>
    </xf>
    <xf numFmtId="4" fontId="6" fillId="0" borderId="37" xfId="0" applyNumberFormat="1" applyFont="1" applyBorder="1" applyAlignment="1">
      <alignment vertical="top"/>
    </xf>
    <xf numFmtId="4" fontId="6" fillId="0" borderId="37" xfId="0" applyNumberFormat="1" applyFont="1" applyFill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164" fontId="6" fillId="0" borderId="0" xfId="1" applyFont="1" applyFill="1" applyAlignment="1"/>
    <xf numFmtId="0" fontId="0" fillId="4" borderId="0" xfId="0" applyFill="1" applyAlignment="1"/>
    <xf numFmtId="0" fontId="5" fillId="0" borderId="23" xfId="0" applyFont="1" applyBorder="1" applyAlignment="1">
      <alignment horizontal="left" vertical="top"/>
    </xf>
    <xf numFmtId="0" fontId="5" fillId="0" borderId="0" xfId="0" applyFont="1" applyBorder="1" applyAlignment="1">
      <alignment vertical="top"/>
    </xf>
    <xf numFmtId="0" fontId="5" fillId="0" borderId="24" xfId="0" applyFont="1" applyBorder="1" applyAlignment="1">
      <alignment vertical="top"/>
    </xf>
    <xf numFmtId="0" fontId="0" fillId="4" borderId="0" xfId="0" applyFill="1" applyAlignment="1">
      <alignment vertical="top"/>
    </xf>
    <xf numFmtId="0" fontId="4" fillId="0" borderId="45" xfId="0" applyFont="1" applyFill="1" applyBorder="1" applyAlignment="1">
      <alignment horizontal="left" vertical="center" wrapText="1"/>
    </xf>
    <xf numFmtId="0" fontId="0" fillId="0" borderId="0" xfId="0" applyFill="1" applyAlignment="1"/>
    <xf numFmtId="0" fontId="4" fillId="0" borderId="24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4" fontId="6" fillId="0" borderId="24" xfId="0" applyNumberFormat="1" applyFont="1" applyFill="1" applyBorder="1" applyAlignment="1">
      <alignment vertical="top"/>
    </xf>
    <xf numFmtId="0" fontId="5" fillId="0" borderId="23" xfId="0" applyFont="1" applyFill="1" applyBorder="1" applyAlignment="1">
      <alignment vertical="center"/>
    </xf>
    <xf numFmtId="0" fontId="8" fillId="0" borderId="0" xfId="0" applyFont="1" applyBorder="1"/>
    <xf numFmtId="0" fontId="8" fillId="0" borderId="24" xfId="0" applyFont="1" applyBorder="1"/>
    <xf numFmtId="0" fontId="8" fillId="0" borderId="25" xfId="0" applyFont="1" applyBorder="1"/>
    <xf numFmtId="0" fontId="6" fillId="0" borderId="25" xfId="0" applyFont="1" applyBorder="1" applyAlignment="1">
      <alignment vertical="top"/>
    </xf>
    <xf numFmtId="164" fontId="6" fillId="0" borderId="0" xfId="1" applyFont="1" applyFill="1" applyBorder="1" applyAlignment="1">
      <alignment vertical="top"/>
    </xf>
    <xf numFmtId="0" fontId="18" fillId="0" borderId="0" xfId="0" applyFont="1" applyFill="1" applyBorder="1"/>
    <xf numFmtId="0" fontId="16" fillId="0" borderId="0" xfId="0" applyFont="1" applyFill="1" applyBorder="1"/>
    <xf numFmtId="0" fontId="16" fillId="0" borderId="24" xfId="0" applyFont="1" applyFill="1" applyBorder="1"/>
    <xf numFmtId="0" fontId="16" fillId="0" borderId="25" xfId="0" applyFont="1" applyFill="1" applyBorder="1"/>
    <xf numFmtId="0" fontId="16" fillId="0" borderId="25" xfId="0" applyFont="1" applyFill="1" applyBorder="1" applyAlignment="1">
      <alignment vertical="top"/>
    </xf>
    <xf numFmtId="0" fontId="5" fillId="0" borderId="24" xfId="0" applyFont="1" applyFill="1" applyBorder="1" applyAlignment="1">
      <alignment vertical="center"/>
    </xf>
    <xf numFmtId="4" fontId="6" fillId="0" borderId="26" xfId="0" applyNumberFormat="1" applyFont="1" applyFill="1" applyBorder="1" applyAlignment="1">
      <alignment vertical="top"/>
    </xf>
    <xf numFmtId="4" fontId="10" fillId="0" borderId="24" xfId="0" applyNumberFormat="1" applyFont="1" applyFill="1" applyBorder="1" applyAlignment="1">
      <alignment vertical="top"/>
    </xf>
    <xf numFmtId="164" fontId="8" fillId="0" borderId="23" xfId="1" applyFont="1" applyFill="1" applyBorder="1"/>
    <xf numFmtId="164" fontId="6" fillId="0" borderId="0" xfId="0" applyNumberFormat="1" applyFont="1" applyAlignment="1">
      <alignment vertical="top"/>
    </xf>
    <xf numFmtId="4" fontId="6" fillId="0" borderId="24" xfId="0" applyNumberFormat="1" applyFont="1" applyBorder="1" applyAlignment="1">
      <alignment vertical="top"/>
    </xf>
    <xf numFmtId="0" fontId="6" fillId="0" borderId="23" xfId="0" applyFont="1" applyBorder="1"/>
    <xf numFmtId="0" fontId="6" fillId="0" borderId="0" xfId="0" applyFont="1" applyFill="1" applyBorder="1"/>
    <xf numFmtId="0" fontId="6" fillId="0" borderId="25" xfId="0" applyFont="1" applyBorder="1"/>
    <xf numFmtId="0" fontId="5" fillId="0" borderId="23" xfId="0" applyFont="1" applyBorder="1"/>
    <xf numFmtId="0" fontId="6" fillId="0" borderId="45" xfId="0" applyFont="1" applyFill="1" applyBorder="1"/>
    <xf numFmtId="0" fontId="6" fillId="0" borderId="45" xfId="0" applyFont="1" applyBorder="1"/>
    <xf numFmtId="4" fontId="6" fillId="0" borderId="46" xfId="0" applyNumberFormat="1" applyFont="1" applyBorder="1" applyAlignment="1">
      <alignment vertical="top"/>
    </xf>
    <xf numFmtId="0" fontId="5" fillId="0" borderId="27" xfId="0" applyFont="1" applyFill="1" applyBorder="1" applyAlignment="1">
      <alignment vertical="center"/>
    </xf>
    <xf numFmtId="4" fontId="10" fillId="0" borderId="33" xfId="0" applyNumberFormat="1" applyFont="1" applyBorder="1" applyAlignment="1">
      <alignment vertical="top"/>
    </xf>
    <xf numFmtId="4" fontId="10" fillId="0" borderId="33" xfId="0" applyNumberFormat="1" applyFont="1" applyFill="1" applyBorder="1" applyAlignment="1">
      <alignment vertical="top"/>
    </xf>
    <xf numFmtId="0" fontId="5" fillId="5" borderId="0" xfId="0" applyFont="1" applyFill="1" applyBorder="1" applyAlignment="1">
      <alignment vertical="center" wrapText="1"/>
    </xf>
    <xf numFmtId="0" fontId="5" fillId="5" borderId="24" xfId="0" applyFont="1" applyFill="1" applyBorder="1" applyAlignment="1">
      <alignment vertical="center" wrapText="1"/>
    </xf>
    <xf numFmtId="0" fontId="4" fillId="0" borderId="45" xfId="0" applyFont="1" applyFill="1" applyBorder="1"/>
    <xf numFmtId="0" fontId="8" fillId="0" borderId="0" xfId="0" applyFont="1" applyAlignment="1"/>
    <xf numFmtId="164" fontId="6" fillId="0" borderId="0" xfId="1" applyFont="1" applyAlignment="1">
      <alignment vertical="top"/>
    </xf>
    <xf numFmtId="4" fontId="6" fillId="0" borderId="45" xfId="0" applyNumberFormat="1" applyFont="1" applyBorder="1" applyAlignment="1">
      <alignment vertical="top"/>
    </xf>
    <xf numFmtId="4" fontId="6" fillId="0" borderId="45" xfId="0" applyNumberFormat="1" applyFont="1" applyFill="1" applyBorder="1" applyAlignment="1">
      <alignment vertical="top"/>
    </xf>
    <xf numFmtId="0" fontId="4" fillId="0" borderId="23" xfId="0" quotePrefix="1" applyFont="1" applyFill="1" applyBorder="1"/>
    <xf numFmtId="0" fontId="6" fillId="0" borderId="24" xfId="0" applyFont="1" applyBorder="1"/>
    <xf numFmtId="0" fontId="5" fillId="0" borderId="23" xfId="0" quotePrefix="1" applyFont="1" applyBorder="1"/>
    <xf numFmtId="0" fontId="5" fillId="0" borderId="0" xfId="0" applyFont="1" applyBorder="1"/>
    <xf numFmtId="0" fontId="5" fillId="0" borderId="24" xfId="0" applyFont="1" applyBorder="1"/>
    <xf numFmtId="0" fontId="5" fillId="0" borderId="25" xfId="0" applyFont="1" applyBorder="1"/>
    <xf numFmtId="0" fontId="4" fillId="0" borderId="23" xfId="0" quotePrefix="1" applyFont="1" applyBorder="1"/>
    <xf numFmtId="0" fontId="4" fillId="0" borderId="0" xfId="0" applyFont="1" applyBorder="1"/>
    <xf numFmtId="0" fontId="4" fillId="0" borderId="24" xfId="0" applyFont="1" applyBorder="1"/>
    <xf numFmtId="0" fontId="4" fillId="0" borderId="25" xfId="0" applyFont="1" applyBorder="1"/>
    <xf numFmtId="4" fontId="10" fillId="0" borderId="30" xfId="0" applyNumberFormat="1" applyFont="1" applyFill="1" applyBorder="1" applyAlignment="1">
      <alignment vertical="top"/>
    </xf>
    <xf numFmtId="4" fontId="10" fillId="0" borderId="30" xfId="0" applyNumberFormat="1" applyFont="1" applyBorder="1" applyAlignment="1">
      <alignment vertical="top"/>
    </xf>
    <xf numFmtId="164" fontId="21" fillId="0" borderId="0" xfId="1" applyFont="1" applyFill="1"/>
    <xf numFmtId="0" fontId="2" fillId="0" borderId="0" xfId="0" applyFont="1"/>
    <xf numFmtId="0" fontId="2" fillId="0" borderId="0" xfId="0" applyFont="1" applyFill="1"/>
    <xf numFmtId="0" fontId="5" fillId="0" borderId="0" xfId="0" applyFont="1" applyBorder="1" applyAlignment="1">
      <alignment horizontal="left" wrapText="1"/>
    </xf>
    <xf numFmtId="4" fontId="10" fillId="0" borderId="39" xfId="0" applyNumberFormat="1" applyFont="1" applyFill="1" applyBorder="1" applyAlignment="1">
      <alignment vertical="top"/>
    </xf>
    <xf numFmtId="4" fontId="10" fillId="0" borderId="39" xfId="0" applyNumberFormat="1" applyFont="1" applyBorder="1" applyAlignment="1">
      <alignment vertical="top"/>
    </xf>
    <xf numFmtId="0" fontId="5" fillId="0" borderId="49" xfId="0" quotePrefix="1" applyFont="1" applyBorder="1"/>
    <xf numFmtId="0" fontId="5" fillId="0" borderId="49" xfId="0" applyFont="1" applyFill="1" applyBorder="1"/>
    <xf numFmtId="0" fontId="5" fillId="0" borderId="49" xfId="0" applyFont="1" applyBorder="1"/>
    <xf numFmtId="4" fontId="6" fillId="0" borderId="49" xfId="0" applyNumberFormat="1" applyFont="1" applyBorder="1" applyAlignment="1">
      <alignment vertical="top"/>
    </xf>
    <xf numFmtId="4" fontId="6" fillId="0" borderId="49" xfId="0" applyNumberFormat="1" applyFont="1" applyFill="1" applyBorder="1" applyAlignment="1">
      <alignment vertical="top"/>
    </xf>
    <xf numFmtId="4" fontId="6" fillId="0" borderId="46" xfId="0" applyNumberFormat="1" applyFont="1" applyFill="1" applyBorder="1" applyAlignment="1">
      <alignment vertical="top"/>
    </xf>
    <xf numFmtId="0" fontId="4" fillId="0" borderId="25" xfId="0" applyFont="1" applyBorder="1" applyAlignment="1">
      <alignment vertical="center" wrapText="1"/>
    </xf>
    <xf numFmtId="4" fontId="10" fillId="0" borderId="21" xfId="0" applyNumberFormat="1" applyFont="1" applyBorder="1" applyAlignment="1">
      <alignment vertical="top" wrapText="1"/>
    </xf>
    <xf numFmtId="0" fontId="6" fillId="0" borderId="25" xfId="0" applyFont="1" applyFill="1" applyBorder="1" applyAlignment="1">
      <alignment vertical="top"/>
    </xf>
    <xf numFmtId="0" fontId="4" fillId="0" borderId="24" xfId="0" applyFont="1" applyBorder="1" applyAlignment="1">
      <alignment vertical="center"/>
    </xf>
    <xf numFmtId="0" fontId="4" fillId="3" borderId="23" xfId="0" applyFont="1" applyFill="1" applyBorder="1"/>
    <xf numFmtId="0" fontId="5" fillId="3" borderId="24" xfId="0" applyFont="1" applyFill="1" applyBorder="1"/>
    <xf numFmtId="0" fontId="5" fillId="3" borderId="23" xfId="0" applyFont="1" applyFill="1" applyBorder="1"/>
    <xf numFmtId="164" fontId="4" fillId="0" borderId="0" xfId="3" applyFont="1" applyBorder="1"/>
    <xf numFmtId="0" fontId="21" fillId="0" borderId="24" xfId="0" applyFont="1" applyBorder="1" applyAlignment="1">
      <alignment vertical="center"/>
    </xf>
    <xf numFmtId="0" fontId="10" fillId="0" borderId="25" xfId="0" applyFont="1" applyBorder="1" applyAlignment="1">
      <alignment horizontal="center" vertical="center"/>
    </xf>
    <xf numFmtId="0" fontId="4" fillId="3" borderId="23" xfId="0" applyFont="1" applyFill="1" applyBorder="1" applyAlignment="1"/>
    <xf numFmtId="0" fontId="8" fillId="0" borderId="0" xfId="0" applyFont="1" applyBorder="1" applyAlignment="1">
      <alignment vertical="center"/>
    </xf>
    <xf numFmtId="0" fontId="5" fillId="3" borderId="23" xfId="0" applyFont="1" applyFill="1" applyBorder="1" applyAlignment="1"/>
    <xf numFmtId="0" fontId="4" fillId="3" borderId="0" xfId="0" applyFont="1" applyFill="1" applyBorder="1" applyAlignment="1">
      <alignment horizontal="center"/>
    </xf>
    <xf numFmtId="0" fontId="8" fillId="0" borderId="45" xfId="0" applyFont="1" applyBorder="1" applyAlignment="1">
      <alignment vertical="center"/>
    </xf>
    <xf numFmtId="0" fontId="4" fillId="3" borderId="46" xfId="0" applyFont="1" applyFill="1" applyBorder="1" applyAlignment="1">
      <alignment horizontal="center"/>
    </xf>
    <xf numFmtId="0" fontId="6" fillId="0" borderId="37" xfId="0" applyFont="1" applyBorder="1" applyAlignment="1">
      <alignment horizontal="center" vertical="center"/>
    </xf>
    <xf numFmtId="0" fontId="4" fillId="3" borderId="24" xfId="0" applyFont="1" applyFill="1" applyBorder="1" applyAlignment="1">
      <alignment horizontal="center"/>
    </xf>
    <xf numFmtId="0" fontId="4" fillId="3" borderId="24" xfId="0" applyFont="1" applyFill="1" applyBorder="1"/>
    <xf numFmtId="0" fontId="5" fillId="0" borderId="24" xfId="0" applyFont="1" applyFill="1" applyBorder="1" applyAlignment="1">
      <alignment vertical="top" wrapText="1"/>
    </xf>
    <xf numFmtId="0" fontId="6" fillId="0" borderId="25" xfId="0" applyFont="1" applyFill="1" applyBorder="1" applyAlignment="1">
      <alignment horizontal="center" vertical="top"/>
    </xf>
    <xf numFmtId="0" fontId="0" fillId="0" borderId="0" xfId="0" applyFill="1" applyAlignment="1">
      <alignment vertical="top"/>
    </xf>
    <xf numFmtId="4" fontId="8" fillId="0" borderId="27" xfId="0" applyNumberFormat="1" applyFont="1" applyBorder="1" applyAlignment="1">
      <alignment vertical="top"/>
    </xf>
    <xf numFmtId="4" fontId="21" fillId="0" borderId="31" xfId="0" applyNumberFormat="1" applyFont="1" applyBorder="1" applyAlignment="1">
      <alignment vertical="top"/>
    </xf>
    <xf numFmtId="4" fontId="21" fillId="0" borderId="31" xfId="0" applyNumberFormat="1" applyFont="1" applyFill="1" applyBorder="1" applyAlignment="1">
      <alignment vertical="top"/>
    </xf>
    <xf numFmtId="0" fontId="5" fillId="0" borderId="44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4" fillId="0" borderId="46" xfId="0" applyFont="1" applyFill="1" applyBorder="1" applyAlignment="1">
      <alignment horizontal="left" vertical="center" wrapText="1"/>
    </xf>
    <xf numFmtId="0" fontId="10" fillId="0" borderId="37" xfId="0" applyFont="1" applyFill="1" applyBorder="1" applyAlignment="1">
      <alignment horizontal="center" vertical="center"/>
    </xf>
    <xf numFmtId="4" fontId="21" fillId="0" borderId="37" xfId="0" applyNumberFormat="1" applyFont="1" applyFill="1" applyBorder="1" applyAlignment="1">
      <alignment vertical="top"/>
    </xf>
    <xf numFmtId="0" fontId="10" fillId="0" borderId="0" xfId="0" applyFont="1" applyBorder="1" applyAlignment="1">
      <alignment horizontal="center" vertical="center"/>
    </xf>
    <xf numFmtId="4" fontId="21" fillId="0" borderId="0" xfId="0" applyNumberFormat="1" applyFont="1" applyBorder="1" applyAlignment="1">
      <alignment vertical="top"/>
    </xf>
    <xf numFmtId="0" fontId="8" fillId="0" borderId="22" xfId="0" applyFont="1" applyBorder="1"/>
    <xf numFmtId="0" fontId="6" fillId="0" borderId="22" xfId="0" applyFont="1" applyBorder="1" applyAlignment="1">
      <alignment vertical="top"/>
    </xf>
    <xf numFmtId="0" fontId="6" fillId="0" borderId="22" xfId="0" applyFont="1" applyFill="1" applyBorder="1" applyAlignment="1">
      <alignment vertical="top"/>
    </xf>
    <xf numFmtId="0" fontId="4" fillId="0" borderId="23" xfId="0" applyFont="1" applyFill="1" applyBorder="1" applyAlignment="1">
      <alignment horizontal="left" vertical="center"/>
    </xf>
    <xf numFmtId="0" fontId="4" fillId="0" borderId="25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top" wrapText="1"/>
    </xf>
    <xf numFmtId="164" fontId="6" fillId="0" borderId="25" xfId="3" applyFont="1" applyFill="1" applyBorder="1" applyAlignment="1">
      <alignment vertical="top"/>
    </xf>
    <xf numFmtId="164" fontId="6" fillId="0" borderId="25" xfId="3" applyFont="1" applyBorder="1" applyAlignment="1">
      <alignment vertical="top"/>
    </xf>
    <xf numFmtId="0" fontId="4" fillId="0" borderId="23" xfId="0" applyFont="1" applyBorder="1" applyAlignment="1">
      <alignment horizontal="left" vertical="top" wrapText="1"/>
    </xf>
    <xf numFmtId="0" fontId="5" fillId="0" borderId="25" xfId="0" applyFont="1" applyBorder="1" applyAlignment="1">
      <alignment vertical="top"/>
    </xf>
    <xf numFmtId="164" fontId="8" fillId="0" borderId="25" xfId="3" applyFont="1" applyBorder="1" applyAlignment="1">
      <alignment vertical="top"/>
    </xf>
    <xf numFmtId="164" fontId="8" fillId="0" borderId="27" xfId="3" applyFont="1" applyBorder="1" applyAlignment="1">
      <alignment vertical="top"/>
    </xf>
    <xf numFmtId="164" fontId="6" fillId="0" borderId="27" xfId="3" applyFont="1" applyBorder="1" applyAlignment="1">
      <alignment vertical="top"/>
    </xf>
    <xf numFmtId="0" fontId="4" fillId="0" borderId="0" xfId="0" applyFont="1" applyFill="1" applyBorder="1" applyAlignment="1">
      <alignment horizontal="right" vertical="center" wrapText="1"/>
    </xf>
    <xf numFmtId="164" fontId="10" fillId="0" borderId="0" xfId="3" applyFont="1" applyBorder="1" applyAlignment="1">
      <alignment vertical="top"/>
    </xf>
    <xf numFmtId="164" fontId="10" fillId="0" borderId="0" xfId="3" applyFont="1" applyFill="1" applyBorder="1" applyAlignment="1">
      <alignment vertical="top"/>
    </xf>
    <xf numFmtId="164" fontId="6" fillId="0" borderId="25" xfId="1" applyFont="1" applyBorder="1" applyAlignment="1">
      <alignment vertical="top"/>
    </xf>
    <xf numFmtId="2" fontId="6" fillId="0" borderId="27" xfId="0" applyNumberFormat="1" applyFont="1" applyBorder="1" applyAlignment="1">
      <alignment vertical="top"/>
    </xf>
    <xf numFmtId="164" fontId="6" fillId="0" borderId="27" xfId="1" applyFont="1" applyFill="1" applyBorder="1" applyAlignment="1">
      <alignment vertical="top"/>
    </xf>
    <xf numFmtId="164" fontId="6" fillId="0" borderId="27" xfId="1" applyFont="1" applyBorder="1" applyAlignment="1">
      <alignment vertical="top"/>
    </xf>
    <xf numFmtId="0" fontId="0" fillId="0" borderId="0" xfId="0" applyFont="1" applyAlignment="1">
      <alignment vertical="top"/>
    </xf>
    <xf numFmtId="164" fontId="6" fillId="0" borderId="27" xfId="3" applyFont="1" applyFill="1" applyBorder="1" applyAlignment="1">
      <alignment vertical="top"/>
    </xf>
    <xf numFmtId="0" fontId="4" fillId="0" borderId="45" xfId="0" applyFont="1" applyFill="1" applyBorder="1" applyAlignment="1">
      <alignment horizontal="right" vertical="center" wrapText="1"/>
    </xf>
    <xf numFmtId="0" fontId="0" fillId="0" borderId="0" xfId="0" applyFont="1" applyFill="1" applyAlignment="1">
      <alignment vertical="top"/>
    </xf>
    <xf numFmtId="0" fontId="5" fillId="0" borderId="37" xfId="0" applyFont="1" applyFill="1" applyBorder="1" applyAlignment="1">
      <alignment vertical="center"/>
    </xf>
    <xf numFmtId="0" fontId="4" fillId="0" borderId="0" xfId="0" applyFont="1" applyFill="1"/>
    <xf numFmtId="164" fontId="8" fillId="0" borderId="24" xfId="3" applyFont="1" applyFill="1" applyBorder="1" applyAlignment="1">
      <alignment vertical="top"/>
    </xf>
    <xf numFmtId="164" fontId="6" fillId="0" borderId="24" xfId="3" applyFont="1" applyBorder="1" applyAlignment="1">
      <alignment vertical="top"/>
    </xf>
    <xf numFmtId="164" fontId="6" fillId="0" borderId="37" xfId="3" applyFont="1" applyBorder="1" applyAlignment="1">
      <alignment vertical="top"/>
    </xf>
    <xf numFmtId="0" fontId="5" fillId="0" borderId="23" xfId="0" applyFont="1" applyFill="1" applyBorder="1"/>
    <xf numFmtId="0" fontId="5" fillId="0" borderId="47" xfId="0" applyFont="1" applyFill="1" applyBorder="1"/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center"/>
    </xf>
    <xf numFmtId="0" fontId="5" fillId="0" borderId="44" xfId="0" applyFont="1" applyFill="1" applyBorder="1"/>
    <xf numFmtId="0" fontId="5" fillId="0" borderId="45" xfId="0" applyFont="1" applyFill="1" applyBorder="1"/>
    <xf numFmtId="164" fontId="8" fillId="0" borderId="25" xfId="1" applyFont="1" applyBorder="1" applyAlignment="1">
      <alignment vertical="top"/>
    </xf>
    <xf numFmtId="4" fontId="21" fillId="0" borderId="25" xfId="0" applyNumberFormat="1" applyFont="1" applyFill="1" applyBorder="1" applyAlignment="1">
      <alignment vertical="top"/>
    </xf>
    <xf numFmtId="0" fontId="5" fillId="0" borderId="0" xfId="0" applyFont="1" applyFill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4" fontId="21" fillId="0" borderId="36" xfId="0" applyNumberFormat="1" applyFont="1" applyFill="1" applyBorder="1" applyAlignment="1">
      <alignment vertical="top"/>
    </xf>
    <xf numFmtId="0" fontId="5" fillId="0" borderId="0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 vertical="center"/>
    </xf>
    <xf numFmtId="4" fontId="8" fillId="0" borderId="25" xfId="0" applyNumberFormat="1" applyFont="1" applyFill="1" applyBorder="1" applyAlignment="1">
      <alignment vertical="top"/>
    </xf>
    <xf numFmtId="4" fontId="8" fillId="0" borderId="27" xfId="0" applyNumberFormat="1" applyFont="1" applyFill="1" applyBorder="1" applyAlignment="1">
      <alignment vertical="top"/>
    </xf>
    <xf numFmtId="0" fontId="4" fillId="0" borderId="0" xfId="0" applyFont="1" applyFill="1" applyBorder="1" applyAlignment="1">
      <alignment horizontal="left" vertical="center"/>
    </xf>
    <xf numFmtId="4" fontId="10" fillId="0" borderId="24" xfId="0" applyNumberFormat="1" applyFont="1" applyBorder="1" applyAlignment="1">
      <alignment vertical="top"/>
    </xf>
    <xf numFmtId="0" fontId="5" fillId="0" borderId="44" xfId="0" applyFont="1" applyBorder="1"/>
    <xf numFmtId="0" fontId="5" fillId="0" borderId="45" xfId="0" applyFont="1" applyFill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5" xfId="0" applyFont="1" applyBorder="1"/>
    <xf numFmtId="0" fontId="6" fillId="0" borderId="36" xfId="0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37" xfId="0" applyFont="1" applyBorder="1" applyAlignment="1">
      <alignment vertical="center"/>
    </xf>
    <xf numFmtId="0" fontId="6" fillId="0" borderId="45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4" fontId="5" fillId="0" borderId="37" xfId="0" applyNumberFormat="1" applyFont="1" applyBorder="1" applyAlignment="1">
      <alignment vertical="center"/>
    </xf>
    <xf numFmtId="4" fontId="10" fillId="0" borderId="22" xfId="0" applyNumberFormat="1" applyFont="1" applyBorder="1" applyAlignment="1">
      <alignment vertical="top"/>
    </xf>
    <xf numFmtId="0" fontId="4" fillId="0" borderId="25" xfId="0" applyFont="1" applyBorder="1" applyAlignment="1">
      <alignment horizontal="center"/>
    </xf>
    <xf numFmtId="0" fontId="4" fillId="0" borderId="45" xfId="0" applyFont="1" applyFill="1" applyBorder="1" applyAlignment="1">
      <alignment horizontal="center"/>
    </xf>
    <xf numFmtId="0" fontId="5" fillId="0" borderId="37" xfId="0" applyFont="1" applyBorder="1"/>
    <xf numFmtId="0" fontId="4" fillId="0" borderId="0" xfId="0" applyFont="1" applyFill="1" applyBorder="1" applyAlignment="1">
      <alignment horizontal="center"/>
    </xf>
    <xf numFmtId="0" fontId="0" fillId="0" borderId="0" xfId="0" applyFont="1" applyFill="1" applyAlignment="1"/>
    <xf numFmtId="0" fontId="5" fillId="0" borderId="37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5" fillId="0" borderId="13" xfId="0" applyFont="1" applyFill="1" applyBorder="1" applyAlignment="1"/>
    <xf numFmtId="0" fontId="10" fillId="0" borderId="37" xfId="0" applyFont="1" applyBorder="1" applyAlignment="1">
      <alignment horizontal="center" vertical="center"/>
    </xf>
    <xf numFmtId="0" fontId="23" fillId="3" borderId="0" xfId="0" applyFont="1" applyFill="1" applyBorder="1"/>
    <xf numFmtId="0" fontId="6" fillId="3" borderId="25" xfId="0" applyFont="1" applyFill="1" applyBorder="1" applyAlignment="1">
      <alignment horizontal="left"/>
    </xf>
    <xf numFmtId="0" fontId="5" fillId="4" borderId="0" xfId="0" applyFont="1" applyFill="1" applyBorder="1"/>
    <xf numFmtId="0" fontId="8" fillId="4" borderId="0" xfId="0" applyFont="1" applyFill="1" applyAlignment="1">
      <alignment vertical="center"/>
    </xf>
    <xf numFmtId="0" fontId="5" fillId="4" borderId="0" xfId="0" applyFont="1" applyFill="1" applyBorder="1" applyAlignment="1">
      <alignment horizontal="left" vertical="center" wrapText="1"/>
    </xf>
    <xf numFmtId="0" fontId="6" fillId="4" borderId="25" xfId="0" applyFont="1" applyFill="1" applyBorder="1" applyAlignment="1">
      <alignment horizontal="center" vertical="center"/>
    </xf>
    <xf numFmtId="4" fontId="6" fillId="4" borderId="25" xfId="0" applyNumberFormat="1" applyFont="1" applyFill="1" applyBorder="1" applyAlignment="1">
      <alignment vertical="top"/>
    </xf>
    <xf numFmtId="0" fontId="20" fillId="3" borderId="0" xfId="0" applyFont="1" applyFill="1" applyBorder="1" applyAlignment="1">
      <alignment horizontal="left" vertical="center" wrapText="1"/>
    </xf>
    <xf numFmtId="0" fontId="20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vertical="center"/>
    </xf>
    <xf numFmtId="0" fontId="20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 wrapText="1"/>
    </xf>
    <xf numFmtId="0" fontId="20" fillId="3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4" fontId="7" fillId="0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4" fontId="7" fillId="0" borderId="18" xfId="0" applyNumberFormat="1" applyFont="1" applyFill="1" applyBorder="1" applyAlignment="1">
      <alignment vertical="center"/>
    </xf>
    <xf numFmtId="4" fontId="25" fillId="0" borderId="32" xfId="0" applyNumberFormat="1" applyFont="1" applyFill="1" applyBorder="1" applyAlignment="1">
      <alignment vertical="center"/>
    </xf>
    <xf numFmtId="4" fontId="25" fillId="0" borderId="0" xfId="0" applyNumberFormat="1" applyFont="1" applyFill="1" applyBorder="1" applyAlignment="1">
      <alignment vertical="center"/>
    </xf>
    <xf numFmtId="0" fontId="5" fillId="0" borderId="45" xfId="0" applyFont="1" applyBorder="1" applyAlignment="1">
      <alignment horizontal="left" vertical="center" wrapText="1"/>
    </xf>
    <xf numFmtId="0" fontId="6" fillId="0" borderId="45" xfId="0" applyFont="1" applyBorder="1" applyAlignment="1">
      <alignment horizontal="center" vertical="center"/>
    </xf>
    <xf numFmtId="0" fontId="15" fillId="0" borderId="0" xfId="0" applyFont="1"/>
    <xf numFmtId="0" fontId="4" fillId="0" borderId="0" xfId="0" applyFont="1" applyFill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4" fillId="0" borderId="45" xfId="0" applyFont="1" applyFill="1" applyBorder="1" applyAlignment="1">
      <alignment vertical="center" wrapText="1"/>
    </xf>
    <xf numFmtId="0" fontId="5" fillId="3" borderId="45" xfId="0" applyFont="1" applyFill="1" applyBorder="1" applyAlignment="1">
      <alignment vertical="center" wrapText="1"/>
    </xf>
    <xf numFmtId="0" fontId="4" fillId="0" borderId="45" xfId="0" applyFont="1" applyBorder="1" applyAlignment="1">
      <alignment vertical="center" wrapText="1"/>
    </xf>
    <xf numFmtId="0" fontId="20" fillId="3" borderId="0" xfId="0" applyFont="1" applyFill="1" applyBorder="1" applyAlignment="1"/>
    <xf numFmtId="0" fontId="20" fillId="3" borderId="0" xfId="0" applyFont="1" applyFill="1" applyBorder="1" applyAlignment="1">
      <alignment horizontal="left"/>
    </xf>
    <xf numFmtId="0" fontId="6" fillId="0" borderId="25" xfId="0" applyFont="1" applyBorder="1" applyAlignment="1">
      <alignment horizontal="center" vertical="top"/>
    </xf>
    <xf numFmtId="0" fontId="5" fillId="0" borderId="49" xfId="0" applyFont="1" applyBorder="1" applyAlignment="1">
      <alignment vertical="center" wrapText="1"/>
    </xf>
    <xf numFmtId="0" fontId="6" fillId="0" borderId="22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/>
    </xf>
    <xf numFmtId="0" fontId="5" fillId="3" borderId="0" xfId="0" applyFont="1" applyFill="1" applyBorder="1" applyAlignment="1">
      <alignment vertical="top"/>
    </xf>
    <xf numFmtId="0" fontId="5" fillId="3" borderId="0" xfId="0" applyFont="1" applyFill="1" applyBorder="1" applyAlignment="1">
      <alignment vertical="top" wrapText="1"/>
    </xf>
    <xf numFmtId="0" fontId="5" fillId="3" borderId="0" xfId="0" applyFont="1" applyFill="1" applyBorder="1" applyAlignment="1">
      <alignment horizontal="left" vertical="center"/>
    </xf>
    <xf numFmtId="0" fontId="5" fillId="3" borderId="45" xfId="0" applyFont="1" applyFill="1" applyBorder="1"/>
    <xf numFmtId="0" fontId="5" fillId="0" borderId="46" xfId="0" applyFont="1" applyBorder="1" applyAlignment="1">
      <alignment horizontal="left" vertical="center" wrapText="1"/>
    </xf>
    <xf numFmtId="0" fontId="23" fillId="3" borderId="24" xfId="0" applyFont="1" applyFill="1" applyBorder="1"/>
    <xf numFmtId="0" fontId="18" fillId="0" borderId="23" xfId="0" applyFont="1" applyBorder="1" applyAlignment="1">
      <alignment horizontal="left" vertical="center" wrapText="1"/>
    </xf>
    <xf numFmtId="0" fontId="18" fillId="3" borderId="0" xfId="0" applyFont="1" applyFill="1" applyBorder="1"/>
    <xf numFmtId="0" fontId="18" fillId="0" borderId="0" xfId="0" applyFont="1" applyBorder="1" applyAlignment="1">
      <alignment horizontal="left" vertical="center" wrapText="1"/>
    </xf>
    <xf numFmtId="0" fontId="18" fillId="0" borderId="24" xfId="0" applyFont="1" applyBorder="1" applyAlignment="1">
      <alignment horizontal="left" vertical="center" wrapText="1"/>
    </xf>
    <xf numFmtId="0" fontId="7" fillId="0" borderId="25" xfId="0" applyFont="1" applyBorder="1" applyAlignment="1">
      <alignment horizontal="center" vertical="center"/>
    </xf>
    <xf numFmtId="4" fontId="7" fillId="0" borderId="25" xfId="0" applyNumberFormat="1" applyFont="1" applyBorder="1" applyAlignment="1">
      <alignment vertical="top"/>
    </xf>
    <xf numFmtId="4" fontId="7" fillId="0" borderId="25" xfId="0" applyNumberFormat="1" applyFont="1" applyFill="1" applyBorder="1" applyAlignment="1">
      <alignment vertical="top"/>
    </xf>
    <xf numFmtId="4" fontId="7" fillId="0" borderId="27" xfId="0" applyNumberFormat="1" applyFont="1" applyBorder="1" applyAlignment="1">
      <alignment vertical="top"/>
    </xf>
    <xf numFmtId="4" fontId="7" fillId="0" borderId="27" xfId="0" applyNumberFormat="1" applyFont="1" applyFill="1" applyBorder="1" applyAlignment="1">
      <alignment vertical="top"/>
    </xf>
    <xf numFmtId="0" fontId="18" fillId="0" borderId="0" xfId="0" applyFont="1" applyFill="1" applyBorder="1" applyAlignment="1">
      <alignment vertical="top"/>
    </xf>
    <xf numFmtId="4" fontId="7" fillId="0" borderId="0" xfId="0" applyNumberFormat="1" applyFont="1" applyFill="1" applyBorder="1" applyAlignment="1">
      <alignment vertical="top"/>
    </xf>
    <xf numFmtId="164" fontId="5" fillId="3" borderId="0" xfId="1" applyFont="1" applyFill="1" applyBorder="1" applyAlignment="1">
      <alignment vertical="top"/>
    </xf>
    <xf numFmtId="164" fontId="8" fillId="0" borderId="0" xfId="1" applyFont="1" applyFill="1" applyBorder="1"/>
    <xf numFmtId="164" fontId="8" fillId="5" borderId="0" xfId="1" applyFont="1" applyFill="1"/>
    <xf numFmtId="0" fontId="5" fillId="0" borderId="45" xfId="0" applyFont="1" applyFill="1" applyBorder="1" applyAlignment="1">
      <alignment horizontal="left" vertical="center"/>
    </xf>
    <xf numFmtId="0" fontId="5" fillId="3" borderId="45" xfId="0" applyFont="1" applyFill="1" applyBorder="1" applyAlignment="1">
      <alignment horizontal="left" vertical="center" wrapText="1"/>
    </xf>
    <xf numFmtId="0" fontId="20" fillId="3" borderId="45" xfId="0" applyFont="1" applyFill="1" applyBorder="1" applyAlignment="1">
      <alignment horizontal="left" vertical="center" wrapText="1"/>
    </xf>
    <xf numFmtId="0" fontId="20" fillId="3" borderId="0" xfId="0" applyFont="1" applyFill="1" applyBorder="1" applyAlignment="1">
      <alignment horizontal="left" vertical="center"/>
    </xf>
    <xf numFmtId="0" fontId="5" fillId="3" borderId="0" xfId="0" applyFont="1" applyFill="1"/>
    <xf numFmtId="4" fontId="21" fillId="0" borderId="37" xfId="0" applyNumberFormat="1" applyFont="1" applyBorder="1" applyAlignment="1">
      <alignment vertical="top"/>
    </xf>
    <xf numFmtId="0" fontId="6" fillId="0" borderId="45" xfId="0" applyFont="1" applyBorder="1" applyAlignment="1">
      <alignment vertical="top"/>
    </xf>
    <xf numFmtId="0" fontId="6" fillId="0" borderId="22" xfId="0" applyFont="1" applyBorder="1" applyAlignment="1">
      <alignment vertical="center"/>
    </xf>
    <xf numFmtId="0" fontId="5" fillId="3" borderId="0" xfId="0" applyFont="1" applyFill="1" applyBorder="1" applyAlignment="1">
      <alignment horizontal="center"/>
    </xf>
    <xf numFmtId="0" fontId="6" fillId="0" borderId="44" xfId="0" applyFont="1" applyBorder="1" applyAlignment="1">
      <alignment vertical="center"/>
    </xf>
    <xf numFmtId="4" fontId="21" fillId="0" borderId="36" xfId="0" applyNumberFormat="1" applyFont="1" applyBorder="1" applyAlignment="1">
      <alignment vertical="top"/>
    </xf>
    <xf numFmtId="164" fontId="16" fillId="0" borderId="0" xfId="1" applyFont="1" applyFill="1"/>
    <xf numFmtId="0" fontId="8" fillId="0" borderId="23" xfId="0" applyFont="1" applyBorder="1"/>
    <xf numFmtId="0" fontId="21" fillId="0" borderId="44" xfId="0" applyFont="1" applyBorder="1"/>
    <xf numFmtId="0" fontId="21" fillId="0" borderId="45" xfId="0" applyFont="1" applyBorder="1"/>
    <xf numFmtId="0" fontId="4" fillId="0" borderId="37" xfId="0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8" fillId="0" borderId="44" xfId="0" applyFont="1" applyBorder="1"/>
    <xf numFmtId="0" fontId="8" fillId="0" borderId="45" xfId="0" applyFont="1" applyFill="1" applyBorder="1"/>
    <xf numFmtId="0" fontId="4" fillId="3" borderId="45" xfId="0" applyFont="1" applyFill="1" applyBorder="1"/>
    <xf numFmtId="0" fontId="4" fillId="0" borderId="22" xfId="0" applyFont="1" applyBorder="1" applyAlignment="1">
      <alignment vertical="center"/>
    </xf>
    <xf numFmtId="4" fontId="10" fillId="0" borderId="22" xfId="0" applyNumberFormat="1" applyFont="1" applyFill="1" applyBorder="1" applyAlignment="1">
      <alignment vertical="top"/>
    </xf>
    <xf numFmtId="4" fontId="10" fillId="0" borderId="50" xfId="0" applyNumberFormat="1" applyFont="1" applyBorder="1" applyAlignment="1">
      <alignment vertical="top"/>
    </xf>
    <xf numFmtId="4" fontId="8" fillId="0" borderId="0" xfId="0" applyNumberFormat="1" applyFont="1" applyAlignment="1">
      <alignment vertical="top"/>
    </xf>
    <xf numFmtId="4" fontId="6" fillId="0" borderId="0" xfId="0" applyNumberFormat="1" applyFont="1" applyAlignment="1">
      <alignment horizontal="center" vertical="top"/>
    </xf>
    <xf numFmtId="4" fontId="6" fillId="0" borderId="0" xfId="0" applyNumberFormat="1" applyFont="1" applyFill="1" applyAlignment="1">
      <alignment horizontal="center" vertical="top"/>
    </xf>
    <xf numFmtId="0" fontId="8" fillId="0" borderId="0" xfId="0" applyFont="1" applyAlignment="1">
      <alignment horizontal="right"/>
    </xf>
    <xf numFmtId="43" fontId="6" fillId="0" borderId="0" xfId="0" applyNumberFormat="1" applyFont="1" applyAlignment="1">
      <alignment vertical="top"/>
    </xf>
    <xf numFmtId="164" fontId="12" fillId="0" borderId="0" xfId="1" applyFont="1" applyFill="1"/>
    <xf numFmtId="164" fontId="16" fillId="0" borderId="18" xfId="1" applyFont="1" applyFill="1" applyBorder="1"/>
    <xf numFmtId="4" fontId="27" fillId="0" borderId="18" xfId="0" applyNumberFormat="1" applyFont="1" applyBorder="1" applyAlignment="1">
      <alignment vertical="top"/>
    </xf>
    <xf numFmtId="43" fontId="6" fillId="0" borderId="18" xfId="0" applyNumberFormat="1" applyFont="1" applyBorder="1" applyAlignment="1">
      <alignment vertical="top"/>
    </xf>
    <xf numFmtId="10" fontId="8" fillId="0" borderId="0" xfId="2" applyNumberFormat="1" applyFont="1" applyFill="1"/>
    <xf numFmtId="4" fontId="27" fillId="0" borderId="0" xfId="0" applyNumberFormat="1" applyFont="1" applyAlignment="1">
      <alignment vertical="top"/>
    </xf>
    <xf numFmtId="0" fontId="8" fillId="0" borderId="0" xfId="0" applyFont="1" applyAlignment="1">
      <alignment vertical="top"/>
    </xf>
    <xf numFmtId="0" fontId="27" fillId="0" borderId="0" xfId="1" applyNumberFormat="1" applyFont="1" applyFill="1" applyAlignment="1">
      <alignment horizontal="left" vertical="center"/>
    </xf>
    <xf numFmtId="0" fontId="27" fillId="0" borderId="0" xfId="0" applyFont="1" applyAlignment="1">
      <alignment vertical="top"/>
    </xf>
    <xf numFmtId="164" fontId="0" fillId="0" borderId="0" xfId="1" applyFont="1"/>
    <xf numFmtId="164" fontId="2" fillId="0" borderId="0" xfId="1" applyFont="1"/>
    <xf numFmtId="164" fontId="25" fillId="0" borderId="1" xfId="1" applyFont="1" applyBorder="1" applyAlignment="1">
      <alignment horizontal="center" vertical="center"/>
    </xf>
    <xf numFmtId="164" fontId="7" fillId="0" borderId="1" xfId="1" applyFont="1" applyBorder="1"/>
    <xf numFmtId="164" fontId="25" fillId="0" borderId="1" xfId="1" applyFont="1" applyBorder="1"/>
    <xf numFmtId="164" fontId="25" fillId="0" borderId="1" xfId="1" applyFont="1" applyBorder="1" applyAlignment="1">
      <alignment horizontal="left"/>
    </xf>
    <xf numFmtId="164" fontId="7" fillId="0" borderId="0" xfId="1" applyFont="1"/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44" xfId="0" applyFont="1" applyBorder="1" applyAlignment="1">
      <alignment horizontal="left" vertical="center" wrapText="1"/>
    </xf>
    <xf numFmtId="0" fontId="4" fillId="0" borderId="45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3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45" xfId="0" applyFont="1" applyFill="1" applyBorder="1" applyAlignment="1">
      <alignment horizontal="left" wrapText="1"/>
    </xf>
    <xf numFmtId="0" fontId="5" fillId="3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vertical="top" wrapText="1"/>
    </xf>
    <xf numFmtId="0" fontId="5" fillId="3" borderId="0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/>
    </xf>
    <xf numFmtId="0" fontId="5" fillId="0" borderId="25" xfId="0" applyFont="1" applyBorder="1" applyAlignment="1">
      <alignment horizontal="left" vertical="top" wrapText="1"/>
    </xf>
    <xf numFmtId="0" fontId="4" fillId="3" borderId="0" xfId="0" applyFont="1" applyFill="1" applyBorder="1" applyAlignment="1">
      <alignment horizontal="left"/>
    </xf>
    <xf numFmtId="0" fontId="5" fillId="0" borderId="23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righ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4" fillId="0" borderId="45" xfId="0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0" fontId="5" fillId="0" borderId="38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4" fillId="0" borderId="46" xfId="0" applyFont="1" applyBorder="1" applyAlignment="1">
      <alignment horizontal="left" vertical="center" wrapText="1"/>
    </xf>
    <xf numFmtId="0" fontId="4" fillId="0" borderId="37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/>
    </xf>
    <xf numFmtId="0" fontId="5" fillId="0" borderId="38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164" fontId="10" fillId="2" borderId="5" xfId="3" applyFont="1" applyFill="1" applyBorder="1" applyAlignment="1">
      <alignment horizontal="center" vertical="top" wrapText="1"/>
    </xf>
    <xf numFmtId="164" fontId="10" fillId="2" borderId="7" xfId="3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/>
    </xf>
    <xf numFmtId="164" fontId="6" fillId="0" borderId="1" xfId="1" applyFont="1" applyBorder="1"/>
    <xf numFmtId="164" fontId="10" fillId="2" borderId="8" xfId="3" applyFont="1" applyFill="1" applyBorder="1" applyAlignment="1">
      <alignment horizontal="center" vertical="top" wrapText="1"/>
    </xf>
    <xf numFmtId="0" fontId="12" fillId="0" borderId="54" xfId="0" applyFont="1" applyFill="1" applyBorder="1" applyAlignment="1">
      <alignment horizontal="center" vertical="center" wrapText="1"/>
    </xf>
    <xf numFmtId="164" fontId="6" fillId="0" borderId="54" xfId="3" applyFont="1" applyFill="1" applyBorder="1" applyAlignment="1">
      <alignment horizontal="center" vertical="top" wrapText="1"/>
    </xf>
    <xf numFmtId="164" fontId="6" fillId="0" borderId="55" xfId="3" applyFont="1" applyFill="1" applyBorder="1" applyAlignment="1">
      <alignment horizontal="right" vertical="top" wrapText="1"/>
    </xf>
    <xf numFmtId="0" fontId="5" fillId="0" borderId="40" xfId="0" applyFont="1" applyFill="1" applyBorder="1"/>
    <xf numFmtId="0" fontId="6" fillId="0" borderId="40" xfId="0" applyFont="1" applyBorder="1"/>
    <xf numFmtId="164" fontId="10" fillId="2" borderId="54" xfId="3" applyFont="1" applyFill="1" applyBorder="1" applyAlignment="1">
      <alignment horizontal="center" vertical="top" wrapText="1"/>
    </xf>
    <xf numFmtId="0" fontId="16" fillId="0" borderId="24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8" fillId="0" borderId="45" xfId="0" applyFont="1" applyBorder="1"/>
    <xf numFmtId="0" fontId="5" fillId="0" borderId="0" xfId="0" quotePrefix="1" applyFont="1" applyBorder="1"/>
    <xf numFmtId="0" fontId="4" fillId="0" borderId="32" xfId="0" applyFont="1" applyBorder="1" applyAlignment="1">
      <alignment horizontal="left" vertical="center"/>
    </xf>
    <xf numFmtId="0" fontId="0" fillId="0" borderId="32" xfId="0" applyFill="1" applyBorder="1"/>
    <xf numFmtId="0" fontId="4" fillId="0" borderId="45" xfId="0" applyFont="1" applyFill="1" applyBorder="1" applyAlignment="1">
      <alignment horizontal="left" vertical="center"/>
    </xf>
    <xf numFmtId="0" fontId="0" fillId="0" borderId="45" xfId="0" applyFill="1" applyBorder="1"/>
    <xf numFmtId="164" fontId="11" fillId="0" borderId="31" xfId="3" applyFont="1" applyBorder="1" applyAlignment="1">
      <alignment vertical="top"/>
    </xf>
    <xf numFmtId="164" fontId="21" fillId="0" borderId="31" xfId="3" applyFont="1" applyFill="1" applyBorder="1" applyAlignment="1">
      <alignment vertical="top"/>
    </xf>
    <xf numFmtId="164" fontId="21" fillId="0" borderId="31" xfId="3" applyFont="1" applyBorder="1" applyAlignment="1">
      <alignment vertical="top"/>
    </xf>
    <xf numFmtId="164" fontId="11" fillId="0" borderId="25" xfId="3" applyFont="1" applyBorder="1" applyAlignment="1">
      <alignment vertical="top"/>
    </xf>
    <xf numFmtId="164" fontId="21" fillId="0" borderId="25" xfId="3" applyFont="1" applyFill="1" applyBorder="1" applyAlignment="1">
      <alignment vertical="top"/>
    </xf>
    <xf numFmtId="164" fontId="21" fillId="0" borderId="25" xfId="3" applyFont="1" applyBorder="1" applyAlignment="1">
      <alignment vertical="top"/>
    </xf>
    <xf numFmtId="0" fontId="5" fillId="0" borderId="23" xfId="0" applyFont="1" applyBorder="1" applyAlignment="1">
      <alignment horizontal="center" vertical="center"/>
    </xf>
    <xf numFmtId="164" fontId="10" fillId="0" borderId="33" xfId="3" applyFont="1" applyFill="1" applyBorder="1" applyAlignment="1">
      <alignment vertical="top"/>
    </xf>
    <xf numFmtId="164" fontId="10" fillId="0" borderId="37" xfId="3" applyFont="1" applyBorder="1" applyAlignment="1">
      <alignment vertical="top"/>
    </xf>
    <xf numFmtId="164" fontId="10" fillId="0" borderId="37" xfId="3" applyFont="1" applyFill="1" applyBorder="1" applyAlignment="1">
      <alignment vertical="top"/>
    </xf>
    <xf numFmtId="4" fontId="10" fillId="0" borderId="26" xfId="0" applyNumberFormat="1" applyFont="1" applyFill="1" applyBorder="1" applyAlignment="1">
      <alignment vertical="top"/>
    </xf>
    <xf numFmtId="0" fontId="0" fillId="0" borderId="0" xfId="0" applyFill="1" applyBorder="1"/>
    <xf numFmtId="0" fontId="4" fillId="0" borderId="23" xfId="0" applyFont="1" applyBorder="1" applyAlignment="1">
      <alignment vertical="center" wrapText="1"/>
    </xf>
    <xf numFmtId="0" fontId="0" fillId="0" borderId="24" xfId="0" applyFill="1" applyBorder="1"/>
    <xf numFmtId="0" fontId="4" fillId="0" borderId="24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0" fillId="0" borderId="23" xfId="0" applyFill="1" applyBorder="1"/>
    <xf numFmtId="0" fontId="5" fillId="3" borderId="25" xfId="0" applyFont="1" applyFill="1" applyBorder="1"/>
    <xf numFmtId="0" fontId="5" fillId="3" borderId="25" xfId="0" applyFont="1" applyFill="1" applyBorder="1" applyAlignment="1">
      <alignment vertical="center" wrapText="1"/>
    </xf>
    <xf numFmtId="0" fontId="5" fillId="3" borderId="25" xfId="0" applyFont="1" applyFill="1" applyBorder="1" applyAlignment="1">
      <alignment horizontal="left" vertical="center" wrapText="1"/>
    </xf>
    <xf numFmtId="0" fontId="4" fillId="3" borderId="45" xfId="0" applyFont="1" applyFill="1" applyBorder="1" applyAlignment="1">
      <alignment vertical="center" wrapText="1"/>
    </xf>
    <xf numFmtId="0" fontId="5" fillId="0" borderId="46" xfId="0" applyFont="1" applyBorder="1" applyAlignment="1">
      <alignment vertical="center" wrapText="1"/>
    </xf>
    <xf numFmtId="0" fontId="5" fillId="0" borderId="37" xfId="0" applyFont="1" applyBorder="1" applyAlignment="1">
      <alignment vertical="center" wrapText="1"/>
    </xf>
    <xf numFmtId="164" fontId="26" fillId="0" borderId="15" xfId="3" applyFont="1" applyFill="1" applyBorder="1" applyAlignment="1">
      <alignment horizontal="right"/>
    </xf>
    <xf numFmtId="0" fontId="4" fillId="0" borderId="45" xfId="0" applyFont="1" applyBorder="1" applyAlignment="1">
      <alignment vertical="center"/>
    </xf>
    <xf numFmtId="0" fontId="6" fillId="0" borderId="45" xfId="0" applyFont="1" applyFill="1" applyBorder="1" applyAlignment="1">
      <alignment vertical="top"/>
    </xf>
    <xf numFmtId="0" fontId="21" fillId="0" borderId="23" xfId="0" applyFont="1" applyBorder="1"/>
    <xf numFmtId="0" fontId="4" fillId="0" borderId="29" xfId="0" applyFont="1" applyBorder="1" applyAlignment="1">
      <alignment vertical="center"/>
    </xf>
    <xf numFmtId="0" fontId="21" fillId="0" borderId="0" xfId="0" applyFont="1" applyFill="1" applyBorder="1"/>
    <xf numFmtId="0" fontId="21" fillId="0" borderId="0" xfId="0" applyFont="1" applyBorder="1"/>
    <xf numFmtId="164" fontId="11" fillId="0" borderId="0" xfId="1" applyFont="1" applyFill="1"/>
    <xf numFmtId="0" fontId="21" fillId="0" borderId="45" xfId="0" applyFont="1" applyFill="1" applyBorder="1"/>
    <xf numFmtId="4" fontId="5" fillId="0" borderId="0" xfId="0" applyNumberFormat="1" applyFont="1" applyAlignment="1">
      <alignment vertical="top"/>
    </xf>
    <xf numFmtId="4" fontId="5" fillId="0" borderId="0" xfId="0" applyNumberFormat="1" applyFont="1" applyFill="1" applyAlignment="1">
      <alignment vertical="top"/>
    </xf>
    <xf numFmtId="0" fontId="21" fillId="0" borderId="0" xfId="0" applyFont="1"/>
    <xf numFmtId="4" fontId="4" fillId="0" borderId="0" xfId="0" applyNumberFormat="1" applyFont="1" applyAlignment="1">
      <alignment vertical="top"/>
    </xf>
    <xf numFmtId="164" fontId="28" fillId="0" borderId="0" xfId="1" applyFont="1" applyFill="1"/>
    <xf numFmtId="164" fontId="28" fillId="0" borderId="18" xfId="1" applyFont="1" applyFill="1" applyBorder="1"/>
    <xf numFmtId="0" fontId="10" fillId="0" borderId="0" xfId="0" applyFont="1" applyFill="1" applyBorder="1" applyAlignment="1">
      <alignment vertical="center"/>
    </xf>
    <xf numFmtId="164" fontId="6" fillId="3" borderId="0" xfId="3" applyFont="1" applyFill="1" applyBorder="1"/>
    <xf numFmtId="0" fontId="6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/>
    </xf>
    <xf numFmtId="0" fontId="10" fillId="0" borderId="18" xfId="0" applyFont="1" applyFill="1" applyBorder="1"/>
    <xf numFmtId="0" fontId="4" fillId="0" borderId="0" xfId="0" quotePrefix="1" applyFont="1" applyFill="1" applyBorder="1"/>
    <xf numFmtId="0" fontId="4" fillId="0" borderId="0" xfId="0" quotePrefix="1" applyFont="1" applyBorder="1"/>
    <xf numFmtId="0" fontId="4" fillId="3" borderId="0" xfId="0" applyFont="1" applyFill="1" applyBorder="1" applyAlignment="1"/>
    <xf numFmtId="0" fontId="5" fillId="3" borderId="0" xfId="0" applyFont="1" applyFill="1" applyBorder="1" applyAlignment="1"/>
    <xf numFmtId="0" fontId="5" fillId="0" borderId="32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top" wrapText="1"/>
    </xf>
    <xf numFmtId="0" fontId="5" fillId="0" borderId="25" xfId="0" applyFont="1" applyBorder="1" applyAlignment="1">
      <alignment horizontal="left" vertical="top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top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0" fontId="5" fillId="0" borderId="38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top"/>
    </xf>
    <xf numFmtId="0" fontId="5" fillId="0" borderId="38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/>
    </xf>
    <xf numFmtId="0" fontId="5" fillId="0" borderId="23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4" fillId="0" borderId="45" xfId="0" applyFont="1" applyBorder="1" applyAlignment="1">
      <alignment horizontal="left" vertical="center" wrapText="1"/>
    </xf>
    <xf numFmtId="0" fontId="4" fillId="0" borderId="46" xfId="0" applyFont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left" vertical="center" wrapText="1"/>
    </xf>
    <xf numFmtId="0" fontId="4" fillId="0" borderId="37" xfId="0" applyFont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 wrapText="1"/>
    </xf>
    <xf numFmtId="0" fontId="4" fillId="0" borderId="23" xfId="0" applyFont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top" wrapText="1"/>
    </xf>
    <xf numFmtId="0" fontId="5" fillId="3" borderId="24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top" wrapText="1"/>
    </xf>
    <xf numFmtId="0" fontId="5" fillId="0" borderId="25" xfId="0" applyFont="1" applyBorder="1" applyAlignment="1">
      <alignment horizontal="left" vertical="top" wrapText="1"/>
    </xf>
    <xf numFmtId="0" fontId="5" fillId="0" borderId="23" xfId="0" applyFont="1" applyBorder="1" applyAlignment="1">
      <alignment horizontal="left" vertical="top" wrapText="1"/>
    </xf>
    <xf numFmtId="0" fontId="4" fillId="3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vertical="center" wrapText="1"/>
    </xf>
    <xf numFmtId="0" fontId="5" fillId="3" borderId="45" xfId="0" applyFont="1" applyFill="1" applyBorder="1" applyAlignment="1">
      <alignment horizontal="left" wrapText="1"/>
    </xf>
    <xf numFmtId="0" fontId="4" fillId="0" borderId="0" xfId="0" applyFont="1" applyBorder="1" applyAlignment="1">
      <alignment horizontal="center"/>
    </xf>
    <xf numFmtId="0" fontId="4" fillId="0" borderId="44" xfId="0" applyFont="1" applyBorder="1" applyAlignment="1">
      <alignment horizontal="left" vertical="center" wrapText="1"/>
    </xf>
    <xf numFmtId="0" fontId="5" fillId="0" borderId="0" xfId="0" applyFont="1" applyFill="1" applyAlignment="1">
      <alignment horizontal="left"/>
    </xf>
    <xf numFmtId="0" fontId="5" fillId="0" borderId="24" xfId="0" applyFont="1" applyFill="1" applyBorder="1" applyAlignment="1">
      <alignment vertical="top"/>
    </xf>
    <xf numFmtId="0" fontId="5" fillId="0" borderId="38" xfId="0" applyFont="1" applyFill="1" applyBorder="1" applyAlignment="1">
      <alignment vertical="center"/>
    </xf>
    <xf numFmtId="0" fontId="5" fillId="0" borderId="25" xfId="0" applyFont="1" applyBorder="1" applyAlignment="1">
      <alignment horizontal="left" vertical="center"/>
    </xf>
    <xf numFmtId="0" fontId="20" fillId="3" borderId="25" xfId="0" applyFont="1" applyFill="1" applyBorder="1"/>
    <xf numFmtId="0" fontId="0" fillId="0" borderId="25" xfId="0" applyBorder="1" applyAlignment="1">
      <alignment vertical="center"/>
    </xf>
    <xf numFmtId="0" fontId="5" fillId="0" borderId="25" xfId="0" applyFont="1" applyFill="1" applyBorder="1" applyAlignment="1">
      <alignment vertical="center" wrapText="1"/>
    </xf>
    <xf numFmtId="0" fontId="5" fillId="0" borderId="25" xfId="0" applyFont="1" applyFill="1" applyBorder="1" applyAlignment="1">
      <alignment horizontal="left" vertical="center"/>
    </xf>
    <xf numFmtId="0" fontId="5" fillId="0" borderId="38" xfId="0" applyFont="1" applyBorder="1" applyAlignment="1">
      <alignment vertical="center"/>
    </xf>
    <xf numFmtId="0" fontId="5" fillId="0" borderId="25" xfId="0" applyFont="1" applyBorder="1" applyAlignment="1">
      <alignment vertical="top" wrapText="1"/>
    </xf>
    <xf numFmtId="0" fontId="20" fillId="0" borderId="25" xfId="0" applyFont="1" applyFill="1" applyBorder="1"/>
    <xf numFmtId="0" fontId="5" fillId="0" borderId="38" xfId="0" applyFont="1" applyFill="1" applyBorder="1" applyAlignment="1">
      <alignment horizontal="left" vertical="center" wrapText="1"/>
    </xf>
    <xf numFmtId="0" fontId="6" fillId="0" borderId="33" xfId="0" applyFont="1" applyBorder="1" applyAlignment="1">
      <alignment horizontal="center" vertical="center"/>
    </xf>
    <xf numFmtId="17" fontId="5" fillId="0" borderId="23" xfId="0" applyNumberFormat="1" applyFont="1" applyBorder="1" applyAlignment="1">
      <alignment horizontal="center" vertical="center"/>
    </xf>
    <xf numFmtId="0" fontId="7" fillId="0" borderId="25" xfId="0" applyFont="1" applyFill="1" applyBorder="1" applyAlignment="1">
      <alignment vertical="top"/>
    </xf>
    <xf numFmtId="4" fontId="6" fillId="0" borderId="41" xfId="0" applyNumberFormat="1" applyFont="1" applyBorder="1" applyAlignment="1">
      <alignment vertical="top"/>
    </xf>
    <xf numFmtId="0" fontId="5" fillId="0" borderId="24" xfId="0" applyFont="1" applyFill="1" applyBorder="1" applyAlignment="1"/>
    <xf numFmtId="0" fontId="5" fillId="0" borderId="38" xfId="0" applyFont="1" applyBorder="1" applyAlignment="1">
      <alignment horizontal="left" vertical="center"/>
    </xf>
    <xf numFmtId="0" fontId="5" fillId="0" borderId="25" xfId="0" applyFont="1" applyFill="1" applyBorder="1" applyAlignment="1">
      <alignment horizontal="left" wrapText="1"/>
    </xf>
    <xf numFmtId="0" fontId="8" fillId="0" borderId="25" xfId="0" applyFont="1" applyBorder="1" applyAlignment="1">
      <alignment vertical="center"/>
    </xf>
    <xf numFmtId="0" fontId="5" fillId="5" borderId="23" xfId="0" applyFont="1" applyFill="1" applyBorder="1" applyAlignment="1">
      <alignment horizontal="left" vertical="center" wrapText="1"/>
    </xf>
    <xf numFmtId="0" fontId="5" fillId="5" borderId="0" xfId="0" applyFont="1" applyFill="1" applyBorder="1" applyAlignment="1">
      <alignment horizontal="left" vertical="center" wrapText="1"/>
    </xf>
    <xf numFmtId="0" fontId="5" fillId="5" borderId="0" xfId="0" applyFont="1" applyFill="1" applyBorder="1" applyAlignment="1">
      <alignment horizontal="left" vertical="center"/>
    </xf>
    <xf numFmtId="4" fontId="6" fillId="5" borderId="25" xfId="0" applyNumberFormat="1" applyFont="1" applyFill="1" applyBorder="1" applyAlignment="1">
      <alignment vertical="top"/>
    </xf>
    <xf numFmtId="164" fontId="6" fillId="5" borderId="0" xfId="1" applyFont="1" applyFill="1" applyAlignment="1">
      <alignment vertical="center"/>
    </xf>
    <xf numFmtId="164" fontId="8" fillId="5" borderId="0" xfId="1" applyFont="1" applyFill="1" applyAlignment="1">
      <alignment vertical="center"/>
    </xf>
    <xf numFmtId="0" fontId="0" fillId="5" borderId="0" xfId="0" applyFill="1" applyAlignment="1">
      <alignment vertical="center"/>
    </xf>
    <xf numFmtId="0" fontId="5" fillId="5" borderId="24" xfId="0" applyFont="1" applyFill="1" applyBorder="1" applyAlignment="1">
      <alignment horizontal="left" vertical="center" wrapText="1"/>
    </xf>
    <xf numFmtId="0" fontId="5" fillId="5" borderId="25" xfId="0" applyFont="1" applyFill="1" applyBorder="1" applyAlignment="1">
      <alignment horizontal="center" vertical="center"/>
    </xf>
    <xf numFmtId="0" fontId="0" fillId="5" borderId="0" xfId="0" applyFill="1"/>
    <xf numFmtId="0" fontId="8" fillId="0" borderId="0" xfId="0" applyFont="1" applyFill="1" applyAlignment="1"/>
    <xf numFmtId="0" fontId="5" fillId="0" borderId="24" xfId="0" applyFont="1" applyFill="1" applyBorder="1" applyAlignment="1">
      <alignment horizontal="left"/>
    </xf>
    <xf numFmtId="0" fontId="6" fillId="0" borderId="24" xfId="0" applyFont="1" applyBorder="1" applyAlignment="1">
      <alignment horizontal="center" vertical="center"/>
    </xf>
    <xf numFmtId="0" fontId="5" fillId="0" borderId="24" xfId="0" applyFont="1" applyBorder="1" applyAlignment="1">
      <alignment horizontal="left" vertical="top"/>
    </xf>
    <xf numFmtId="0" fontId="5" fillId="0" borderId="45" xfId="0" applyFont="1" applyBorder="1" applyAlignment="1">
      <alignment vertical="center" wrapText="1"/>
    </xf>
    <xf numFmtId="0" fontId="5" fillId="0" borderId="39" xfId="0" applyFont="1" applyBorder="1" applyAlignment="1">
      <alignment vertical="center"/>
    </xf>
    <xf numFmtId="0" fontId="7" fillId="0" borderId="0" xfId="0" applyFont="1"/>
    <xf numFmtId="0" fontId="24" fillId="0" borderId="0" xfId="0" applyFont="1"/>
    <xf numFmtId="0" fontId="7" fillId="0" borderId="25" xfId="0" applyFont="1" applyBorder="1"/>
    <xf numFmtId="0" fontId="7" fillId="0" borderId="23" xfId="0" applyFont="1" applyBorder="1"/>
    <xf numFmtId="0" fontId="7" fillId="0" borderId="44" xfId="0" applyFont="1" applyBorder="1"/>
    <xf numFmtId="0" fontId="7" fillId="0" borderId="24" xfId="0" applyFont="1" applyBorder="1"/>
    <xf numFmtId="0" fontId="7" fillId="0" borderId="0" xfId="0" applyFont="1" applyBorder="1"/>
    <xf numFmtId="0" fontId="25" fillId="2" borderId="21" xfId="0" applyFont="1" applyFill="1" applyBorder="1" applyAlignment="1">
      <alignment horizontal="center" vertical="center" wrapText="1"/>
    </xf>
    <xf numFmtId="0" fontId="24" fillId="0" borderId="25" xfId="0" applyFont="1" applyBorder="1"/>
    <xf numFmtId="0" fontId="25" fillId="0" borderId="23" xfId="0" applyFont="1" applyBorder="1"/>
    <xf numFmtId="0" fontId="25" fillId="0" borderId="24" xfId="0" applyFont="1" applyBorder="1"/>
    <xf numFmtId="164" fontId="25" fillId="2" borderId="21" xfId="1" applyFont="1" applyFill="1" applyBorder="1" applyAlignment="1">
      <alignment horizontal="center" vertical="center" wrapText="1"/>
    </xf>
    <xf numFmtId="164" fontId="7" fillId="0" borderId="25" xfId="1" applyFont="1" applyBorder="1"/>
    <xf numFmtId="164" fontId="7" fillId="0" borderId="37" xfId="1" applyFont="1" applyBorder="1"/>
    <xf numFmtId="0" fontId="18" fillId="0" borderId="24" xfId="0" applyFont="1" applyBorder="1"/>
    <xf numFmtId="164" fontId="25" fillId="0" borderId="31" xfId="1" applyFont="1" applyBorder="1"/>
    <xf numFmtId="0" fontId="7" fillId="0" borderId="23" xfId="0" applyFont="1" applyBorder="1" applyAlignment="1">
      <alignment vertical="top"/>
    </xf>
    <xf numFmtId="0" fontId="25" fillId="0" borderId="23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164" fontId="25" fillId="0" borderId="31" xfId="1" applyFont="1" applyBorder="1" applyAlignment="1">
      <alignment vertical="center"/>
    </xf>
    <xf numFmtId="0" fontId="2" fillId="0" borderId="0" xfId="0" applyFont="1" applyAlignment="1">
      <alignment vertical="center"/>
    </xf>
    <xf numFmtId="0" fontId="7" fillId="0" borderId="23" xfId="0" applyFont="1" applyBorder="1" applyAlignment="1">
      <alignment vertical="center"/>
    </xf>
    <xf numFmtId="0" fontId="24" fillId="0" borderId="23" xfId="0" applyFont="1" applyBorder="1"/>
    <xf numFmtId="164" fontId="18" fillId="0" borderId="25" xfId="1" applyFont="1" applyBorder="1"/>
    <xf numFmtId="0" fontId="18" fillId="0" borderId="24" xfId="0" applyFont="1" applyFill="1" applyBorder="1" applyAlignment="1">
      <alignment vertical="center"/>
    </xf>
    <xf numFmtId="43" fontId="0" fillId="0" borderId="0" xfId="0" applyNumberFormat="1"/>
    <xf numFmtId="164" fontId="0" fillId="0" borderId="0" xfId="1" applyFont="1" applyAlignment="1">
      <alignment vertical="center"/>
    </xf>
    <xf numFmtId="164" fontId="7" fillId="0" borderId="25" xfId="1" applyFont="1" applyBorder="1" applyAlignment="1">
      <alignment vertical="top"/>
    </xf>
    <xf numFmtId="164" fontId="25" fillId="0" borderId="25" xfId="1" applyFont="1" applyBorder="1"/>
    <xf numFmtId="0" fontId="25" fillId="0" borderId="44" xfId="0" applyFont="1" applyBorder="1"/>
    <xf numFmtId="0" fontId="25" fillId="0" borderId="46" xfId="0" applyFont="1" applyBorder="1"/>
    <xf numFmtId="164" fontId="25" fillId="0" borderId="37" xfId="1" applyFont="1" applyBorder="1"/>
    <xf numFmtId="164" fontId="2" fillId="0" borderId="0" xfId="1" applyFont="1" applyAlignment="1">
      <alignment vertical="center"/>
    </xf>
    <xf numFmtId="164" fontId="17" fillId="0" borderId="0" xfId="1" applyFont="1"/>
    <xf numFmtId="164" fontId="0" fillId="0" borderId="0" xfId="1" applyFont="1" applyAlignment="1">
      <alignment vertical="top"/>
    </xf>
    <xf numFmtId="164" fontId="29" fillId="0" borderId="31" xfId="1" applyFont="1" applyBorder="1"/>
    <xf numFmtId="164" fontId="15" fillId="0" borderId="0" xfId="1" applyFont="1"/>
    <xf numFmtId="164" fontId="6" fillId="0" borderId="0" xfId="1" applyFont="1" applyBorder="1" applyAlignment="1">
      <alignment vertical="top"/>
    </xf>
    <xf numFmtId="164" fontId="26" fillId="0" borderId="15" xfId="1" applyFont="1" applyFill="1" applyBorder="1" applyAlignment="1">
      <alignment horizontal="right"/>
    </xf>
    <xf numFmtId="164" fontId="10" fillId="0" borderId="25" xfId="1" applyFont="1" applyFill="1" applyBorder="1" applyAlignment="1">
      <alignment vertical="top"/>
    </xf>
    <xf numFmtId="164" fontId="15" fillId="0" borderId="0" xfId="1" applyFont="1" applyFill="1"/>
    <xf numFmtId="164" fontId="19" fillId="0" borderId="0" xfId="1" applyFont="1"/>
    <xf numFmtId="164" fontId="6" fillId="0" borderId="0" xfId="1" applyFont="1" applyAlignment="1">
      <alignment vertical="center"/>
    </xf>
    <xf numFmtId="164" fontId="15" fillId="0" borderId="0" xfId="1" applyFont="1" applyAlignment="1">
      <alignment vertical="top"/>
    </xf>
    <xf numFmtId="164" fontId="15" fillId="0" borderId="0" xfId="1" applyFont="1" applyAlignment="1"/>
    <xf numFmtId="164" fontId="8" fillId="0" borderId="0" xfId="1" applyFont="1" applyFill="1" applyAlignment="1">
      <alignment horizontal="center" vertical="center" wrapText="1"/>
    </xf>
    <xf numFmtId="164" fontId="15" fillId="0" borderId="0" xfId="1" applyFont="1" applyAlignment="1">
      <alignment horizontal="center" vertical="center" wrapText="1"/>
    </xf>
    <xf numFmtId="164" fontId="30" fillId="0" borderId="0" xfId="1" applyFont="1" applyFill="1"/>
    <xf numFmtId="164" fontId="29" fillId="0" borderId="37" xfId="1" applyFont="1" applyBorder="1"/>
    <xf numFmtId="164" fontId="7" fillId="0" borderId="31" xfId="1" applyFont="1" applyBorder="1"/>
    <xf numFmtId="164" fontId="25" fillId="2" borderId="1" xfId="1" applyFont="1" applyFill="1" applyBorder="1" applyAlignment="1">
      <alignment horizontal="center" vertical="center"/>
    </xf>
    <xf numFmtId="164" fontId="25" fillId="2" borderId="1" xfId="1" applyFont="1" applyFill="1" applyBorder="1" applyAlignment="1">
      <alignment horizontal="center" vertical="center" wrapText="1"/>
    </xf>
    <xf numFmtId="164" fontId="24" fillId="0" borderId="0" xfId="1" applyFont="1"/>
    <xf numFmtId="164" fontId="25" fillId="2" borderId="21" xfId="1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16" fillId="0" borderId="25" xfId="0" applyFont="1" applyBorder="1"/>
    <xf numFmtId="0" fontId="29" fillId="0" borderId="25" xfId="0" applyFont="1" applyBorder="1" applyAlignment="1">
      <alignment vertical="center"/>
    </xf>
    <xf numFmtId="0" fontId="16" fillId="0" borderId="25" xfId="0" applyFont="1" applyBorder="1" applyAlignment="1">
      <alignment vertical="top"/>
    </xf>
    <xf numFmtId="0" fontId="29" fillId="0" borderId="25" xfId="0" applyFont="1" applyBorder="1"/>
    <xf numFmtId="0" fontId="29" fillId="0" borderId="37" xfId="0" applyFont="1" applyBorder="1"/>
    <xf numFmtId="17" fontId="8" fillId="0" borderId="25" xfId="0" applyNumberFormat="1" applyFont="1" applyBorder="1" applyAlignment="1">
      <alignment horizontal="center" vertical="center"/>
    </xf>
    <xf numFmtId="164" fontId="7" fillId="0" borderId="23" xfId="1" applyFont="1" applyBorder="1" applyAlignment="1">
      <alignment vertical="top" wrapText="1"/>
    </xf>
    <xf numFmtId="164" fontId="7" fillId="0" borderId="23" xfId="1" applyFont="1" applyBorder="1" applyAlignment="1">
      <alignment vertical="top"/>
    </xf>
    <xf numFmtId="164" fontId="7" fillId="0" borderId="23" xfId="1" applyFont="1" applyBorder="1"/>
    <xf numFmtId="164" fontId="25" fillId="0" borderId="23" xfId="1" applyFont="1" applyBorder="1"/>
    <xf numFmtId="164" fontId="25" fillId="0" borderId="23" xfId="1" applyFont="1" applyBorder="1" applyAlignment="1"/>
    <xf numFmtId="164" fontId="7" fillId="0" borderId="29" xfId="1" applyFont="1" applyBorder="1"/>
    <xf numFmtId="164" fontId="25" fillId="0" borderId="28" xfId="1" applyFont="1" applyBorder="1"/>
    <xf numFmtId="164" fontId="25" fillId="0" borderId="34" xfId="1" applyFont="1" applyBorder="1"/>
    <xf numFmtId="164" fontId="7" fillId="0" borderId="27" xfId="1" applyFont="1" applyBorder="1"/>
    <xf numFmtId="164" fontId="25" fillId="0" borderId="36" xfId="1" applyFont="1" applyBorder="1"/>
    <xf numFmtId="164" fontId="25" fillId="2" borderId="47" xfId="1" applyFont="1" applyFill="1" applyBorder="1" applyAlignment="1">
      <alignment horizontal="center" vertical="center"/>
    </xf>
    <xf numFmtId="164" fontId="27" fillId="0" borderId="0" xfId="1" applyFont="1"/>
    <xf numFmtId="9" fontId="7" fillId="0" borderId="1" xfId="2" applyFont="1" applyBorder="1"/>
    <xf numFmtId="164" fontId="10" fillId="0" borderId="1" xfId="1" applyFont="1" applyBorder="1"/>
    <xf numFmtId="9" fontId="25" fillId="0" borderId="1" xfId="2" applyFont="1" applyBorder="1"/>
    <xf numFmtId="164" fontId="25" fillId="6" borderId="1" xfId="1" quotePrefix="1" applyFont="1" applyFill="1" applyBorder="1" applyAlignment="1">
      <alignment horizontal="center" vertical="center" wrapText="1"/>
    </xf>
    <xf numFmtId="164" fontId="25" fillId="6" borderId="1" xfId="1" quotePrefix="1" applyFont="1" applyFill="1" applyBorder="1" applyAlignment="1">
      <alignment horizontal="center" vertical="center"/>
    </xf>
    <xf numFmtId="164" fontId="25" fillId="6" borderId="1" xfId="1" applyFont="1" applyFill="1" applyBorder="1" applyAlignment="1">
      <alignment horizontal="center" vertical="center"/>
    </xf>
    <xf numFmtId="164" fontId="25" fillId="0" borderId="38" xfId="1" applyFont="1" applyBorder="1"/>
    <xf numFmtId="164" fontId="7" fillId="0" borderId="0" xfId="1" applyFont="1" applyBorder="1"/>
    <xf numFmtId="164" fontId="25" fillId="0" borderId="0" xfId="1" applyFont="1" applyBorder="1"/>
    <xf numFmtId="164" fontId="6" fillId="0" borderId="0" xfId="1" applyFont="1" applyBorder="1"/>
    <xf numFmtId="9" fontId="0" fillId="0" borderId="0" xfId="2" applyFont="1"/>
    <xf numFmtId="9" fontId="0" fillId="0" borderId="0" xfId="0" applyNumberFormat="1"/>
    <xf numFmtId="9" fontId="18" fillId="0" borderId="25" xfId="2" applyFont="1" applyBorder="1"/>
    <xf numFmtId="9" fontId="24" fillId="0" borderId="31" xfId="2" applyFont="1" applyBorder="1"/>
    <xf numFmtId="9" fontId="24" fillId="0" borderId="36" xfId="2" applyFont="1" applyBorder="1"/>
    <xf numFmtId="0" fontId="5" fillId="0" borderId="0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9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/>
    </xf>
    <xf numFmtId="164" fontId="10" fillId="2" borderId="8" xfId="3" applyFont="1" applyFill="1" applyBorder="1" applyAlignment="1">
      <alignment horizontal="center" vertical="top" wrapText="1"/>
    </xf>
    <xf numFmtId="164" fontId="10" fillId="2" borderId="5" xfId="3" applyFont="1" applyFill="1" applyBorder="1" applyAlignment="1">
      <alignment horizontal="center" vertical="top" wrapText="1"/>
    </xf>
    <xf numFmtId="164" fontId="10" fillId="2" borderId="7" xfId="3" applyFont="1" applyFill="1" applyBorder="1" applyAlignment="1">
      <alignment horizontal="center" vertical="top" wrapText="1"/>
    </xf>
    <xf numFmtId="164" fontId="10" fillId="2" borderId="54" xfId="3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/>
    </xf>
    <xf numFmtId="0" fontId="5" fillId="0" borderId="38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5" fillId="0" borderId="38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/>
    </xf>
    <xf numFmtId="0" fontId="5" fillId="0" borderId="24" xfId="0" applyFont="1" applyBorder="1" applyAlignment="1">
      <alignment horizontal="left" vertical="top" wrapText="1"/>
    </xf>
    <xf numFmtId="0" fontId="5" fillId="0" borderId="25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/>
    </xf>
    <xf numFmtId="0" fontId="4" fillId="0" borderId="24" xfId="0" applyFont="1" applyFill="1" applyBorder="1" applyAlignment="1">
      <alignment horizontal="left" vertical="center" wrapText="1"/>
    </xf>
    <xf numFmtId="0" fontId="4" fillId="0" borderId="25" xfId="0" applyFont="1" applyFill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0" fontId="5" fillId="0" borderId="38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5" fillId="0" borderId="38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4" fillId="0" borderId="52" xfId="0" applyFont="1" applyFill="1" applyBorder="1" applyAlignment="1">
      <alignment horizontal="left" vertical="center" wrapText="1"/>
    </xf>
    <xf numFmtId="0" fontId="4" fillId="0" borderId="38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4" fillId="0" borderId="53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164" fontId="10" fillId="2" borderId="8" xfId="3" applyFont="1" applyFill="1" applyBorder="1" applyAlignment="1">
      <alignment horizontal="center" vertical="top" wrapText="1"/>
    </xf>
    <xf numFmtId="164" fontId="10" fillId="2" borderId="5" xfId="3" applyFont="1" applyFill="1" applyBorder="1" applyAlignment="1">
      <alignment horizontal="center" vertical="top" wrapText="1"/>
    </xf>
    <xf numFmtId="164" fontId="10" fillId="2" borderId="7" xfId="3" applyFont="1" applyFill="1" applyBorder="1" applyAlignment="1">
      <alignment horizontal="center" vertical="top" wrapText="1"/>
    </xf>
    <xf numFmtId="164" fontId="10" fillId="0" borderId="8" xfId="3" applyFont="1" applyFill="1" applyBorder="1" applyAlignment="1">
      <alignment horizontal="center" vertical="top" wrapText="1"/>
    </xf>
    <xf numFmtId="164" fontId="10" fillId="0" borderId="5" xfId="3" applyFont="1" applyFill="1" applyBorder="1" applyAlignment="1">
      <alignment horizontal="center" vertical="top" wrapText="1"/>
    </xf>
    <xf numFmtId="164" fontId="10" fillId="0" borderId="7" xfId="3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top" wrapText="1"/>
    </xf>
    <xf numFmtId="0" fontId="10" fillId="2" borderId="7" xfId="0" applyFont="1" applyFill="1" applyBorder="1" applyAlignment="1">
      <alignment horizontal="center" vertical="top" wrapText="1"/>
    </xf>
    <xf numFmtId="0" fontId="11" fillId="2" borderId="56" xfId="0" applyFont="1" applyFill="1" applyBorder="1" applyAlignment="1">
      <alignment horizontal="center" vertical="center" wrapText="1"/>
    </xf>
    <xf numFmtId="164" fontId="10" fillId="2" borderId="54" xfId="3" applyFont="1" applyFill="1" applyBorder="1" applyAlignment="1">
      <alignment horizontal="center" vertical="top" wrapText="1"/>
    </xf>
    <xf numFmtId="164" fontId="10" fillId="0" borderId="54" xfId="3" applyFont="1" applyFill="1" applyBorder="1" applyAlignment="1">
      <alignment horizontal="center" vertical="top" wrapText="1"/>
    </xf>
    <xf numFmtId="0" fontId="10" fillId="2" borderId="54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left"/>
    </xf>
    <xf numFmtId="164" fontId="29" fillId="0" borderId="25" xfId="1" applyFont="1" applyBorder="1"/>
    <xf numFmtId="164" fontId="29" fillId="0" borderId="36" xfId="1" applyFont="1" applyBorder="1"/>
    <xf numFmtId="164" fontId="7" fillId="0" borderId="24" xfId="1" applyFont="1" applyBorder="1" applyAlignment="1">
      <alignment vertical="top"/>
    </xf>
    <xf numFmtId="164" fontId="7" fillId="0" borderId="58" xfId="1" applyFont="1" applyBorder="1"/>
    <xf numFmtId="164" fontId="7" fillId="0" borderId="20" xfId="1" applyFont="1" applyBorder="1"/>
    <xf numFmtId="0" fontId="0" fillId="0" borderId="1" xfId="0" applyBorder="1"/>
    <xf numFmtId="0" fontId="0" fillId="0" borderId="1" xfId="0" applyBorder="1" applyAlignment="1">
      <alignment vertical="top"/>
    </xf>
    <xf numFmtId="0" fontId="2" fillId="0" borderId="1" xfId="0" applyFont="1" applyBorder="1"/>
    <xf numFmtId="164" fontId="0" fillId="0" borderId="1" xfId="0" applyNumberFormat="1" applyBorder="1"/>
    <xf numFmtId="164" fontId="2" fillId="0" borderId="1" xfId="0" applyNumberFormat="1" applyFont="1" applyBorder="1"/>
    <xf numFmtId="164" fontId="0" fillId="0" borderId="1" xfId="0" applyNumberFormat="1" applyBorder="1" applyAlignment="1">
      <alignment vertical="top"/>
    </xf>
    <xf numFmtId="0" fontId="21" fillId="0" borderId="0" xfId="0" applyFont="1" applyAlignment="1">
      <alignment vertical="center"/>
    </xf>
    <xf numFmtId="0" fontId="21" fillId="0" borderId="0" xfId="0" applyFont="1" applyFill="1" applyAlignment="1">
      <alignment horizontal="center"/>
    </xf>
    <xf numFmtId="0" fontId="8" fillId="0" borderId="9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/>
    <xf numFmtId="0" fontId="8" fillId="0" borderId="9" xfId="0" applyFont="1" applyFill="1" applyBorder="1"/>
    <xf numFmtId="0" fontId="21" fillId="0" borderId="9" xfId="0" applyFont="1" applyFill="1" applyBorder="1" applyAlignment="1">
      <alignment horizontal="center"/>
    </xf>
    <xf numFmtId="0" fontId="21" fillId="0" borderId="9" xfId="0" applyFont="1" applyFill="1" applyBorder="1"/>
    <xf numFmtId="164" fontId="8" fillId="0" borderId="9" xfId="3" applyFont="1" applyFill="1" applyBorder="1"/>
    <xf numFmtId="0" fontId="21" fillId="0" borderId="9" xfId="0" applyFont="1" applyFill="1" applyBorder="1" applyAlignment="1">
      <alignment vertical="center"/>
    </xf>
    <xf numFmtId="164" fontId="8" fillId="3" borderId="14" xfId="3" applyFont="1" applyFill="1" applyBorder="1"/>
    <xf numFmtId="0" fontId="21" fillId="0" borderId="14" xfId="0" applyFont="1" applyFill="1" applyBorder="1"/>
    <xf numFmtId="0" fontId="8" fillId="0" borderId="14" xfId="0" applyFont="1" applyFill="1" applyBorder="1"/>
    <xf numFmtId="0" fontId="8" fillId="0" borderId="14" xfId="0" applyFont="1" applyFill="1" applyBorder="1" applyAlignment="1">
      <alignment horizontal="left" wrapText="1"/>
    </xf>
    <xf numFmtId="0" fontId="21" fillId="0" borderId="16" xfId="0" applyFont="1" applyFill="1" applyBorder="1" applyAlignment="1">
      <alignment horizontal="left"/>
    </xf>
    <xf numFmtId="0" fontId="8" fillId="0" borderId="14" xfId="0" applyFont="1" applyBorder="1"/>
    <xf numFmtId="0" fontId="21" fillId="0" borderId="17" xfId="0" applyFont="1" applyFill="1" applyBorder="1"/>
    <xf numFmtId="0" fontId="21" fillId="0" borderId="23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38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0" fontId="5" fillId="0" borderId="38" xfId="0" applyFont="1" applyBorder="1" applyAlignment="1">
      <alignment vertical="center" wrapText="1"/>
    </xf>
    <xf numFmtId="0" fontId="21" fillId="0" borderId="23" xfId="0" applyFont="1" applyBorder="1" applyAlignment="1">
      <alignment vertical="center"/>
    </xf>
    <xf numFmtId="0" fontId="8" fillId="0" borderId="0" xfId="0" applyFont="1" applyBorder="1" applyAlignment="1">
      <alignment horizontal="left" vertical="center" wrapText="1"/>
    </xf>
    <xf numFmtId="0" fontId="5" fillId="0" borderId="24" xfId="0" applyFont="1" applyFill="1" applyBorder="1"/>
    <xf numFmtId="0" fontId="5" fillId="0" borderId="24" xfId="0" applyFont="1" applyFill="1" applyBorder="1" applyAlignment="1">
      <alignment wrapText="1"/>
    </xf>
    <xf numFmtId="0" fontId="5" fillId="0" borderId="25" xfId="0" applyFont="1" applyFill="1" applyBorder="1" applyAlignment="1">
      <alignment wrapText="1"/>
    </xf>
    <xf numFmtId="0" fontId="5" fillId="5" borderId="25" xfId="0" applyFont="1" applyFill="1" applyBorder="1" applyAlignment="1">
      <alignment vertical="center" wrapText="1"/>
    </xf>
    <xf numFmtId="0" fontId="16" fillId="0" borderId="23" xfId="0" applyFont="1" applyBorder="1" applyAlignment="1">
      <alignment vertical="center"/>
    </xf>
    <xf numFmtId="0" fontId="4" fillId="0" borderId="39" xfId="0" applyFont="1" applyBorder="1" applyAlignment="1">
      <alignment horizontal="left" vertical="center" wrapText="1"/>
    </xf>
    <xf numFmtId="0" fontId="6" fillId="3" borderId="27" xfId="0" applyFont="1" applyFill="1" applyBorder="1" applyAlignment="1">
      <alignment horizontal="left"/>
    </xf>
    <xf numFmtId="0" fontId="6" fillId="0" borderId="27" xfId="0" applyFont="1" applyBorder="1" applyAlignment="1">
      <alignment vertical="top"/>
    </xf>
    <xf numFmtId="17" fontId="6" fillId="0" borderId="27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164" fontId="6" fillId="0" borderId="25" xfId="0" applyNumberFormat="1" applyFont="1" applyBorder="1" applyAlignment="1">
      <alignment vertical="top"/>
    </xf>
    <xf numFmtId="0" fontId="18" fillId="0" borderId="24" xfId="0" applyFont="1" applyBorder="1" applyAlignment="1">
      <alignment vertical="center"/>
    </xf>
    <xf numFmtId="0" fontId="5" fillId="0" borderId="39" xfId="0" applyFont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5" fillId="0" borderId="0" xfId="0" applyFont="1" applyFill="1" applyAlignment="1"/>
    <xf numFmtId="0" fontId="4" fillId="0" borderId="18" xfId="0" applyFont="1" applyFill="1" applyBorder="1" applyAlignment="1"/>
    <xf numFmtId="0" fontId="5" fillId="0" borderId="45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vertical="top" wrapText="1"/>
    </xf>
    <xf numFmtId="0" fontId="5" fillId="0" borderId="24" xfId="0" applyFont="1" applyFill="1" applyBorder="1" applyAlignment="1">
      <alignment horizontal="left" vertical="top" wrapText="1"/>
    </xf>
    <xf numFmtId="0" fontId="5" fillId="0" borderId="24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/>
    </xf>
    <xf numFmtId="164" fontId="25" fillId="7" borderId="1" xfId="1" applyFont="1" applyFill="1" applyBorder="1" applyAlignment="1">
      <alignment horizontal="center" vertical="center"/>
    </xf>
    <xf numFmtId="43" fontId="31" fillId="0" borderId="1" xfId="0" applyNumberFormat="1" applyFont="1" applyBorder="1"/>
    <xf numFmtId="0" fontId="5" fillId="0" borderId="27" xfId="0" applyFont="1" applyFill="1" applyBorder="1" applyAlignment="1">
      <alignment horizontal="center" vertical="center"/>
    </xf>
    <xf numFmtId="0" fontId="5" fillId="0" borderId="23" xfId="0" applyFont="1" applyBorder="1" applyAlignment="1">
      <alignment vertical="center" wrapText="1"/>
    </xf>
    <xf numFmtId="0" fontId="5" fillId="0" borderId="23" xfId="0" applyFont="1" applyFill="1" applyBorder="1" applyAlignment="1">
      <alignment horizontal="center" vertical="center"/>
    </xf>
    <xf numFmtId="164" fontId="7" fillId="0" borderId="57" xfId="1" applyFont="1" applyBorder="1" applyAlignment="1">
      <alignment vertical="top"/>
    </xf>
    <xf numFmtId="9" fontId="18" fillId="0" borderId="22" xfId="2" applyFont="1" applyBorder="1" applyAlignment="1">
      <alignment vertical="top"/>
    </xf>
    <xf numFmtId="9" fontId="0" fillId="0" borderId="0" xfId="2" applyFont="1" applyAlignment="1">
      <alignment vertical="top"/>
    </xf>
    <xf numFmtId="164" fontId="7" fillId="0" borderId="58" xfId="1" applyFont="1" applyBorder="1" applyAlignment="1">
      <alignment vertical="top"/>
    </xf>
    <xf numFmtId="9" fontId="18" fillId="0" borderId="25" xfId="2" applyFont="1" applyBorder="1" applyAlignment="1">
      <alignment vertical="top"/>
    </xf>
    <xf numFmtId="164" fontId="25" fillId="5" borderId="1" xfId="1" applyFont="1" applyFill="1" applyBorder="1"/>
    <xf numFmtId="164" fontId="29" fillId="7" borderId="1" xfId="1" applyFont="1" applyFill="1" applyBorder="1" applyAlignment="1">
      <alignment horizontal="center" vertical="center"/>
    </xf>
    <xf numFmtId="164" fontId="16" fillId="0" borderId="1" xfId="1" applyFont="1" applyBorder="1" applyAlignment="1">
      <alignment vertical="top"/>
    </xf>
    <xf numFmtId="164" fontId="16" fillId="0" borderId="1" xfId="1" applyFont="1" applyBorder="1"/>
    <xf numFmtId="164" fontId="29" fillId="0" borderId="1" xfId="1" applyFont="1" applyBorder="1"/>
    <xf numFmtId="0" fontId="16" fillId="0" borderId="37" xfId="0" applyFont="1" applyBorder="1"/>
    <xf numFmtId="0" fontId="18" fillId="0" borderId="24" xfId="0" applyFont="1" applyBorder="1" applyAlignment="1">
      <alignment wrapText="1"/>
    </xf>
    <xf numFmtId="0" fontId="5" fillId="0" borderId="23" xfId="0" applyFont="1" applyBorder="1" applyAlignment="1">
      <alignment horizontal="center" vertical="top"/>
    </xf>
    <xf numFmtId="0" fontId="8" fillId="0" borderId="25" xfId="0" applyFont="1" applyBorder="1" applyAlignment="1">
      <alignment horizontal="center" vertical="top"/>
    </xf>
    <xf numFmtId="164" fontId="7" fillId="0" borderId="0" xfId="1" applyFont="1" applyAlignment="1">
      <alignment vertical="top"/>
    </xf>
    <xf numFmtId="164" fontId="7" fillId="0" borderId="0" xfId="1" applyFont="1" applyBorder="1" applyAlignment="1">
      <alignment vertical="top"/>
    </xf>
    <xf numFmtId="0" fontId="7" fillId="0" borderId="44" xfId="0" applyFont="1" applyBorder="1" applyAlignment="1">
      <alignment vertical="top"/>
    </xf>
    <xf numFmtId="0" fontId="5" fillId="0" borderId="45" xfId="0" applyFont="1" applyFill="1" applyBorder="1" applyAlignment="1">
      <alignment vertical="top"/>
    </xf>
    <xf numFmtId="0" fontId="8" fillId="0" borderId="37" xfId="0" applyFont="1" applyBorder="1" applyAlignment="1">
      <alignment horizontal="center" vertical="top"/>
    </xf>
    <xf numFmtId="164" fontId="7" fillId="0" borderId="45" xfId="1" applyFont="1" applyBorder="1" applyAlignment="1">
      <alignment vertical="top"/>
    </xf>
    <xf numFmtId="164" fontId="7" fillId="0" borderId="37" xfId="1" applyFont="1" applyBorder="1" applyAlignment="1">
      <alignment vertical="top"/>
    </xf>
    <xf numFmtId="0" fontId="18" fillId="0" borderId="24" xfId="0" applyFont="1" applyBorder="1" applyAlignment="1">
      <alignment vertical="top"/>
    </xf>
    <xf numFmtId="0" fontId="5" fillId="0" borderId="45" xfId="0" applyFont="1" applyFill="1" applyBorder="1" applyAlignment="1">
      <alignment horizontal="left" vertical="top" wrapText="1"/>
    </xf>
    <xf numFmtId="0" fontId="16" fillId="0" borderId="37" xfId="0" applyFont="1" applyBorder="1" applyAlignment="1">
      <alignment vertical="top"/>
    </xf>
    <xf numFmtId="0" fontId="5" fillId="0" borderId="24" xfId="0" applyFont="1" applyFill="1" applyBorder="1" applyAlignment="1">
      <alignment horizontal="left" vertical="top"/>
    </xf>
    <xf numFmtId="0" fontId="18" fillId="0" borderId="0" xfId="0" applyFont="1" applyAlignment="1">
      <alignment vertical="top"/>
    </xf>
    <xf numFmtId="0" fontId="5" fillId="0" borderId="45" xfId="0" applyFont="1" applyBorder="1" applyAlignment="1">
      <alignment horizontal="left" vertical="top"/>
    </xf>
    <xf numFmtId="0" fontId="7" fillId="0" borderId="46" xfId="0" applyFont="1" applyBorder="1"/>
    <xf numFmtId="164" fontId="25" fillId="2" borderId="1" xfId="1" quotePrefix="1" applyFont="1" applyFill="1" applyBorder="1" applyAlignment="1">
      <alignment horizontal="center" vertical="center" wrapText="1"/>
    </xf>
    <xf numFmtId="164" fontId="25" fillId="2" borderId="1" xfId="1" quotePrefix="1" applyFont="1" applyFill="1" applyBorder="1" applyAlignment="1">
      <alignment horizontal="center" vertical="center"/>
    </xf>
    <xf numFmtId="164" fontId="24" fillId="7" borderId="1" xfId="1" applyFont="1" applyFill="1" applyBorder="1" applyAlignment="1">
      <alignment horizontal="center" vertical="center"/>
    </xf>
    <xf numFmtId="164" fontId="18" fillId="0" borderId="1" xfId="1" applyFont="1" applyBorder="1" applyAlignment="1">
      <alignment vertical="top"/>
    </xf>
    <xf numFmtId="164" fontId="18" fillId="0" borderId="2" xfId="1" applyFont="1" applyBorder="1" applyAlignment="1">
      <alignment vertical="top"/>
    </xf>
    <xf numFmtId="164" fontId="18" fillId="0" borderId="1" xfId="1" applyFont="1" applyBorder="1"/>
    <xf numFmtId="164" fontId="18" fillId="0" borderId="2" xfId="1" applyFont="1" applyBorder="1"/>
    <xf numFmtId="164" fontId="24" fillId="0" borderId="1" xfId="1" applyFont="1" applyBorder="1"/>
    <xf numFmtId="164" fontId="24" fillId="0" borderId="2" xfId="1" applyFont="1" applyBorder="1"/>
    <xf numFmtId="164" fontId="24" fillId="0" borderId="1" xfId="1" applyFont="1" applyBorder="1" applyAlignment="1">
      <alignment horizontal="left"/>
    </xf>
    <xf numFmtId="164" fontId="18" fillId="0" borderId="24" xfId="1" applyFont="1" applyBorder="1"/>
    <xf numFmtId="164" fontId="24" fillId="5" borderId="1" xfId="1" applyFont="1" applyFill="1" applyBorder="1"/>
    <xf numFmtId="164" fontId="24" fillId="2" borderId="1" xfId="1" applyFont="1" applyFill="1" applyBorder="1" applyAlignment="1">
      <alignment horizontal="center" vertical="center"/>
    </xf>
    <xf numFmtId="164" fontId="24" fillId="2" borderId="2" xfId="1" applyFont="1" applyFill="1" applyBorder="1" applyAlignment="1">
      <alignment horizontal="center" vertical="center" wrapText="1"/>
    </xf>
    <xf numFmtId="164" fontId="25" fillId="2" borderId="48" xfId="1" applyFont="1" applyFill="1" applyBorder="1" applyAlignment="1">
      <alignment horizontal="center" vertical="center"/>
    </xf>
    <xf numFmtId="164" fontId="25" fillId="0" borderId="30" xfId="1" applyFont="1" applyBorder="1"/>
    <xf numFmtId="164" fontId="7" fillId="0" borderId="24" xfId="1" applyFont="1" applyBorder="1"/>
    <xf numFmtId="164" fontId="18" fillId="0" borderId="59" xfId="1" applyFont="1" applyBorder="1" applyAlignment="1">
      <alignment vertical="top"/>
    </xf>
    <xf numFmtId="164" fontId="18" fillId="0" borderId="59" xfId="1" applyFont="1" applyBorder="1"/>
    <xf numFmtId="164" fontId="24" fillId="7" borderId="60" xfId="1" applyFont="1" applyFill="1" applyBorder="1" applyAlignment="1">
      <alignment horizontal="center" vertical="center" wrapText="1"/>
    </xf>
    <xf numFmtId="164" fontId="24" fillId="7" borderId="40" xfId="1" applyFont="1" applyFill="1" applyBorder="1" applyAlignment="1">
      <alignment horizontal="center" vertical="center"/>
    </xf>
    <xf numFmtId="164" fontId="32" fillId="7" borderId="1" xfId="1" applyFont="1" applyFill="1" applyBorder="1" applyAlignment="1">
      <alignment horizontal="center" vertical="center"/>
    </xf>
    <xf numFmtId="164" fontId="32" fillId="0" borderId="1" xfId="1" applyFont="1" applyBorder="1"/>
    <xf numFmtId="164" fontId="32" fillId="5" borderId="1" xfId="1" applyFont="1" applyFill="1" applyBorder="1"/>
    <xf numFmtId="0" fontId="33" fillId="0" borderId="0" xfId="0" applyFont="1"/>
    <xf numFmtId="164" fontId="33" fillId="0" borderId="0" xfId="1" applyFont="1"/>
    <xf numFmtId="164" fontId="33" fillId="0" borderId="1" xfId="0" applyNumberFormat="1" applyFont="1" applyBorder="1" applyAlignment="1">
      <alignment vertical="top"/>
    </xf>
    <xf numFmtId="0" fontId="33" fillId="0" borderId="1" xfId="0" applyFont="1" applyBorder="1" applyAlignment="1">
      <alignment vertical="top"/>
    </xf>
    <xf numFmtId="164" fontId="34" fillId="0" borderId="1" xfId="1" applyFont="1" applyBorder="1" applyAlignment="1">
      <alignment vertical="top"/>
    </xf>
    <xf numFmtId="0" fontId="33" fillId="0" borderId="1" xfId="0" applyFont="1" applyBorder="1"/>
    <xf numFmtId="164" fontId="34" fillId="0" borderId="1" xfId="1" applyFont="1" applyBorder="1"/>
    <xf numFmtId="164" fontId="33" fillId="0" borderId="1" xfId="0" applyNumberFormat="1" applyFont="1" applyBorder="1"/>
    <xf numFmtId="164" fontId="35" fillId="0" borderId="1" xfId="0" applyNumberFormat="1" applyFont="1" applyBorder="1"/>
    <xf numFmtId="0" fontId="35" fillId="0" borderId="1" xfId="0" applyFont="1" applyBorder="1"/>
    <xf numFmtId="164" fontId="25" fillId="0" borderId="2" xfId="1" applyFont="1" applyBorder="1"/>
    <xf numFmtId="164" fontId="7" fillId="0" borderId="1" xfId="1" applyFont="1" applyBorder="1" applyAlignment="1">
      <alignment vertical="top"/>
    </xf>
    <xf numFmtId="164" fontId="7" fillId="0" borderId="59" xfId="1" applyFont="1" applyBorder="1"/>
    <xf numFmtId="164" fontId="7" fillId="0" borderId="2" xfId="1" applyFont="1" applyBorder="1"/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left" vertical="center" wrapText="1"/>
    </xf>
    <xf numFmtId="0" fontId="5" fillId="0" borderId="38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wrapText="1"/>
    </xf>
    <xf numFmtId="0" fontId="5" fillId="0" borderId="23" xfId="0" applyFont="1" applyBorder="1" applyAlignment="1">
      <alignment horizontal="left" vertical="center" wrapText="1"/>
    </xf>
    <xf numFmtId="0" fontId="10" fillId="2" borderId="54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top" wrapText="1"/>
    </xf>
    <xf numFmtId="0" fontId="10" fillId="2" borderId="7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0" fontId="5" fillId="0" borderId="38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wrapText="1"/>
    </xf>
    <xf numFmtId="0" fontId="4" fillId="0" borderId="0" xfId="0" applyFont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0" borderId="23" xfId="0" applyFont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top" wrapText="1"/>
    </xf>
    <xf numFmtId="0" fontId="5" fillId="3" borderId="24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top" wrapText="1"/>
    </xf>
    <xf numFmtId="0" fontId="4" fillId="2" borderId="48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top" wrapText="1"/>
    </xf>
    <xf numFmtId="0" fontId="5" fillId="0" borderId="23" xfId="0" applyFont="1" applyBorder="1" applyAlignment="1">
      <alignment horizontal="left" vertical="top" wrapText="1"/>
    </xf>
    <xf numFmtId="0" fontId="4" fillId="0" borderId="23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/>
    </xf>
    <xf numFmtId="0" fontId="4" fillId="0" borderId="49" xfId="0" applyFont="1" applyBorder="1" applyAlignment="1">
      <alignment horizontal="left" vertical="center" wrapText="1"/>
    </xf>
    <xf numFmtId="0" fontId="4" fillId="3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left"/>
    </xf>
    <xf numFmtId="0" fontId="5" fillId="0" borderId="24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vertical="center" wrapText="1"/>
    </xf>
    <xf numFmtId="0" fontId="8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  <xf numFmtId="0" fontId="5" fillId="0" borderId="0" xfId="0" applyFont="1" applyFill="1" applyAlignment="1">
      <alignment horizontal="left"/>
    </xf>
    <xf numFmtId="0" fontId="4" fillId="0" borderId="44" xfId="0" applyFont="1" applyBorder="1" applyAlignment="1">
      <alignment horizontal="left" vertical="center" wrapText="1"/>
    </xf>
    <xf numFmtId="0" fontId="4" fillId="0" borderId="45" xfId="0" applyFont="1" applyBorder="1" applyAlignment="1">
      <alignment horizontal="left" vertical="center" wrapText="1"/>
    </xf>
    <xf numFmtId="2" fontId="7" fillId="0" borderId="1" xfId="1" applyNumberFormat="1" applyFont="1" applyBorder="1" applyAlignment="1">
      <alignment vertical="top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/>
    </xf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/>
    </xf>
    <xf numFmtId="0" fontId="5" fillId="0" borderId="23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wrapText="1"/>
    </xf>
    <xf numFmtId="0" fontId="4" fillId="0" borderId="0" xfId="0" applyFont="1" applyAlignment="1">
      <alignment horizontal="center" vertical="center"/>
    </xf>
    <xf numFmtId="0" fontId="4" fillId="2" borderId="4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top" wrapText="1"/>
    </xf>
    <xf numFmtId="0" fontId="5" fillId="3" borderId="0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/>
    </xf>
    <xf numFmtId="0" fontId="5" fillId="0" borderId="24" xfId="0" applyFont="1" applyBorder="1" applyAlignment="1">
      <alignment horizontal="left" vertical="top" wrapText="1"/>
    </xf>
    <xf numFmtId="0" fontId="4" fillId="3" borderId="0" xfId="0" applyFont="1" applyFill="1" applyBorder="1" applyAlignment="1">
      <alignment horizontal="left"/>
    </xf>
    <xf numFmtId="0" fontId="4" fillId="2" borderId="21" xfId="0" applyFont="1" applyFill="1" applyBorder="1" applyAlignment="1">
      <alignment horizontal="center" vertical="center" wrapText="1"/>
    </xf>
    <xf numFmtId="0" fontId="4" fillId="0" borderId="49" xfId="0" applyFont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/>
    </xf>
    <xf numFmtId="0" fontId="4" fillId="0" borderId="25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0" fontId="4" fillId="0" borderId="0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/>
    </xf>
    <xf numFmtId="0" fontId="4" fillId="0" borderId="44" xfId="0" applyFont="1" applyBorder="1" applyAlignment="1">
      <alignment horizontal="left" vertical="center" wrapText="1"/>
    </xf>
    <xf numFmtId="0" fontId="4" fillId="0" borderId="45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12" fillId="0" borderId="64" xfId="0" applyFont="1" applyFill="1" applyBorder="1" applyAlignment="1">
      <alignment horizontal="center" vertical="center" wrapText="1"/>
    </xf>
    <xf numFmtId="164" fontId="6" fillId="0" borderId="65" xfId="3" applyFont="1" applyFill="1" applyBorder="1" applyAlignment="1">
      <alignment horizontal="right" vertical="top" wrapText="1"/>
    </xf>
    <xf numFmtId="0" fontId="5" fillId="0" borderId="66" xfId="0" applyFont="1" applyFill="1" applyBorder="1"/>
    <xf numFmtId="0" fontId="6" fillId="0" borderId="66" xfId="0" applyFont="1" applyBorder="1"/>
    <xf numFmtId="0" fontId="5" fillId="0" borderId="21" xfId="0" applyFont="1" applyBorder="1" applyAlignment="1">
      <alignment vertical="center"/>
    </xf>
    <xf numFmtId="164" fontId="8" fillId="0" borderId="0" xfId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4" fontId="36" fillId="0" borderId="25" xfId="0" applyNumberFormat="1" applyFont="1" applyFill="1" applyBorder="1" applyAlignment="1">
      <alignment vertical="top"/>
    </xf>
    <xf numFmtId="0" fontId="15" fillId="0" borderId="0" xfId="0" applyFont="1" applyAlignment="1">
      <alignment vertical="top"/>
    </xf>
    <xf numFmtId="4" fontId="36" fillId="0" borderId="25" xfId="0" applyNumberFormat="1" applyFont="1" applyBorder="1" applyAlignment="1">
      <alignment vertical="top"/>
    </xf>
    <xf numFmtId="4" fontId="10" fillId="0" borderId="67" xfId="0" applyNumberFormat="1" applyFont="1" applyFill="1" applyBorder="1" applyAlignment="1">
      <alignment vertical="top"/>
    </xf>
    <xf numFmtId="4" fontId="10" fillId="0" borderId="67" xfId="0" applyNumberFormat="1" applyFont="1" applyBorder="1" applyAlignment="1">
      <alignment vertical="top"/>
    </xf>
    <xf numFmtId="0" fontId="5" fillId="0" borderId="26" xfId="0" applyFont="1" applyBorder="1" applyAlignment="1">
      <alignment vertical="center"/>
    </xf>
    <xf numFmtId="4" fontId="6" fillId="0" borderId="67" xfId="0" applyNumberFormat="1" applyFont="1" applyBorder="1" applyAlignment="1">
      <alignment vertical="top"/>
    </xf>
    <xf numFmtId="4" fontId="6" fillId="0" borderId="67" xfId="0" applyNumberFormat="1" applyFont="1" applyFill="1" applyBorder="1" applyAlignment="1">
      <alignment vertical="top"/>
    </xf>
    <xf numFmtId="0" fontId="10" fillId="0" borderId="0" xfId="0" applyFont="1" applyBorder="1" applyAlignment="1">
      <alignment vertical="top"/>
    </xf>
    <xf numFmtId="0" fontId="6" fillId="0" borderId="44" xfId="0" applyFont="1" applyBorder="1" applyAlignment="1">
      <alignment horizontal="center" vertical="center"/>
    </xf>
    <xf numFmtId="0" fontId="5" fillId="0" borderId="37" xfId="0" applyFont="1" applyBorder="1" applyAlignment="1">
      <alignment vertical="center"/>
    </xf>
    <xf numFmtId="0" fontId="5" fillId="0" borderId="18" xfId="0" applyFont="1" applyFill="1" applyBorder="1" applyAlignment="1">
      <alignment vertical="center"/>
    </xf>
    <xf numFmtId="0" fontId="5" fillId="0" borderId="18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15" fillId="0" borderId="0" xfId="0" applyFont="1" applyFill="1" applyAlignment="1">
      <alignment vertical="top"/>
    </xf>
    <xf numFmtId="4" fontId="36" fillId="0" borderId="41" xfId="0" applyNumberFormat="1" applyFont="1" applyFill="1" applyBorder="1" applyAlignment="1">
      <alignment vertical="top"/>
    </xf>
    <xf numFmtId="0" fontId="4" fillId="0" borderId="23" xfId="0" applyFont="1" applyBorder="1"/>
    <xf numFmtId="0" fontId="20" fillId="3" borderId="18" xfId="0" applyFont="1" applyFill="1" applyBorder="1"/>
    <xf numFmtId="0" fontId="15" fillId="0" borderId="0" xfId="0" applyFont="1" applyAlignment="1"/>
    <xf numFmtId="4" fontId="10" fillId="0" borderId="21" xfId="0" applyNumberFormat="1" applyFont="1" applyBorder="1" applyAlignment="1">
      <alignment vertical="top"/>
    </xf>
    <xf numFmtId="0" fontId="5" fillId="0" borderId="23" xfId="0" applyFont="1" applyFill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6" fillId="0" borderId="24" xfId="0" applyFont="1" applyBorder="1" applyAlignment="1">
      <alignment horizontal="center" vertical="top"/>
    </xf>
    <xf numFmtId="0" fontId="5" fillId="0" borderId="69" xfId="0" applyFont="1" applyBorder="1" applyAlignment="1">
      <alignment horizontal="left" vertical="center" wrapText="1"/>
    </xf>
    <xf numFmtId="0" fontId="6" fillId="0" borderId="69" xfId="0" applyFont="1" applyBorder="1" applyAlignment="1">
      <alignment horizontal="center" vertical="center"/>
    </xf>
    <xf numFmtId="0" fontId="0" fillId="0" borderId="25" xfId="0" applyFill="1" applyBorder="1"/>
    <xf numFmtId="0" fontId="0" fillId="0" borderId="68" xfId="0" applyFill="1" applyBorder="1"/>
    <xf numFmtId="0" fontId="5" fillId="0" borderId="68" xfId="0" applyFont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center" wrapText="1"/>
    </xf>
    <xf numFmtId="0" fontId="4" fillId="0" borderId="68" xfId="0" applyFont="1" applyBorder="1" applyAlignment="1">
      <alignment horizontal="left" vertical="center" wrapText="1"/>
    </xf>
    <xf numFmtId="0" fontId="8" fillId="0" borderId="0" xfId="0" applyFont="1" applyFill="1" applyAlignment="1">
      <alignment vertical="top"/>
    </xf>
    <xf numFmtId="0" fontId="5" fillId="0" borderId="49" xfId="0" applyFont="1" applyBorder="1" applyAlignment="1">
      <alignment horizontal="left" vertical="center" wrapText="1"/>
    </xf>
    <xf numFmtId="4" fontId="10" fillId="0" borderId="49" xfId="0" applyNumberFormat="1" applyFont="1" applyBorder="1" applyAlignment="1">
      <alignment vertical="top"/>
    </xf>
    <xf numFmtId="4" fontId="10" fillId="0" borderId="49" xfId="0" applyNumberFormat="1" applyFont="1" applyFill="1" applyBorder="1" applyAlignment="1">
      <alignment vertical="top"/>
    </xf>
    <xf numFmtId="0" fontId="5" fillId="3" borderId="38" xfId="0" applyFont="1" applyFill="1" applyBorder="1" applyAlignment="1"/>
    <xf numFmtId="0" fontId="6" fillId="0" borderId="67" xfId="0" applyFont="1" applyBorder="1" applyAlignment="1">
      <alignment horizontal="center" vertical="center"/>
    </xf>
    <xf numFmtId="0" fontId="6" fillId="0" borderId="44" xfId="0" applyFont="1" applyBorder="1"/>
    <xf numFmtId="164" fontId="8" fillId="0" borderId="0" xfId="1" applyFont="1" applyAlignment="1">
      <alignment vertical="top"/>
    </xf>
    <xf numFmtId="0" fontId="5" fillId="0" borderId="23" xfId="0" quotePrefix="1" applyFont="1" applyBorder="1" applyAlignment="1">
      <alignment vertical="top"/>
    </xf>
    <xf numFmtId="0" fontId="5" fillId="0" borderId="44" xfId="0" quotePrefix="1" applyFont="1" applyBorder="1"/>
    <xf numFmtId="0" fontId="5" fillId="0" borderId="45" xfId="0" applyFont="1" applyFill="1" applyBorder="1" applyAlignment="1">
      <alignment horizontal="left"/>
    </xf>
    <xf numFmtId="0" fontId="5" fillId="0" borderId="45" xfId="0" applyFont="1" applyBorder="1" applyAlignment="1">
      <alignment horizontal="left" wrapText="1"/>
    </xf>
    <xf numFmtId="0" fontId="5" fillId="0" borderId="46" xfId="0" applyFont="1" applyBorder="1"/>
    <xf numFmtId="0" fontId="5" fillId="0" borderId="23" xfId="0" quotePrefix="1" applyFont="1" applyFill="1" applyBorder="1"/>
    <xf numFmtId="0" fontId="5" fillId="0" borderId="25" xfId="0" applyFont="1" applyFill="1" applyBorder="1"/>
    <xf numFmtId="0" fontId="5" fillId="0" borderId="27" xfId="0" applyFont="1" applyBorder="1"/>
    <xf numFmtId="0" fontId="2" fillId="0" borderId="0" xfId="0" applyFont="1" applyFill="1" applyBorder="1"/>
    <xf numFmtId="4" fontId="10" fillId="0" borderId="37" xfId="0" applyNumberFormat="1" applyFont="1" applyFill="1" applyBorder="1" applyAlignment="1">
      <alignment vertical="top" wrapText="1"/>
    </xf>
    <xf numFmtId="4" fontId="10" fillId="0" borderId="24" xfId="0" applyNumberFormat="1" applyFont="1" applyBorder="1" applyAlignment="1">
      <alignment vertical="top" wrapText="1"/>
    </xf>
    <xf numFmtId="4" fontId="10" fillId="0" borderId="24" xfId="0" applyNumberFormat="1" applyFont="1" applyFill="1" applyBorder="1" applyAlignment="1">
      <alignment vertical="top" wrapText="1"/>
    </xf>
    <xf numFmtId="0" fontId="5" fillId="3" borderId="24" xfId="0" applyFont="1" applyFill="1" applyBorder="1" applyAlignment="1">
      <alignment vertical="top"/>
    </xf>
    <xf numFmtId="0" fontId="8" fillId="0" borderId="0" xfId="0" applyFont="1" applyBorder="1" applyAlignment="1">
      <alignment vertical="top"/>
    </xf>
    <xf numFmtId="0" fontId="4" fillId="0" borderId="68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10" fillId="0" borderId="31" xfId="0" applyFont="1" applyBorder="1" applyAlignment="1">
      <alignment horizontal="center" vertical="center"/>
    </xf>
    <xf numFmtId="0" fontId="5" fillId="0" borderId="48" xfId="0" applyFont="1" applyBorder="1" applyAlignment="1">
      <alignment vertical="center"/>
    </xf>
    <xf numFmtId="0" fontId="20" fillId="0" borderId="23" xfId="0" applyFont="1" applyFill="1" applyBorder="1" applyAlignment="1">
      <alignment horizontal="left" vertical="top" textRotation="255"/>
    </xf>
    <xf numFmtId="0" fontId="20" fillId="0" borderId="23" xfId="0" applyFont="1" applyFill="1" applyBorder="1" applyAlignment="1">
      <alignment horizontal="left" vertical="center"/>
    </xf>
    <xf numFmtId="0" fontId="5" fillId="0" borderId="44" xfId="0" applyFont="1" applyFill="1" applyBorder="1" applyAlignment="1">
      <alignment horizontal="left" vertical="center"/>
    </xf>
    <xf numFmtId="0" fontId="5" fillId="0" borderId="45" xfId="0" applyFont="1" applyFill="1" applyBorder="1" applyAlignment="1">
      <alignment horizontal="left" vertical="center" wrapText="1"/>
    </xf>
    <xf numFmtId="0" fontId="10" fillId="0" borderId="45" xfId="0" applyFont="1" applyBorder="1" applyAlignment="1">
      <alignment horizontal="center" vertical="center"/>
    </xf>
    <xf numFmtId="164" fontId="11" fillId="0" borderId="37" xfId="3" applyFont="1" applyBorder="1" applyAlignment="1">
      <alignment vertical="top"/>
    </xf>
    <xf numFmtId="164" fontId="21" fillId="0" borderId="37" xfId="3" applyFont="1" applyBorder="1" applyAlignment="1">
      <alignment vertical="top"/>
    </xf>
    <xf numFmtId="164" fontId="21" fillId="0" borderId="37" xfId="3" applyFont="1" applyFill="1" applyBorder="1" applyAlignment="1">
      <alignment vertical="top"/>
    </xf>
    <xf numFmtId="164" fontId="11" fillId="0" borderId="0" xfId="3" applyFont="1" applyBorder="1" applyAlignment="1">
      <alignment vertical="top"/>
    </xf>
    <xf numFmtId="164" fontId="21" fillId="0" borderId="0" xfId="3" applyFont="1" applyBorder="1" applyAlignment="1">
      <alignment vertical="top"/>
    </xf>
    <xf numFmtId="164" fontId="21" fillId="0" borderId="0" xfId="3" applyFont="1" applyFill="1" applyBorder="1" applyAlignment="1">
      <alignment vertical="top"/>
    </xf>
    <xf numFmtId="164" fontId="8" fillId="0" borderId="25" xfId="3" applyFont="1" applyFill="1" applyBorder="1" applyAlignment="1">
      <alignment vertical="top"/>
    </xf>
    <xf numFmtId="164" fontId="11" fillId="0" borderId="25" xfId="3" applyFont="1" applyFill="1" applyBorder="1" applyAlignment="1">
      <alignment vertical="top"/>
    </xf>
    <xf numFmtId="0" fontId="5" fillId="0" borderId="45" xfId="0" applyFont="1" applyBorder="1" applyAlignment="1">
      <alignment horizontal="left" vertical="center" wrapText="1"/>
    </xf>
    <xf numFmtId="0" fontId="4" fillId="0" borderId="45" xfId="0" applyFont="1" applyBorder="1" applyAlignment="1">
      <alignment horizontal="left" vertical="center"/>
    </xf>
    <xf numFmtId="0" fontId="4" fillId="0" borderId="46" xfId="0" applyFont="1" applyBorder="1" applyAlignment="1">
      <alignment horizontal="left" vertical="center"/>
    </xf>
    <xf numFmtId="0" fontId="4" fillId="0" borderId="0" xfId="0" applyFont="1" applyBorder="1" applyAlignment="1">
      <alignment horizontal="right"/>
    </xf>
    <xf numFmtId="0" fontId="5" fillId="0" borderId="22" xfId="0" applyFont="1" applyBorder="1"/>
    <xf numFmtId="0" fontId="5" fillId="0" borderId="37" xfId="0" applyFont="1" applyFill="1" applyBorder="1"/>
    <xf numFmtId="0" fontId="4" fillId="0" borderId="23" xfId="0" applyFont="1" applyBorder="1" applyAlignment="1">
      <alignment horizontal="left"/>
    </xf>
    <xf numFmtId="0" fontId="12" fillId="0" borderId="23" xfId="0" applyFont="1" applyBorder="1" applyAlignment="1">
      <alignment horizontal="left" vertical="top"/>
    </xf>
    <xf numFmtId="0" fontId="5" fillId="0" borderId="0" xfId="0" applyFont="1" applyBorder="1" applyAlignment="1">
      <alignment horizontal="center" vertical="top"/>
    </xf>
    <xf numFmtId="0" fontId="5" fillId="0" borderId="23" xfId="0" applyFont="1" applyBorder="1" applyAlignment="1">
      <alignment vertical="top"/>
    </xf>
    <xf numFmtId="0" fontId="4" fillId="0" borderId="23" xfId="0" applyFont="1" applyBorder="1" applyAlignment="1">
      <alignment vertical="top"/>
    </xf>
    <xf numFmtId="0" fontId="2" fillId="0" borderId="0" xfId="0" applyFont="1" applyBorder="1" applyAlignment="1">
      <alignment vertical="top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center" vertical="top"/>
    </xf>
    <xf numFmtId="0" fontId="8" fillId="0" borderId="23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left" vertical="top"/>
    </xf>
    <xf numFmtId="0" fontId="10" fillId="0" borderId="23" xfId="0" applyFont="1" applyBorder="1" applyAlignment="1">
      <alignment horizontal="right" vertical="top" wrapText="1"/>
    </xf>
    <xf numFmtId="164" fontId="21" fillId="0" borderId="0" xfId="1" applyFont="1" applyFill="1" applyAlignment="1">
      <alignment vertical="top"/>
    </xf>
    <xf numFmtId="0" fontId="2" fillId="0" borderId="0" xfId="0" applyFont="1" applyAlignment="1">
      <alignment vertical="top"/>
    </xf>
    <xf numFmtId="0" fontId="6" fillId="0" borderId="23" xfId="0" applyFont="1" applyBorder="1" applyAlignment="1">
      <alignment vertical="center"/>
    </xf>
    <xf numFmtId="4" fontId="36" fillId="0" borderId="27" xfId="0" applyNumberFormat="1" applyFont="1" applyBorder="1" applyAlignment="1">
      <alignment vertical="top"/>
    </xf>
    <xf numFmtId="4" fontId="36" fillId="5" borderId="27" xfId="0" applyNumberFormat="1" applyFont="1" applyFill="1" applyBorder="1" applyAlignment="1">
      <alignment vertical="top"/>
    </xf>
    <xf numFmtId="4" fontId="5" fillId="0" borderId="25" xfId="0" applyNumberFormat="1" applyFont="1" applyBorder="1" applyAlignment="1">
      <alignment vertical="center"/>
    </xf>
    <xf numFmtId="0" fontId="5" fillId="0" borderId="46" xfId="0" applyFont="1" applyFill="1" applyBorder="1" applyAlignment="1">
      <alignment horizontal="left" vertical="center" wrapText="1"/>
    </xf>
    <xf numFmtId="0" fontId="6" fillId="0" borderId="37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4" fontId="36" fillId="0" borderId="27" xfId="0" applyNumberFormat="1" applyFont="1" applyFill="1" applyBorder="1" applyAlignment="1">
      <alignment vertical="top"/>
    </xf>
    <xf numFmtId="0" fontId="5" fillId="0" borderId="45" xfId="0" applyFont="1" applyFill="1" applyBorder="1" applyAlignment="1">
      <alignment vertical="center" wrapText="1"/>
    </xf>
    <xf numFmtId="4" fontId="6" fillId="0" borderId="36" xfId="0" applyNumberFormat="1" applyFont="1" applyBorder="1" applyAlignment="1">
      <alignment vertical="top"/>
    </xf>
    <xf numFmtId="4" fontId="6" fillId="0" borderId="36" xfId="0" applyNumberFormat="1" applyFont="1" applyFill="1" applyBorder="1" applyAlignment="1">
      <alignment vertical="top"/>
    </xf>
    <xf numFmtId="0" fontId="5" fillId="0" borderId="45" xfId="0" applyFont="1" applyBorder="1" applyAlignment="1">
      <alignment horizontal="left" vertical="top" wrapText="1"/>
    </xf>
    <xf numFmtId="0" fontId="5" fillId="0" borderId="49" xfId="0" applyFont="1" applyFill="1" applyBorder="1" applyAlignment="1">
      <alignment horizontal="left" vertical="center" wrapText="1"/>
    </xf>
    <xf numFmtId="0" fontId="6" fillId="0" borderId="4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4" fontId="8" fillId="0" borderId="0" xfId="0" applyNumberFormat="1" applyFont="1" applyBorder="1" applyAlignment="1">
      <alignment vertical="top"/>
    </xf>
    <xf numFmtId="4" fontId="8" fillId="0" borderId="0" xfId="0" applyNumberFormat="1" applyFont="1" applyFill="1" applyBorder="1" applyAlignment="1">
      <alignment vertical="top"/>
    </xf>
    <xf numFmtId="0" fontId="21" fillId="0" borderId="46" xfId="0" applyFont="1" applyBorder="1"/>
    <xf numFmtId="0" fontId="21" fillId="0" borderId="24" xfId="0" applyFont="1" applyBorder="1"/>
    <xf numFmtId="4" fontId="10" fillId="0" borderId="48" xfId="0" applyNumberFormat="1" applyFont="1" applyBorder="1" applyAlignment="1">
      <alignment vertical="top"/>
    </xf>
    <xf numFmtId="4" fontId="10" fillId="0" borderId="48" xfId="0" applyNumberFormat="1" applyFont="1" applyFill="1" applyBorder="1" applyAlignment="1">
      <alignment vertical="top"/>
    </xf>
    <xf numFmtId="4" fontId="21" fillId="0" borderId="27" xfId="0" applyNumberFormat="1" applyFont="1" applyBorder="1" applyAlignment="1">
      <alignment vertical="top"/>
    </xf>
    <xf numFmtId="4" fontId="36" fillId="0" borderId="0" xfId="0" applyNumberFormat="1" applyFont="1" applyAlignment="1">
      <alignment vertical="top"/>
    </xf>
    <xf numFmtId="4" fontId="36" fillId="0" borderId="0" xfId="0" applyNumberFormat="1" applyFont="1" applyFill="1" applyAlignment="1">
      <alignment vertical="top"/>
    </xf>
    <xf numFmtId="4" fontId="37" fillId="0" borderId="0" xfId="0" applyNumberFormat="1" applyFont="1" applyAlignment="1">
      <alignment vertical="top"/>
    </xf>
    <xf numFmtId="4" fontId="39" fillId="0" borderId="0" xfId="0" applyNumberFormat="1" applyFont="1" applyAlignment="1">
      <alignment vertical="top"/>
    </xf>
    <xf numFmtId="4" fontId="38" fillId="0" borderId="0" xfId="0" applyNumberFormat="1" applyFont="1" applyBorder="1" applyAlignment="1">
      <alignment vertical="top"/>
    </xf>
    <xf numFmtId="4" fontId="37" fillId="0" borderId="0" xfId="0" applyNumberFormat="1" applyFont="1" applyBorder="1" applyAlignment="1">
      <alignment vertical="top"/>
    </xf>
    <xf numFmtId="4" fontId="37" fillId="0" borderId="0" xfId="0" applyNumberFormat="1" applyFont="1" applyFill="1" applyBorder="1" applyAlignment="1">
      <alignment vertical="top"/>
    </xf>
    <xf numFmtId="4" fontId="6" fillId="0" borderId="18" xfId="0" applyNumberFormat="1" applyFont="1" applyBorder="1" applyAlignment="1">
      <alignment vertical="top"/>
    </xf>
    <xf numFmtId="4" fontId="40" fillId="0" borderId="0" xfId="0" applyNumberFormat="1" applyFont="1" applyFill="1" applyAlignment="1">
      <alignment vertical="top"/>
    </xf>
    <xf numFmtId="4" fontId="41" fillId="0" borderId="0" xfId="0" applyNumberFormat="1" applyFont="1" applyFill="1" applyBorder="1" applyAlignment="1">
      <alignment vertical="top"/>
    </xf>
    <xf numFmtId="4" fontId="10" fillId="0" borderId="0" xfId="0" applyNumberFormat="1" applyFont="1" applyFill="1" applyAlignment="1">
      <alignment vertical="top"/>
    </xf>
    <xf numFmtId="4" fontId="42" fillId="0" borderId="0" xfId="0" applyNumberFormat="1" applyFont="1" applyFill="1" applyAlignment="1">
      <alignment vertical="top"/>
    </xf>
    <xf numFmtId="4" fontId="42" fillId="0" borderId="0" xfId="0" applyNumberFormat="1" applyFont="1" applyFill="1" applyBorder="1" applyAlignment="1">
      <alignment vertical="top"/>
    </xf>
    <xf numFmtId="0" fontId="21" fillId="0" borderId="1" xfId="0" applyFont="1" applyFill="1" applyBorder="1" applyAlignment="1"/>
    <xf numFmtId="0" fontId="8" fillId="0" borderId="1" xfId="0" applyFont="1" applyFill="1" applyBorder="1"/>
    <xf numFmtId="0" fontId="8" fillId="0" borderId="1" xfId="0" applyFont="1" applyBorder="1"/>
    <xf numFmtId="0" fontId="6" fillId="0" borderId="1" xfId="0" applyFont="1" applyBorder="1" applyAlignment="1">
      <alignment vertical="top"/>
    </xf>
    <xf numFmtId="0" fontId="8" fillId="0" borderId="1" xfId="0" applyFont="1" applyFill="1" applyBorder="1" applyAlignment="1"/>
    <xf numFmtId="4" fontId="6" fillId="0" borderId="1" xfId="0" applyNumberFormat="1" applyFont="1" applyBorder="1" applyAlignment="1">
      <alignment vertical="top"/>
    </xf>
    <xf numFmtId="0" fontId="21" fillId="0" borderId="1" xfId="0" applyFont="1" applyFill="1" applyBorder="1"/>
    <xf numFmtId="4" fontId="10" fillId="0" borderId="1" xfId="0" applyNumberFormat="1" applyFont="1" applyBorder="1" applyAlignment="1">
      <alignment vertical="top"/>
    </xf>
    <xf numFmtId="0" fontId="6" fillId="0" borderId="1" xfId="0" applyFont="1" applyFill="1" applyBorder="1" applyAlignment="1">
      <alignment vertical="top"/>
    </xf>
    <xf numFmtId="0" fontId="21" fillId="0" borderId="0" xfId="0" applyFont="1" applyFill="1" applyBorder="1" applyAlignment="1"/>
    <xf numFmtId="4" fontId="6" fillId="0" borderId="1" xfId="0" applyNumberFormat="1" applyFont="1" applyFill="1" applyBorder="1" applyAlignment="1">
      <alignment vertical="top"/>
    </xf>
    <xf numFmtId="0" fontId="6" fillId="0" borderId="23" xfId="0" applyFont="1" applyBorder="1" applyAlignment="1">
      <alignment horizontal="left" vertical="center"/>
    </xf>
    <xf numFmtId="0" fontId="5" fillId="0" borderId="0" xfId="0" quotePrefix="1" applyFont="1" applyBorder="1" applyAlignment="1">
      <alignment vertical="top"/>
    </xf>
    <xf numFmtId="0" fontId="5" fillId="0" borderId="45" xfId="0" quotePrefix="1" applyFont="1" applyBorder="1"/>
    <xf numFmtId="0" fontId="5" fillId="0" borderId="0" xfId="0" quotePrefix="1" applyFont="1" applyFill="1" applyBorder="1"/>
    <xf numFmtId="0" fontId="20" fillId="0" borderId="0" xfId="0" applyFont="1" applyFill="1" applyBorder="1" applyAlignment="1">
      <alignment horizontal="left" vertical="top" textRotation="255"/>
    </xf>
    <xf numFmtId="0" fontId="20" fillId="0" borderId="0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vertical="top"/>
    </xf>
    <xf numFmtId="0" fontId="8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vertical="center" wrapText="1"/>
    </xf>
    <xf numFmtId="0" fontId="25" fillId="2" borderId="2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vertical="top" wrapText="1"/>
    </xf>
    <xf numFmtId="0" fontId="18" fillId="3" borderId="0" xfId="0" applyFont="1" applyFill="1" applyBorder="1" applyAlignment="1">
      <alignment vertical="top" wrapText="1"/>
    </xf>
    <xf numFmtId="0" fontId="18" fillId="3" borderId="0" xfId="0" applyFont="1" applyFill="1" applyBorder="1" applyAlignment="1">
      <alignment vertical="top"/>
    </xf>
    <xf numFmtId="0" fontId="5" fillId="3" borderId="0" xfId="0" applyFont="1" applyFill="1" applyBorder="1" applyAlignment="1">
      <alignment wrapText="1"/>
    </xf>
    <xf numFmtId="17" fontId="6" fillId="0" borderId="24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top"/>
    </xf>
    <xf numFmtId="0" fontId="6" fillId="0" borderId="24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14" fontId="5" fillId="0" borderId="24" xfId="0" applyNumberFormat="1" applyFont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top"/>
    </xf>
    <xf numFmtId="0" fontId="6" fillId="0" borderId="0" xfId="0" applyFont="1" applyBorder="1" applyAlignment="1">
      <alignment horizontal="left" vertical="center"/>
    </xf>
    <xf numFmtId="0" fontId="8" fillId="0" borderId="0" xfId="0" applyFont="1" applyFill="1" applyBorder="1" applyAlignment="1">
      <alignment vertical="top"/>
    </xf>
    <xf numFmtId="0" fontId="5" fillId="0" borderId="69" xfId="0" applyFont="1" applyBorder="1" applyAlignment="1">
      <alignment horizontal="center" vertical="center"/>
    </xf>
    <xf numFmtId="17" fontId="8" fillId="0" borderId="25" xfId="0" applyNumberFormat="1" applyFont="1" applyBorder="1" applyAlignment="1">
      <alignment horizontal="center" vertical="top"/>
    </xf>
    <xf numFmtId="164" fontId="18" fillId="0" borderId="23" xfId="1" applyFont="1" applyBorder="1"/>
    <xf numFmtId="164" fontId="18" fillId="0" borderId="0" xfId="1" applyFont="1" applyBorder="1"/>
    <xf numFmtId="164" fontId="18" fillId="0" borderId="26" xfId="1" applyFont="1" applyBorder="1"/>
    <xf numFmtId="164" fontId="24" fillId="0" borderId="23" xfId="1" applyFont="1" applyBorder="1"/>
    <xf numFmtId="164" fontId="7" fillId="0" borderId="44" xfId="1" applyFont="1" applyBorder="1"/>
    <xf numFmtId="164" fontId="7" fillId="0" borderId="45" xfId="1" applyFont="1" applyBorder="1"/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left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top" wrapText="1"/>
    </xf>
    <xf numFmtId="0" fontId="5" fillId="3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18" fillId="3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top" wrapText="1"/>
    </xf>
    <xf numFmtId="0" fontId="18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left" vertical="top"/>
    </xf>
    <xf numFmtId="164" fontId="33" fillId="0" borderId="61" xfId="0" applyNumberFormat="1" applyFont="1" applyBorder="1" applyAlignment="1">
      <alignment vertical="top"/>
    </xf>
    <xf numFmtId="0" fontId="33" fillId="0" borderId="61" xfId="0" applyFont="1" applyBorder="1" applyAlignment="1">
      <alignment vertical="top"/>
    </xf>
    <xf numFmtId="0" fontId="33" fillId="0" borderId="61" xfId="0" applyFont="1" applyBorder="1"/>
    <xf numFmtId="164" fontId="24" fillId="7" borderId="66" xfId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16" fillId="0" borderId="0" xfId="0" applyFont="1" applyFill="1"/>
    <xf numFmtId="0" fontId="19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top"/>
    </xf>
    <xf numFmtId="17" fontId="5" fillId="0" borderId="0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" fontId="6" fillId="0" borderId="0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top"/>
    </xf>
    <xf numFmtId="164" fontId="16" fillId="0" borderId="0" xfId="1" applyFont="1" applyFill="1" applyBorder="1" applyAlignment="1">
      <alignment vertical="top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top"/>
    </xf>
    <xf numFmtId="4" fontId="36" fillId="0" borderId="0" xfId="0" applyNumberFormat="1" applyFont="1" applyFill="1" applyBorder="1" applyAlignment="1">
      <alignment vertical="top"/>
    </xf>
    <xf numFmtId="4" fontId="36" fillId="0" borderId="0" xfId="0" applyNumberFormat="1" applyFont="1" applyBorder="1" applyAlignment="1">
      <alignment vertical="top"/>
    </xf>
    <xf numFmtId="0" fontId="10" fillId="2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center" vertical="center"/>
    </xf>
    <xf numFmtId="14" fontId="5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0" fillId="0" borderId="0" xfId="0" applyBorder="1"/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164" fontId="10" fillId="2" borderId="0" xfId="3" applyFont="1" applyFill="1" applyBorder="1" applyAlignment="1">
      <alignment horizontal="center" vertical="top" wrapText="1"/>
    </xf>
    <xf numFmtId="0" fontId="10" fillId="2" borderId="0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vertical="top" wrapText="1"/>
    </xf>
    <xf numFmtId="0" fontId="10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164" fontId="6" fillId="0" borderId="0" xfId="3" applyFont="1" applyFill="1" applyBorder="1" applyAlignment="1">
      <alignment horizontal="center" vertical="top" wrapText="1"/>
    </xf>
    <xf numFmtId="164" fontId="6" fillId="0" borderId="0" xfId="3" applyFont="1" applyFill="1" applyBorder="1" applyAlignment="1">
      <alignment horizontal="right" vertical="top" wrapText="1"/>
    </xf>
    <xf numFmtId="0" fontId="6" fillId="0" borderId="0" xfId="0" applyFont="1" applyFill="1" applyBorder="1" applyAlignment="1">
      <alignment horizontal="left" vertical="center" wrapText="1"/>
    </xf>
    <xf numFmtId="164" fontId="6" fillId="0" borderId="0" xfId="3" applyFont="1" applyFill="1" applyBorder="1" applyAlignment="1">
      <alignment vertical="top" wrapText="1"/>
    </xf>
    <xf numFmtId="0" fontId="10" fillId="0" borderId="0" xfId="0" applyFont="1" applyFill="1" applyBorder="1" applyAlignment="1">
      <alignment horizontal="center" vertical="center" wrapText="1"/>
    </xf>
    <xf numFmtId="165" fontId="6" fillId="0" borderId="0" xfId="0" applyNumberFormat="1" applyFont="1" applyBorder="1" applyAlignment="1">
      <alignment vertical="top"/>
    </xf>
    <xf numFmtId="165" fontId="6" fillId="0" borderId="0" xfId="0" applyNumberFormat="1" applyFont="1" applyFill="1" applyBorder="1" applyAlignment="1">
      <alignment vertical="top"/>
    </xf>
    <xf numFmtId="0" fontId="10" fillId="0" borderId="0" xfId="0" applyFont="1" applyFill="1" applyBorder="1" applyAlignment="1"/>
    <xf numFmtId="164" fontId="6" fillId="0" borderId="0" xfId="3" applyFont="1" applyFill="1" applyBorder="1" applyAlignment="1">
      <alignment horizontal="right" vertical="top"/>
    </xf>
    <xf numFmtId="4" fontId="6" fillId="0" borderId="0" xfId="0" applyNumberFormat="1" applyFont="1" applyFill="1" applyBorder="1" applyAlignment="1">
      <alignment horizontal="center" vertical="center"/>
    </xf>
    <xf numFmtId="2" fontId="6" fillId="0" borderId="0" xfId="3" applyNumberFormat="1" applyFont="1" applyFill="1" applyBorder="1" applyAlignment="1">
      <alignment vertical="top"/>
    </xf>
    <xf numFmtId="2" fontId="6" fillId="0" borderId="0" xfId="3" applyNumberFormat="1" applyFont="1" applyFill="1" applyBorder="1"/>
    <xf numFmtId="164" fontId="10" fillId="0" borderId="0" xfId="3" applyFont="1" applyFill="1" applyBorder="1" applyAlignment="1">
      <alignment horizontal="right"/>
    </xf>
    <xf numFmtId="164" fontId="10" fillId="0" borderId="0" xfId="3" applyFont="1" applyFill="1" applyBorder="1" applyAlignment="1">
      <alignment horizontal="right" vertical="top"/>
    </xf>
    <xf numFmtId="4" fontId="10" fillId="0" borderId="0" xfId="0" applyNumberFormat="1" applyFont="1" applyFill="1" applyBorder="1" applyAlignment="1">
      <alignment horizontal="center"/>
    </xf>
    <xf numFmtId="0" fontId="14" fillId="0" borderId="0" xfId="0" applyFont="1" applyBorder="1"/>
    <xf numFmtId="164" fontId="8" fillId="0" borderId="0" xfId="3" applyFont="1" applyBorder="1"/>
    <xf numFmtId="0" fontId="0" fillId="0" borderId="0" xfId="0" applyFont="1" applyBorder="1" applyAlignment="1"/>
    <xf numFmtId="0" fontId="15" fillId="0" borderId="0" xfId="0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15" fillId="0" borderId="0" xfId="0" applyFont="1" applyBorder="1" applyAlignment="1"/>
    <xf numFmtId="0" fontId="0" fillId="0" borderId="0" xfId="0" applyFont="1" applyFill="1" applyBorder="1"/>
    <xf numFmtId="0" fontId="15" fillId="0" borderId="0" xfId="0" applyFont="1" applyFill="1" applyBorder="1"/>
    <xf numFmtId="0" fontId="0" fillId="0" borderId="0" xfId="0" applyFill="1" applyBorder="1" applyAlignment="1"/>
    <xf numFmtId="0" fontId="0" fillId="0" borderId="0" xfId="0" applyFon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5" fillId="2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/>
    <xf numFmtId="0" fontId="0" fillId="0" borderId="0" xfId="0" applyBorder="1" applyAlignment="1">
      <alignment vertical="top"/>
    </xf>
    <xf numFmtId="164" fontId="8" fillId="0" borderId="0" xfId="1" applyFont="1" applyBorder="1" applyAlignment="1">
      <alignment vertical="top"/>
    </xf>
    <xf numFmtId="164" fontId="8" fillId="0" borderId="0" xfId="1" applyFont="1" applyFill="1" applyBorder="1" applyAlignment="1">
      <alignment vertical="top"/>
    </xf>
    <xf numFmtId="43" fontId="6" fillId="0" borderId="0" xfId="0" applyNumberFormat="1" applyFont="1" applyBorder="1" applyAlignment="1">
      <alignment vertical="top"/>
    </xf>
    <xf numFmtId="164" fontId="9" fillId="0" borderId="0" xfId="1" applyFont="1" applyFill="1" applyBorder="1" applyAlignment="1">
      <alignment horizontal="center"/>
    </xf>
    <xf numFmtId="164" fontId="4" fillId="0" borderId="0" xfId="1" applyFont="1" applyFill="1" applyBorder="1" applyAlignment="1">
      <alignment horizontal="center"/>
    </xf>
    <xf numFmtId="164" fontId="10" fillId="0" borderId="0" xfId="1" applyFont="1" applyFill="1" applyBorder="1" applyAlignment="1">
      <alignment horizontal="center" vertical="top"/>
    </xf>
    <xf numFmtId="164" fontId="6" fillId="0" borderId="0" xfId="1" applyFont="1" applyFill="1" applyBorder="1" applyAlignment="1">
      <alignment horizontal="right" vertical="top" wrapText="1"/>
    </xf>
    <xf numFmtId="164" fontId="6" fillId="0" borderId="0" xfId="1" applyFont="1" applyFill="1" applyBorder="1" applyAlignment="1">
      <alignment vertical="top" wrapText="1"/>
    </xf>
    <xf numFmtId="164" fontId="6" fillId="0" borderId="0" xfId="1" applyFont="1" applyFill="1" applyBorder="1" applyAlignment="1">
      <alignment horizontal="right" vertical="top"/>
    </xf>
    <xf numFmtId="164" fontId="10" fillId="0" borderId="0" xfId="1" applyFont="1" applyFill="1" applyBorder="1" applyAlignment="1">
      <alignment horizontal="right" vertical="top"/>
    </xf>
    <xf numFmtId="164" fontId="10" fillId="0" borderId="0" xfId="1" applyFont="1" applyFill="1" applyBorder="1" applyAlignment="1">
      <alignment vertical="top"/>
    </xf>
    <xf numFmtId="164" fontId="36" fillId="0" borderId="0" xfId="1" applyFont="1" applyFill="1" applyBorder="1" applyAlignment="1">
      <alignment vertical="top"/>
    </xf>
    <xf numFmtId="164" fontId="10" fillId="0" borderId="0" xfId="1" applyFont="1" applyFill="1" applyBorder="1" applyAlignment="1">
      <alignment horizontal="center" vertical="top" wrapText="1"/>
    </xf>
    <xf numFmtId="0" fontId="44" fillId="0" borderId="0" xfId="0" applyFont="1" applyFill="1" applyAlignment="1">
      <alignment vertical="center"/>
    </xf>
    <xf numFmtId="164" fontId="4" fillId="0" borderId="0" xfId="1" applyFont="1" applyFill="1" applyBorder="1" applyAlignment="1">
      <alignment horizontal="center" vertical="center"/>
    </xf>
    <xf numFmtId="0" fontId="17" fillId="0" borderId="0" xfId="0" applyFont="1" applyFill="1"/>
    <xf numFmtId="164" fontId="10" fillId="0" borderId="0" xfId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164" fontId="21" fillId="0" borderId="0" xfId="1" applyFont="1" applyFill="1" applyBorder="1" applyAlignment="1">
      <alignment vertical="top"/>
    </xf>
    <xf numFmtId="164" fontId="8" fillId="0" borderId="0" xfId="1" applyFont="1" applyFill="1" applyBorder="1" applyAlignment="1">
      <alignment horizontal="right" vertical="top"/>
    </xf>
    <xf numFmtId="0" fontId="5" fillId="0" borderId="0" xfId="0" applyFont="1" applyBorder="1" applyAlignment="1">
      <alignment horizontal="left" vertical="center"/>
    </xf>
    <xf numFmtId="164" fontId="45" fillId="0" borderId="0" xfId="1" applyFont="1" applyFill="1" applyBorder="1" applyAlignment="1">
      <alignment vertical="top"/>
    </xf>
    <xf numFmtId="164" fontId="10" fillId="0" borderId="0" xfId="1" applyFont="1" applyFill="1" applyBorder="1" applyAlignment="1">
      <alignment vertical="center" wrapText="1"/>
    </xf>
    <xf numFmtId="164" fontId="5" fillId="0" borderId="25" xfId="1" applyFont="1" applyBorder="1"/>
    <xf numFmtId="164" fontId="6" fillId="0" borderId="0" xfId="1" applyFont="1"/>
    <xf numFmtId="164" fontId="25" fillId="0" borderId="61" xfId="1" applyFont="1" applyBorder="1"/>
    <xf numFmtId="164" fontId="7" fillId="0" borderId="61" xfId="1" applyFont="1" applyBorder="1"/>
    <xf numFmtId="164" fontId="6" fillId="0" borderId="25" xfId="1" applyFont="1" applyBorder="1"/>
    <xf numFmtId="164" fontId="6" fillId="0" borderId="49" xfId="1" applyFont="1" applyBorder="1" applyAlignment="1">
      <alignment vertical="top"/>
    </xf>
    <xf numFmtId="164" fontId="7" fillId="0" borderId="0" xfId="1" applyFont="1" applyFill="1" applyBorder="1" applyAlignment="1">
      <alignment vertical="center"/>
    </xf>
    <xf numFmtId="164" fontId="0" fillId="0" borderId="0" xfId="1" applyFont="1" applyFill="1" applyBorder="1"/>
    <xf numFmtId="164" fontId="0" fillId="0" borderId="0" xfId="1" applyFont="1" applyFill="1" applyBorder="1" applyAlignment="1">
      <alignment vertical="center"/>
    </xf>
    <xf numFmtId="164" fontId="3" fillId="0" borderId="0" xfId="1" applyFont="1" applyFill="1" applyBorder="1" applyAlignment="1">
      <alignment vertical="center"/>
    </xf>
    <xf numFmtId="164" fontId="15" fillId="0" borderId="0" xfId="1" applyFont="1" applyFill="1" applyBorder="1" applyAlignment="1">
      <alignment vertical="top"/>
    </xf>
    <xf numFmtId="164" fontId="15" fillId="0" borderId="0" xfId="1" applyFont="1" applyFill="1" applyBorder="1"/>
    <xf numFmtId="164" fontId="44" fillId="0" borderId="0" xfId="1" applyFont="1" applyFill="1" applyBorder="1" applyAlignment="1">
      <alignment vertical="center"/>
    </xf>
    <xf numFmtId="164" fontId="17" fillId="0" borderId="0" xfId="1" applyFont="1" applyFill="1" applyBorder="1"/>
    <xf numFmtId="164" fontId="15" fillId="0" borderId="0" xfId="1" applyFont="1" applyFill="1" applyBorder="1" applyAlignment="1">
      <alignment horizontal="center" vertical="center"/>
    </xf>
    <xf numFmtId="164" fontId="2" fillId="0" borderId="0" xfId="1" applyFont="1" applyFill="1" applyBorder="1"/>
    <xf numFmtId="164" fontId="19" fillId="0" borderId="0" xfId="1" applyFont="1" applyFill="1" applyBorder="1" applyAlignment="1">
      <alignment vertical="center"/>
    </xf>
    <xf numFmtId="164" fontId="0" fillId="0" borderId="0" xfId="1" applyFont="1" applyFill="1" applyBorder="1" applyAlignment="1">
      <alignment vertical="top"/>
    </xf>
    <xf numFmtId="164" fontId="0" fillId="0" borderId="0" xfId="1" applyFont="1" applyFill="1" applyBorder="1" applyAlignment="1"/>
    <xf numFmtId="164" fontId="46" fillId="0" borderId="0" xfId="1" applyFont="1" applyFill="1" applyBorder="1" applyAlignment="1">
      <alignment vertical="center"/>
    </xf>
    <xf numFmtId="0" fontId="46" fillId="0" borderId="0" xfId="0" applyFont="1" applyFill="1" applyBorder="1"/>
    <xf numFmtId="0" fontId="42" fillId="0" borderId="0" xfId="0" applyFont="1" applyFill="1" applyBorder="1" applyAlignment="1">
      <alignment vertical="center"/>
    </xf>
    <xf numFmtId="0" fontId="42" fillId="0" borderId="0" xfId="0" applyFont="1" applyFill="1" applyBorder="1" applyAlignment="1"/>
    <xf numFmtId="0" fontId="42" fillId="0" borderId="0" xfId="0" applyFont="1" applyBorder="1" applyAlignment="1">
      <alignment horizontal="left" vertical="center" wrapText="1"/>
    </xf>
    <xf numFmtId="0" fontId="47" fillId="3" borderId="0" xfId="0" applyFont="1" applyFill="1" applyBorder="1"/>
    <xf numFmtId="0" fontId="42" fillId="0" borderId="0" xfId="0" applyFont="1" applyBorder="1" applyAlignment="1">
      <alignment horizontal="center" vertical="center"/>
    </xf>
    <xf numFmtId="0" fontId="46" fillId="0" borderId="0" xfId="0" applyFont="1" applyBorder="1" applyAlignment="1"/>
    <xf numFmtId="0" fontId="5" fillId="0" borderId="0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/>
    </xf>
    <xf numFmtId="164" fontId="18" fillId="0" borderId="23" xfId="1" applyFont="1" applyBorder="1" applyAlignment="1">
      <alignment horizontal="left" wrapText="1"/>
    </xf>
    <xf numFmtId="4" fontId="6" fillId="0" borderId="18" xfId="0" applyNumberFormat="1" applyFont="1" applyFill="1" applyBorder="1" applyAlignment="1">
      <alignment vertical="top"/>
    </xf>
    <xf numFmtId="164" fontId="7" fillId="0" borderId="0" xfId="1" quotePrefix="1" applyFont="1" applyAlignment="1">
      <alignment horizontal="right"/>
    </xf>
    <xf numFmtId="0" fontId="7" fillId="0" borderId="49" xfId="0" applyFont="1" applyBorder="1" applyAlignment="1">
      <alignment vertical="top"/>
    </xf>
    <xf numFmtId="0" fontId="5" fillId="0" borderId="49" xfId="0" applyFont="1" applyFill="1" applyBorder="1" applyAlignment="1">
      <alignment vertical="top" wrapText="1"/>
    </xf>
    <xf numFmtId="0" fontId="8" fillId="0" borderId="49" xfId="0" applyFont="1" applyBorder="1" applyAlignment="1">
      <alignment horizontal="center" vertical="top"/>
    </xf>
    <xf numFmtId="164" fontId="7" fillId="0" borderId="49" xfId="1" applyFont="1" applyBorder="1" applyAlignment="1">
      <alignment vertical="top"/>
    </xf>
    <xf numFmtId="164" fontId="6" fillId="0" borderId="0" xfId="1" quotePrefix="1" applyFont="1" applyAlignment="1">
      <alignment horizontal="right"/>
    </xf>
    <xf numFmtId="164" fontId="18" fillId="0" borderId="23" xfId="1" applyFont="1" applyBorder="1" applyAlignment="1">
      <alignment vertical="top"/>
    </xf>
    <xf numFmtId="164" fontId="18" fillId="0" borderId="22" xfId="1" applyFont="1" applyBorder="1" applyAlignment="1">
      <alignment vertical="top"/>
    </xf>
    <xf numFmtId="2" fontId="18" fillId="0" borderId="22" xfId="1" applyNumberFormat="1" applyFont="1" applyBorder="1" applyAlignment="1">
      <alignment vertical="top"/>
    </xf>
    <xf numFmtId="164" fontId="18" fillId="0" borderId="24" xfId="1" applyFont="1" applyBorder="1" applyAlignment="1">
      <alignment vertical="top"/>
    </xf>
    <xf numFmtId="164" fontId="18" fillId="0" borderId="23" xfId="1" applyFont="1" applyBorder="1" applyAlignment="1">
      <alignment vertical="top" wrapText="1"/>
    </xf>
    <xf numFmtId="164" fontId="18" fillId="0" borderId="25" xfId="1" applyFont="1" applyBorder="1" applyAlignment="1">
      <alignment vertical="top"/>
    </xf>
    <xf numFmtId="2" fontId="18" fillId="0" borderId="25" xfId="1" applyNumberFormat="1" applyFont="1" applyBorder="1" applyAlignment="1">
      <alignment vertical="top"/>
    </xf>
    <xf numFmtId="164" fontId="18" fillId="0" borderId="27" xfId="1" applyFont="1" applyBorder="1"/>
    <xf numFmtId="164" fontId="24" fillId="0" borderId="31" xfId="1" applyFont="1" applyBorder="1"/>
    <xf numFmtId="164" fontId="7" fillId="0" borderId="46" xfId="1" applyFont="1" applyBorder="1"/>
    <xf numFmtId="164" fontId="18" fillId="0" borderId="25" xfId="1" applyFont="1" applyBorder="1" applyAlignment="1">
      <alignment wrapText="1"/>
    </xf>
    <xf numFmtId="164" fontId="24" fillId="0" borderId="25" xfId="1" applyFont="1" applyBorder="1"/>
    <xf numFmtId="164" fontId="16" fillId="0" borderId="25" xfId="1" applyFont="1" applyBorder="1" applyAlignment="1">
      <alignment horizontal="right"/>
    </xf>
    <xf numFmtId="164" fontId="27" fillId="0" borderId="25" xfId="1" applyFont="1" applyBorder="1"/>
    <xf numFmtId="164" fontId="27" fillId="0" borderId="37" xfId="1" applyFont="1" applyBorder="1"/>
    <xf numFmtId="9" fontId="18" fillId="0" borderId="24" xfId="2" applyFont="1" applyBorder="1"/>
    <xf numFmtId="9" fontId="24" fillId="0" borderId="30" xfId="2" applyFont="1" applyBorder="1"/>
    <xf numFmtId="164" fontId="27" fillId="0" borderId="0" xfId="1" applyFont="1" applyBorder="1"/>
    <xf numFmtId="164" fontId="24" fillId="0" borderId="23" xfId="1" applyFont="1" applyBorder="1" applyAlignment="1"/>
    <xf numFmtId="164" fontId="18" fillId="0" borderId="29" xfId="1" applyFont="1" applyBorder="1"/>
    <xf numFmtId="164" fontId="24" fillId="0" borderId="28" xfId="1" applyFont="1" applyBorder="1"/>
    <xf numFmtId="164" fontId="24" fillId="0" borderId="34" xfId="1" applyFont="1" applyBorder="1"/>
    <xf numFmtId="164" fontId="0" fillId="0" borderId="0" xfId="0" applyNumberFormat="1" applyAlignment="1">
      <alignment vertical="top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vertical="top" wrapText="1"/>
    </xf>
    <xf numFmtId="0" fontId="24" fillId="0" borderId="0" xfId="0" applyFont="1" applyBorder="1"/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164" fontId="29" fillId="2" borderId="21" xfId="1" applyFont="1" applyFill="1" applyBorder="1" applyAlignment="1">
      <alignment horizontal="center" vertical="top" wrapText="1"/>
    </xf>
    <xf numFmtId="164" fontId="25" fillId="0" borderId="22" xfId="1" applyFont="1" applyFill="1" applyBorder="1" applyAlignment="1">
      <alignment horizontal="center" vertical="center" wrapText="1"/>
    </xf>
    <xf numFmtId="43" fontId="48" fillId="0" borderId="1" xfId="0" applyNumberFormat="1" applyFont="1" applyBorder="1"/>
    <xf numFmtId="0" fontId="5" fillId="0" borderId="0" xfId="0" applyFont="1" applyFill="1" applyBorder="1" applyAlignment="1">
      <alignment vertical="top" wrapText="1"/>
    </xf>
    <xf numFmtId="164" fontId="6" fillId="0" borderId="24" xfId="1" applyFont="1" applyBorder="1" applyAlignment="1">
      <alignment vertical="top"/>
    </xf>
    <xf numFmtId="164" fontId="6" fillId="0" borderId="24" xfId="1" applyFont="1" applyBorder="1"/>
    <xf numFmtId="0" fontId="7" fillId="0" borderId="22" xfId="0" applyFont="1" applyBorder="1"/>
    <xf numFmtId="0" fontId="25" fillId="0" borderId="28" xfId="0" applyFont="1" applyBorder="1" applyAlignment="1"/>
    <xf numFmtId="0" fontId="25" fillId="0" borderId="30" xfId="0" applyFont="1" applyBorder="1" applyAlignment="1"/>
    <xf numFmtId="0" fontId="29" fillId="0" borderId="31" xfId="0" applyFont="1" applyBorder="1"/>
    <xf numFmtId="0" fontId="29" fillId="0" borderId="36" xfId="0" applyFont="1" applyBorder="1"/>
    <xf numFmtId="0" fontId="25" fillId="0" borderId="34" xfId="0" applyFont="1" applyBorder="1" applyAlignment="1"/>
    <xf numFmtId="0" fontId="25" fillId="0" borderId="70" xfId="0" applyFont="1" applyBorder="1" applyAlignment="1"/>
    <xf numFmtId="0" fontId="7" fillId="0" borderId="0" xfId="0" applyFont="1" applyBorder="1" applyAlignment="1">
      <alignment vertical="top"/>
    </xf>
    <xf numFmtId="0" fontId="8" fillId="0" borderId="0" xfId="0" applyFont="1" applyBorder="1" applyAlignment="1">
      <alignment horizontal="center" vertical="top"/>
    </xf>
    <xf numFmtId="164" fontId="50" fillId="0" borderId="49" xfId="1" quotePrefix="1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top"/>
    </xf>
    <xf numFmtId="0" fontId="24" fillId="0" borderId="47" xfId="0" applyFont="1" applyBorder="1" applyAlignment="1">
      <alignment vertical="center"/>
    </xf>
    <xf numFmtId="0" fontId="24" fillId="0" borderId="48" xfId="0" applyFont="1" applyBorder="1" applyAlignment="1">
      <alignment vertical="center"/>
    </xf>
    <xf numFmtId="0" fontId="16" fillId="0" borderId="21" xfId="0" applyFont="1" applyBorder="1" applyAlignment="1">
      <alignment vertical="center"/>
    </xf>
    <xf numFmtId="164" fontId="10" fillId="0" borderId="48" xfId="1" applyFont="1" applyBorder="1" applyAlignment="1">
      <alignment vertical="center"/>
    </xf>
    <xf numFmtId="164" fontId="10" fillId="0" borderId="21" xfId="1" applyFont="1" applyBorder="1" applyAlignment="1">
      <alignment vertical="center"/>
    </xf>
    <xf numFmtId="164" fontId="25" fillId="0" borderId="21" xfId="1" applyFont="1" applyBorder="1" applyAlignment="1">
      <alignment vertical="center"/>
    </xf>
    <xf numFmtId="0" fontId="25" fillId="0" borderId="47" xfId="0" applyFont="1" applyBorder="1" applyAlignment="1">
      <alignment vertical="center"/>
    </xf>
    <xf numFmtId="0" fontId="25" fillId="0" borderId="48" xfId="0" applyFont="1" applyBorder="1" applyAlignment="1">
      <alignment vertical="center"/>
    </xf>
    <xf numFmtId="0" fontId="29" fillId="0" borderId="21" xfId="0" applyFont="1" applyBorder="1" applyAlignment="1">
      <alignment vertical="center"/>
    </xf>
    <xf numFmtId="164" fontId="49" fillId="0" borderId="0" xfId="1" quotePrefix="1" applyFont="1" applyAlignment="1">
      <alignment horizontal="center" vertical="center"/>
    </xf>
    <xf numFmtId="49" fontId="50" fillId="0" borderId="0" xfId="1" quotePrefix="1" applyNumberFormat="1" applyFont="1" applyBorder="1" applyAlignment="1">
      <alignment horizontal="center" vertical="center"/>
    </xf>
    <xf numFmtId="0" fontId="25" fillId="0" borderId="0" xfId="0" applyFont="1" applyBorder="1" applyAlignment="1"/>
    <xf numFmtId="0" fontId="29" fillId="0" borderId="0" xfId="0" applyFont="1" applyBorder="1"/>
    <xf numFmtId="164" fontId="29" fillId="0" borderId="0" xfId="1" applyFont="1" applyBorder="1"/>
    <xf numFmtId="0" fontId="5" fillId="3" borderId="25" xfId="0" applyFont="1" applyFill="1" applyBorder="1" applyAlignment="1">
      <alignment horizontal="left"/>
    </xf>
    <xf numFmtId="0" fontId="18" fillId="0" borderId="25" xfId="0" applyFont="1" applyBorder="1" applyAlignment="1">
      <alignment vertical="center"/>
    </xf>
    <xf numFmtId="0" fontId="4" fillId="0" borderId="52" xfId="0" applyFont="1" applyFill="1" applyBorder="1" applyAlignment="1">
      <alignment horizontal="left" vertical="center" wrapText="1"/>
    </xf>
    <xf numFmtId="0" fontId="4" fillId="0" borderId="38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4" fillId="0" borderId="53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164" fontId="10" fillId="2" borderId="8" xfId="3" applyFont="1" applyFill="1" applyBorder="1" applyAlignment="1">
      <alignment horizontal="center" vertical="top" wrapText="1"/>
    </xf>
    <xf numFmtId="164" fontId="10" fillId="2" borderId="5" xfId="3" applyFont="1" applyFill="1" applyBorder="1" applyAlignment="1">
      <alignment horizontal="center" vertical="top" wrapText="1"/>
    </xf>
    <xf numFmtId="164" fontId="10" fillId="2" borderId="7" xfId="3" applyFont="1" applyFill="1" applyBorder="1" applyAlignment="1">
      <alignment horizontal="center" vertical="top" wrapText="1"/>
    </xf>
    <xf numFmtId="164" fontId="10" fillId="0" borderId="8" xfId="3" applyFont="1" applyFill="1" applyBorder="1" applyAlignment="1">
      <alignment horizontal="center" vertical="top" wrapText="1"/>
    </xf>
    <xf numFmtId="164" fontId="10" fillId="0" borderId="5" xfId="3" applyFont="1" applyFill="1" applyBorder="1" applyAlignment="1">
      <alignment horizontal="center" vertical="top" wrapText="1"/>
    </xf>
    <xf numFmtId="164" fontId="10" fillId="0" borderId="7" xfId="3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top" wrapText="1"/>
    </xf>
    <xf numFmtId="0" fontId="10" fillId="2" borderId="7" xfId="0" applyFont="1" applyFill="1" applyBorder="1" applyAlignment="1">
      <alignment horizontal="center" vertical="top" wrapText="1"/>
    </xf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11" fillId="2" borderId="56" xfId="0" applyFont="1" applyFill="1" applyBorder="1" applyAlignment="1">
      <alignment horizontal="center" vertical="center" wrapText="1"/>
    </xf>
    <xf numFmtId="164" fontId="10" fillId="2" borderId="54" xfId="3" applyFont="1" applyFill="1" applyBorder="1" applyAlignment="1">
      <alignment horizontal="center" vertical="top" wrapText="1"/>
    </xf>
    <xf numFmtId="164" fontId="10" fillId="0" borderId="54" xfId="3" applyFont="1" applyFill="1" applyBorder="1" applyAlignment="1">
      <alignment horizontal="center" vertical="top" wrapText="1"/>
    </xf>
    <xf numFmtId="0" fontId="10" fillId="2" borderId="54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/>
    </xf>
    <xf numFmtId="0" fontId="4" fillId="0" borderId="10" xfId="0" applyFont="1" applyFill="1" applyBorder="1" applyAlignment="1">
      <alignment horizontal="left"/>
    </xf>
    <xf numFmtId="0" fontId="5" fillId="0" borderId="23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38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4" fontId="6" fillId="0" borderId="25" xfId="0" applyNumberFormat="1" applyFont="1" applyBorder="1" applyAlignment="1">
      <alignment horizontal="center" vertical="top" wrapText="1"/>
    </xf>
    <xf numFmtId="0" fontId="5" fillId="0" borderId="0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wrapText="1"/>
    </xf>
    <xf numFmtId="0" fontId="4" fillId="0" borderId="0" xfId="0" applyFont="1" applyAlignment="1">
      <alignment horizontal="center" vertical="center"/>
    </xf>
    <xf numFmtId="0" fontId="4" fillId="2" borderId="47" xfId="0" applyFont="1" applyFill="1" applyBorder="1" applyAlignment="1">
      <alignment horizontal="center" vertical="center" wrapText="1"/>
    </xf>
    <xf numFmtId="0" fontId="4" fillId="2" borderId="51" xfId="0" applyFont="1" applyFill="1" applyBorder="1" applyAlignment="1">
      <alignment horizontal="center" vertical="center" wrapText="1"/>
    </xf>
    <xf numFmtId="0" fontId="4" fillId="2" borderId="4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24" xfId="0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24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top" wrapText="1"/>
    </xf>
    <xf numFmtId="0" fontId="5" fillId="3" borderId="45" xfId="0" applyFont="1" applyFill="1" applyBorder="1" applyAlignment="1">
      <alignment horizontal="left" wrapText="1"/>
    </xf>
    <xf numFmtId="0" fontId="4" fillId="0" borderId="0" xfId="0" applyFont="1" applyAlignment="1">
      <alignment horizontal="center"/>
    </xf>
    <xf numFmtId="0" fontId="5" fillId="3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top" wrapText="1"/>
    </xf>
    <xf numFmtId="0" fontId="5" fillId="3" borderId="0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5" fillId="3" borderId="24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/>
    </xf>
    <xf numFmtId="0" fontId="5" fillId="0" borderId="24" xfId="0" applyFont="1" applyFill="1" applyBorder="1" applyAlignment="1">
      <alignment horizontal="left" vertical="top" wrapText="1"/>
    </xf>
    <xf numFmtId="0" fontId="5" fillId="0" borderId="24" xfId="0" applyFont="1" applyBorder="1" applyAlignment="1">
      <alignment horizontal="left" vertical="top" wrapText="1"/>
    </xf>
    <xf numFmtId="0" fontId="5" fillId="0" borderId="25" xfId="0" applyFont="1" applyBorder="1" applyAlignment="1">
      <alignment horizontal="left" vertical="top" wrapText="1"/>
    </xf>
    <xf numFmtId="0" fontId="18" fillId="3" borderId="0" xfId="0" applyFont="1" applyFill="1" applyBorder="1" applyAlignment="1">
      <alignment horizontal="left" vertical="center" wrapText="1"/>
    </xf>
    <xf numFmtId="0" fontId="18" fillId="3" borderId="0" xfId="0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horizontal="left" vertical="center" wrapText="1"/>
    </xf>
    <xf numFmtId="0" fontId="5" fillId="3" borderId="24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/>
    </xf>
    <xf numFmtId="0" fontId="4" fillId="2" borderId="21" xfId="0" applyFont="1" applyFill="1" applyBorder="1" applyAlignment="1">
      <alignment horizontal="center" vertical="center" wrapText="1"/>
    </xf>
    <xf numFmtId="0" fontId="4" fillId="0" borderId="34" xfId="0" applyFont="1" applyBorder="1" applyAlignment="1">
      <alignment horizontal="left" vertical="center" wrapText="1"/>
    </xf>
    <xf numFmtId="0" fontId="4" fillId="0" borderId="35" xfId="0" applyFont="1" applyBorder="1" applyAlignment="1">
      <alignment horizontal="left" vertical="center" wrapText="1"/>
    </xf>
    <xf numFmtId="0" fontId="4" fillId="0" borderId="49" xfId="0" applyFont="1" applyBorder="1" applyAlignment="1">
      <alignment horizontal="left" vertical="center" wrapText="1"/>
    </xf>
    <xf numFmtId="0" fontId="4" fillId="0" borderId="50" xfId="0" applyFont="1" applyBorder="1" applyAlignment="1">
      <alignment horizontal="left" vertical="center" wrapText="1"/>
    </xf>
    <xf numFmtId="0" fontId="4" fillId="0" borderId="45" xfId="0" applyFont="1" applyFill="1" applyBorder="1" applyAlignment="1">
      <alignment horizontal="left"/>
    </xf>
    <xf numFmtId="0" fontId="4" fillId="0" borderId="24" xfId="0" applyFont="1" applyFill="1" applyBorder="1" applyAlignment="1">
      <alignment horizontal="left" vertical="center" wrapText="1"/>
    </xf>
    <xf numFmtId="0" fontId="4" fillId="0" borderId="25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0" xfId="0" applyFont="1" applyFill="1" applyAlignment="1">
      <alignment horizontal="left"/>
    </xf>
    <xf numFmtId="0" fontId="4" fillId="0" borderId="25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0" fontId="4" fillId="0" borderId="0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5" fillId="0" borderId="0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left" vertical="center"/>
    </xf>
    <xf numFmtId="0" fontId="5" fillId="0" borderId="3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4" fontId="4" fillId="0" borderId="0" xfId="0" applyNumberFormat="1" applyFont="1" applyFill="1" applyAlignment="1">
      <alignment horizontal="center" vertical="top"/>
    </xf>
    <xf numFmtId="0" fontId="5" fillId="0" borderId="0" xfId="0" applyFont="1" applyFill="1" applyAlignment="1">
      <alignment horizontal="left"/>
    </xf>
    <xf numFmtId="4" fontId="5" fillId="0" borderId="0" xfId="0" applyNumberFormat="1" applyFont="1" applyFill="1" applyAlignment="1">
      <alignment horizontal="center" vertical="top"/>
    </xf>
    <xf numFmtId="0" fontId="4" fillId="0" borderId="44" xfId="0" applyFont="1" applyBorder="1" applyAlignment="1">
      <alignment horizontal="left" vertical="center" wrapText="1"/>
    </xf>
    <xf numFmtId="0" fontId="4" fillId="0" borderId="45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25" fillId="2" borderId="21" xfId="0" applyFont="1" applyFill="1" applyBorder="1" applyAlignment="1">
      <alignment horizontal="center" vertical="center" wrapText="1"/>
    </xf>
    <xf numFmtId="164" fontId="18" fillId="0" borderId="0" xfId="1" applyFont="1" applyBorder="1" applyAlignment="1">
      <alignment horizontal="center"/>
    </xf>
    <xf numFmtId="164" fontId="18" fillId="0" borderId="24" xfId="1" applyFont="1" applyBorder="1" applyAlignment="1">
      <alignment horizontal="center"/>
    </xf>
    <xf numFmtId="164" fontId="24" fillId="0" borderId="0" xfId="1" applyFont="1" applyBorder="1" applyAlignment="1">
      <alignment horizontal="center"/>
    </xf>
    <xf numFmtId="164" fontId="24" fillId="0" borderId="24" xfId="1" applyFont="1" applyBorder="1" applyAlignment="1">
      <alignment horizontal="center"/>
    </xf>
    <xf numFmtId="164" fontId="24" fillId="2" borderId="47" xfId="1" applyFont="1" applyFill="1" applyBorder="1" applyAlignment="1">
      <alignment horizontal="center" vertical="center"/>
    </xf>
    <xf numFmtId="164" fontId="24" fillId="2" borderId="48" xfId="1" applyFont="1" applyFill="1" applyBorder="1" applyAlignment="1">
      <alignment horizontal="center" vertical="center"/>
    </xf>
    <xf numFmtId="164" fontId="24" fillId="2" borderId="51" xfId="1" applyFont="1" applyFill="1" applyBorder="1" applyAlignment="1">
      <alignment horizontal="center" vertical="center"/>
    </xf>
    <xf numFmtId="164" fontId="24" fillId="0" borderId="0" xfId="1" applyFont="1" applyAlignment="1">
      <alignment horizontal="center"/>
    </xf>
    <xf numFmtId="164" fontId="18" fillId="0" borderId="23" xfId="1" applyFont="1" applyBorder="1" applyAlignment="1">
      <alignment horizontal="left" wrapText="1"/>
    </xf>
    <xf numFmtId="164" fontId="18" fillId="0" borderId="0" xfId="1" applyFont="1" applyBorder="1" applyAlignment="1">
      <alignment horizontal="left" wrapText="1"/>
    </xf>
    <xf numFmtId="164" fontId="18" fillId="0" borderId="0" xfId="1" applyFont="1" applyBorder="1" applyAlignment="1">
      <alignment horizontal="center" vertical="top"/>
    </xf>
    <xf numFmtId="164" fontId="18" fillId="0" borderId="24" xfId="1" applyFont="1" applyBorder="1" applyAlignment="1">
      <alignment horizontal="center" vertical="top"/>
    </xf>
    <xf numFmtId="164" fontId="10" fillId="0" borderId="0" xfId="1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4" fillId="0" borderId="62" xfId="0" applyFont="1" applyFill="1" applyBorder="1" applyAlignment="1">
      <alignment horizontal="left" vertical="center" wrapText="1"/>
    </xf>
    <xf numFmtId="0" fontId="4" fillId="0" borderId="63" xfId="0" applyFont="1" applyFill="1" applyBorder="1" applyAlignment="1">
      <alignment horizontal="left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horizontal="left" vertical="top" wrapText="1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 wrapText="1"/>
    </xf>
    <xf numFmtId="0" fontId="18" fillId="3" borderId="0" xfId="0" applyFont="1" applyFill="1" applyBorder="1" applyAlignment="1">
      <alignment horizontal="left" vertical="top"/>
    </xf>
    <xf numFmtId="0" fontId="18" fillId="3" borderId="24" xfId="0" applyFont="1" applyFill="1" applyBorder="1" applyAlignment="1">
      <alignment horizontal="left" vertical="top"/>
    </xf>
    <xf numFmtId="0" fontId="5" fillId="0" borderId="26" xfId="0" applyFont="1" applyBorder="1" applyAlignment="1">
      <alignment horizontal="left" vertical="center" wrapText="1"/>
    </xf>
    <xf numFmtId="0" fontId="5" fillId="0" borderId="27" xfId="0" applyFont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/>
    </xf>
    <xf numFmtId="0" fontId="5" fillId="0" borderId="45" xfId="0" applyFont="1" applyFill="1" applyBorder="1" applyAlignment="1">
      <alignment horizontal="left" wrapText="1"/>
    </xf>
    <xf numFmtId="0" fontId="5" fillId="3" borderId="0" xfId="0" applyFont="1" applyFill="1" applyBorder="1" applyAlignment="1">
      <alignment horizontal="left" vertical="top"/>
    </xf>
    <xf numFmtId="0" fontId="5" fillId="0" borderId="18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left" vertical="top"/>
    </xf>
    <xf numFmtId="0" fontId="5" fillId="0" borderId="38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wrapText="1"/>
    </xf>
  </cellXfs>
  <cellStyles count="4">
    <cellStyle name="Comma" xfId="1" builtinId="3"/>
    <cellStyle name="Comma 2" xf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146</xdr:row>
      <xdr:rowOff>34637</xdr:rowOff>
    </xdr:from>
    <xdr:to>
      <xdr:col>10</xdr:col>
      <xdr:colOff>1082386</xdr:colOff>
      <xdr:row>147</xdr:row>
      <xdr:rowOff>147205</xdr:rowOff>
    </xdr:to>
    <xdr:sp macro="" textlink="">
      <xdr:nvSpPr>
        <xdr:cNvPr id="4" name="TextBox 3"/>
        <xdr:cNvSpPr txBox="1"/>
      </xdr:nvSpPr>
      <xdr:spPr>
        <a:xfrm>
          <a:off x="8585488" y="34637"/>
          <a:ext cx="1326573" cy="3411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PH" sz="1200">
              <a:latin typeface="Cambria" panose="02040503050406030204" pitchFamily="18" charset="0"/>
              <a:ea typeface="Cambria" panose="02040503050406030204" pitchFamily="18" charset="0"/>
            </a:rPr>
            <a:t>October 13, 2022</a:t>
          </a:r>
        </a:p>
      </xdr:txBody>
    </xdr:sp>
    <xdr:clientData/>
  </xdr:twoCellAnchor>
  <xdr:twoCellAnchor>
    <xdr:from>
      <xdr:col>2</xdr:col>
      <xdr:colOff>0</xdr:colOff>
      <xdr:row>2672</xdr:row>
      <xdr:rowOff>0</xdr:rowOff>
    </xdr:from>
    <xdr:to>
      <xdr:col>3</xdr:col>
      <xdr:colOff>522405</xdr:colOff>
      <xdr:row>2672</xdr:row>
      <xdr:rowOff>0</xdr:rowOff>
    </xdr:to>
    <xdr:cxnSp macro="">
      <xdr:nvCxnSpPr>
        <xdr:cNvPr id="5" name="Straight Connector 4"/>
        <xdr:cNvCxnSpPr/>
      </xdr:nvCxnSpPr>
      <xdr:spPr>
        <a:xfrm>
          <a:off x="409575" y="935259750"/>
          <a:ext cx="1770180" cy="0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2277</xdr:row>
      <xdr:rowOff>0</xdr:rowOff>
    </xdr:from>
    <xdr:to>
      <xdr:col>3</xdr:col>
      <xdr:colOff>522405</xdr:colOff>
      <xdr:row>2277</xdr:row>
      <xdr:rowOff>0</xdr:rowOff>
    </xdr:to>
    <xdr:cxnSp macro="">
      <xdr:nvCxnSpPr>
        <xdr:cNvPr id="3" name="Straight Connector 2"/>
        <xdr:cNvCxnSpPr/>
      </xdr:nvCxnSpPr>
      <xdr:spPr>
        <a:xfrm>
          <a:off x="2390775" y="639775200"/>
          <a:ext cx="1770180" cy="0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104"/>
  <sheetViews>
    <sheetView view="pageBreakPreview" topLeftCell="A366" zoomScale="120" zoomScaleNormal="100" zoomScaleSheetLayoutView="120" workbookViewId="0">
      <selection activeCell="K164" sqref="K164"/>
    </sheetView>
  </sheetViews>
  <sheetFormatPr defaultRowHeight="15.75" x14ac:dyDescent="0.25"/>
  <cols>
    <col min="2" max="2" width="7.5703125" style="8" customWidth="1"/>
    <col min="3" max="3" width="18.7109375" style="9" customWidth="1"/>
    <col min="4" max="4" width="45.5703125" style="8" customWidth="1"/>
    <col min="5" max="5" width="18.5703125" style="8" hidden="1" customWidth="1"/>
    <col min="6" max="6" width="5.28515625" style="8" hidden="1" customWidth="1"/>
    <col min="7" max="7" width="16" style="8" hidden="1" customWidth="1"/>
    <col min="8" max="8" width="16.7109375" style="4" hidden="1" customWidth="1"/>
    <col min="9" max="9" width="17.140625" style="5" hidden="1" customWidth="1"/>
    <col min="10" max="10" width="16.85546875" style="4" hidden="1" customWidth="1"/>
    <col min="11" max="11" width="18.28515625" style="4" customWidth="1"/>
    <col min="12" max="12" width="16.85546875" style="4" customWidth="1"/>
    <col min="13" max="13" width="19.140625" style="10" customWidth="1"/>
    <col min="14" max="14" width="19.85546875" style="10" customWidth="1"/>
  </cols>
  <sheetData>
    <row r="1" spans="2:14" s="7" customFormat="1" ht="18" hidden="1" customHeight="1" x14ac:dyDescent="0.25">
      <c r="B1" s="908" t="s">
        <v>0</v>
      </c>
      <c r="C1" s="2"/>
      <c r="D1" s="3"/>
      <c r="E1" s="3"/>
      <c r="F1" s="3"/>
      <c r="G1" s="3"/>
      <c r="H1" s="4"/>
      <c r="I1" s="5"/>
      <c r="J1" s="4"/>
      <c r="K1" s="4"/>
      <c r="L1" s="4"/>
      <c r="M1" s="6"/>
      <c r="N1" s="6"/>
    </row>
    <row r="2" spans="2:14" hidden="1" x14ac:dyDescent="0.25"/>
    <row r="3" spans="2:14" ht="20.25" hidden="1" x14ac:dyDescent="0.3">
      <c r="B3" s="1584" t="s">
        <v>1</v>
      </c>
      <c r="C3" s="1584"/>
      <c r="D3" s="1584"/>
      <c r="E3" s="1584"/>
      <c r="F3" s="1584"/>
      <c r="G3" s="1584"/>
      <c r="H3" s="1584"/>
      <c r="I3" s="1584"/>
      <c r="J3" s="1584"/>
      <c r="K3" s="1584"/>
      <c r="L3" s="814"/>
    </row>
    <row r="4" spans="2:14" ht="18" hidden="1" x14ac:dyDescent="0.25">
      <c r="B4" s="1585" t="s">
        <v>2</v>
      </c>
      <c r="C4" s="1585"/>
      <c r="D4" s="1586"/>
      <c r="E4" s="1586"/>
      <c r="F4" s="1585"/>
      <c r="G4" s="1585"/>
      <c r="H4" s="1585"/>
      <c r="I4" s="1585"/>
      <c r="J4" s="1585"/>
      <c r="K4" s="1585"/>
      <c r="L4" s="815"/>
    </row>
    <row r="5" spans="2:14" ht="18" hidden="1" x14ac:dyDescent="0.25">
      <c r="B5" s="909"/>
      <c r="C5" s="815"/>
      <c r="D5" s="816" t="s">
        <v>3</v>
      </c>
      <c r="E5" s="816"/>
      <c r="F5" s="815"/>
      <c r="G5" s="815"/>
      <c r="H5" s="11"/>
      <c r="I5" s="11"/>
      <c r="J5" s="11"/>
      <c r="K5" s="11"/>
      <c r="L5" s="11"/>
    </row>
    <row r="6" spans="2:14" ht="15" hidden="1" customHeight="1" x14ac:dyDescent="0.25">
      <c r="B6" s="1587" t="s">
        <v>4</v>
      </c>
      <c r="C6" s="1587"/>
      <c r="D6" s="1588"/>
      <c r="E6" s="1588"/>
      <c r="F6" s="1589"/>
      <c r="G6" s="1590" t="s">
        <v>5</v>
      </c>
      <c r="H6" s="1593" t="s">
        <v>6</v>
      </c>
      <c r="I6" s="1596" t="s">
        <v>7</v>
      </c>
      <c r="J6" s="817"/>
      <c r="K6" s="1599" t="s">
        <v>8</v>
      </c>
      <c r="L6" s="817"/>
    </row>
    <row r="7" spans="2:14" ht="15" hidden="1" customHeight="1" x14ac:dyDescent="0.25">
      <c r="B7" s="1587"/>
      <c r="C7" s="1587"/>
      <c r="D7" s="1588"/>
      <c r="E7" s="1588"/>
      <c r="F7" s="1589"/>
      <c r="G7" s="1591"/>
      <c r="H7" s="1594"/>
      <c r="I7" s="1597"/>
      <c r="J7" s="818"/>
      <c r="K7" s="1600"/>
      <c r="L7" s="818"/>
    </row>
    <row r="8" spans="2:14" ht="15" hidden="1" customHeight="1" x14ac:dyDescent="0.25">
      <c r="B8" s="1587"/>
      <c r="C8" s="1587"/>
      <c r="D8" s="1588"/>
      <c r="E8" s="1588"/>
      <c r="F8" s="1589"/>
      <c r="G8" s="1591"/>
      <c r="H8" s="1594"/>
      <c r="I8" s="1597"/>
      <c r="J8" s="818"/>
      <c r="K8" s="1600"/>
      <c r="L8" s="818"/>
    </row>
    <row r="9" spans="2:14" ht="15" hidden="1" customHeight="1" x14ac:dyDescent="0.25">
      <c r="B9" s="1587"/>
      <c r="C9" s="1587"/>
      <c r="D9" s="1588"/>
      <c r="E9" s="1588"/>
      <c r="F9" s="1589"/>
      <c r="G9" s="1591"/>
      <c r="H9" s="1594"/>
      <c r="I9" s="1597"/>
      <c r="J9" s="818"/>
      <c r="K9" s="1600"/>
      <c r="L9" s="818"/>
    </row>
    <row r="10" spans="2:14" ht="15" hidden="1" customHeight="1" x14ac:dyDescent="0.25">
      <c r="B10" s="1587"/>
      <c r="C10" s="1587"/>
      <c r="D10" s="1588"/>
      <c r="E10" s="1588"/>
      <c r="F10" s="1589"/>
      <c r="G10" s="1592"/>
      <c r="H10" s="1595"/>
      <c r="I10" s="1598"/>
      <c r="J10" s="819"/>
      <c r="K10" s="1601"/>
      <c r="L10" s="819"/>
    </row>
    <row r="11" spans="2:14" ht="18" hidden="1" customHeight="1" x14ac:dyDescent="0.25">
      <c r="B11" s="1570" t="s">
        <v>9</v>
      </c>
      <c r="C11" s="1571"/>
      <c r="D11" s="1572"/>
      <c r="E11" s="1572"/>
      <c r="F11" s="1573"/>
      <c r="G11" s="548"/>
      <c r="H11" s="549"/>
      <c r="I11" s="550"/>
      <c r="J11" s="550"/>
      <c r="K11" s="550"/>
      <c r="L11" s="550"/>
    </row>
    <row r="12" spans="2:14" ht="18" hidden="1" customHeight="1" x14ac:dyDescent="0.25">
      <c r="B12" s="910" t="s">
        <v>10</v>
      </c>
      <c r="C12" s="1574" t="s">
        <v>11</v>
      </c>
      <c r="D12" s="1575"/>
      <c r="E12" s="1575"/>
      <c r="F12" s="1576"/>
      <c r="G12" s="13"/>
      <c r="H12" s="14"/>
      <c r="I12" s="15">
        <f>48062338.53+20000000+3000000+2399320.06+1000000</f>
        <v>74461658.590000004</v>
      </c>
      <c r="J12" s="15"/>
      <c r="K12" s="15"/>
      <c r="L12" s="15"/>
    </row>
    <row r="13" spans="2:14" ht="18" hidden="1" customHeight="1" x14ac:dyDescent="0.25">
      <c r="B13" s="911" t="s">
        <v>12</v>
      </c>
      <c r="C13" s="1574" t="s">
        <v>13</v>
      </c>
      <c r="D13" s="1575"/>
      <c r="E13" s="1575"/>
      <c r="F13" s="1576"/>
      <c r="G13" s="13"/>
      <c r="H13" s="14"/>
      <c r="I13" s="15">
        <v>14242804.09</v>
      </c>
      <c r="J13" s="15"/>
      <c r="K13" s="15"/>
      <c r="L13" s="15"/>
    </row>
    <row r="14" spans="2:14" ht="18" hidden="1" customHeight="1" x14ac:dyDescent="0.25">
      <c r="B14" s="910" t="s">
        <v>12</v>
      </c>
      <c r="C14" s="1574" t="s">
        <v>14</v>
      </c>
      <c r="D14" s="1575"/>
      <c r="E14" s="1575"/>
      <c r="F14" s="1576"/>
      <c r="G14" s="13"/>
      <c r="H14" s="17"/>
      <c r="I14" s="18">
        <v>16310186.460000001</v>
      </c>
      <c r="J14" s="18"/>
      <c r="K14" s="18"/>
      <c r="L14" s="18"/>
    </row>
    <row r="15" spans="2:14" ht="18" hidden="1" customHeight="1" x14ac:dyDescent="0.25">
      <c r="B15" s="1577" t="s">
        <v>15</v>
      </c>
      <c r="C15" s="1578"/>
      <c r="D15" s="1579"/>
      <c r="E15" s="1579"/>
      <c r="F15" s="1580"/>
      <c r="G15" s="13"/>
      <c r="H15" s="17"/>
      <c r="I15" s="19">
        <f>SUM(I12:I14)</f>
        <v>105014649.14000002</v>
      </c>
      <c r="J15" s="20"/>
      <c r="K15" s="20">
        <f>SUM(K12:K14)</f>
        <v>0</v>
      </c>
      <c r="L15" s="20"/>
    </row>
    <row r="16" spans="2:14" ht="18" hidden="1" customHeight="1" x14ac:dyDescent="0.25">
      <c r="B16" s="1581" t="s">
        <v>16</v>
      </c>
      <c r="C16" s="1582"/>
      <c r="D16" s="1572"/>
      <c r="E16" s="1572"/>
      <c r="F16" s="1583"/>
      <c r="G16" s="13"/>
      <c r="H16" s="17"/>
      <c r="I16" s="17"/>
      <c r="J16" s="21"/>
      <c r="K16" s="20"/>
      <c r="L16" s="21"/>
    </row>
    <row r="17" spans="2:12" ht="18" hidden="1" x14ac:dyDescent="0.25">
      <c r="B17" s="912" t="s">
        <v>17</v>
      </c>
      <c r="C17" s="23" t="s">
        <v>18</v>
      </c>
      <c r="D17" s="24" t="s">
        <v>19</v>
      </c>
      <c r="E17" s="24"/>
      <c r="F17" s="25"/>
      <c r="G17" s="26"/>
      <c r="H17" s="27"/>
      <c r="I17" s="27"/>
      <c r="J17" s="28"/>
      <c r="K17" s="29"/>
      <c r="L17" s="28"/>
    </row>
    <row r="18" spans="2:12" ht="18" hidden="1" x14ac:dyDescent="0.25">
      <c r="B18" s="912"/>
      <c r="C18" s="23" t="s">
        <v>20</v>
      </c>
      <c r="D18" s="24" t="s">
        <v>21</v>
      </c>
      <c r="E18" s="24"/>
      <c r="F18" s="25"/>
      <c r="G18" s="26"/>
      <c r="H18" s="27"/>
      <c r="I18" s="27"/>
      <c r="J18" s="28"/>
      <c r="K18" s="29"/>
      <c r="L18" s="28"/>
    </row>
    <row r="19" spans="2:12" ht="18" hidden="1" x14ac:dyDescent="0.25">
      <c r="B19" s="912"/>
      <c r="C19" s="23" t="s">
        <v>22</v>
      </c>
      <c r="D19" s="24" t="s">
        <v>23</v>
      </c>
      <c r="E19" s="24"/>
      <c r="F19" s="25"/>
      <c r="G19" s="26"/>
      <c r="H19" s="27"/>
      <c r="I19" s="27"/>
      <c r="J19" s="28"/>
      <c r="K19" s="29"/>
      <c r="L19" s="28"/>
    </row>
    <row r="20" spans="2:12" hidden="1" x14ac:dyDescent="0.25">
      <c r="B20" s="913"/>
      <c r="D20" s="31" t="s">
        <v>24</v>
      </c>
      <c r="E20" s="32"/>
      <c r="F20" s="33"/>
      <c r="G20" s="26" t="s">
        <v>25</v>
      </c>
      <c r="H20" s="27"/>
      <c r="I20" s="34">
        <v>12000000</v>
      </c>
      <c r="J20" s="34"/>
      <c r="K20" s="34"/>
      <c r="L20" s="34"/>
    </row>
    <row r="21" spans="2:12" hidden="1" x14ac:dyDescent="0.25">
      <c r="B21" s="913"/>
      <c r="D21" s="31" t="s">
        <v>26</v>
      </c>
      <c r="E21" s="32"/>
      <c r="F21" s="33"/>
      <c r="G21" s="26" t="s">
        <v>25</v>
      </c>
      <c r="H21" s="27"/>
      <c r="I21" s="34">
        <v>1500000</v>
      </c>
      <c r="J21" s="34"/>
      <c r="K21" s="34"/>
      <c r="L21" s="34"/>
    </row>
    <row r="22" spans="2:12" hidden="1" x14ac:dyDescent="0.25">
      <c r="B22" s="913"/>
      <c r="D22" s="31" t="s">
        <v>27</v>
      </c>
      <c r="E22" s="32"/>
      <c r="F22" s="33"/>
      <c r="G22" s="26" t="s">
        <v>25</v>
      </c>
      <c r="H22" s="27"/>
      <c r="I22" s="34">
        <v>980000</v>
      </c>
      <c r="J22" s="34"/>
      <c r="K22" s="34"/>
      <c r="L22" s="34"/>
    </row>
    <row r="23" spans="2:12" hidden="1" x14ac:dyDescent="0.25">
      <c r="B23" s="913"/>
      <c r="D23" s="31" t="s">
        <v>28</v>
      </c>
      <c r="E23" s="32"/>
      <c r="F23" s="33"/>
      <c r="G23" s="26" t="s">
        <v>25</v>
      </c>
      <c r="H23" s="27"/>
      <c r="I23" s="29">
        <v>650000</v>
      </c>
      <c r="J23" s="29"/>
      <c r="K23" s="29"/>
      <c r="L23" s="29"/>
    </row>
    <row r="24" spans="2:12" hidden="1" x14ac:dyDescent="0.25">
      <c r="B24" s="913"/>
      <c r="D24" s="31" t="s">
        <v>29</v>
      </c>
      <c r="E24" s="32"/>
      <c r="F24" s="33"/>
      <c r="G24" s="26"/>
      <c r="H24" s="27"/>
      <c r="I24" s="29">
        <v>44000</v>
      </c>
      <c r="J24" s="29"/>
      <c r="K24" s="29"/>
      <c r="L24" s="29"/>
    </row>
    <row r="25" spans="2:12" ht="18" hidden="1" x14ac:dyDescent="0.25">
      <c r="B25" s="914"/>
      <c r="C25" s="36" t="s">
        <v>30</v>
      </c>
      <c r="D25" s="32" t="s">
        <v>31</v>
      </c>
      <c r="E25" s="32"/>
      <c r="F25" s="33"/>
      <c r="G25" s="26"/>
      <c r="H25" s="27"/>
      <c r="I25" s="29"/>
      <c r="J25" s="29"/>
      <c r="K25" s="29"/>
      <c r="L25" s="29"/>
    </row>
    <row r="26" spans="2:12" hidden="1" x14ac:dyDescent="0.25">
      <c r="B26" s="913"/>
      <c r="D26" s="31" t="s">
        <v>32</v>
      </c>
      <c r="E26" s="32"/>
      <c r="F26" s="33"/>
      <c r="G26" s="26" t="s">
        <v>25</v>
      </c>
      <c r="H26" s="27"/>
      <c r="I26" s="29">
        <v>100000</v>
      </c>
      <c r="J26" s="29"/>
      <c r="K26" s="29"/>
      <c r="L26" s="29"/>
    </row>
    <row r="27" spans="2:12" hidden="1" x14ac:dyDescent="0.25">
      <c r="B27" s="913"/>
      <c r="D27" s="31" t="s">
        <v>33</v>
      </c>
      <c r="E27" s="32"/>
      <c r="F27" s="33"/>
      <c r="G27" s="26" t="s">
        <v>25</v>
      </c>
      <c r="H27" s="27"/>
      <c r="I27" s="29">
        <v>160000</v>
      </c>
      <c r="J27" s="29"/>
      <c r="K27" s="29"/>
      <c r="L27" s="29"/>
    </row>
    <row r="28" spans="2:12" hidden="1" x14ac:dyDescent="0.25">
      <c r="B28" s="913"/>
      <c r="D28" s="31" t="s">
        <v>34</v>
      </c>
      <c r="E28" s="32"/>
      <c r="F28" s="33"/>
      <c r="G28" s="26" t="s">
        <v>25</v>
      </c>
      <c r="H28" s="27"/>
      <c r="I28" s="29">
        <v>30000</v>
      </c>
      <c r="J28" s="29"/>
      <c r="K28" s="29"/>
      <c r="L28" s="29"/>
    </row>
    <row r="29" spans="2:12" hidden="1" x14ac:dyDescent="0.25">
      <c r="B29" s="913"/>
      <c r="D29" s="31" t="s">
        <v>35</v>
      </c>
      <c r="E29" s="32"/>
      <c r="F29" s="33"/>
      <c r="G29" s="26" t="s">
        <v>25</v>
      </c>
      <c r="H29" s="27"/>
      <c r="I29" s="29">
        <v>42000000</v>
      </c>
      <c r="J29" s="29"/>
      <c r="K29" s="29"/>
      <c r="L29" s="29"/>
    </row>
    <row r="30" spans="2:12" hidden="1" x14ac:dyDescent="0.25">
      <c r="B30" s="913"/>
      <c r="D30" s="31" t="s">
        <v>36</v>
      </c>
      <c r="E30" s="32"/>
      <c r="F30" s="33"/>
      <c r="G30" s="26"/>
      <c r="H30" s="27"/>
      <c r="I30" s="29"/>
      <c r="J30" s="29"/>
      <c r="K30" s="29"/>
      <c r="L30" s="29"/>
    </row>
    <row r="31" spans="2:12" hidden="1" x14ac:dyDescent="0.25">
      <c r="B31" s="913"/>
      <c r="D31" s="31" t="s">
        <v>37</v>
      </c>
      <c r="E31" s="32"/>
      <c r="F31" s="33"/>
      <c r="G31" s="26" t="s">
        <v>25</v>
      </c>
      <c r="H31" s="27"/>
      <c r="I31" s="29">
        <v>700000</v>
      </c>
      <c r="J31" s="29"/>
      <c r="K31" s="29"/>
      <c r="L31" s="29"/>
    </row>
    <row r="32" spans="2:12" ht="18" hidden="1" x14ac:dyDescent="0.25">
      <c r="B32" s="915"/>
      <c r="C32" s="36" t="s">
        <v>38</v>
      </c>
      <c r="D32" s="32" t="s">
        <v>39</v>
      </c>
      <c r="E32" s="32"/>
      <c r="F32" s="33"/>
      <c r="G32" s="26"/>
      <c r="H32" s="27"/>
      <c r="I32" s="29"/>
      <c r="J32" s="29"/>
      <c r="K32" s="29"/>
      <c r="L32" s="29"/>
    </row>
    <row r="33" spans="2:14" hidden="1" x14ac:dyDescent="0.25">
      <c r="B33" s="915"/>
      <c r="D33" s="31" t="s">
        <v>40</v>
      </c>
      <c r="E33" s="32"/>
      <c r="F33" s="33"/>
      <c r="G33" s="26" t="s">
        <v>25</v>
      </c>
      <c r="H33" s="27"/>
      <c r="I33" s="29">
        <v>130000</v>
      </c>
      <c r="J33" s="29"/>
      <c r="K33" s="29"/>
      <c r="L33" s="29"/>
    </row>
    <row r="34" spans="2:14" hidden="1" x14ac:dyDescent="0.25">
      <c r="B34" s="915"/>
      <c r="D34" s="31" t="s">
        <v>41</v>
      </c>
      <c r="E34" s="32"/>
      <c r="F34" s="33"/>
      <c r="G34" s="26" t="s">
        <v>25</v>
      </c>
      <c r="H34" s="27"/>
      <c r="I34" s="29">
        <v>1500000</v>
      </c>
      <c r="J34" s="29"/>
      <c r="K34" s="29"/>
      <c r="L34" s="29"/>
    </row>
    <row r="35" spans="2:14" ht="18" hidden="1" x14ac:dyDescent="0.25">
      <c r="B35" s="915"/>
      <c r="D35" s="551" t="s">
        <v>42</v>
      </c>
      <c r="E35" s="552"/>
      <c r="F35" s="33"/>
      <c r="G35" s="26" t="s">
        <v>25</v>
      </c>
      <c r="H35" s="27"/>
      <c r="I35" s="29">
        <v>5000</v>
      </c>
      <c r="J35" s="29"/>
      <c r="K35" s="29"/>
      <c r="L35" s="29"/>
    </row>
    <row r="36" spans="2:14" ht="18" hidden="1" x14ac:dyDescent="0.25">
      <c r="B36" s="915"/>
      <c r="D36" s="38" t="s">
        <v>43</v>
      </c>
      <c r="E36" s="33"/>
      <c r="F36" s="33"/>
      <c r="G36" s="26"/>
      <c r="H36" s="27"/>
      <c r="I36" s="29"/>
      <c r="J36" s="29"/>
      <c r="K36" s="29"/>
      <c r="L36" s="29"/>
    </row>
    <row r="37" spans="2:14" ht="18" hidden="1" customHeight="1" x14ac:dyDescent="0.25">
      <c r="B37" s="915"/>
      <c r="D37" s="39" t="s">
        <v>44</v>
      </c>
      <c r="E37" s="33"/>
      <c r="F37" s="33"/>
      <c r="G37" s="26"/>
      <c r="H37" s="27"/>
      <c r="I37" s="29"/>
      <c r="J37" s="29"/>
      <c r="K37" s="29"/>
      <c r="L37" s="29"/>
    </row>
    <row r="38" spans="2:14" ht="18" hidden="1" x14ac:dyDescent="0.25">
      <c r="B38" s="912"/>
      <c r="C38" s="23" t="s">
        <v>45</v>
      </c>
      <c r="D38" s="23"/>
      <c r="E38" s="23"/>
      <c r="F38" s="25"/>
      <c r="G38" s="26"/>
      <c r="H38" s="27"/>
      <c r="I38" s="29"/>
      <c r="J38" s="29"/>
      <c r="K38" s="29"/>
      <c r="L38" s="29"/>
    </row>
    <row r="39" spans="2:14" ht="18" hidden="1" x14ac:dyDescent="0.25">
      <c r="B39" s="916"/>
      <c r="C39" s="36" t="s">
        <v>46</v>
      </c>
      <c r="D39" s="41"/>
      <c r="E39" s="33"/>
      <c r="F39" s="33"/>
      <c r="G39" s="26"/>
      <c r="H39" s="27"/>
      <c r="I39" s="29"/>
      <c r="J39" s="29"/>
      <c r="K39" s="29"/>
      <c r="L39" s="29"/>
    </row>
    <row r="40" spans="2:14" s="48" customFormat="1" ht="18" hidden="1" x14ac:dyDescent="0.25">
      <c r="B40" s="917"/>
      <c r="C40" s="43"/>
      <c r="D40" s="44" t="s">
        <v>47</v>
      </c>
      <c r="E40" s="45"/>
      <c r="F40" s="45"/>
      <c r="G40" s="46" t="s">
        <v>25</v>
      </c>
      <c r="H40" s="27"/>
      <c r="I40" s="29">
        <v>2200000</v>
      </c>
      <c r="J40" s="29"/>
      <c r="K40" s="29"/>
      <c r="L40" s="29"/>
      <c r="M40" s="47"/>
      <c r="N40" s="47"/>
    </row>
    <row r="41" spans="2:14" s="48" customFormat="1" ht="18" hidden="1" x14ac:dyDescent="0.25">
      <c r="B41" s="917"/>
      <c r="C41" s="43"/>
      <c r="D41" s="44" t="s">
        <v>48</v>
      </c>
      <c r="E41" s="45"/>
      <c r="F41" s="45"/>
      <c r="G41" s="46"/>
      <c r="H41" s="27"/>
      <c r="I41" s="29">
        <v>75000</v>
      </c>
      <c r="J41" s="29"/>
      <c r="K41" s="29"/>
      <c r="L41" s="29"/>
      <c r="M41" s="47"/>
      <c r="N41" s="47"/>
    </row>
    <row r="42" spans="2:14" s="48" customFormat="1" ht="18" hidden="1" x14ac:dyDescent="0.25">
      <c r="B42" s="917"/>
      <c r="C42" s="43"/>
      <c r="D42" s="44" t="s">
        <v>49</v>
      </c>
      <c r="E42" s="45"/>
      <c r="F42" s="45"/>
      <c r="G42" s="46" t="s">
        <v>25</v>
      </c>
      <c r="H42" s="27"/>
      <c r="I42" s="29">
        <v>1000000</v>
      </c>
      <c r="J42" s="29"/>
      <c r="K42" s="29"/>
      <c r="L42" s="29"/>
      <c r="M42" s="47"/>
      <c r="N42" s="47"/>
    </row>
    <row r="43" spans="2:14" s="48" customFormat="1" ht="18" hidden="1" customHeight="1" x14ac:dyDescent="0.25">
      <c r="B43" s="917"/>
      <c r="C43" s="43"/>
      <c r="D43" s="826" t="s">
        <v>50</v>
      </c>
      <c r="E43" s="45"/>
      <c r="F43" s="45"/>
      <c r="G43" s="46" t="s">
        <v>25</v>
      </c>
      <c r="H43" s="27"/>
      <c r="I43" s="29">
        <v>2000</v>
      </c>
      <c r="J43" s="29"/>
      <c r="K43" s="29"/>
      <c r="L43" s="29"/>
      <c r="M43" s="47"/>
      <c r="N43" s="47"/>
    </row>
    <row r="44" spans="2:14" s="48" customFormat="1" ht="18" hidden="1" x14ac:dyDescent="0.25">
      <c r="B44" s="917"/>
      <c r="C44" s="43"/>
      <c r="D44" s="44" t="s">
        <v>51</v>
      </c>
      <c r="E44" s="45"/>
      <c r="F44" s="45"/>
      <c r="G44" s="46" t="s">
        <v>25</v>
      </c>
      <c r="H44" s="27"/>
      <c r="I44" s="29">
        <v>60000</v>
      </c>
      <c r="J44" s="29"/>
      <c r="K44" s="29"/>
      <c r="L44" s="29"/>
      <c r="M44" s="47"/>
      <c r="N44" s="47"/>
    </row>
    <row r="45" spans="2:14" s="48" customFormat="1" ht="18" hidden="1" x14ac:dyDescent="0.25">
      <c r="B45" s="917"/>
      <c r="C45" s="43"/>
      <c r="D45" s="44" t="s">
        <v>52</v>
      </c>
      <c r="E45" s="45"/>
      <c r="F45" s="45"/>
      <c r="G45" s="46" t="s">
        <v>25</v>
      </c>
      <c r="H45" s="27"/>
      <c r="I45" s="29">
        <v>72000</v>
      </c>
      <c r="J45" s="29"/>
      <c r="K45" s="29"/>
      <c r="L45" s="29"/>
      <c r="M45" s="47"/>
      <c r="N45" s="47"/>
    </row>
    <row r="46" spans="2:14" s="48" customFormat="1" ht="18" hidden="1" x14ac:dyDescent="0.25">
      <c r="B46" s="917"/>
      <c r="C46" s="43"/>
      <c r="D46" s="44" t="s">
        <v>53</v>
      </c>
      <c r="E46" s="45"/>
      <c r="F46" s="45"/>
      <c r="G46" s="46" t="s">
        <v>25</v>
      </c>
      <c r="H46" s="27"/>
      <c r="I46" s="29">
        <v>9600</v>
      </c>
      <c r="J46" s="29"/>
      <c r="K46" s="29"/>
      <c r="L46" s="29"/>
      <c r="M46" s="47"/>
      <c r="N46" s="47"/>
    </row>
    <row r="47" spans="2:14" s="48" customFormat="1" ht="18" hidden="1" x14ac:dyDescent="0.25">
      <c r="B47" s="917"/>
      <c r="C47" s="43"/>
      <c r="D47" s="44" t="s">
        <v>54</v>
      </c>
      <c r="E47" s="45"/>
      <c r="F47" s="45"/>
      <c r="G47" s="46" t="s">
        <v>25</v>
      </c>
      <c r="H47" s="27"/>
      <c r="I47" s="29">
        <v>1700000</v>
      </c>
      <c r="J47" s="29"/>
      <c r="K47" s="29"/>
      <c r="L47" s="29"/>
      <c r="M47" s="47"/>
      <c r="N47" s="47"/>
    </row>
    <row r="48" spans="2:14" s="48" customFormat="1" ht="18" hidden="1" customHeight="1" x14ac:dyDescent="0.25">
      <c r="B48" s="917"/>
      <c r="C48" s="43"/>
      <c r="D48" s="826" t="s">
        <v>55</v>
      </c>
      <c r="E48" s="45"/>
      <c r="F48" s="45"/>
      <c r="G48" s="46" t="s">
        <v>25</v>
      </c>
      <c r="H48" s="27"/>
      <c r="I48" s="29">
        <v>1850000</v>
      </c>
      <c r="J48" s="29"/>
      <c r="K48" s="29"/>
      <c r="L48" s="29"/>
      <c r="M48" s="47"/>
      <c r="N48" s="47"/>
    </row>
    <row r="49" spans="2:14" s="48" customFormat="1" ht="36.75" hidden="1" customHeight="1" x14ac:dyDescent="0.25">
      <c r="B49" s="917"/>
      <c r="C49" s="43"/>
      <c r="D49" s="1574" t="s">
        <v>56</v>
      </c>
      <c r="E49" s="1574"/>
      <c r="F49" s="1576"/>
      <c r="G49" s="46" t="s">
        <v>25</v>
      </c>
      <c r="H49" s="27"/>
      <c r="I49" s="29">
        <v>54000</v>
      </c>
      <c r="J49" s="29"/>
      <c r="K49" s="29"/>
      <c r="L49" s="29"/>
      <c r="M49" s="47"/>
      <c r="N49" s="47"/>
    </row>
    <row r="50" spans="2:14" s="48" customFormat="1" ht="18" hidden="1" customHeight="1" x14ac:dyDescent="0.25">
      <c r="B50" s="917"/>
      <c r="C50" s="43"/>
      <c r="D50" s="49" t="s">
        <v>57</v>
      </c>
      <c r="E50" s="45"/>
      <c r="F50" s="45"/>
      <c r="G50" s="46" t="s">
        <v>25</v>
      </c>
      <c r="H50" s="27"/>
      <c r="I50" s="29">
        <v>20000</v>
      </c>
      <c r="J50" s="29"/>
      <c r="K50" s="29"/>
      <c r="L50" s="29"/>
      <c r="M50" s="47"/>
      <c r="N50" s="47"/>
    </row>
    <row r="51" spans="2:14" s="48" customFormat="1" ht="34.5" hidden="1" customHeight="1" x14ac:dyDescent="0.25">
      <c r="B51" s="917"/>
      <c r="C51" s="43"/>
      <c r="D51" s="1574" t="s">
        <v>58</v>
      </c>
      <c r="E51" s="1574"/>
      <c r="F51" s="1576"/>
      <c r="G51" s="46" t="s">
        <v>25</v>
      </c>
      <c r="H51" s="27"/>
      <c r="I51" s="29">
        <v>15000</v>
      </c>
      <c r="J51" s="29"/>
      <c r="K51" s="29"/>
      <c r="L51" s="29"/>
      <c r="M51" s="47"/>
      <c r="N51" s="47"/>
    </row>
    <row r="52" spans="2:14" ht="35.25" hidden="1" customHeight="1" x14ac:dyDescent="0.25">
      <c r="B52" s="915"/>
      <c r="D52" s="1574" t="s">
        <v>59</v>
      </c>
      <c r="E52" s="1574"/>
      <c r="F52" s="1576"/>
      <c r="G52" s="46" t="s">
        <v>25</v>
      </c>
      <c r="H52" s="27"/>
      <c r="I52" s="29">
        <v>30000</v>
      </c>
      <c r="J52" s="29"/>
      <c r="K52" s="29"/>
      <c r="L52" s="29"/>
    </row>
    <row r="53" spans="2:14" s="48" customFormat="1" ht="18" hidden="1" customHeight="1" x14ac:dyDescent="0.25">
      <c r="B53" s="917"/>
      <c r="C53" s="43"/>
      <c r="D53" s="44" t="s">
        <v>60</v>
      </c>
      <c r="E53" s="45"/>
      <c r="F53" s="45"/>
      <c r="G53" s="46" t="s">
        <v>25</v>
      </c>
      <c r="H53" s="50"/>
      <c r="I53" s="29"/>
      <c r="J53" s="29"/>
      <c r="K53" s="29"/>
      <c r="L53" s="29"/>
      <c r="M53" s="47"/>
      <c r="N53" s="47"/>
    </row>
    <row r="54" spans="2:14" s="48" customFormat="1" ht="18" hidden="1" customHeight="1" x14ac:dyDescent="0.25">
      <c r="B54" s="917"/>
      <c r="C54" s="43"/>
      <c r="D54" s="44" t="s">
        <v>61</v>
      </c>
      <c r="E54" s="45"/>
      <c r="F54" s="45"/>
      <c r="G54" s="46" t="s">
        <v>25</v>
      </c>
      <c r="H54" s="27"/>
      <c r="I54" s="29">
        <v>969600</v>
      </c>
      <c r="J54" s="29"/>
      <c r="K54" s="29"/>
      <c r="L54" s="29"/>
      <c r="M54" s="47"/>
      <c r="N54" s="47"/>
    </row>
    <row r="55" spans="2:14" s="48" customFormat="1" ht="36" hidden="1" customHeight="1" x14ac:dyDescent="0.25">
      <c r="B55" s="917"/>
      <c r="C55" s="43"/>
      <c r="D55" s="1574" t="s">
        <v>62</v>
      </c>
      <c r="E55" s="1574"/>
      <c r="F55" s="1576"/>
      <c r="G55" s="46" t="s">
        <v>25</v>
      </c>
      <c r="H55" s="27"/>
      <c r="I55" s="29">
        <v>750000</v>
      </c>
      <c r="J55" s="29"/>
      <c r="K55" s="29"/>
      <c r="L55" s="29"/>
      <c r="M55" s="47"/>
      <c r="N55" s="47"/>
    </row>
    <row r="56" spans="2:14" ht="18" hidden="1" customHeight="1" x14ac:dyDescent="0.25">
      <c r="B56" s="915"/>
      <c r="D56" s="826" t="s">
        <v>63</v>
      </c>
      <c r="E56" s="33"/>
      <c r="F56" s="33"/>
      <c r="G56" s="46" t="s">
        <v>25</v>
      </c>
      <c r="H56" s="27"/>
      <c r="I56" s="29">
        <v>25000</v>
      </c>
      <c r="J56" s="29"/>
      <c r="K56" s="29"/>
      <c r="L56" s="29"/>
    </row>
    <row r="57" spans="2:14" ht="35.25" hidden="1" customHeight="1" x14ac:dyDescent="0.25">
      <c r="B57" s="915"/>
      <c r="C57" s="51"/>
      <c r="D57" s="1574" t="s">
        <v>64</v>
      </c>
      <c r="E57" s="1574"/>
      <c r="F57" s="1576"/>
      <c r="G57" s="46" t="s">
        <v>25</v>
      </c>
      <c r="H57" s="27"/>
      <c r="I57" s="29">
        <v>30000</v>
      </c>
      <c r="J57" s="29"/>
      <c r="K57" s="29"/>
      <c r="L57" s="29"/>
    </row>
    <row r="58" spans="2:14" ht="20.25" hidden="1" customHeight="1" x14ac:dyDescent="0.25">
      <c r="B58" s="591"/>
      <c r="C58" s="51"/>
      <c r="D58" s="808"/>
      <c r="E58" s="808"/>
      <c r="F58" s="809"/>
      <c r="G58" s="53"/>
      <c r="H58" s="54"/>
      <c r="I58" s="54"/>
      <c r="J58" s="54"/>
      <c r="K58" s="55"/>
      <c r="L58" s="54"/>
    </row>
    <row r="59" spans="2:14" ht="20.25" hidden="1" customHeight="1" x14ac:dyDescent="0.25">
      <c r="B59" s="591"/>
      <c r="C59" s="51"/>
      <c r="D59" s="808"/>
      <c r="E59" s="808"/>
      <c r="F59" s="809"/>
      <c r="G59" s="53"/>
      <c r="H59" s="54"/>
      <c r="I59" s="54"/>
      <c r="J59" s="54"/>
      <c r="K59" s="55"/>
      <c r="L59" s="54"/>
    </row>
    <row r="60" spans="2:14" ht="20.25" hidden="1" customHeight="1" x14ac:dyDescent="0.25">
      <c r="B60" s="591"/>
      <c r="C60" s="51"/>
      <c r="D60" s="808"/>
      <c r="E60" s="808"/>
      <c r="F60" s="809"/>
      <c r="G60" s="53"/>
      <c r="H60" s="54"/>
      <c r="I60" s="54"/>
      <c r="J60" s="54"/>
      <c r="K60" s="55"/>
      <c r="L60" s="54"/>
    </row>
    <row r="61" spans="2:14" ht="20.25" hidden="1" customHeight="1" x14ac:dyDescent="0.25">
      <c r="B61" s="591"/>
      <c r="C61" s="51"/>
      <c r="D61" s="808"/>
      <c r="E61" s="808"/>
      <c r="F61" s="809"/>
      <c r="G61" s="53"/>
      <c r="H61" s="54"/>
      <c r="I61" s="54"/>
      <c r="J61" s="54"/>
      <c r="K61" s="55"/>
      <c r="L61" s="54"/>
    </row>
    <row r="62" spans="2:14" ht="20.25" hidden="1" customHeight="1" x14ac:dyDescent="0.25">
      <c r="B62" s="591"/>
      <c r="C62" s="51"/>
      <c r="D62" s="808"/>
      <c r="E62" s="808"/>
      <c r="F62" s="809"/>
      <c r="G62" s="53"/>
      <c r="H62" s="54"/>
      <c r="I62" s="54"/>
      <c r="J62" s="54"/>
      <c r="K62" s="55"/>
      <c r="L62" s="54"/>
    </row>
    <row r="63" spans="2:14" ht="20.25" hidden="1" customHeight="1" x14ac:dyDescent="0.25">
      <c r="B63" s="591"/>
      <c r="C63" s="51"/>
      <c r="D63" s="808"/>
      <c r="E63" s="808"/>
      <c r="F63" s="809"/>
      <c r="G63" s="53"/>
      <c r="H63" s="54"/>
      <c r="I63" s="54"/>
      <c r="J63" s="54"/>
      <c r="K63" s="55"/>
      <c r="L63" s="54"/>
    </row>
    <row r="64" spans="2:14" ht="20.25" hidden="1" customHeight="1" x14ac:dyDescent="0.25">
      <c r="B64" s="591"/>
      <c r="C64" s="51"/>
      <c r="D64" s="808"/>
      <c r="E64" s="808"/>
      <c r="F64" s="809"/>
      <c r="G64" s="53"/>
      <c r="H64" s="54"/>
      <c r="I64" s="54"/>
      <c r="J64" s="54"/>
      <c r="K64" s="55"/>
      <c r="L64" s="54"/>
    </row>
    <row r="65" spans="2:12" ht="20.25" hidden="1" customHeight="1" x14ac:dyDescent="0.25">
      <c r="B65" s="591"/>
      <c r="C65" s="51"/>
      <c r="D65" s="808"/>
      <c r="E65" s="808"/>
      <c r="F65" s="809"/>
      <c r="G65" s="53"/>
      <c r="H65" s="54"/>
      <c r="I65" s="54"/>
      <c r="J65" s="54"/>
      <c r="K65" s="55"/>
      <c r="L65" s="54"/>
    </row>
    <row r="66" spans="2:12" ht="20.25" hidden="1" customHeight="1" x14ac:dyDescent="0.25">
      <c r="B66" s="591"/>
      <c r="C66" s="51"/>
      <c r="D66" s="808"/>
      <c r="E66" s="808"/>
      <c r="F66" s="809"/>
      <c r="G66" s="53"/>
      <c r="H66" s="54"/>
      <c r="I66" s="54"/>
      <c r="J66" s="54"/>
      <c r="K66" s="55"/>
      <c r="L66" s="54"/>
    </row>
    <row r="67" spans="2:12" ht="20.25" hidden="1" customHeight="1" x14ac:dyDescent="0.25">
      <c r="B67" s="591"/>
      <c r="C67" s="51"/>
      <c r="D67" s="808"/>
      <c r="E67" s="808"/>
      <c r="F67" s="809"/>
      <c r="G67" s="53"/>
      <c r="H67" s="54"/>
      <c r="I67" s="54"/>
      <c r="J67" s="54"/>
      <c r="K67" s="55"/>
      <c r="L67" s="54"/>
    </row>
    <row r="68" spans="2:12" ht="20.25" hidden="1" customHeight="1" x14ac:dyDescent="0.25">
      <c r="B68" s="591"/>
      <c r="C68" s="51"/>
      <c r="D68" s="808"/>
      <c r="E68" s="808"/>
      <c r="F68" s="809"/>
      <c r="G68" s="53"/>
      <c r="H68" s="54"/>
      <c r="I68" s="54"/>
      <c r="J68" s="54"/>
      <c r="K68" s="55"/>
      <c r="L68" s="54"/>
    </row>
    <row r="69" spans="2:12" ht="15" hidden="1" customHeight="1" x14ac:dyDescent="0.25">
      <c r="B69" s="1587" t="s">
        <v>4</v>
      </c>
      <c r="C69" s="1587"/>
      <c r="D69" s="1587"/>
      <c r="E69" s="1587"/>
      <c r="F69" s="1587"/>
      <c r="G69" s="1604" t="s">
        <v>5</v>
      </c>
      <c r="H69" s="1605" t="s">
        <v>65</v>
      </c>
      <c r="I69" s="1606" t="s">
        <v>66</v>
      </c>
      <c r="J69" s="820"/>
      <c r="K69" s="1607" t="s">
        <v>67</v>
      </c>
      <c r="L69" s="820"/>
    </row>
    <row r="70" spans="2:12" ht="15" hidden="1" customHeight="1" x14ac:dyDescent="0.25">
      <c r="B70" s="1587"/>
      <c r="C70" s="1587"/>
      <c r="D70" s="1587"/>
      <c r="E70" s="1587"/>
      <c r="F70" s="1587"/>
      <c r="G70" s="1591"/>
      <c r="H70" s="1594"/>
      <c r="I70" s="1597"/>
      <c r="J70" s="818"/>
      <c r="K70" s="1600"/>
      <c r="L70" s="818"/>
    </row>
    <row r="71" spans="2:12" ht="15" hidden="1" customHeight="1" x14ac:dyDescent="0.25">
      <c r="B71" s="1587"/>
      <c r="C71" s="1587"/>
      <c r="D71" s="1587"/>
      <c r="E71" s="1587"/>
      <c r="F71" s="1587"/>
      <c r="G71" s="1591"/>
      <c r="H71" s="1594"/>
      <c r="I71" s="1597"/>
      <c r="J71" s="818"/>
      <c r="K71" s="1600"/>
      <c r="L71" s="818"/>
    </row>
    <row r="72" spans="2:12" ht="15" hidden="1" customHeight="1" x14ac:dyDescent="0.25">
      <c r="B72" s="1587"/>
      <c r="C72" s="1587"/>
      <c r="D72" s="1587"/>
      <c r="E72" s="1587"/>
      <c r="F72" s="1587"/>
      <c r="G72" s="1591"/>
      <c r="H72" s="1594"/>
      <c r="I72" s="1597"/>
      <c r="J72" s="818"/>
      <c r="K72" s="1600"/>
      <c r="L72" s="818"/>
    </row>
    <row r="73" spans="2:12" ht="15" hidden="1" customHeight="1" x14ac:dyDescent="0.25">
      <c r="B73" s="1587"/>
      <c r="C73" s="1587"/>
      <c r="D73" s="1587"/>
      <c r="E73" s="1587"/>
      <c r="F73" s="1587"/>
      <c r="G73" s="1592"/>
      <c r="H73" s="1595"/>
      <c r="I73" s="1598"/>
      <c r="J73" s="819"/>
      <c r="K73" s="1601"/>
      <c r="L73" s="819"/>
    </row>
    <row r="74" spans="2:12" ht="20.25" hidden="1" customHeight="1" x14ac:dyDescent="0.25">
      <c r="B74" s="591"/>
      <c r="C74" s="51"/>
      <c r="D74" s="808"/>
      <c r="E74" s="808"/>
      <c r="F74" s="809"/>
      <c r="G74" s="53"/>
      <c r="H74" s="54"/>
      <c r="I74" s="54"/>
      <c r="J74" s="54"/>
      <c r="K74" s="55"/>
      <c r="L74" s="54"/>
    </row>
    <row r="75" spans="2:12" ht="18" hidden="1" x14ac:dyDescent="0.25">
      <c r="B75" s="918"/>
      <c r="C75" s="1608" t="s">
        <v>68</v>
      </c>
      <c r="D75" s="1608"/>
      <c r="E75" s="1608"/>
      <c r="F75" s="1609"/>
      <c r="G75" s="57"/>
      <c r="H75" s="58"/>
      <c r="I75" s="58"/>
      <c r="J75" s="58"/>
      <c r="K75" s="58"/>
      <c r="L75" s="58"/>
    </row>
    <row r="76" spans="2:12" ht="18" hidden="1" x14ac:dyDescent="0.25">
      <c r="B76" s="919"/>
      <c r="C76" s="38" t="s">
        <v>69</v>
      </c>
      <c r="D76" s="41"/>
      <c r="E76" s="60"/>
      <c r="F76" s="61"/>
      <c r="G76" s="62" t="s">
        <v>25</v>
      </c>
      <c r="H76" s="58"/>
      <c r="I76" s="58">
        <v>80000</v>
      </c>
      <c r="J76" s="58"/>
      <c r="K76" s="58"/>
      <c r="L76" s="58"/>
    </row>
    <row r="77" spans="2:12" ht="18" hidden="1" x14ac:dyDescent="0.25">
      <c r="B77" s="919"/>
      <c r="C77" s="38" t="s">
        <v>70</v>
      </c>
      <c r="D77" s="41"/>
      <c r="E77" s="60"/>
      <c r="F77" s="61"/>
      <c r="G77" s="62" t="s">
        <v>25</v>
      </c>
      <c r="H77" s="58"/>
      <c r="I77" s="58">
        <v>3000000</v>
      </c>
      <c r="J77" s="58"/>
      <c r="K77" s="58"/>
      <c r="L77" s="58"/>
    </row>
    <row r="78" spans="2:12" ht="18" hidden="1" x14ac:dyDescent="0.25">
      <c r="B78" s="919"/>
      <c r="C78" s="38" t="s">
        <v>71</v>
      </c>
      <c r="D78" s="41"/>
      <c r="E78" s="60"/>
      <c r="F78" s="61"/>
      <c r="G78" s="62" t="s">
        <v>25</v>
      </c>
      <c r="H78" s="58"/>
      <c r="I78" s="58">
        <v>430000</v>
      </c>
      <c r="J78" s="58"/>
      <c r="K78" s="58"/>
      <c r="L78" s="58"/>
    </row>
    <row r="79" spans="2:12" ht="18" hidden="1" x14ac:dyDescent="0.25">
      <c r="B79" s="919"/>
      <c r="C79" s="38" t="s">
        <v>72</v>
      </c>
      <c r="D79" s="41"/>
      <c r="E79" s="60"/>
      <c r="F79" s="61"/>
      <c r="G79" s="62" t="s">
        <v>25</v>
      </c>
      <c r="H79" s="58"/>
      <c r="I79" s="58">
        <v>630000</v>
      </c>
      <c r="J79" s="58"/>
      <c r="K79" s="58"/>
      <c r="L79" s="58"/>
    </row>
    <row r="80" spans="2:12" ht="18" hidden="1" x14ac:dyDescent="0.25">
      <c r="B80" s="919"/>
      <c r="C80" s="38" t="s">
        <v>73</v>
      </c>
      <c r="D80" s="41"/>
      <c r="E80" s="60"/>
      <c r="F80" s="61"/>
      <c r="G80" s="62" t="s">
        <v>25</v>
      </c>
      <c r="H80" s="58"/>
      <c r="I80" s="58">
        <v>1000000</v>
      </c>
      <c r="J80" s="58"/>
      <c r="K80" s="58"/>
      <c r="L80" s="58"/>
    </row>
    <row r="81" spans="2:12" ht="18" hidden="1" x14ac:dyDescent="0.25">
      <c r="B81" s="918"/>
      <c r="C81" s="36"/>
      <c r="D81" s="41"/>
      <c r="E81" s="60"/>
      <c r="F81" s="61"/>
      <c r="G81" s="62"/>
      <c r="H81" s="58"/>
      <c r="I81" s="58"/>
      <c r="J81" s="58"/>
      <c r="K81" s="58"/>
      <c r="L81" s="58"/>
    </row>
    <row r="82" spans="2:12" ht="18" hidden="1" x14ac:dyDescent="0.25">
      <c r="B82" s="919"/>
      <c r="C82" s="38" t="s">
        <v>74</v>
      </c>
      <c r="D82" s="41"/>
      <c r="E82" s="60"/>
      <c r="F82" s="61"/>
      <c r="G82" s="62" t="s">
        <v>25</v>
      </c>
      <c r="H82" s="58"/>
      <c r="I82" s="58">
        <v>1000000</v>
      </c>
      <c r="J82" s="58"/>
      <c r="K82" s="58"/>
      <c r="L82" s="58"/>
    </row>
    <row r="83" spans="2:12" ht="18" hidden="1" x14ac:dyDescent="0.25">
      <c r="B83" s="915"/>
      <c r="C83" s="63"/>
      <c r="D83" s="41"/>
      <c r="E83" s="60"/>
      <c r="F83" s="61"/>
      <c r="G83" s="62"/>
      <c r="H83" s="58"/>
      <c r="I83" s="58"/>
      <c r="J83" s="58"/>
      <c r="K83" s="58"/>
      <c r="L83" s="58"/>
    </row>
    <row r="84" spans="2:12" ht="18" hidden="1" x14ac:dyDescent="0.25">
      <c r="B84" s="915"/>
      <c r="C84" s="38" t="s">
        <v>75</v>
      </c>
      <c r="D84" s="41"/>
      <c r="E84" s="60"/>
      <c r="F84" s="61"/>
      <c r="G84" s="62" t="s">
        <v>25</v>
      </c>
      <c r="H84" s="58"/>
      <c r="I84" s="58">
        <v>1400000</v>
      </c>
      <c r="J84" s="58"/>
      <c r="K84" s="58"/>
      <c r="L84" s="58"/>
    </row>
    <row r="85" spans="2:12" ht="18" hidden="1" x14ac:dyDescent="0.25">
      <c r="B85" s="915"/>
      <c r="C85" s="38" t="s">
        <v>76</v>
      </c>
      <c r="D85" s="41"/>
      <c r="E85" s="60"/>
      <c r="F85" s="61"/>
      <c r="G85" s="62" t="s">
        <v>25</v>
      </c>
      <c r="H85" s="58"/>
      <c r="I85" s="58">
        <v>4000000</v>
      </c>
      <c r="J85" s="58"/>
      <c r="K85" s="58"/>
      <c r="L85" s="58"/>
    </row>
    <row r="86" spans="2:12" ht="18" hidden="1" x14ac:dyDescent="0.25">
      <c r="B86" s="915"/>
      <c r="C86" s="38" t="s">
        <v>77</v>
      </c>
      <c r="D86" s="41"/>
      <c r="E86" s="60"/>
      <c r="F86" s="61"/>
      <c r="G86" s="62" t="s">
        <v>25</v>
      </c>
      <c r="H86" s="58"/>
      <c r="I86" s="58">
        <v>200000</v>
      </c>
      <c r="J86" s="58"/>
      <c r="K86" s="58"/>
      <c r="L86" s="58"/>
    </row>
    <row r="87" spans="2:12" ht="18" hidden="1" x14ac:dyDescent="0.25">
      <c r="B87" s="915"/>
      <c r="C87" s="38" t="s">
        <v>78</v>
      </c>
      <c r="D87" s="41"/>
      <c r="E87" s="60"/>
      <c r="F87" s="61"/>
      <c r="G87" s="62" t="s">
        <v>25</v>
      </c>
      <c r="H87" s="58"/>
      <c r="I87" s="58">
        <v>5000</v>
      </c>
      <c r="J87" s="58"/>
      <c r="K87" s="58"/>
      <c r="L87" s="58"/>
    </row>
    <row r="88" spans="2:12" ht="18" hidden="1" x14ac:dyDescent="0.25">
      <c r="B88" s="915"/>
      <c r="C88" s="38" t="s">
        <v>79</v>
      </c>
      <c r="D88" s="41"/>
      <c r="E88" s="60"/>
      <c r="F88" s="61"/>
      <c r="G88" s="62" t="s">
        <v>25</v>
      </c>
      <c r="H88" s="58"/>
      <c r="I88" s="58">
        <v>1000000</v>
      </c>
      <c r="J88" s="58"/>
      <c r="K88" s="58"/>
      <c r="L88" s="58"/>
    </row>
    <row r="89" spans="2:12" ht="18" hidden="1" x14ac:dyDescent="0.25">
      <c r="B89" s="915"/>
      <c r="C89" s="38" t="s">
        <v>80</v>
      </c>
      <c r="D89" s="41"/>
      <c r="E89" s="60"/>
      <c r="F89" s="64"/>
      <c r="G89" s="62" t="s">
        <v>25</v>
      </c>
      <c r="H89" s="58"/>
      <c r="I89" s="65"/>
      <c r="J89" s="65"/>
      <c r="K89" s="65"/>
      <c r="L89" s="65"/>
    </row>
    <row r="90" spans="2:12" ht="18" hidden="1" x14ac:dyDescent="0.25">
      <c r="B90" s="915"/>
      <c r="C90" s="38" t="s">
        <v>81</v>
      </c>
      <c r="D90" s="41"/>
      <c r="E90" s="60"/>
      <c r="F90" s="61"/>
      <c r="G90" s="62" t="s">
        <v>82</v>
      </c>
      <c r="H90" s="58"/>
      <c r="I90" s="58">
        <v>3000000</v>
      </c>
      <c r="J90" s="58"/>
      <c r="K90" s="58"/>
      <c r="L90" s="58"/>
    </row>
    <row r="91" spans="2:12" ht="18" hidden="1" x14ac:dyDescent="0.25">
      <c r="B91" s="915"/>
      <c r="C91" s="36" t="s">
        <v>83</v>
      </c>
      <c r="D91" s="41"/>
      <c r="E91" s="66"/>
      <c r="F91" s="67"/>
      <c r="G91" s="62"/>
      <c r="H91" s="68">
        <f>SUM(H17:H90)</f>
        <v>0</v>
      </c>
      <c r="I91" s="68">
        <f>SUM(I17:I90)</f>
        <v>84406200</v>
      </c>
      <c r="J91" s="68"/>
      <c r="K91" s="68">
        <f>SUM(K17:K90)</f>
        <v>0</v>
      </c>
      <c r="L91" s="68"/>
    </row>
    <row r="92" spans="2:12" ht="18" hidden="1" x14ac:dyDescent="0.25">
      <c r="B92" s="919"/>
      <c r="C92" s="821" t="s">
        <v>84</v>
      </c>
      <c r="D92" s="41"/>
      <c r="E92" s="60"/>
      <c r="F92" s="67"/>
      <c r="G92" s="62"/>
      <c r="H92" s="58"/>
      <c r="I92" s="68"/>
      <c r="J92" s="68"/>
      <c r="K92" s="68"/>
      <c r="L92" s="68"/>
    </row>
    <row r="93" spans="2:12" ht="18" hidden="1" x14ac:dyDescent="0.25">
      <c r="B93" s="919"/>
      <c r="C93" s="36" t="s">
        <v>85</v>
      </c>
      <c r="D93" s="41"/>
      <c r="E93" s="60"/>
      <c r="F93" s="67"/>
      <c r="G93" s="62"/>
      <c r="H93" s="58"/>
      <c r="I93" s="68"/>
      <c r="J93" s="68"/>
      <c r="K93" s="68"/>
      <c r="L93" s="68"/>
    </row>
    <row r="94" spans="2:12" ht="18" hidden="1" x14ac:dyDescent="0.25">
      <c r="B94" s="920"/>
      <c r="C94" s="38" t="s">
        <v>86</v>
      </c>
      <c r="D94" s="41"/>
      <c r="E94" s="60"/>
      <c r="F94" s="61"/>
      <c r="G94" s="62" t="s">
        <v>25</v>
      </c>
      <c r="H94" s="58"/>
      <c r="I94" s="58">
        <f>511558377+2283860</f>
        <v>513842237</v>
      </c>
      <c r="J94" s="58"/>
      <c r="K94" s="58"/>
      <c r="L94" s="58"/>
    </row>
    <row r="95" spans="2:12" ht="18" hidden="1" x14ac:dyDescent="0.25">
      <c r="B95" s="921"/>
      <c r="C95" s="38" t="s">
        <v>87</v>
      </c>
      <c r="D95" s="41"/>
      <c r="E95" s="60"/>
      <c r="F95" s="61"/>
      <c r="G95" s="62" t="s">
        <v>25</v>
      </c>
      <c r="H95" s="58"/>
      <c r="I95" s="58"/>
      <c r="J95" s="58"/>
      <c r="K95" s="58"/>
      <c r="L95" s="58"/>
    </row>
    <row r="96" spans="2:12" ht="18" hidden="1" x14ac:dyDescent="0.25">
      <c r="B96" s="921"/>
      <c r="C96" s="38" t="s">
        <v>88</v>
      </c>
      <c r="D96" s="41"/>
      <c r="E96" s="60"/>
      <c r="F96" s="61"/>
      <c r="G96" s="62"/>
      <c r="H96" s="58"/>
      <c r="I96" s="58"/>
      <c r="J96" s="58"/>
      <c r="K96" s="58"/>
      <c r="L96" s="58"/>
    </row>
    <row r="97" spans="2:12" ht="18" hidden="1" x14ac:dyDescent="0.25">
      <c r="B97" s="921"/>
      <c r="C97" s="38" t="s">
        <v>89</v>
      </c>
      <c r="D97" s="41"/>
      <c r="E97" s="60"/>
      <c r="F97" s="61"/>
      <c r="G97" s="62"/>
      <c r="H97" s="58"/>
      <c r="I97" s="58"/>
      <c r="J97" s="58"/>
      <c r="K97" s="58"/>
      <c r="L97" s="58"/>
    </row>
    <row r="98" spans="2:12" ht="18" hidden="1" x14ac:dyDescent="0.25">
      <c r="B98" s="921"/>
      <c r="C98" s="38" t="s">
        <v>90</v>
      </c>
      <c r="D98" s="41"/>
      <c r="E98" s="60"/>
      <c r="F98" s="64"/>
      <c r="G98" s="62" t="s">
        <v>82</v>
      </c>
      <c r="H98" s="58"/>
      <c r="I98" s="65">
        <v>0</v>
      </c>
      <c r="J98" s="65"/>
      <c r="K98" s="65"/>
      <c r="L98" s="65"/>
    </row>
    <row r="99" spans="2:12" ht="18" hidden="1" x14ac:dyDescent="0.25">
      <c r="B99" s="919" t="s">
        <v>91</v>
      </c>
      <c r="C99" s="38"/>
      <c r="D99" s="41"/>
      <c r="E99" s="60"/>
      <c r="F99" s="61"/>
      <c r="G99" s="71"/>
      <c r="H99" s="58">
        <f>SUM(H94:H98)</f>
        <v>0</v>
      </c>
      <c r="I99" s="58">
        <f>SUM(I94:I98)</f>
        <v>513842237</v>
      </c>
      <c r="J99" s="58"/>
      <c r="K99" s="58">
        <f>SUM(K94:K98)</f>
        <v>0</v>
      </c>
      <c r="L99" s="58"/>
    </row>
    <row r="100" spans="2:12" ht="18" hidden="1" x14ac:dyDescent="0.25">
      <c r="B100" s="919" t="s">
        <v>92</v>
      </c>
      <c r="C100" s="38"/>
      <c r="D100" s="41"/>
      <c r="E100" s="60"/>
      <c r="F100" s="61"/>
      <c r="G100" s="72"/>
      <c r="H100" s="58">
        <f>SUM(H99+H91)</f>
        <v>0</v>
      </c>
      <c r="I100" s="58">
        <f>SUM(I99+I91)</f>
        <v>598248437</v>
      </c>
      <c r="J100" s="58"/>
      <c r="K100" s="58">
        <f>SUM(K99+K91)</f>
        <v>0</v>
      </c>
      <c r="L100" s="58"/>
    </row>
    <row r="101" spans="2:12" ht="18" hidden="1" x14ac:dyDescent="0.25">
      <c r="B101" s="922" t="s">
        <v>93</v>
      </c>
      <c r="C101" s="38"/>
      <c r="D101" s="41"/>
      <c r="E101" s="60"/>
      <c r="F101" s="61"/>
      <c r="G101" s="72"/>
      <c r="H101" s="58">
        <f>SUM(H100+M14)</f>
        <v>0</v>
      </c>
      <c r="I101" s="58">
        <f>SUM(I100+N11)</f>
        <v>598248437</v>
      </c>
      <c r="J101" s="58"/>
      <c r="K101" s="58">
        <f>SUM(K100+O15)</f>
        <v>0</v>
      </c>
      <c r="L101" s="58"/>
    </row>
    <row r="102" spans="2:12" ht="18" hidden="1" x14ac:dyDescent="0.25">
      <c r="B102" s="923"/>
      <c r="C102" s="63"/>
      <c r="D102" s="41"/>
      <c r="E102" s="75"/>
      <c r="F102" s="76"/>
      <c r="G102" s="76"/>
      <c r="H102" s="77"/>
      <c r="I102" s="78"/>
      <c r="J102" s="77"/>
      <c r="K102" s="77"/>
      <c r="L102" s="77"/>
    </row>
    <row r="103" spans="2:12" ht="18" hidden="1" x14ac:dyDescent="0.25">
      <c r="B103" s="919"/>
      <c r="C103" s="36" t="s">
        <v>94</v>
      </c>
      <c r="D103" s="41"/>
      <c r="E103" s="60"/>
      <c r="F103" s="67"/>
      <c r="G103" s="62"/>
      <c r="H103" s="58"/>
      <c r="I103" s="68"/>
      <c r="J103" s="68"/>
      <c r="K103" s="68"/>
      <c r="L103" s="68"/>
    </row>
    <row r="104" spans="2:12" ht="18" hidden="1" x14ac:dyDescent="0.25">
      <c r="B104" s="919"/>
      <c r="C104" s="36"/>
      <c r="D104" s="41"/>
      <c r="E104" s="60"/>
      <c r="F104" s="67"/>
      <c r="G104" s="62"/>
      <c r="H104" s="58"/>
      <c r="I104" s="68"/>
      <c r="J104" s="68"/>
      <c r="K104" s="68"/>
      <c r="L104" s="68"/>
    </row>
    <row r="105" spans="2:12" ht="18" hidden="1" x14ac:dyDescent="0.25">
      <c r="B105" s="919"/>
      <c r="C105" s="36" t="s">
        <v>95</v>
      </c>
      <c r="D105" s="41"/>
      <c r="E105" s="60"/>
      <c r="F105" s="67"/>
      <c r="G105" s="62"/>
      <c r="H105" s="58"/>
      <c r="I105" s="68"/>
      <c r="J105" s="68"/>
      <c r="K105" s="68"/>
      <c r="L105" s="68"/>
    </row>
    <row r="106" spans="2:12" ht="18" hidden="1" x14ac:dyDescent="0.25">
      <c r="B106" s="920"/>
      <c r="C106" s="38" t="s">
        <v>96</v>
      </c>
      <c r="D106" s="41"/>
      <c r="E106" s="60"/>
      <c r="F106" s="61"/>
      <c r="G106" s="79" t="s">
        <v>25</v>
      </c>
      <c r="H106" s="58"/>
      <c r="I106" s="58">
        <v>20500000</v>
      </c>
      <c r="J106" s="58"/>
      <c r="K106" s="58"/>
      <c r="L106" s="58"/>
    </row>
    <row r="107" spans="2:12" ht="18" hidden="1" x14ac:dyDescent="0.25">
      <c r="B107" s="920"/>
      <c r="C107" s="38" t="s">
        <v>97</v>
      </c>
      <c r="D107" s="41"/>
      <c r="E107" s="60"/>
      <c r="F107" s="61"/>
      <c r="G107" s="79" t="s">
        <v>25</v>
      </c>
      <c r="H107" s="58"/>
      <c r="I107" s="58">
        <v>1204000</v>
      </c>
      <c r="J107" s="58"/>
      <c r="K107" s="58"/>
      <c r="L107" s="58"/>
    </row>
    <row r="108" spans="2:12" ht="18" hidden="1" x14ac:dyDescent="0.25">
      <c r="B108" s="920"/>
      <c r="C108" s="38" t="s">
        <v>98</v>
      </c>
      <c r="D108" s="41"/>
      <c r="E108" s="60"/>
      <c r="F108" s="61"/>
      <c r="G108" s="79"/>
      <c r="H108" s="58"/>
      <c r="I108" s="58">
        <v>30500</v>
      </c>
      <c r="J108" s="58"/>
      <c r="K108" s="58"/>
      <c r="L108" s="58"/>
    </row>
    <row r="109" spans="2:12" ht="18" hidden="1" x14ac:dyDescent="0.25">
      <c r="B109" s="920"/>
      <c r="C109" s="38" t="s">
        <v>99</v>
      </c>
      <c r="D109" s="41"/>
      <c r="E109" s="60"/>
      <c r="F109" s="61"/>
      <c r="G109" s="79" t="s">
        <v>25</v>
      </c>
      <c r="H109" s="58"/>
      <c r="I109" s="58">
        <v>1850000</v>
      </c>
      <c r="J109" s="58"/>
      <c r="K109" s="58"/>
      <c r="L109" s="58"/>
    </row>
    <row r="110" spans="2:12" ht="18" hidden="1" x14ac:dyDescent="0.25">
      <c r="B110" s="920"/>
      <c r="C110" s="38" t="s">
        <v>100</v>
      </c>
      <c r="D110" s="41"/>
      <c r="E110" s="60"/>
      <c r="F110" s="61"/>
      <c r="G110" s="79" t="s">
        <v>25</v>
      </c>
      <c r="H110" s="58"/>
      <c r="I110" s="58">
        <v>950000</v>
      </c>
      <c r="J110" s="58"/>
      <c r="K110" s="58"/>
      <c r="L110" s="58"/>
    </row>
    <row r="111" spans="2:12" ht="18" hidden="1" x14ac:dyDescent="0.25">
      <c r="B111" s="920"/>
      <c r="C111" s="38" t="s">
        <v>101</v>
      </c>
      <c r="D111" s="41"/>
      <c r="E111" s="60"/>
      <c r="F111" s="61"/>
      <c r="G111" s="79" t="s">
        <v>25</v>
      </c>
      <c r="H111" s="58"/>
      <c r="I111" s="58">
        <v>2500000</v>
      </c>
      <c r="J111" s="58"/>
      <c r="K111" s="58"/>
      <c r="L111" s="58"/>
    </row>
    <row r="112" spans="2:12" ht="18" hidden="1" x14ac:dyDescent="0.25">
      <c r="B112" s="920"/>
      <c r="C112" s="38" t="s">
        <v>102</v>
      </c>
      <c r="D112" s="41"/>
      <c r="E112" s="60"/>
      <c r="F112" s="61"/>
      <c r="G112" s="79"/>
      <c r="H112" s="58"/>
      <c r="I112" s="58"/>
      <c r="J112" s="58"/>
      <c r="K112" s="58"/>
      <c r="L112" s="58"/>
    </row>
    <row r="113" spans="2:12" ht="18" hidden="1" x14ac:dyDescent="0.25">
      <c r="B113" s="920"/>
      <c r="C113" s="38"/>
      <c r="D113" s="41"/>
      <c r="E113" s="60"/>
      <c r="F113" s="67"/>
      <c r="G113" s="79"/>
      <c r="H113" s="58">
        <f>SUM(H106:H111)</f>
        <v>0</v>
      </c>
      <c r="I113" s="68">
        <f>SUM(I106:I111)</f>
        <v>27034500</v>
      </c>
      <c r="J113" s="68"/>
      <c r="K113" s="68">
        <f>SUM(K106:K111)</f>
        <v>0</v>
      </c>
      <c r="L113" s="68"/>
    </row>
    <row r="114" spans="2:12" ht="18" hidden="1" x14ac:dyDescent="0.25">
      <c r="B114" s="920"/>
      <c r="C114" s="36" t="s">
        <v>103</v>
      </c>
      <c r="D114" s="41"/>
      <c r="E114" s="60"/>
      <c r="F114" s="67"/>
      <c r="G114" s="79"/>
      <c r="H114" s="58"/>
      <c r="I114" s="68"/>
      <c r="J114" s="68"/>
      <c r="K114" s="68"/>
      <c r="L114" s="68"/>
    </row>
    <row r="115" spans="2:12" ht="18" hidden="1" x14ac:dyDescent="0.25">
      <c r="B115" s="920"/>
      <c r="C115" s="38" t="s">
        <v>104</v>
      </c>
      <c r="D115" s="41"/>
      <c r="E115" s="60"/>
      <c r="F115" s="61"/>
      <c r="G115" s="79" t="s">
        <v>25</v>
      </c>
      <c r="H115" s="58"/>
      <c r="I115" s="58">
        <v>1300000</v>
      </c>
      <c r="J115" s="58"/>
      <c r="K115" s="58"/>
      <c r="L115" s="58"/>
    </row>
    <row r="116" spans="2:12" ht="18" hidden="1" x14ac:dyDescent="0.25">
      <c r="B116" s="920"/>
      <c r="C116" s="38" t="s">
        <v>105</v>
      </c>
      <c r="D116" s="41"/>
      <c r="E116" s="60"/>
      <c r="F116" s="61"/>
      <c r="G116" s="79" t="s">
        <v>25</v>
      </c>
      <c r="H116" s="58"/>
      <c r="I116" s="58">
        <v>700000</v>
      </c>
      <c r="J116" s="58"/>
      <c r="K116" s="58"/>
      <c r="L116" s="58"/>
    </row>
    <row r="117" spans="2:12" ht="18" hidden="1" x14ac:dyDescent="0.25">
      <c r="B117" s="920"/>
      <c r="C117" s="38" t="s">
        <v>106</v>
      </c>
      <c r="D117" s="41"/>
      <c r="E117" s="60"/>
      <c r="F117" s="61"/>
      <c r="G117" s="79" t="s">
        <v>25</v>
      </c>
      <c r="H117" s="58"/>
      <c r="I117" s="58">
        <v>800000</v>
      </c>
      <c r="J117" s="58"/>
      <c r="K117" s="58"/>
      <c r="L117" s="58"/>
    </row>
    <row r="118" spans="2:12" ht="18" hidden="1" x14ac:dyDescent="0.25">
      <c r="B118" s="920"/>
      <c r="C118" s="38" t="s">
        <v>107</v>
      </c>
      <c r="D118" s="41"/>
      <c r="E118" s="60"/>
      <c r="F118" s="61"/>
      <c r="G118" s="79" t="s">
        <v>25</v>
      </c>
      <c r="H118" s="58"/>
      <c r="I118" s="58">
        <v>200000</v>
      </c>
      <c r="J118" s="58"/>
      <c r="K118" s="58"/>
      <c r="L118" s="58"/>
    </row>
    <row r="119" spans="2:12" ht="18" hidden="1" x14ac:dyDescent="0.25">
      <c r="B119" s="920"/>
      <c r="C119" s="38" t="s">
        <v>108</v>
      </c>
      <c r="D119" s="41"/>
      <c r="E119" s="60"/>
      <c r="F119" s="61"/>
      <c r="G119" s="79" t="s">
        <v>25</v>
      </c>
      <c r="H119" s="58"/>
      <c r="I119" s="58">
        <v>2700000</v>
      </c>
      <c r="J119" s="58"/>
      <c r="K119" s="58"/>
      <c r="L119" s="58"/>
    </row>
    <row r="120" spans="2:12" ht="18" hidden="1" x14ac:dyDescent="0.25">
      <c r="B120" s="920"/>
      <c r="C120" s="38" t="s">
        <v>109</v>
      </c>
      <c r="D120" s="41"/>
      <c r="E120" s="60"/>
      <c r="F120" s="61"/>
      <c r="G120" s="79" t="s">
        <v>25</v>
      </c>
      <c r="H120" s="58"/>
      <c r="I120" s="58">
        <v>650000</v>
      </c>
      <c r="J120" s="58"/>
      <c r="K120" s="58"/>
      <c r="L120" s="58"/>
    </row>
    <row r="121" spans="2:12" ht="18" hidden="1" x14ac:dyDescent="0.25">
      <c r="B121" s="920"/>
      <c r="C121" s="38" t="s">
        <v>110</v>
      </c>
      <c r="D121" s="41"/>
      <c r="E121" s="60"/>
      <c r="F121" s="61"/>
      <c r="G121" s="79" t="s">
        <v>25</v>
      </c>
      <c r="H121" s="58"/>
      <c r="I121" s="58"/>
      <c r="J121" s="58"/>
      <c r="K121" s="58"/>
      <c r="L121" s="58"/>
    </row>
    <row r="122" spans="2:12" ht="18" hidden="1" x14ac:dyDescent="0.25">
      <c r="B122" s="920"/>
      <c r="C122" s="38"/>
      <c r="D122" s="41"/>
      <c r="E122" s="80"/>
      <c r="F122" s="81"/>
      <c r="G122" s="79"/>
      <c r="H122" s="82">
        <f>SUM(H115:H121)</f>
        <v>0</v>
      </c>
      <c r="I122" s="83">
        <f>SUM(I115:I121)</f>
        <v>6350000</v>
      </c>
      <c r="J122" s="83"/>
      <c r="K122" s="83">
        <f>SUM(K115:K121)</f>
        <v>0</v>
      </c>
      <c r="L122" s="83"/>
    </row>
    <row r="123" spans="2:12" ht="18" hidden="1" x14ac:dyDescent="0.25">
      <c r="B123" s="920"/>
      <c r="C123" s="36" t="s">
        <v>111</v>
      </c>
      <c r="D123" s="41"/>
      <c r="E123" s="80"/>
      <c r="F123" s="84"/>
      <c r="G123" s="79"/>
      <c r="H123" s="82">
        <f>SUM(H122+H113)</f>
        <v>0</v>
      </c>
      <c r="I123" s="82">
        <f>SUM(I122+I113)</f>
        <v>33384500</v>
      </c>
      <c r="J123" s="82"/>
      <c r="K123" s="82">
        <f>SUM(K122+K113)</f>
        <v>0</v>
      </c>
      <c r="L123" s="82"/>
    </row>
    <row r="124" spans="2:12" ht="18" hidden="1" x14ac:dyDescent="0.25">
      <c r="B124" s="924"/>
      <c r="C124" s="86" t="s">
        <v>93</v>
      </c>
      <c r="D124" s="41"/>
      <c r="E124" s="87"/>
      <c r="F124" s="88"/>
      <c r="G124" s="89"/>
      <c r="H124" s="90">
        <f>SUM(H101+H123)</f>
        <v>0</v>
      </c>
      <c r="I124" s="90">
        <f>SUM(I123+I101)</f>
        <v>631632937</v>
      </c>
      <c r="J124" s="90"/>
      <c r="K124" s="90">
        <f>SUM(K123+K101)</f>
        <v>0</v>
      </c>
      <c r="L124" s="90"/>
    </row>
    <row r="125" spans="2:12" hidden="1" x14ac:dyDescent="0.25">
      <c r="E125" s="91"/>
      <c r="F125" s="92"/>
      <c r="G125" s="91"/>
    </row>
    <row r="126" spans="2:12" hidden="1" x14ac:dyDescent="0.25"/>
    <row r="127" spans="2:12" hidden="1" x14ac:dyDescent="0.25"/>
    <row r="128" spans="2:12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spans="1:14" hidden="1" x14ac:dyDescent="0.25"/>
    <row r="146" spans="1:14" hidden="1" x14ac:dyDescent="0.25"/>
    <row r="147" spans="1:14" s="48" customFormat="1" ht="17.45" customHeight="1" x14ac:dyDescent="0.25">
      <c r="A147" s="48" t="s">
        <v>123</v>
      </c>
      <c r="B147" s="926" t="s">
        <v>1386</v>
      </c>
      <c r="C147" s="1602" t="s">
        <v>124</v>
      </c>
      <c r="D147" s="1603"/>
      <c r="E147" s="1603"/>
      <c r="F147" s="1603"/>
      <c r="G147" s="100" t="s">
        <v>125</v>
      </c>
      <c r="H147" s="101">
        <v>3147218.82</v>
      </c>
      <c r="I147" s="102">
        <v>3501828</v>
      </c>
      <c r="J147" s="101">
        <v>1888265.32</v>
      </c>
      <c r="K147" s="101">
        <v>3709416</v>
      </c>
      <c r="L147" s="101"/>
      <c r="M147" s="6"/>
      <c r="N147" s="6"/>
    </row>
    <row r="148" spans="1:14" s="48" customFormat="1" ht="17.45" customHeight="1" x14ac:dyDescent="0.25">
      <c r="A148" s="48" t="s">
        <v>123</v>
      </c>
      <c r="B148" s="926" t="s">
        <v>1386</v>
      </c>
      <c r="C148" s="1602" t="s">
        <v>126</v>
      </c>
      <c r="D148" s="1603"/>
      <c r="E148" s="1603"/>
      <c r="F148" s="1603"/>
      <c r="G148" s="100" t="s">
        <v>127</v>
      </c>
      <c r="H148" s="101">
        <v>1033913.74</v>
      </c>
      <c r="I148" s="102">
        <v>382512</v>
      </c>
      <c r="J148" s="101">
        <v>205139.85</v>
      </c>
      <c r="K148" s="101">
        <v>415128</v>
      </c>
      <c r="L148" s="101"/>
      <c r="M148" s="6"/>
      <c r="N148" s="6"/>
    </row>
    <row r="149" spans="1:14" s="48" customFormat="1" ht="17.45" customHeight="1" x14ac:dyDescent="0.25">
      <c r="A149" s="48" t="s">
        <v>123</v>
      </c>
      <c r="B149" s="926" t="s">
        <v>1386</v>
      </c>
      <c r="C149" s="1602" t="s">
        <v>128</v>
      </c>
      <c r="D149" s="1603"/>
      <c r="E149" s="1603"/>
      <c r="F149" s="1603"/>
      <c r="G149" s="100" t="s">
        <v>125</v>
      </c>
      <c r="H149" s="101">
        <v>0</v>
      </c>
      <c r="I149" s="102">
        <v>0</v>
      </c>
      <c r="J149" s="101"/>
      <c r="K149" s="101">
        <v>18936.91</v>
      </c>
      <c r="L149" s="101"/>
      <c r="M149" s="6"/>
      <c r="N149" s="6"/>
    </row>
    <row r="150" spans="1:14" s="48" customFormat="1" ht="17.45" customHeight="1" x14ac:dyDescent="0.25">
      <c r="A150" s="48" t="s">
        <v>123</v>
      </c>
      <c r="B150" s="926" t="s">
        <v>1386</v>
      </c>
      <c r="C150" s="1602" t="s">
        <v>129</v>
      </c>
      <c r="D150" s="1603"/>
      <c r="E150" s="1603"/>
      <c r="F150" s="1603"/>
      <c r="G150" s="103" t="s">
        <v>130</v>
      </c>
      <c r="H150" s="101">
        <v>246908.67</v>
      </c>
      <c r="I150" s="102">
        <v>264000</v>
      </c>
      <c r="J150" s="101">
        <v>120636.34</v>
      </c>
      <c r="K150" s="101">
        <v>264000</v>
      </c>
      <c r="L150" s="101"/>
      <c r="M150" s="6"/>
      <c r="N150" s="6">
        <f>192000+72000</f>
        <v>264000</v>
      </c>
    </row>
    <row r="151" spans="1:14" s="48" customFormat="1" ht="17.45" customHeight="1" x14ac:dyDescent="0.25">
      <c r="A151" s="48" t="s">
        <v>123</v>
      </c>
      <c r="B151" s="926" t="s">
        <v>1386</v>
      </c>
      <c r="C151" s="1602" t="s">
        <v>131</v>
      </c>
      <c r="D151" s="1603"/>
      <c r="E151" s="1603"/>
      <c r="F151" s="1603"/>
      <c r="G151" s="100" t="s">
        <v>132</v>
      </c>
      <c r="H151" s="101">
        <v>96000</v>
      </c>
      <c r="I151" s="102">
        <v>96000</v>
      </c>
      <c r="J151" s="101">
        <v>56000</v>
      </c>
      <c r="K151" s="101">
        <v>96000</v>
      </c>
      <c r="L151" s="101"/>
      <c r="M151" s="6"/>
      <c r="N151" s="6"/>
    </row>
    <row r="152" spans="1:14" s="48" customFormat="1" ht="17.45" customHeight="1" x14ac:dyDescent="0.25">
      <c r="A152" s="48" t="s">
        <v>123</v>
      </c>
      <c r="B152" s="926" t="s">
        <v>1386</v>
      </c>
      <c r="C152" s="1602" t="s">
        <v>135</v>
      </c>
      <c r="D152" s="1603"/>
      <c r="E152" s="1603"/>
      <c r="F152" s="1603"/>
      <c r="G152" s="100" t="s">
        <v>136</v>
      </c>
      <c r="H152" s="101">
        <v>477040.65</v>
      </c>
      <c r="I152" s="102">
        <v>129892.15</v>
      </c>
      <c r="J152" s="101">
        <v>188147.95</v>
      </c>
      <c r="K152" s="102">
        <v>449366.65</v>
      </c>
      <c r="L152" s="101"/>
      <c r="M152" s="6"/>
      <c r="N152" s="6"/>
    </row>
    <row r="153" spans="1:14" s="48" customFormat="1" ht="17.45" customHeight="1" x14ac:dyDescent="0.25">
      <c r="A153" s="48" t="s">
        <v>123</v>
      </c>
      <c r="B153" s="926" t="s">
        <v>1386</v>
      </c>
      <c r="C153" s="1602" t="s">
        <v>137</v>
      </c>
      <c r="D153" s="1603"/>
      <c r="E153" s="1603"/>
      <c r="F153" s="1603"/>
      <c r="G153" s="100" t="s">
        <v>138</v>
      </c>
      <c r="H153" s="101">
        <v>36000</v>
      </c>
      <c r="I153" s="102">
        <v>66000</v>
      </c>
      <c r="J153" s="101">
        <v>54000</v>
      </c>
      <c r="K153" s="101">
        <v>66000</v>
      </c>
      <c r="L153" s="101"/>
      <c r="M153" s="6"/>
      <c r="N153" s="6"/>
    </row>
    <row r="154" spans="1:14" s="48" customFormat="1" ht="17.45" customHeight="1" x14ac:dyDescent="0.25">
      <c r="A154" s="48" t="s">
        <v>123</v>
      </c>
      <c r="B154" s="926" t="s">
        <v>1386</v>
      </c>
      <c r="C154" s="1602" t="s">
        <v>139</v>
      </c>
      <c r="D154" s="1603"/>
      <c r="E154" s="1603"/>
      <c r="F154" s="1603"/>
      <c r="G154" s="100" t="s">
        <v>140</v>
      </c>
      <c r="H154" s="101">
        <v>326902</v>
      </c>
      <c r="I154" s="102">
        <v>323695</v>
      </c>
      <c r="J154" s="101">
        <v>303083</v>
      </c>
      <c r="K154" s="101">
        <v>344152</v>
      </c>
      <c r="L154" s="101"/>
      <c r="M154" s="6"/>
      <c r="N154" s="6">
        <f>309558+34594</f>
        <v>344152</v>
      </c>
    </row>
    <row r="155" spans="1:14" s="48" customFormat="1" ht="17.45" customHeight="1" x14ac:dyDescent="0.25">
      <c r="A155" s="48" t="s">
        <v>123</v>
      </c>
      <c r="B155" s="926" t="s">
        <v>1386</v>
      </c>
      <c r="C155" s="1602" t="s">
        <v>141</v>
      </c>
      <c r="D155" s="1603"/>
      <c r="E155" s="1603"/>
      <c r="F155" s="1603"/>
      <c r="G155" s="100" t="s">
        <v>142</v>
      </c>
      <c r="H155" s="101">
        <v>338980</v>
      </c>
      <c r="I155" s="102">
        <v>323695</v>
      </c>
      <c r="J155" s="101"/>
      <c r="K155" s="101">
        <v>346616</v>
      </c>
      <c r="L155" s="101"/>
      <c r="M155" s="6"/>
      <c r="N155" s="6">
        <f>312022+34594</f>
        <v>346616</v>
      </c>
    </row>
    <row r="156" spans="1:14" s="48" customFormat="1" ht="17.45" customHeight="1" x14ac:dyDescent="0.25">
      <c r="A156" s="48" t="s">
        <v>123</v>
      </c>
      <c r="B156" s="926" t="s">
        <v>1386</v>
      </c>
      <c r="C156" s="1602" t="s">
        <v>143</v>
      </c>
      <c r="D156" s="1603"/>
      <c r="E156" s="1603"/>
      <c r="F156" s="1603"/>
      <c r="G156" s="100" t="s">
        <v>144</v>
      </c>
      <c r="H156" s="101">
        <v>65000</v>
      </c>
      <c r="I156" s="102">
        <v>55000</v>
      </c>
      <c r="J156" s="101"/>
      <c r="K156" s="101">
        <v>55000</v>
      </c>
      <c r="L156" s="101"/>
      <c r="M156" s="6"/>
      <c r="N156" s="6"/>
    </row>
    <row r="157" spans="1:14" s="48" customFormat="1" ht="17.45" customHeight="1" x14ac:dyDescent="0.25">
      <c r="A157" s="48" t="s">
        <v>123</v>
      </c>
      <c r="B157" s="926" t="s">
        <v>1386</v>
      </c>
      <c r="C157" s="1602" t="s">
        <v>145</v>
      </c>
      <c r="D157" s="1603"/>
      <c r="E157" s="1603"/>
      <c r="F157" s="1610"/>
      <c r="G157" s="100" t="s">
        <v>146</v>
      </c>
      <c r="H157" s="101">
        <v>65000</v>
      </c>
      <c r="I157" s="102">
        <v>55000</v>
      </c>
      <c r="J157" s="101"/>
      <c r="K157" s="101">
        <v>55000</v>
      </c>
      <c r="L157" s="101"/>
      <c r="M157" s="6"/>
      <c r="N157" s="6"/>
    </row>
    <row r="158" spans="1:14" s="48" customFormat="1" ht="17.45" customHeight="1" x14ac:dyDescent="0.25">
      <c r="A158" s="48" t="s">
        <v>123</v>
      </c>
      <c r="B158" s="926" t="s">
        <v>1386</v>
      </c>
      <c r="C158" s="826" t="s">
        <v>147</v>
      </c>
      <c r="D158" s="813"/>
      <c r="E158" s="813"/>
      <c r="F158" s="813"/>
      <c r="G158" s="100" t="s">
        <v>148</v>
      </c>
      <c r="H158" s="101"/>
      <c r="I158" s="102"/>
      <c r="J158" s="101"/>
      <c r="K158" s="101">
        <v>33000</v>
      </c>
      <c r="L158" s="101"/>
      <c r="M158" s="6"/>
      <c r="N158" s="6">
        <f>24000+9000</f>
        <v>33000</v>
      </c>
    </row>
    <row r="159" spans="1:14" s="48" customFormat="1" ht="17.45" customHeight="1" x14ac:dyDescent="0.25">
      <c r="A159" s="48" t="s">
        <v>123</v>
      </c>
      <c r="B159" s="926" t="s">
        <v>1386</v>
      </c>
      <c r="C159" s="1602" t="s">
        <v>153</v>
      </c>
      <c r="D159" s="1603"/>
      <c r="E159" s="1603"/>
      <c r="F159" s="1603"/>
      <c r="G159" s="100" t="s">
        <v>154</v>
      </c>
      <c r="H159" s="101">
        <v>447627.83</v>
      </c>
      <c r="I159" s="102">
        <v>466120.8</v>
      </c>
      <c r="J159" s="101">
        <v>252515.92</v>
      </c>
      <c r="K159" s="101">
        <v>497217.71</v>
      </c>
      <c r="L159" s="101"/>
      <c r="M159" s="6"/>
      <c r="N159" s="6">
        <f>447402.35+49815.36</f>
        <v>497217.70999999996</v>
      </c>
    </row>
    <row r="160" spans="1:14" s="48" customFormat="1" ht="17.45" customHeight="1" x14ac:dyDescent="0.25">
      <c r="A160" s="48" t="s">
        <v>123</v>
      </c>
      <c r="B160" s="926" t="s">
        <v>1386</v>
      </c>
      <c r="C160" s="1602" t="s">
        <v>155</v>
      </c>
      <c r="D160" s="1603"/>
      <c r="E160" s="1603"/>
      <c r="F160" s="1603"/>
      <c r="G160" s="100" t="s">
        <v>156</v>
      </c>
      <c r="H160" s="101">
        <v>12100</v>
      </c>
      <c r="I160" s="102">
        <v>13200</v>
      </c>
      <c r="J160" s="101">
        <v>6300</v>
      </c>
      <c r="K160" s="101">
        <v>13200</v>
      </c>
      <c r="L160" s="101"/>
      <c r="M160" s="6"/>
      <c r="N160" s="6">
        <f>9600+3600</f>
        <v>13200</v>
      </c>
    </row>
    <row r="161" spans="1:16" s="48" customFormat="1" ht="17.45" customHeight="1" x14ac:dyDescent="0.25">
      <c r="A161" s="48" t="s">
        <v>123</v>
      </c>
      <c r="B161" s="926" t="s">
        <v>1386</v>
      </c>
      <c r="C161" s="1602" t="s">
        <v>157</v>
      </c>
      <c r="D161" s="1603"/>
      <c r="E161" s="1603"/>
      <c r="F161" s="1603"/>
      <c r="G161" s="100" t="s">
        <v>158</v>
      </c>
      <c r="H161" s="101">
        <v>40065.17</v>
      </c>
      <c r="I161" s="102">
        <v>52166.52</v>
      </c>
      <c r="J161" s="101">
        <v>22569.93</v>
      </c>
      <c r="K161" s="101">
        <v>131146.12</v>
      </c>
      <c r="L161" s="101"/>
      <c r="M161" s="6"/>
      <c r="N161" s="6">
        <f>114514.12+16632</f>
        <v>131146.12</v>
      </c>
    </row>
    <row r="162" spans="1:16" s="48" customFormat="1" ht="17.45" customHeight="1" x14ac:dyDescent="0.25">
      <c r="A162" s="48" t="s">
        <v>123</v>
      </c>
      <c r="B162" s="926" t="s">
        <v>1386</v>
      </c>
      <c r="C162" s="1602" t="s">
        <v>159</v>
      </c>
      <c r="D162" s="1603"/>
      <c r="E162" s="1603"/>
      <c r="F162" s="1603"/>
      <c r="G162" s="104" t="s">
        <v>160</v>
      </c>
      <c r="H162" s="105">
        <v>12102.16</v>
      </c>
      <c r="I162" s="106">
        <v>13200</v>
      </c>
      <c r="J162" s="105">
        <v>6300</v>
      </c>
      <c r="K162" s="105">
        <v>13200</v>
      </c>
      <c r="L162" s="105"/>
      <c r="M162" s="6"/>
      <c r="N162" s="6">
        <f>9600+3600</f>
        <v>13200</v>
      </c>
    </row>
    <row r="163" spans="1:16" s="48" customFormat="1" ht="17.45" customHeight="1" x14ac:dyDescent="0.25">
      <c r="A163" s="48" t="s">
        <v>163</v>
      </c>
      <c r="B163" s="926" t="s">
        <v>1386</v>
      </c>
      <c r="C163" s="44" t="s">
        <v>164</v>
      </c>
      <c r="D163" s="113"/>
      <c r="E163" s="113"/>
      <c r="F163" s="114"/>
      <c r="G163" s="100" t="s">
        <v>165</v>
      </c>
      <c r="H163" s="101">
        <v>227196.16</v>
      </c>
      <c r="I163" s="111">
        <v>500000</v>
      </c>
      <c r="J163" s="112">
        <v>39477</v>
      </c>
      <c r="K163" s="101">
        <v>700000</v>
      </c>
      <c r="L163" s="112"/>
      <c r="M163" s="6"/>
      <c r="N163" s="6"/>
    </row>
    <row r="164" spans="1:16" s="48" customFormat="1" ht="17.45" customHeight="1" x14ac:dyDescent="0.25">
      <c r="A164" s="48" t="s">
        <v>163</v>
      </c>
      <c r="B164" s="926" t="s">
        <v>1386</v>
      </c>
      <c r="C164" s="44" t="s">
        <v>166</v>
      </c>
      <c r="D164" s="113"/>
      <c r="E164" s="113"/>
      <c r="F164" s="114"/>
      <c r="G164" s="100" t="s">
        <v>167</v>
      </c>
      <c r="H164" s="101">
        <v>0</v>
      </c>
      <c r="I164" s="111">
        <v>300000</v>
      </c>
      <c r="J164" s="112"/>
      <c r="K164" s="101">
        <v>300000</v>
      </c>
      <c r="L164" s="112"/>
      <c r="M164" s="6"/>
      <c r="N164" s="6"/>
    </row>
    <row r="165" spans="1:16" s="48" customFormat="1" ht="17.45" customHeight="1" x14ac:dyDescent="0.25">
      <c r="A165" s="48" t="s">
        <v>163</v>
      </c>
      <c r="B165" s="926" t="s">
        <v>1386</v>
      </c>
      <c r="C165" s="44" t="s">
        <v>168</v>
      </c>
      <c r="D165" s="113"/>
      <c r="E165" s="113"/>
      <c r="F165" s="114"/>
      <c r="G165" s="100" t="s">
        <v>169</v>
      </c>
      <c r="H165" s="101">
        <v>2056630.5</v>
      </c>
      <c r="I165" s="111">
        <v>2950000</v>
      </c>
      <c r="J165" s="112">
        <v>1274568.25</v>
      </c>
      <c r="K165" s="101">
        <v>3355695</v>
      </c>
      <c r="L165" s="112"/>
      <c r="M165" s="6"/>
      <c r="N165" s="6"/>
    </row>
    <row r="166" spans="1:16" s="48" customFormat="1" ht="17.45" customHeight="1" x14ac:dyDescent="0.25">
      <c r="A166" s="48" t="s">
        <v>163</v>
      </c>
      <c r="B166" s="926" t="s">
        <v>1386</v>
      </c>
      <c r="C166" s="44" t="s">
        <v>170</v>
      </c>
      <c r="D166" s="113"/>
      <c r="E166" s="113"/>
      <c r="F166" s="114"/>
      <c r="G166" s="100" t="s">
        <v>171</v>
      </c>
      <c r="H166" s="101"/>
      <c r="I166" s="111"/>
      <c r="J166" s="112"/>
      <c r="K166" s="102">
        <v>2039927</v>
      </c>
      <c r="L166" s="112"/>
      <c r="M166" s="6"/>
      <c r="N166" s="6">
        <f>1559927+25000+450000</f>
        <v>2034927</v>
      </c>
    </row>
    <row r="167" spans="1:16" s="48" customFormat="1" ht="17.45" customHeight="1" x14ac:dyDescent="0.25">
      <c r="A167" s="48" t="s">
        <v>163</v>
      </c>
      <c r="B167" s="926" t="s">
        <v>1386</v>
      </c>
      <c r="C167" s="44" t="s">
        <v>172</v>
      </c>
      <c r="D167" s="113"/>
      <c r="E167" s="113"/>
      <c r="F167" s="114"/>
      <c r="G167" s="100" t="s">
        <v>173</v>
      </c>
      <c r="H167" s="101">
        <v>514482.52</v>
      </c>
      <c r="I167" s="111">
        <v>1200000</v>
      </c>
      <c r="J167" s="112">
        <v>257974.41</v>
      </c>
      <c r="K167" s="101">
        <v>1500000</v>
      </c>
      <c r="L167" s="112"/>
      <c r="M167" s="6"/>
      <c r="N167" s="6">
        <v>60000</v>
      </c>
      <c r="O167" s="115"/>
      <c r="P167" s="115"/>
    </row>
    <row r="168" spans="1:16" s="48" customFormat="1" ht="17.45" customHeight="1" x14ac:dyDescent="0.25">
      <c r="A168" s="48" t="s">
        <v>163</v>
      </c>
      <c r="B168" s="926" t="s">
        <v>1386</v>
      </c>
      <c r="C168" s="44" t="s">
        <v>178</v>
      </c>
      <c r="D168" s="113"/>
      <c r="E168" s="113"/>
      <c r="F168" s="114"/>
      <c r="G168" s="100" t="s">
        <v>179</v>
      </c>
      <c r="H168" s="101"/>
      <c r="I168" s="111"/>
      <c r="J168" s="112"/>
      <c r="K168" s="101">
        <f>480000+550000</f>
        <v>1030000</v>
      </c>
      <c r="L168" s="112"/>
      <c r="M168" s="6"/>
      <c r="N168" s="6">
        <f>SUM(N167:N167)</f>
        <v>60000</v>
      </c>
    </row>
    <row r="169" spans="1:16" s="48" customFormat="1" ht="17.45" customHeight="1" x14ac:dyDescent="0.25">
      <c r="A169" s="48" t="s">
        <v>163</v>
      </c>
      <c r="B169" s="926" t="s">
        <v>1386</v>
      </c>
      <c r="C169" s="44" t="s">
        <v>184</v>
      </c>
      <c r="D169" s="113"/>
      <c r="E169" s="113"/>
      <c r="F169" s="114"/>
      <c r="G169" s="100" t="s">
        <v>185</v>
      </c>
      <c r="H169" s="101">
        <v>0</v>
      </c>
      <c r="I169" s="111">
        <v>221605.21</v>
      </c>
      <c r="J169" s="112"/>
      <c r="K169" s="101">
        <v>232912.19</v>
      </c>
      <c r="L169" s="112"/>
      <c r="M169" s="6"/>
      <c r="N169" s="6">
        <f>2093172.6-K169</f>
        <v>1860260.4100000001</v>
      </c>
      <c r="O169" s="115"/>
      <c r="P169" s="115"/>
    </row>
    <row r="170" spans="1:16" s="48" customFormat="1" ht="17.45" customHeight="1" x14ac:dyDescent="0.25">
      <c r="A170" s="48" t="s">
        <v>163</v>
      </c>
      <c r="B170" s="926" t="s">
        <v>1386</v>
      </c>
      <c r="C170" s="44" t="s">
        <v>186</v>
      </c>
      <c r="D170" s="113"/>
      <c r="E170" s="113"/>
      <c r="F170" s="114"/>
      <c r="G170" s="100" t="s">
        <v>187</v>
      </c>
      <c r="H170" s="101"/>
      <c r="I170" s="111">
        <v>150000</v>
      </c>
      <c r="J170" s="112">
        <v>22308.16</v>
      </c>
      <c r="K170" s="101">
        <v>200000</v>
      </c>
      <c r="L170" s="112"/>
      <c r="M170" s="6"/>
      <c r="N170" s="6"/>
      <c r="O170" s="115"/>
      <c r="P170" s="115"/>
    </row>
    <row r="171" spans="1:16" s="48" customFormat="1" ht="17.45" customHeight="1" x14ac:dyDescent="0.25">
      <c r="A171" s="48" t="s">
        <v>163</v>
      </c>
      <c r="B171" s="926" t="s">
        <v>1386</v>
      </c>
      <c r="C171" s="44" t="s">
        <v>188</v>
      </c>
      <c r="D171" s="113"/>
      <c r="E171" s="113"/>
      <c r="F171" s="114"/>
      <c r="G171" s="100" t="s">
        <v>189</v>
      </c>
      <c r="H171" s="101">
        <v>178931</v>
      </c>
      <c r="I171" s="111">
        <v>1000000</v>
      </c>
      <c r="J171" s="112">
        <v>64181.86</v>
      </c>
      <c r="K171" s="101">
        <v>800000</v>
      </c>
      <c r="L171" s="112"/>
      <c r="M171" s="6"/>
      <c r="N171" s="6">
        <f>M171-18551.14</f>
        <v>-18551.14</v>
      </c>
      <c r="O171" s="115"/>
      <c r="P171" s="115"/>
    </row>
    <row r="172" spans="1:16" s="48" customFormat="1" ht="17.45" customHeight="1" x14ac:dyDescent="0.25">
      <c r="A172" s="48" t="s">
        <v>163</v>
      </c>
      <c r="B172" s="926" t="s">
        <v>1386</v>
      </c>
      <c r="C172" s="44" t="s">
        <v>190</v>
      </c>
      <c r="D172" s="113"/>
      <c r="E172" s="113"/>
      <c r="F172" s="114"/>
      <c r="G172" s="100" t="s">
        <v>191</v>
      </c>
      <c r="H172" s="101"/>
      <c r="I172" s="111">
        <v>120000</v>
      </c>
      <c r="J172" s="112"/>
      <c r="K172" s="101">
        <v>120000</v>
      </c>
      <c r="L172" s="112"/>
      <c r="M172" s="6"/>
      <c r="N172" s="6"/>
    </row>
    <row r="173" spans="1:16" s="48" customFormat="1" ht="17.45" customHeight="1" x14ac:dyDescent="0.25">
      <c r="A173" s="48" t="s">
        <v>163</v>
      </c>
      <c r="B173" s="926" t="s">
        <v>1386</v>
      </c>
      <c r="C173" s="44" t="s">
        <v>192</v>
      </c>
      <c r="D173" s="113"/>
      <c r="E173" s="113"/>
      <c r="F173" s="114"/>
      <c r="G173" s="100" t="s">
        <v>193</v>
      </c>
      <c r="H173" s="101">
        <v>817830</v>
      </c>
      <c r="I173" s="111">
        <v>2400000</v>
      </c>
      <c r="J173" s="112">
        <v>56665</v>
      </c>
      <c r="K173" s="101">
        <v>2900000</v>
      </c>
      <c r="L173" s="112"/>
      <c r="M173" s="6"/>
      <c r="N173" s="6"/>
      <c r="O173" s="115"/>
      <c r="P173" s="115"/>
    </row>
    <row r="174" spans="1:16" s="48" customFormat="1" ht="17.45" customHeight="1" x14ac:dyDescent="0.25">
      <c r="A174" s="48" t="s">
        <v>163</v>
      </c>
      <c r="B174" s="926" t="s">
        <v>1386</v>
      </c>
      <c r="C174" s="44" t="s">
        <v>194</v>
      </c>
      <c r="D174" s="113"/>
      <c r="E174" s="113"/>
      <c r="F174" s="114"/>
      <c r="G174" s="100" t="s">
        <v>195</v>
      </c>
      <c r="H174" s="101">
        <v>0</v>
      </c>
      <c r="I174" s="111">
        <v>120000</v>
      </c>
      <c r="J174" s="112"/>
      <c r="K174" s="101">
        <v>120000</v>
      </c>
      <c r="L174" s="112"/>
      <c r="M174" s="6"/>
      <c r="N174" s="6"/>
    </row>
    <row r="175" spans="1:16" s="48" customFormat="1" ht="17.45" customHeight="1" x14ac:dyDescent="0.25">
      <c r="A175" s="48" t="s">
        <v>163</v>
      </c>
      <c r="B175" s="926" t="s">
        <v>1386</v>
      </c>
      <c r="C175" s="44" t="s">
        <v>196</v>
      </c>
      <c r="D175" s="114"/>
      <c r="E175" s="116"/>
      <c r="F175" s="116"/>
      <c r="G175" s="100" t="s">
        <v>197</v>
      </c>
      <c r="H175" s="101">
        <v>180000</v>
      </c>
      <c r="I175" s="111">
        <v>250000</v>
      </c>
      <c r="J175" s="112">
        <v>180000</v>
      </c>
      <c r="K175" s="101">
        <v>300000</v>
      </c>
      <c r="L175" s="112"/>
      <c r="M175" s="6"/>
      <c r="N175" s="6"/>
      <c r="O175" s="115"/>
      <c r="P175" s="115"/>
    </row>
    <row r="176" spans="1:16" s="48" customFormat="1" ht="17.45" customHeight="1" x14ac:dyDescent="0.25">
      <c r="A176" s="48" t="s">
        <v>163</v>
      </c>
      <c r="B176" s="926" t="s">
        <v>1386</v>
      </c>
      <c r="C176" s="44" t="s">
        <v>198</v>
      </c>
      <c r="D176" s="113"/>
      <c r="E176" s="113"/>
      <c r="F176" s="114"/>
      <c r="G176" s="104" t="s">
        <v>199</v>
      </c>
      <c r="H176" s="101">
        <v>929000.65</v>
      </c>
      <c r="I176" s="117">
        <v>3000000</v>
      </c>
      <c r="J176" s="118">
        <v>444340.9</v>
      </c>
      <c r="K176" s="105">
        <v>3000000</v>
      </c>
      <c r="L176" s="118"/>
      <c r="M176" s="6"/>
      <c r="N176" s="6"/>
      <c r="O176" s="115"/>
      <c r="P176" s="115"/>
    </row>
    <row r="177" spans="1:16" s="48" customFormat="1" ht="17.45" customHeight="1" x14ac:dyDescent="0.25">
      <c r="A177" s="48" t="s">
        <v>201</v>
      </c>
      <c r="B177" s="926" t="s">
        <v>1386</v>
      </c>
      <c r="C177" s="824" t="s">
        <v>203</v>
      </c>
      <c r="D177" s="813"/>
      <c r="E177" s="813"/>
      <c r="F177" s="813"/>
      <c r="G177" s="97"/>
      <c r="H177" s="101"/>
      <c r="I177" s="122"/>
      <c r="J177" s="101"/>
      <c r="K177" s="101">
        <v>115000</v>
      </c>
      <c r="L177" s="101"/>
      <c r="M177" s="6"/>
      <c r="N177" s="6"/>
      <c r="O177" s="115"/>
      <c r="P177" s="115"/>
    </row>
    <row r="178" spans="1:16" s="48" customFormat="1" ht="17.45" customHeight="1" x14ac:dyDescent="0.25">
      <c r="A178" s="48" t="s">
        <v>201</v>
      </c>
      <c r="B178" s="926" t="s">
        <v>1386</v>
      </c>
      <c r="C178" s="824" t="s">
        <v>204</v>
      </c>
      <c r="D178" s="813"/>
      <c r="E178" s="813"/>
      <c r="F178" s="813"/>
      <c r="G178" s="97"/>
      <c r="H178" s="101"/>
      <c r="I178" s="122"/>
      <c r="J178" s="101"/>
      <c r="K178" s="101">
        <v>110000</v>
      </c>
      <c r="L178" s="101"/>
      <c r="M178" s="6"/>
      <c r="N178" s="6"/>
      <c r="O178" s="115"/>
      <c r="P178" s="115"/>
    </row>
    <row r="179" spans="1:16" s="48" customFormat="1" ht="17.45" customHeight="1" x14ac:dyDescent="0.25">
      <c r="A179" s="48" t="s">
        <v>201</v>
      </c>
      <c r="B179" s="926" t="s">
        <v>1386</v>
      </c>
      <c r="C179" s="824" t="s">
        <v>205</v>
      </c>
      <c r="D179" s="813"/>
      <c r="E179" s="813"/>
      <c r="F179" s="813"/>
      <c r="G179" s="97"/>
      <c r="H179" s="101"/>
      <c r="I179" s="122"/>
      <c r="J179" s="101"/>
      <c r="K179" s="101">
        <v>32000</v>
      </c>
      <c r="L179" s="101"/>
      <c r="M179" s="6"/>
      <c r="N179" s="6">
        <f>16000*2</f>
        <v>32000</v>
      </c>
      <c r="O179" s="115"/>
      <c r="P179" s="115"/>
    </row>
    <row r="180" spans="1:16" s="48" customFormat="1" ht="17.45" customHeight="1" x14ac:dyDescent="0.25">
      <c r="A180" s="48" t="s">
        <v>201</v>
      </c>
      <c r="B180" s="926" t="s">
        <v>1386</v>
      </c>
      <c r="C180" s="824" t="s">
        <v>206</v>
      </c>
      <c r="D180" s="813"/>
      <c r="E180" s="813"/>
      <c r="F180" s="813"/>
      <c r="G180" s="97"/>
      <c r="H180" s="101"/>
      <c r="I180" s="122"/>
      <c r="J180" s="101"/>
      <c r="K180" s="101">
        <v>40000</v>
      </c>
      <c r="L180" s="101"/>
      <c r="M180" s="6"/>
      <c r="N180" s="6"/>
      <c r="O180" s="115"/>
      <c r="P180" s="115"/>
    </row>
    <row r="181" spans="1:16" s="48" customFormat="1" ht="17.45" customHeight="1" x14ac:dyDescent="0.25">
      <c r="A181" s="48" t="s">
        <v>201</v>
      </c>
      <c r="B181" s="926" t="s">
        <v>1386</v>
      </c>
      <c r="C181" s="824" t="s">
        <v>207</v>
      </c>
      <c r="D181" s="813"/>
      <c r="E181" s="813"/>
      <c r="F181" s="811"/>
      <c r="G181" s="108"/>
      <c r="H181" s="101"/>
      <c r="I181" s="122"/>
      <c r="J181" s="105"/>
      <c r="K181" s="101">
        <v>20000</v>
      </c>
      <c r="L181" s="101"/>
      <c r="M181" s="6"/>
      <c r="N181" s="6"/>
      <c r="O181" s="115"/>
      <c r="P181" s="115"/>
    </row>
    <row r="182" spans="1:16" s="48" customFormat="1" ht="18" customHeight="1" x14ac:dyDescent="0.25">
      <c r="A182" s="48" t="s">
        <v>123</v>
      </c>
      <c r="B182" s="926" t="s">
        <v>1386</v>
      </c>
      <c r="C182" s="1602" t="s">
        <v>124</v>
      </c>
      <c r="D182" s="1603"/>
      <c r="E182" s="1603"/>
      <c r="F182" s="1603"/>
      <c r="G182" s="131" t="s">
        <v>125</v>
      </c>
      <c r="H182" s="101">
        <v>94995.56</v>
      </c>
      <c r="I182" s="102">
        <v>1818504</v>
      </c>
      <c r="J182" s="101">
        <v>114765.45</v>
      </c>
      <c r="K182" s="101">
        <v>2081280</v>
      </c>
      <c r="L182" s="101"/>
      <c r="M182" s="6"/>
      <c r="N182" s="6"/>
    </row>
    <row r="183" spans="1:16" s="48" customFormat="1" ht="18" customHeight="1" x14ac:dyDescent="0.25">
      <c r="A183" s="48" t="s">
        <v>123</v>
      </c>
      <c r="B183" s="926" t="s">
        <v>1386</v>
      </c>
      <c r="C183" s="1602" t="s">
        <v>126</v>
      </c>
      <c r="D183" s="1603"/>
      <c r="E183" s="1603"/>
      <c r="F183" s="1603"/>
      <c r="G183" s="131" t="s">
        <v>127</v>
      </c>
      <c r="H183" s="101">
        <v>1249579.1200000001</v>
      </c>
      <c r="I183" s="102">
        <v>2310216</v>
      </c>
      <c r="J183" s="101">
        <v>827059.91</v>
      </c>
      <c r="K183" s="101">
        <v>2507424</v>
      </c>
      <c r="L183" s="101"/>
      <c r="M183" s="6"/>
      <c r="N183" s="6"/>
    </row>
    <row r="184" spans="1:16" s="48" customFormat="1" ht="18" customHeight="1" x14ac:dyDescent="0.25">
      <c r="A184" s="48" t="s">
        <v>123</v>
      </c>
      <c r="B184" s="926" t="s">
        <v>1386</v>
      </c>
      <c r="C184" s="1602" t="s">
        <v>129</v>
      </c>
      <c r="D184" s="1603"/>
      <c r="E184" s="1603"/>
      <c r="F184" s="1603"/>
      <c r="G184" s="132" t="s">
        <v>130</v>
      </c>
      <c r="H184" s="101">
        <v>135000</v>
      </c>
      <c r="I184" s="102">
        <v>720000</v>
      </c>
      <c r="J184" s="101">
        <v>155909.01</v>
      </c>
      <c r="K184" s="101">
        <v>720000</v>
      </c>
      <c r="L184" s="101"/>
      <c r="M184" s="6"/>
      <c r="N184" s="6">
        <f>288000+432000</f>
        <v>720000</v>
      </c>
    </row>
    <row r="185" spans="1:16" s="48" customFormat="1" ht="18" customHeight="1" x14ac:dyDescent="0.25">
      <c r="A185" s="48" t="s">
        <v>123</v>
      </c>
      <c r="B185" s="926" t="s">
        <v>1386</v>
      </c>
      <c r="C185" s="1602" t="s">
        <v>135</v>
      </c>
      <c r="D185" s="1603"/>
      <c r="E185" s="1603"/>
      <c r="F185" s="1603"/>
      <c r="G185" s="131" t="s">
        <v>136</v>
      </c>
      <c r="H185" s="101">
        <v>176070.76</v>
      </c>
      <c r="I185" s="102">
        <v>701230</v>
      </c>
      <c r="J185" s="101">
        <v>215394.07</v>
      </c>
      <c r="K185" s="101">
        <v>625404.56000000006</v>
      </c>
      <c r="L185" s="101"/>
      <c r="M185" s="6"/>
      <c r="N185" s="6"/>
    </row>
    <row r="186" spans="1:16" s="48" customFormat="1" ht="18" customHeight="1" x14ac:dyDescent="0.25">
      <c r="A186" s="48" t="s">
        <v>123</v>
      </c>
      <c r="B186" s="926" t="s">
        <v>1386</v>
      </c>
      <c r="C186" s="1602" t="s">
        <v>137</v>
      </c>
      <c r="D186" s="1603"/>
      <c r="E186" s="1603"/>
      <c r="F186" s="1603"/>
      <c r="G186" s="131" t="s">
        <v>138</v>
      </c>
      <c r="H186" s="101">
        <v>0</v>
      </c>
      <c r="I186" s="102">
        <v>180000</v>
      </c>
      <c r="J186" s="101">
        <v>72000</v>
      </c>
      <c r="K186" s="101">
        <v>180000</v>
      </c>
      <c r="L186" s="101"/>
      <c r="M186" s="6"/>
      <c r="N186" s="6">
        <f>108000+72000</f>
        <v>180000</v>
      </c>
    </row>
    <row r="187" spans="1:16" s="48" customFormat="1" ht="18" customHeight="1" x14ac:dyDescent="0.25">
      <c r="A187" s="48" t="s">
        <v>123</v>
      </c>
      <c r="B187" s="926" t="s">
        <v>1386</v>
      </c>
      <c r="C187" s="1602" t="s">
        <v>139</v>
      </c>
      <c r="D187" s="1603"/>
      <c r="E187" s="1603"/>
      <c r="F187" s="1603"/>
      <c r="G187" s="131" t="s">
        <v>140</v>
      </c>
      <c r="H187" s="101">
        <v>94997</v>
      </c>
      <c r="I187" s="102">
        <v>344060</v>
      </c>
      <c r="J187" s="101"/>
      <c r="K187" s="101">
        <v>382392</v>
      </c>
      <c r="L187" s="101"/>
      <c r="M187" s="6"/>
      <c r="N187" s="6">
        <f>173440+208952</f>
        <v>382392</v>
      </c>
    </row>
    <row r="188" spans="1:16" s="48" customFormat="1" ht="18" customHeight="1" x14ac:dyDescent="0.25">
      <c r="A188" s="48" t="s">
        <v>123</v>
      </c>
      <c r="B188" s="926" t="s">
        <v>1386</v>
      </c>
      <c r="C188" s="1602" t="s">
        <v>141</v>
      </c>
      <c r="D188" s="1603"/>
      <c r="E188" s="1603"/>
      <c r="F188" s="1603"/>
      <c r="G188" s="131" t="s">
        <v>142</v>
      </c>
      <c r="H188" s="101">
        <v>94997</v>
      </c>
      <c r="I188" s="102">
        <v>344060</v>
      </c>
      <c r="J188" s="101">
        <v>133606</v>
      </c>
      <c r="K188" s="101">
        <v>382392</v>
      </c>
      <c r="L188" s="101"/>
      <c r="M188" s="6"/>
      <c r="N188" s="6">
        <f>208952+173440</f>
        <v>382392</v>
      </c>
    </row>
    <row r="189" spans="1:16" s="48" customFormat="1" ht="18" customHeight="1" x14ac:dyDescent="0.25">
      <c r="A189" s="48" t="s">
        <v>123</v>
      </c>
      <c r="B189" s="926" t="s">
        <v>1386</v>
      </c>
      <c r="C189" s="1602" t="s">
        <v>143</v>
      </c>
      <c r="D189" s="1603"/>
      <c r="E189" s="1603"/>
      <c r="F189" s="1603"/>
      <c r="G189" s="131" t="s">
        <v>144</v>
      </c>
      <c r="H189" s="101">
        <v>45000</v>
      </c>
      <c r="I189" s="102">
        <v>150000</v>
      </c>
      <c r="J189" s="101"/>
      <c r="K189" s="101">
        <v>150000</v>
      </c>
      <c r="L189" s="101"/>
      <c r="M189" s="6"/>
      <c r="N189" s="6">
        <f>90000+60000</f>
        <v>150000</v>
      </c>
    </row>
    <row r="190" spans="1:16" s="48" customFormat="1" ht="18" customHeight="1" x14ac:dyDescent="0.25">
      <c r="A190" s="48" t="s">
        <v>123</v>
      </c>
      <c r="B190" s="926" t="s">
        <v>1386</v>
      </c>
      <c r="C190" s="1602" t="s">
        <v>145</v>
      </c>
      <c r="D190" s="1603"/>
      <c r="E190" s="1603"/>
      <c r="F190" s="1603"/>
      <c r="G190" s="131" t="s">
        <v>146</v>
      </c>
      <c r="H190" s="101">
        <v>45000</v>
      </c>
      <c r="I190" s="102">
        <v>150000</v>
      </c>
      <c r="J190" s="101"/>
      <c r="K190" s="101">
        <v>150000</v>
      </c>
      <c r="L190" s="101"/>
      <c r="M190" s="6"/>
      <c r="N190" s="6"/>
    </row>
    <row r="191" spans="1:16" s="48" customFormat="1" ht="18" customHeight="1" x14ac:dyDescent="0.25">
      <c r="A191" s="48" t="s">
        <v>123</v>
      </c>
      <c r="B191" s="926" t="s">
        <v>1386</v>
      </c>
      <c r="C191" s="826" t="s">
        <v>147</v>
      </c>
      <c r="D191" s="813"/>
      <c r="E191" s="813"/>
      <c r="F191" s="811"/>
      <c r="G191" s="131" t="s">
        <v>148</v>
      </c>
      <c r="H191" s="101"/>
      <c r="I191" s="102"/>
      <c r="J191" s="101"/>
      <c r="K191" s="101">
        <v>84000</v>
      </c>
      <c r="L191" s="101"/>
      <c r="M191" s="6"/>
      <c r="N191" s="6"/>
    </row>
    <row r="192" spans="1:16" s="48" customFormat="1" ht="18" customHeight="1" x14ac:dyDescent="0.25">
      <c r="A192" s="48" t="s">
        <v>123</v>
      </c>
      <c r="B192" s="926" t="s">
        <v>1386</v>
      </c>
      <c r="C192" s="826" t="s">
        <v>210</v>
      </c>
      <c r="D192" s="813"/>
      <c r="E192" s="813"/>
      <c r="F192" s="811"/>
      <c r="G192" s="131" t="s">
        <v>148</v>
      </c>
      <c r="H192" s="101"/>
      <c r="I192" s="102"/>
      <c r="J192" s="101"/>
      <c r="K192" s="101">
        <v>18000</v>
      </c>
      <c r="L192" s="101"/>
      <c r="M192" s="6"/>
      <c r="N192" s="6"/>
    </row>
    <row r="193" spans="1:16" s="48" customFormat="1" ht="18" customHeight="1" x14ac:dyDescent="0.25">
      <c r="A193" s="48" t="s">
        <v>123</v>
      </c>
      <c r="B193" s="926" t="s">
        <v>1386</v>
      </c>
      <c r="C193" s="826" t="s">
        <v>211</v>
      </c>
      <c r="D193" s="813"/>
      <c r="E193" s="813"/>
      <c r="F193" s="811"/>
      <c r="G193" s="131" t="s">
        <v>212</v>
      </c>
      <c r="H193" s="101"/>
      <c r="I193" s="102"/>
      <c r="J193" s="101"/>
      <c r="K193" s="101">
        <v>1800</v>
      </c>
      <c r="L193" s="101"/>
      <c r="M193" s="6"/>
      <c r="N193" s="6"/>
    </row>
    <row r="194" spans="1:16" s="48" customFormat="1" ht="18" customHeight="1" x14ac:dyDescent="0.25">
      <c r="A194" s="48" t="s">
        <v>123</v>
      </c>
      <c r="B194" s="926" t="s">
        <v>1386</v>
      </c>
      <c r="C194" s="1611" t="s">
        <v>149</v>
      </c>
      <c r="D194" s="1611"/>
      <c r="E194" s="1611"/>
      <c r="F194" s="1602"/>
      <c r="G194" s="131" t="s">
        <v>150</v>
      </c>
      <c r="H194" s="101">
        <v>144900</v>
      </c>
      <c r="I194" s="102">
        <v>0</v>
      </c>
      <c r="J194" s="101"/>
      <c r="K194" s="101">
        <v>84234</v>
      </c>
      <c r="L194" s="101"/>
      <c r="M194" s="6"/>
      <c r="N194" s="6"/>
    </row>
    <row r="195" spans="1:16" s="48" customFormat="1" ht="18" customHeight="1" x14ac:dyDescent="0.25">
      <c r="A195" s="48" t="s">
        <v>123</v>
      </c>
      <c r="B195" s="926" t="s">
        <v>1386</v>
      </c>
      <c r="C195" s="1602" t="s">
        <v>153</v>
      </c>
      <c r="D195" s="1603"/>
      <c r="E195" s="1603"/>
      <c r="F195" s="1603"/>
      <c r="G195" s="131" t="s">
        <v>154</v>
      </c>
      <c r="H195" s="101">
        <v>87438.42</v>
      </c>
      <c r="I195" s="102">
        <v>495446.4</v>
      </c>
      <c r="J195" s="101">
        <v>117134.56</v>
      </c>
      <c r="K195" s="101">
        <v>550644.47999999998</v>
      </c>
      <c r="L195" s="101"/>
      <c r="M195" s="6"/>
      <c r="N195" s="6">
        <f>300890.88+249753.6</f>
        <v>550644.47999999998</v>
      </c>
    </row>
    <row r="196" spans="1:16" s="48" customFormat="1" ht="18" customHeight="1" x14ac:dyDescent="0.25">
      <c r="A196" s="48" t="s">
        <v>123</v>
      </c>
      <c r="B196" s="926" t="s">
        <v>1386</v>
      </c>
      <c r="C196" s="1602" t="s">
        <v>155</v>
      </c>
      <c r="D196" s="1603"/>
      <c r="E196" s="1603"/>
      <c r="F196" s="1603"/>
      <c r="G196" s="131" t="s">
        <v>156</v>
      </c>
      <c r="H196" s="101">
        <v>6300</v>
      </c>
      <c r="I196" s="102">
        <v>36000</v>
      </c>
      <c r="J196" s="101">
        <v>8800</v>
      </c>
      <c r="K196" s="101">
        <v>36000</v>
      </c>
      <c r="L196" s="101"/>
      <c r="M196" s="6"/>
      <c r="N196" s="6">
        <f>14400+21600</f>
        <v>36000</v>
      </c>
    </row>
    <row r="197" spans="1:16" s="48" customFormat="1" ht="18" customHeight="1" x14ac:dyDescent="0.25">
      <c r="A197" s="48" t="s">
        <v>123</v>
      </c>
      <c r="B197" s="926" t="s">
        <v>1386</v>
      </c>
      <c r="C197" s="1602" t="s">
        <v>157</v>
      </c>
      <c r="D197" s="1603"/>
      <c r="E197" s="1603"/>
      <c r="F197" s="1603"/>
      <c r="G197" s="131" t="s">
        <v>158</v>
      </c>
      <c r="H197" s="101">
        <v>10206.41</v>
      </c>
      <c r="I197" s="102">
        <v>72252.600000000006</v>
      </c>
      <c r="J197" s="101">
        <v>15880.26</v>
      </c>
      <c r="K197" s="101">
        <v>183804</v>
      </c>
      <c r="L197" s="101"/>
      <c r="M197" s="6"/>
      <c r="N197" s="6">
        <f>100440+83364</f>
        <v>183804</v>
      </c>
    </row>
    <row r="198" spans="1:16" s="48" customFormat="1" ht="18" customHeight="1" x14ac:dyDescent="0.25">
      <c r="A198" s="48" t="s">
        <v>123</v>
      </c>
      <c r="B198" s="926" t="s">
        <v>1386</v>
      </c>
      <c r="C198" s="1611" t="s">
        <v>159</v>
      </c>
      <c r="D198" s="1611"/>
      <c r="E198" s="1611"/>
      <c r="F198" s="1602"/>
      <c r="G198" s="133" t="s">
        <v>160</v>
      </c>
      <c r="H198" s="105">
        <v>6307.56</v>
      </c>
      <c r="I198" s="106">
        <v>36000</v>
      </c>
      <c r="J198" s="105">
        <v>8800</v>
      </c>
      <c r="K198" s="105">
        <v>36000</v>
      </c>
      <c r="L198" s="105"/>
      <c r="M198" s="6"/>
      <c r="N198" s="6">
        <f>14400+21600</f>
        <v>36000</v>
      </c>
    </row>
    <row r="199" spans="1:16" s="48" customFormat="1" ht="18" customHeight="1" x14ac:dyDescent="0.25">
      <c r="A199" s="48" t="s">
        <v>163</v>
      </c>
      <c r="B199" s="926" t="s">
        <v>1386</v>
      </c>
      <c r="C199" s="44" t="s">
        <v>168</v>
      </c>
      <c r="D199" s="125"/>
      <c r="E199" s="125"/>
      <c r="F199" s="134"/>
      <c r="G199" s="131" t="s">
        <v>169</v>
      </c>
      <c r="H199" s="101">
        <v>14115.5</v>
      </c>
      <c r="I199" s="102">
        <v>53305.5</v>
      </c>
      <c r="J199" s="101">
        <v>33543</v>
      </c>
      <c r="K199" s="101">
        <v>64245</v>
      </c>
      <c r="L199" s="101"/>
      <c r="M199" s="6"/>
      <c r="N199" s="6"/>
    </row>
    <row r="200" spans="1:16" s="48" customFormat="1" ht="18" customHeight="1" x14ac:dyDescent="0.25">
      <c r="A200" s="48" t="s">
        <v>163</v>
      </c>
      <c r="B200" s="926" t="s">
        <v>1386</v>
      </c>
      <c r="C200" s="44" t="s">
        <v>213</v>
      </c>
      <c r="D200" s="125"/>
      <c r="E200" s="125"/>
      <c r="F200" s="134"/>
      <c r="G200" s="131" t="s">
        <v>171</v>
      </c>
      <c r="H200" s="101"/>
      <c r="I200" s="111"/>
      <c r="J200" s="112"/>
      <c r="K200" s="101">
        <v>669129</v>
      </c>
      <c r="L200" s="112"/>
      <c r="M200" s="6"/>
      <c r="N200" s="6"/>
    </row>
    <row r="201" spans="1:16" s="48" customFormat="1" ht="18" customHeight="1" x14ac:dyDescent="0.25">
      <c r="A201" s="48" t="s">
        <v>163</v>
      </c>
      <c r="B201" s="926" t="s">
        <v>1386</v>
      </c>
      <c r="C201" s="826" t="s">
        <v>178</v>
      </c>
      <c r="D201" s="813"/>
      <c r="E201" s="813"/>
      <c r="F201" s="135"/>
      <c r="G201" s="131" t="s">
        <v>179</v>
      </c>
      <c r="H201" s="101"/>
      <c r="I201" s="111"/>
      <c r="J201" s="112"/>
      <c r="K201" s="101">
        <v>55680</v>
      </c>
      <c r="L201" s="112"/>
      <c r="M201" s="6"/>
      <c r="N201" s="6"/>
    </row>
    <row r="202" spans="1:16" s="48" customFormat="1" ht="18" customHeight="1" x14ac:dyDescent="0.25">
      <c r="A202" s="48" t="s">
        <v>163</v>
      </c>
      <c r="B202" s="926" t="s">
        <v>1386</v>
      </c>
      <c r="C202" s="44" t="s">
        <v>217</v>
      </c>
      <c r="D202" s="125"/>
      <c r="E202" s="134"/>
      <c r="F202" s="125"/>
      <c r="G202" s="131" t="s">
        <v>218</v>
      </c>
      <c r="H202" s="101"/>
      <c r="I202" s="111">
        <v>7200</v>
      </c>
      <c r="J202" s="112"/>
      <c r="K202" s="101">
        <v>7200</v>
      </c>
      <c r="L202" s="112"/>
      <c r="M202" s="6"/>
      <c r="N202" s="6"/>
      <c r="O202" s="115"/>
      <c r="P202" s="115"/>
    </row>
    <row r="203" spans="1:16" s="48" customFormat="1" ht="18" customHeight="1" x14ac:dyDescent="0.25">
      <c r="A203" s="48" t="s">
        <v>163</v>
      </c>
      <c r="B203" s="926" t="s">
        <v>1386</v>
      </c>
      <c r="C203" s="44" t="s">
        <v>198</v>
      </c>
      <c r="D203" s="125"/>
      <c r="E203" s="134"/>
      <c r="F203" s="134"/>
      <c r="G203" s="131" t="s">
        <v>199</v>
      </c>
      <c r="H203" s="101">
        <v>1192217.23</v>
      </c>
      <c r="I203" s="111">
        <v>2926687.92</v>
      </c>
      <c r="J203" s="112">
        <v>552261.06999999995</v>
      </c>
      <c r="K203" s="105">
        <v>3055235.04</v>
      </c>
      <c r="L203" s="112"/>
      <c r="M203" s="6"/>
      <c r="N203" s="6"/>
      <c r="O203" s="115"/>
      <c r="P203" s="115"/>
    </row>
    <row r="204" spans="1:16" s="136" customFormat="1" ht="18" customHeight="1" x14ac:dyDescent="0.25">
      <c r="A204" s="136" t="s">
        <v>201</v>
      </c>
      <c r="B204" s="926" t="s">
        <v>1386</v>
      </c>
      <c r="C204" s="826" t="s">
        <v>219</v>
      </c>
      <c r="D204" s="813"/>
      <c r="E204" s="813"/>
      <c r="F204" s="813"/>
      <c r="G204" s="97"/>
      <c r="H204" s="101"/>
      <c r="I204" s="111"/>
      <c r="J204" s="112"/>
      <c r="K204" s="121">
        <v>200000</v>
      </c>
      <c r="L204" s="112"/>
      <c r="M204" s="6"/>
      <c r="N204" s="6"/>
      <c r="O204" s="115"/>
      <c r="P204" s="115"/>
    </row>
    <row r="205" spans="1:16" s="136" customFormat="1" ht="18" customHeight="1" x14ac:dyDescent="0.25">
      <c r="A205" s="136" t="s">
        <v>201</v>
      </c>
      <c r="B205" s="926" t="s">
        <v>1386</v>
      </c>
      <c r="C205" s="826" t="s">
        <v>220</v>
      </c>
      <c r="D205" s="813"/>
      <c r="E205" s="813"/>
      <c r="F205" s="813"/>
      <c r="G205" s="97"/>
      <c r="H205" s="101"/>
      <c r="I205" s="111"/>
      <c r="J205" s="112"/>
      <c r="K205" s="101">
        <v>54000</v>
      </c>
      <c r="L205" s="112"/>
      <c r="M205" s="6"/>
      <c r="N205" s="6"/>
      <c r="O205" s="115"/>
      <c r="P205" s="115"/>
    </row>
    <row r="206" spans="1:16" s="136" customFormat="1" ht="18" customHeight="1" x14ac:dyDescent="0.25">
      <c r="A206" s="136" t="s">
        <v>201</v>
      </c>
      <c r="B206" s="926" t="s">
        <v>1386</v>
      </c>
      <c r="C206" s="826" t="s">
        <v>221</v>
      </c>
      <c r="D206" s="813"/>
      <c r="E206" s="813"/>
      <c r="F206" s="813"/>
      <c r="G206" s="97"/>
      <c r="H206" s="101"/>
      <c r="I206" s="111"/>
      <c r="J206" s="112"/>
      <c r="K206" s="101">
        <v>120000</v>
      </c>
      <c r="L206" s="112"/>
      <c r="M206" s="6"/>
      <c r="N206" s="6"/>
      <c r="O206" s="115"/>
      <c r="P206" s="115"/>
    </row>
    <row r="207" spans="1:16" s="48" customFormat="1" ht="18" customHeight="1" x14ac:dyDescent="0.25">
      <c r="A207" s="136" t="s">
        <v>201</v>
      </c>
      <c r="B207" s="926" t="s">
        <v>1386</v>
      </c>
      <c r="C207" s="1611" t="s">
        <v>223</v>
      </c>
      <c r="D207" s="1611"/>
      <c r="E207" s="1612"/>
      <c r="F207" s="1613"/>
      <c r="G207" s="97"/>
      <c r="H207" s="101">
        <v>0</v>
      </c>
      <c r="I207" s="111">
        <v>16000</v>
      </c>
      <c r="J207" s="112"/>
      <c r="K207" s="101">
        <v>15300</v>
      </c>
      <c r="L207" s="112"/>
      <c r="M207" s="6"/>
      <c r="N207" s="6"/>
      <c r="O207" s="115"/>
      <c r="P207" s="115"/>
    </row>
    <row r="208" spans="1:16" s="48" customFormat="1" ht="18" customHeight="1" x14ac:dyDescent="0.25">
      <c r="A208" s="48" t="s">
        <v>123</v>
      </c>
      <c r="B208" s="926" t="s">
        <v>1387</v>
      </c>
      <c r="C208" s="1602" t="s">
        <v>124</v>
      </c>
      <c r="D208" s="1603"/>
      <c r="E208" s="1603"/>
      <c r="F208" s="1603"/>
      <c r="G208" s="131" t="s">
        <v>125</v>
      </c>
      <c r="H208" s="101"/>
      <c r="I208" s="102">
        <v>256836</v>
      </c>
      <c r="J208" s="101"/>
      <c r="K208" s="101">
        <v>286056</v>
      </c>
      <c r="L208" s="101"/>
      <c r="M208" s="6"/>
      <c r="N208" s="6"/>
    </row>
    <row r="209" spans="1:14" s="48" customFormat="1" ht="18" customHeight="1" x14ac:dyDescent="0.25">
      <c r="A209" s="48" t="s">
        <v>123</v>
      </c>
      <c r="B209" s="926" t="s">
        <v>1387</v>
      </c>
      <c r="C209" s="826" t="s">
        <v>126</v>
      </c>
      <c r="D209" s="813"/>
      <c r="E209" s="813"/>
      <c r="F209" s="813"/>
      <c r="G209" s="143" t="s">
        <v>132</v>
      </c>
      <c r="H209" s="101"/>
      <c r="I209" s="102">
        <v>132552</v>
      </c>
      <c r="J209" s="101">
        <v>70776.45</v>
      </c>
      <c r="K209" s="101">
        <v>143928</v>
      </c>
      <c r="L209" s="101"/>
      <c r="M209" s="6"/>
      <c r="N209" s="6"/>
    </row>
    <row r="210" spans="1:14" s="48" customFormat="1" ht="18" customHeight="1" x14ac:dyDescent="0.25">
      <c r="A210" s="48" t="s">
        <v>123</v>
      </c>
      <c r="B210" s="926" t="s">
        <v>1387</v>
      </c>
      <c r="C210" s="1611" t="s">
        <v>129</v>
      </c>
      <c r="D210" s="1611"/>
      <c r="E210" s="1611"/>
      <c r="F210" s="1611"/>
      <c r="G210" s="144" t="s">
        <v>130</v>
      </c>
      <c r="H210" s="101"/>
      <c r="I210" s="102">
        <v>48000</v>
      </c>
      <c r="J210" s="101">
        <v>12181.81</v>
      </c>
      <c r="K210" s="101">
        <v>48000</v>
      </c>
      <c r="L210" s="101"/>
      <c r="M210" s="6"/>
      <c r="N210" s="6"/>
    </row>
    <row r="211" spans="1:14" s="48" customFormat="1" ht="18" customHeight="1" x14ac:dyDescent="0.25">
      <c r="A211" s="48" t="s">
        <v>123</v>
      </c>
      <c r="B211" s="926" t="s">
        <v>1387</v>
      </c>
      <c r="C211" s="1611" t="s">
        <v>137</v>
      </c>
      <c r="D211" s="1611"/>
      <c r="E211" s="1611"/>
      <c r="F211" s="1611"/>
      <c r="G211" s="143" t="s">
        <v>138</v>
      </c>
      <c r="H211" s="101"/>
      <c r="I211" s="102">
        <v>12000</v>
      </c>
      <c r="J211" s="101">
        <v>6000</v>
      </c>
      <c r="K211" s="101">
        <v>12000</v>
      </c>
      <c r="L211" s="101"/>
      <c r="M211" s="6"/>
      <c r="N211" s="6"/>
    </row>
    <row r="212" spans="1:14" s="48" customFormat="1" ht="18" customHeight="1" x14ac:dyDescent="0.25">
      <c r="A212" s="48" t="s">
        <v>123</v>
      </c>
      <c r="B212" s="926" t="s">
        <v>1387</v>
      </c>
      <c r="C212" s="1611" t="s">
        <v>139</v>
      </c>
      <c r="D212" s="1611"/>
      <c r="E212" s="1611"/>
      <c r="F212" s="1611"/>
      <c r="G212" s="143" t="s">
        <v>140</v>
      </c>
      <c r="H212" s="101"/>
      <c r="I212" s="102">
        <v>32449</v>
      </c>
      <c r="J212" s="101">
        <v>11520</v>
      </c>
      <c r="K212" s="101">
        <v>35832</v>
      </c>
      <c r="L212" s="101"/>
      <c r="M212" s="6"/>
      <c r="N212" s="6"/>
    </row>
    <row r="213" spans="1:14" s="48" customFormat="1" ht="18" customHeight="1" x14ac:dyDescent="0.25">
      <c r="A213" s="48" t="s">
        <v>123</v>
      </c>
      <c r="B213" s="926" t="s">
        <v>1387</v>
      </c>
      <c r="C213" s="813" t="s">
        <v>227</v>
      </c>
      <c r="D213" s="813"/>
      <c r="E213" s="813"/>
      <c r="F213" s="813"/>
      <c r="G213" s="143" t="s">
        <v>228</v>
      </c>
      <c r="H213" s="101"/>
      <c r="I213" s="102"/>
      <c r="J213" s="101"/>
      <c r="K213" s="101">
        <v>48000</v>
      </c>
      <c r="L213" s="101"/>
      <c r="M213" s="6"/>
      <c r="N213" s="6"/>
    </row>
    <row r="214" spans="1:14" s="48" customFormat="1" ht="18" customHeight="1" x14ac:dyDescent="0.25">
      <c r="A214" s="48" t="s">
        <v>123</v>
      </c>
      <c r="B214" s="926" t="s">
        <v>1387</v>
      </c>
      <c r="C214" s="1611" t="s">
        <v>141</v>
      </c>
      <c r="D214" s="1611"/>
      <c r="E214" s="1611"/>
      <c r="F214" s="1611"/>
      <c r="G214" s="143" t="s">
        <v>142</v>
      </c>
      <c r="H214" s="101"/>
      <c r="I214" s="102">
        <v>32449</v>
      </c>
      <c r="J214" s="101"/>
      <c r="K214" s="101">
        <v>35832</v>
      </c>
      <c r="L214" s="101"/>
      <c r="M214" s="6"/>
      <c r="N214" s="6"/>
    </row>
    <row r="215" spans="1:14" s="48" customFormat="1" ht="18" customHeight="1" x14ac:dyDescent="0.25">
      <c r="A215" s="48" t="s">
        <v>123</v>
      </c>
      <c r="B215" s="926" t="s">
        <v>1387</v>
      </c>
      <c r="C215" s="1611" t="s">
        <v>143</v>
      </c>
      <c r="D215" s="1611"/>
      <c r="E215" s="1611"/>
      <c r="F215" s="1611"/>
      <c r="G215" s="143" t="s">
        <v>144</v>
      </c>
      <c r="H215" s="101"/>
      <c r="I215" s="102">
        <v>10000</v>
      </c>
      <c r="J215" s="101"/>
      <c r="K215" s="101">
        <v>10000</v>
      </c>
      <c r="L215" s="101"/>
      <c r="M215" s="6"/>
      <c r="N215" s="6"/>
    </row>
    <row r="216" spans="1:14" s="48" customFormat="1" ht="18" customHeight="1" x14ac:dyDescent="0.25">
      <c r="A216" s="48" t="s">
        <v>123</v>
      </c>
      <c r="B216" s="926" t="s">
        <v>1387</v>
      </c>
      <c r="C216" s="1611" t="s">
        <v>145</v>
      </c>
      <c r="D216" s="1611"/>
      <c r="E216" s="1611"/>
      <c r="F216" s="1611"/>
      <c r="G216" s="143" t="s">
        <v>146</v>
      </c>
      <c r="H216" s="101"/>
      <c r="I216" s="102">
        <v>10000</v>
      </c>
      <c r="J216" s="101"/>
      <c r="K216" s="101">
        <v>10000</v>
      </c>
      <c r="L216" s="101"/>
      <c r="M216" s="6"/>
      <c r="N216" s="6"/>
    </row>
    <row r="217" spans="1:14" s="48" customFormat="1" ht="18" customHeight="1" x14ac:dyDescent="0.25">
      <c r="A217" s="48" t="s">
        <v>123</v>
      </c>
      <c r="B217" s="926" t="s">
        <v>1387</v>
      </c>
      <c r="C217" s="826" t="s">
        <v>147</v>
      </c>
      <c r="D217" s="813"/>
      <c r="E217" s="813"/>
      <c r="F217" s="813"/>
      <c r="G217" s="143" t="s">
        <v>148</v>
      </c>
      <c r="H217" s="101"/>
      <c r="I217" s="102"/>
      <c r="J217" s="101"/>
      <c r="K217" s="101">
        <v>3000</v>
      </c>
      <c r="L217" s="101"/>
      <c r="M217" s="6"/>
      <c r="N217" s="6"/>
    </row>
    <row r="218" spans="1:14" s="48" customFormat="1" ht="18" customHeight="1" x14ac:dyDescent="0.25">
      <c r="A218" s="48" t="s">
        <v>123</v>
      </c>
      <c r="B218" s="926" t="s">
        <v>1387</v>
      </c>
      <c r="C218" s="1611" t="s">
        <v>153</v>
      </c>
      <c r="D218" s="1611"/>
      <c r="E218" s="1611"/>
      <c r="F218" s="1611"/>
      <c r="G218" s="143" t="s">
        <v>154</v>
      </c>
      <c r="H218" s="101"/>
      <c r="I218" s="102">
        <v>46726.559999999998</v>
      </c>
      <c r="J218" s="101">
        <v>8985.6</v>
      </c>
      <c r="K218" s="101">
        <v>51598.080000000002</v>
      </c>
      <c r="L218" s="101"/>
      <c r="M218" s="6"/>
      <c r="N218" s="6"/>
    </row>
    <row r="219" spans="1:14" s="48" customFormat="1" ht="18" customHeight="1" x14ac:dyDescent="0.25">
      <c r="A219" s="48" t="s">
        <v>123</v>
      </c>
      <c r="B219" s="926" t="s">
        <v>1387</v>
      </c>
      <c r="C219" s="1611" t="s">
        <v>155</v>
      </c>
      <c r="D219" s="1611"/>
      <c r="E219" s="1611"/>
      <c r="F219" s="1611"/>
      <c r="G219" s="143" t="s">
        <v>156</v>
      </c>
      <c r="H219" s="101"/>
      <c r="I219" s="102">
        <v>2400</v>
      </c>
      <c r="J219" s="101">
        <v>700</v>
      </c>
      <c r="K219" s="101">
        <v>2400</v>
      </c>
      <c r="L219" s="101"/>
      <c r="M219" s="6"/>
      <c r="N219" s="6"/>
    </row>
    <row r="220" spans="1:14" s="48" customFormat="1" ht="18" customHeight="1" x14ac:dyDescent="0.25">
      <c r="A220" s="48" t="s">
        <v>123</v>
      </c>
      <c r="B220" s="926" t="s">
        <v>1387</v>
      </c>
      <c r="C220" s="1602" t="s">
        <v>157</v>
      </c>
      <c r="D220" s="1603"/>
      <c r="E220" s="1603"/>
      <c r="F220" s="1603"/>
      <c r="G220" s="131" t="s">
        <v>158</v>
      </c>
      <c r="H220" s="101"/>
      <c r="I220" s="102">
        <v>6814.29</v>
      </c>
      <c r="J220" s="101">
        <v>1209.5999999999999</v>
      </c>
      <c r="K220" s="101">
        <v>17208</v>
      </c>
      <c r="L220" s="101"/>
      <c r="M220" s="6"/>
      <c r="N220" s="6"/>
    </row>
    <row r="221" spans="1:14" s="48" customFormat="1" ht="18" customHeight="1" x14ac:dyDescent="0.25">
      <c r="A221" s="48" t="s">
        <v>123</v>
      </c>
      <c r="B221" s="926" t="s">
        <v>1387</v>
      </c>
      <c r="C221" s="1602" t="s">
        <v>159</v>
      </c>
      <c r="D221" s="1603"/>
      <c r="E221" s="1603"/>
      <c r="F221" s="1603"/>
      <c r="G221" s="133" t="s">
        <v>160</v>
      </c>
      <c r="H221" s="105"/>
      <c r="I221" s="106">
        <v>2400</v>
      </c>
      <c r="J221" s="105">
        <v>700</v>
      </c>
      <c r="K221" s="105">
        <v>2400</v>
      </c>
      <c r="L221" s="105"/>
      <c r="M221" s="6"/>
      <c r="N221" s="6"/>
    </row>
    <row r="222" spans="1:14" s="48" customFormat="1" ht="18" customHeight="1" x14ac:dyDescent="0.25">
      <c r="A222" s="48" t="s">
        <v>163</v>
      </c>
      <c r="B222" s="926" t="s">
        <v>1387</v>
      </c>
      <c r="C222" s="44" t="s">
        <v>164</v>
      </c>
      <c r="D222" s="113"/>
      <c r="E222" s="113"/>
      <c r="F222" s="114"/>
      <c r="G222" s="131" t="s">
        <v>165</v>
      </c>
      <c r="H222" s="101">
        <v>2550</v>
      </c>
      <c r="I222" s="102">
        <v>15000</v>
      </c>
      <c r="J222" s="101"/>
      <c r="K222" s="101">
        <v>15000</v>
      </c>
      <c r="L222" s="101"/>
      <c r="M222" s="6"/>
      <c r="N222" s="6"/>
    </row>
    <row r="223" spans="1:14" s="48" customFormat="1" ht="18" customHeight="1" x14ac:dyDescent="0.25">
      <c r="A223" s="48" t="s">
        <v>163</v>
      </c>
      <c r="B223" s="926" t="s">
        <v>1387</v>
      </c>
      <c r="C223" s="44" t="s">
        <v>168</v>
      </c>
      <c r="D223" s="113"/>
      <c r="E223" s="113"/>
      <c r="F223" s="114"/>
      <c r="G223" s="131" t="s">
        <v>169</v>
      </c>
      <c r="H223" s="101">
        <v>34402</v>
      </c>
      <c r="I223" s="111">
        <v>54077</v>
      </c>
      <c r="J223" s="112">
        <v>18855</v>
      </c>
      <c r="K223" s="101">
        <v>54156</v>
      </c>
      <c r="L223" s="112"/>
      <c r="M223" s="6"/>
      <c r="N223" s="6"/>
    </row>
    <row r="224" spans="1:14" s="48" customFormat="1" ht="18" customHeight="1" x14ac:dyDescent="0.25">
      <c r="A224" s="48" t="s">
        <v>163</v>
      </c>
      <c r="B224" s="926" t="s">
        <v>1387</v>
      </c>
      <c r="C224" s="44" t="s">
        <v>213</v>
      </c>
      <c r="D224" s="113"/>
      <c r="E224" s="113"/>
      <c r="F224" s="114"/>
      <c r="G224" s="131" t="s">
        <v>171</v>
      </c>
      <c r="H224" s="101"/>
      <c r="I224" s="111"/>
      <c r="J224" s="112"/>
      <c r="K224" s="101">
        <v>23784</v>
      </c>
      <c r="L224" s="112"/>
      <c r="M224" s="6"/>
      <c r="N224" s="6"/>
    </row>
    <row r="225" spans="1:16" s="48" customFormat="1" ht="18" customHeight="1" x14ac:dyDescent="0.25">
      <c r="A225" s="48" t="s">
        <v>163</v>
      </c>
      <c r="B225" s="926" t="s">
        <v>1387</v>
      </c>
      <c r="C225" s="44" t="s">
        <v>178</v>
      </c>
      <c r="D225" s="113"/>
      <c r="E225" s="113"/>
      <c r="F225" s="114"/>
      <c r="G225" s="131" t="s">
        <v>179</v>
      </c>
      <c r="H225" s="101"/>
      <c r="I225" s="111"/>
      <c r="J225" s="112"/>
      <c r="K225" s="101">
        <v>5000</v>
      </c>
      <c r="L225" s="112"/>
      <c r="M225" s="6"/>
      <c r="N225" s="6"/>
    </row>
    <row r="226" spans="1:16" s="48" customFormat="1" ht="18" customHeight="1" x14ac:dyDescent="0.25">
      <c r="A226" s="48" t="s">
        <v>163</v>
      </c>
      <c r="B226" s="926" t="s">
        <v>1387</v>
      </c>
      <c r="C226" s="44" t="s">
        <v>182</v>
      </c>
      <c r="D226" s="113"/>
      <c r="E226" s="113"/>
      <c r="F226" s="114"/>
      <c r="G226" s="131" t="s">
        <v>183</v>
      </c>
      <c r="H226" s="101">
        <v>11237.95</v>
      </c>
      <c r="I226" s="111">
        <v>30000</v>
      </c>
      <c r="J226" s="112">
        <v>11968.71</v>
      </c>
      <c r="K226" s="101">
        <v>48000</v>
      </c>
      <c r="L226" s="112"/>
      <c r="M226" s="6"/>
      <c r="N226" s="6"/>
    </row>
    <row r="227" spans="1:16" s="48" customFormat="1" ht="18" customHeight="1" x14ac:dyDescent="0.25">
      <c r="A227" s="48" t="s">
        <v>163</v>
      </c>
      <c r="B227" s="926" t="s">
        <v>1387</v>
      </c>
      <c r="C227" s="44" t="s">
        <v>186</v>
      </c>
      <c r="D227" s="113"/>
      <c r="E227" s="113"/>
      <c r="F227" s="114"/>
      <c r="G227" s="131" t="s">
        <v>187</v>
      </c>
      <c r="H227" s="101">
        <v>0</v>
      </c>
      <c r="I227" s="111">
        <v>20000</v>
      </c>
      <c r="J227" s="112"/>
      <c r="K227" s="101">
        <v>20000</v>
      </c>
      <c r="L227" s="112"/>
      <c r="M227" s="6"/>
      <c r="N227" s="6"/>
    </row>
    <row r="228" spans="1:16" s="48" customFormat="1" ht="18" customHeight="1" x14ac:dyDescent="0.25">
      <c r="A228" s="48" t="s">
        <v>163</v>
      </c>
      <c r="B228" s="926" t="s">
        <v>1387</v>
      </c>
      <c r="C228" s="44" t="s">
        <v>198</v>
      </c>
      <c r="D228" s="113"/>
      <c r="E228" s="113"/>
      <c r="F228" s="114"/>
      <c r="G228" s="133" t="s">
        <v>199</v>
      </c>
      <c r="H228" s="105"/>
      <c r="I228" s="117">
        <v>203519.76</v>
      </c>
      <c r="J228" s="118">
        <v>75348.990000000005</v>
      </c>
      <c r="K228" s="105">
        <v>162024</v>
      </c>
      <c r="L228" s="118"/>
      <c r="M228" s="6"/>
      <c r="N228" s="6">
        <f>210024-48000</f>
        <v>162024</v>
      </c>
      <c r="O228" s="115"/>
      <c r="P228" s="115"/>
    </row>
    <row r="229" spans="1:16" s="146" customFormat="1" ht="18" customHeight="1" x14ac:dyDescent="0.25">
      <c r="A229" s="146" t="s">
        <v>201</v>
      </c>
      <c r="B229" s="925" t="s">
        <v>1387</v>
      </c>
      <c r="C229" s="826" t="s">
        <v>229</v>
      </c>
      <c r="D229" s="832"/>
      <c r="E229" s="832"/>
      <c r="F229" s="832"/>
      <c r="G229" s="97"/>
      <c r="H229" s="101"/>
      <c r="I229" s="102"/>
      <c r="J229" s="101"/>
      <c r="K229" s="145">
        <v>50000</v>
      </c>
      <c r="L229" s="101"/>
      <c r="M229" s="10"/>
      <c r="N229" s="10"/>
      <c r="O229"/>
      <c r="P229"/>
    </row>
    <row r="230" spans="1:16" s="48" customFormat="1" ht="18" customHeight="1" x14ac:dyDescent="0.25">
      <c r="A230" s="146" t="s">
        <v>201</v>
      </c>
      <c r="B230" s="925" t="s">
        <v>1387</v>
      </c>
      <c r="C230" s="409" t="s">
        <v>230</v>
      </c>
      <c r="D230" s="554"/>
      <c r="E230" s="555"/>
      <c r="F230" s="555"/>
      <c r="G230" s="147"/>
      <c r="H230" s="148"/>
      <c r="I230" s="149"/>
      <c r="J230" s="140"/>
      <c r="K230" s="105">
        <v>160000</v>
      </c>
      <c r="L230" s="140"/>
      <c r="M230" s="6"/>
      <c r="N230" s="6"/>
      <c r="O230" s="115"/>
      <c r="P230" s="115"/>
    </row>
    <row r="231" spans="1:16" s="48" customFormat="1" ht="18" customHeight="1" x14ac:dyDescent="0.25">
      <c r="A231" s="48" t="s">
        <v>123</v>
      </c>
      <c r="B231" s="926" t="s">
        <v>1388</v>
      </c>
      <c r="C231" s="1602" t="s">
        <v>124</v>
      </c>
      <c r="D231" s="1603"/>
      <c r="E231" s="1603"/>
      <c r="F231" s="1603"/>
      <c r="G231" s="131" t="s">
        <v>125</v>
      </c>
      <c r="H231" s="101">
        <v>695268</v>
      </c>
      <c r="I231" s="102">
        <v>909504</v>
      </c>
      <c r="J231" s="101">
        <v>421456</v>
      </c>
      <c r="K231" s="101">
        <v>993912</v>
      </c>
      <c r="L231" s="101"/>
      <c r="M231" s="6"/>
      <c r="N231" s="6"/>
    </row>
    <row r="232" spans="1:16" s="48" customFormat="1" ht="18" customHeight="1" x14ac:dyDescent="0.25">
      <c r="A232" s="48" t="s">
        <v>123</v>
      </c>
      <c r="B232" s="926" t="s">
        <v>1388</v>
      </c>
      <c r="C232" s="1602" t="s">
        <v>126</v>
      </c>
      <c r="D232" s="1603"/>
      <c r="E232" s="1603"/>
      <c r="F232" s="1603"/>
      <c r="G232" s="131" t="s">
        <v>127</v>
      </c>
      <c r="H232" s="101">
        <v>149929.13</v>
      </c>
      <c r="I232" s="102">
        <v>132552</v>
      </c>
      <c r="J232" s="101">
        <v>70776.45</v>
      </c>
      <c r="K232" s="101">
        <v>143928</v>
      </c>
      <c r="L232" s="101"/>
      <c r="M232" s="6"/>
      <c r="N232" s="6"/>
    </row>
    <row r="233" spans="1:16" s="48" customFormat="1" ht="18" customHeight="1" x14ac:dyDescent="0.25">
      <c r="A233" s="48" t="s">
        <v>123</v>
      </c>
      <c r="B233" s="926" t="s">
        <v>1388</v>
      </c>
      <c r="C233" s="1614" t="s">
        <v>128</v>
      </c>
      <c r="D233" s="1615"/>
      <c r="E233" s="812"/>
      <c r="F233" s="812"/>
      <c r="G233" s="131" t="s">
        <v>125</v>
      </c>
      <c r="H233" s="101"/>
      <c r="I233" s="102"/>
      <c r="J233" s="101"/>
      <c r="K233" s="101">
        <v>6070</v>
      </c>
      <c r="L233" s="101"/>
      <c r="M233" s="6"/>
      <c r="N233" s="6"/>
    </row>
    <row r="234" spans="1:16" s="48" customFormat="1" ht="18" customHeight="1" x14ac:dyDescent="0.25">
      <c r="A234" s="48" t="s">
        <v>123</v>
      </c>
      <c r="B234" s="926" t="s">
        <v>1388</v>
      </c>
      <c r="C234" s="1602" t="s">
        <v>129</v>
      </c>
      <c r="D234" s="1603"/>
      <c r="E234" s="1603"/>
      <c r="F234" s="1603"/>
      <c r="G234" s="132" t="s">
        <v>130</v>
      </c>
      <c r="H234" s="101">
        <v>86272.55</v>
      </c>
      <c r="I234" s="102">
        <v>120000</v>
      </c>
      <c r="J234" s="101">
        <v>54181.81</v>
      </c>
      <c r="K234" s="101">
        <v>120000</v>
      </c>
      <c r="L234" s="101"/>
      <c r="M234" s="6"/>
      <c r="N234" s="6"/>
    </row>
    <row r="235" spans="1:16" s="48" customFormat="1" ht="18" customHeight="1" x14ac:dyDescent="0.25">
      <c r="A235" s="48" t="s">
        <v>123</v>
      </c>
      <c r="B235" s="926" t="s">
        <v>1388</v>
      </c>
      <c r="C235" s="1602" t="s">
        <v>135</v>
      </c>
      <c r="D235" s="1603"/>
      <c r="E235" s="1603"/>
      <c r="F235" s="1603"/>
      <c r="G235" s="131" t="s">
        <v>136</v>
      </c>
      <c r="H235" s="101">
        <v>0</v>
      </c>
      <c r="I235" s="102">
        <v>204879.09</v>
      </c>
      <c r="J235" s="101"/>
      <c r="K235" s="101">
        <v>50000</v>
      </c>
      <c r="L235" s="101"/>
      <c r="M235" s="6"/>
      <c r="N235" s="6"/>
    </row>
    <row r="236" spans="1:16" s="48" customFormat="1" ht="18" customHeight="1" x14ac:dyDescent="0.25">
      <c r="A236" s="48" t="s">
        <v>123</v>
      </c>
      <c r="B236" s="926" t="s">
        <v>1388</v>
      </c>
      <c r="C236" s="1602" t="s">
        <v>137</v>
      </c>
      <c r="D236" s="1603"/>
      <c r="E236" s="1603"/>
      <c r="F236" s="1603"/>
      <c r="G236" s="131" t="s">
        <v>138</v>
      </c>
      <c r="H236" s="101">
        <v>18000</v>
      </c>
      <c r="I236" s="102">
        <v>30000</v>
      </c>
      <c r="J236" s="101">
        <v>24000</v>
      </c>
      <c r="K236" s="101">
        <v>30000</v>
      </c>
      <c r="L236" s="101"/>
      <c r="M236" s="6"/>
      <c r="N236" s="6"/>
    </row>
    <row r="237" spans="1:16" s="48" customFormat="1" ht="18" customHeight="1" x14ac:dyDescent="0.25">
      <c r="A237" s="48" t="s">
        <v>123</v>
      </c>
      <c r="B237" s="926" t="s">
        <v>1388</v>
      </c>
      <c r="C237" s="1602" t="s">
        <v>139</v>
      </c>
      <c r="D237" s="1603"/>
      <c r="E237" s="1603"/>
      <c r="F237" s="1603"/>
      <c r="G237" s="131" t="s">
        <v>140</v>
      </c>
      <c r="H237" s="101">
        <v>68985</v>
      </c>
      <c r="I237" s="102">
        <v>86838</v>
      </c>
      <c r="J237" s="101">
        <v>71728</v>
      </c>
      <c r="K237" s="101">
        <v>95427</v>
      </c>
      <c r="L237" s="101"/>
      <c r="M237" s="6"/>
      <c r="N237" s="6"/>
    </row>
    <row r="238" spans="1:16" s="48" customFormat="1" ht="18" customHeight="1" x14ac:dyDescent="0.25">
      <c r="A238" s="48" t="s">
        <v>123</v>
      </c>
      <c r="B238" s="926" t="s">
        <v>1388</v>
      </c>
      <c r="C238" s="1602" t="s">
        <v>141</v>
      </c>
      <c r="D238" s="1603"/>
      <c r="E238" s="1603"/>
      <c r="F238" s="1603"/>
      <c r="G238" s="131" t="s">
        <v>142</v>
      </c>
      <c r="H238" s="101">
        <v>68985</v>
      </c>
      <c r="I238" s="102">
        <v>86838</v>
      </c>
      <c r="J238" s="101"/>
      <c r="K238" s="101">
        <v>95427</v>
      </c>
      <c r="L238" s="101"/>
      <c r="M238" s="6"/>
      <c r="N238" s="6"/>
    </row>
    <row r="239" spans="1:16" s="48" customFormat="1" ht="18" customHeight="1" x14ac:dyDescent="0.25">
      <c r="A239" s="48" t="s">
        <v>123</v>
      </c>
      <c r="B239" s="926" t="s">
        <v>1388</v>
      </c>
      <c r="C239" s="1602" t="s">
        <v>143</v>
      </c>
      <c r="D239" s="1603"/>
      <c r="E239" s="1603"/>
      <c r="F239" s="1603"/>
      <c r="G239" s="131" t="s">
        <v>144</v>
      </c>
      <c r="H239" s="101">
        <v>20000</v>
      </c>
      <c r="I239" s="102">
        <v>25000</v>
      </c>
      <c r="J239" s="101"/>
      <c r="K239" s="101">
        <v>25000</v>
      </c>
      <c r="L239" s="101"/>
      <c r="M239" s="6"/>
      <c r="N239" s="6"/>
    </row>
    <row r="240" spans="1:16" s="48" customFormat="1" ht="18" customHeight="1" x14ac:dyDescent="0.25">
      <c r="A240" s="48" t="s">
        <v>123</v>
      </c>
      <c r="B240" s="926" t="s">
        <v>1388</v>
      </c>
      <c r="C240" s="1602" t="s">
        <v>145</v>
      </c>
      <c r="D240" s="1603"/>
      <c r="E240" s="1603"/>
      <c r="F240" s="1610"/>
      <c r="G240" s="131" t="s">
        <v>146</v>
      </c>
      <c r="H240" s="101">
        <v>20000</v>
      </c>
      <c r="I240" s="102">
        <v>25000</v>
      </c>
      <c r="J240" s="101"/>
      <c r="K240" s="101">
        <v>25000</v>
      </c>
      <c r="L240" s="101"/>
      <c r="M240" s="6"/>
      <c r="N240" s="6"/>
    </row>
    <row r="241" spans="1:16" s="48" customFormat="1" ht="18" customHeight="1" x14ac:dyDescent="0.25">
      <c r="A241" s="48" t="s">
        <v>123</v>
      </c>
      <c r="B241" s="926" t="s">
        <v>1388</v>
      </c>
      <c r="C241" s="808" t="s">
        <v>231</v>
      </c>
      <c r="D241" s="813"/>
      <c r="E241" s="813"/>
      <c r="F241" s="813"/>
      <c r="G241" s="131" t="s">
        <v>232</v>
      </c>
      <c r="H241" s="101"/>
      <c r="I241" s="102"/>
      <c r="J241" s="101"/>
      <c r="K241" s="101">
        <v>5000</v>
      </c>
      <c r="L241" s="101"/>
      <c r="M241" s="6"/>
      <c r="N241" s="6"/>
    </row>
    <row r="242" spans="1:16" s="48" customFormat="1" ht="18" customHeight="1" x14ac:dyDescent="0.25">
      <c r="A242" s="48" t="s">
        <v>123</v>
      </c>
      <c r="B242" s="926" t="s">
        <v>1388</v>
      </c>
      <c r="C242" s="826" t="s">
        <v>147</v>
      </c>
      <c r="D242" s="813"/>
      <c r="E242" s="813"/>
      <c r="F242" s="813"/>
      <c r="G242" s="131" t="s">
        <v>148</v>
      </c>
      <c r="H242" s="101"/>
      <c r="I242" s="102"/>
      <c r="J242" s="101"/>
      <c r="K242" s="101">
        <v>15000</v>
      </c>
      <c r="L242" s="101"/>
      <c r="M242" s="6"/>
      <c r="N242" s="6"/>
    </row>
    <row r="243" spans="1:16" s="48" customFormat="1" ht="18" customHeight="1" x14ac:dyDescent="0.25">
      <c r="A243" s="48" t="s">
        <v>123</v>
      </c>
      <c r="B243" s="926" t="s">
        <v>1388</v>
      </c>
      <c r="C243" s="1602" t="s">
        <v>153</v>
      </c>
      <c r="D243" s="1603"/>
      <c r="E243" s="1603"/>
      <c r="F243" s="1603"/>
      <c r="G243" s="131" t="s">
        <v>154</v>
      </c>
      <c r="H243" s="101">
        <v>93601.56</v>
      </c>
      <c r="I243" s="102">
        <v>125046.72</v>
      </c>
      <c r="J243" s="101">
        <v>59560.32</v>
      </c>
      <c r="K243" s="101">
        <v>137269.20000000001</v>
      </c>
      <c r="L243" s="101"/>
      <c r="M243" s="6"/>
      <c r="N243" s="6"/>
    </row>
    <row r="244" spans="1:16" s="48" customFormat="1" ht="18" customHeight="1" x14ac:dyDescent="0.25">
      <c r="A244" s="48" t="s">
        <v>123</v>
      </c>
      <c r="B244" s="926" t="s">
        <v>1388</v>
      </c>
      <c r="C244" s="1602" t="s">
        <v>155</v>
      </c>
      <c r="D244" s="1603"/>
      <c r="E244" s="1603"/>
      <c r="F244" s="1603"/>
      <c r="G244" s="131" t="s">
        <v>156</v>
      </c>
      <c r="H244" s="101">
        <v>4300</v>
      </c>
      <c r="I244" s="102">
        <v>6000</v>
      </c>
      <c r="J244" s="101">
        <v>2800</v>
      </c>
      <c r="K244" s="101">
        <v>6000</v>
      </c>
      <c r="L244" s="101"/>
      <c r="M244" s="6"/>
      <c r="N244" s="6"/>
    </row>
    <row r="245" spans="1:16" s="48" customFormat="1" ht="18" customHeight="1" x14ac:dyDescent="0.25">
      <c r="A245" s="48" t="s">
        <v>123</v>
      </c>
      <c r="B245" s="926" t="s">
        <v>1388</v>
      </c>
      <c r="C245" s="1602" t="s">
        <v>157</v>
      </c>
      <c r="D245" s="1603"/>
      <c r="E245" s="1603"/>
      <c r="F245" s="1603"/>
      <c r="G245" s="131" t="s">
        <v>158</v>
      </c>
      <c r="H245" s="101">
        <v>11617.43</v>
      </c>
      <c r="I245" s="102">
        <v>18235.98</v>
      </c>
      <c r="J245" s="101">
        <v>7531.49</v>
      </c>
      <c r="K245" s="101">
        <v>45782.8</v>
      </c>
      <c r="L245" s="101"/>
      <c r="M245" s="6"/>
      <c r="N245" s="6"/>
    </row>
    <row r="246" spans="1:16" s="48" customFormat="1" ht="18" customHeight="1" x14ac:dyDescent="0.25">
      <c r="A246" s="48" t="s">
        <v>123</v>
      </c>
      <c r="B246" s="926" t="s">
        <v>1388</v>
      </c>
      <c r="C246" s="1611" t="s">
        <v>159</v>
      </c>
      <c r="D246" s="1611"/>
      <c r="E246" s="1611"/>
      <c r="F246" s="1602"/>
      <c r="G246" s="133" t="s">
        <v>160</v>
      </c>
      <c r="H246" s="105">
        <v>4300</v>
      </c>
      <c r="I246" s="106">
        <v>6000</v>
      </c>
      <c r="J246" s="105">
        <v>2800</v>
      </c>
      <c r="K246" s="101">
        <v>6000</v>
      </c>
      <c r="L246" s="101"/>
      <c r="M246" s="6"/>
      <c r="N246" s="6"/>
    </row>
    <row r="247" spans="1:16" s="48" customFormat="1" ht="18" customHeight="1" x14ac:dyDescent="0.25">
      <c r="A247" s="48" t="s">
        <v>163</v>
      </c>
      <c r="B247" s="926" t="s">
        <v>1388</v>
      </c>
      <c r="C247" s="44" t="s">
        <v>164</v>
      </c>
      <c r="D247" s="113"/>
      <c r="E247" s="113"/>
      <c r="F247" s="114"/>
      <c r="G247" s="131" t="s">
        <v>165</v>
      </c>
      <c r="H247" s="101">
        <v>5060</v>
      </c>
      <c r="I247" s="111">
        <v>10000</v>
      </c>
      <c r="J247" s="112"/>
      <c r="K247" s="101">
        <v>10000</v>
      </c>
      <c r="L247" s="112"/>
      <c r="M247" s="6"/>
      <c r="N247" s="6"/>
    </row>
    <row r="248" spans="1:16" s="48" customFormat="1" ht="18" customHeight="1" x14ac:dyDescent="0.25">
      <c r="A248" s="48" t="s">
        <v>163</v>
      </c>
      <c r="B248" s="926" t="s">
        <v>1388</v>
      </c>
      <c r="C248" s="44" t="s">
        <v>168</v>
      </c>
      <c r="D248" s="113"/>
      <c r="E248" s="113"/>
      <c r="F248" s="114"/>
      <c r="G248" s="131" t="s">
        <v>169</v>
      </c>
      <c r="H248" s="101">
        <v>138447.70000000001</v>
      </c>
      <c r="I248" s="111">
        <v>90000</v>
      </c>
      <c r="J248" s="112">
        <v>85691.25</v>
      </c>
      <c r="K248" s="101">
        <v>65810</v>
      </c>
      <c r="L248" s="112"/>
      <c r="M248" s="6"/>
      <c r="N248" s="6"/>
    </row>
    <row r="249" spans="1:16" s="48" customFormat="1" ht="17.100000000000001" customHeight="1" x14ac:dyDescent="0.25">
      <c r="A249" s="48" t="s">
        <v>163</v>
      </c>
      <c r="B249" s="926" t="s">
        <v>1388</v>
      </c>
      <c r="C249" s="44" t="s">
        <v>233</v>
      </c>
      <c r="D249" s="113"/>
      <c r="E249" s="113"/>
      <c r="F249" s="114"/>
      <c r="G249" s="131" t="s">
        <v>171</v>
      </c>
      <c r="H249" s="101"/>
      <c r="I249" s="111"/>
      <c r="J249" s="112"/>
      <c r="K249" s="101">
        <v>95084</v>
      </c>
      <c r="L249" s="112"/>
      <c r="M249" s="6"/>
      <c r="N249" s="6"/>
      <c r="O249" s="115"/>
      <c r="P249" s="115"/>
    </row>
    <row r="250" spans="1:16" s="48" customFormat="1" ht="18" customHeight="1" x14ac:dyDescent="0.25">
      <c r="A250" s="48" t="s">
        <v>163</v>
      </c>
      <c r="B250" s="926" t="s">
        <v>1388</v>
      </c>
      <c r="C250" s="44" t="s">
        <v>178</v>
      </c>
      <c r="D250" s="113"/>
      <c r="E250" s="113"/>
      <c r="F250" s="114"/>
      <c r="G250" s="131" t="s">
        <v>179</v>
      </c>
      <c r="H250" s="101"/>
      <c r="I250" s="111"/>
      <c r="J250" s="112"/>
      <c r="K250" s="101">
        <v>30000</v>
      </c>
      <c r="L250" s="112"/>
      <c r="M250" s="6"/>
      <c r="N250" s="6"/>
    </row>
    <row r="251" spans="1:16" s="48" customFormat="1" ht="18" customHeight="1" x14ac:dyDescent="0.25">
      <c r="A251" s="48" t="s">
        <v>163</v>
      </c>
      <c r="B251" s="926" t="s">
        <v>1388</v>
      </c>
      <c r="C251" s="44" t="s">
        <v>182</v>
      </c>
      <c r="D251" s="113"/>
      <c r="E251" s="113"/>
      <c r="F251" s="114"/>
      <c r="G251" s="131" t="s">
        <v>183</v>
      </c>
      <c r="H251" s="101">
        <v>22246.400000000001</v>
      </c>
      <c r="I251" s="111">
        <v>30000</v>
      </c>
      <c r="J251" s="112">
        <v>14156.8</v>
      </c>
      <c r="K251" s="101">
        <v>30000</v>
      </c>
      <c r="L251" s="112"/>
      <c r="M251" s="6"/>
      <c r="N251" s="6"/>
    </row>
    <row r="252" spans="1:16" s="48" customFormat="1" ht="18" customHeight="1" x14ac:dyDescent="0.25">
      <c r="A252" s="48" t="s">
        <v>163</v>
      </c>
      <c r="B252" s="926" t="s">
        <v>1388</v>
      </c>
      <c r="C252" s="826" t="s">
        <v>235</v>
      </c>
      <c r="D252" s="811"/>
      <c r="E252" s="812"/>
      <c r="F252" s="812"/>
      <c r="G252" s="131" t="s">
        <v>187</v>
      </c>
      <c r="H252" s="101"/>
      <c r="I252" s="111">
        <v>100000</v>
      </c>
      <c r="J252" s="112"/>
      <c r="K252" s="101">
        <v>40000</v>
      </c>
      <c r="L252" s="112"/>
      <c r="M252" s="6"/>
      <c r="N252" s="6"/>
      <c r="O252" s="115"/>
      <c r="P252" s="115"/>
    </row>
    <row r="253" spans="1:16" s="48" customFormat="1" ht="18" customHeight="1" x14ac:dyDescent="0.25">
      <c r="A253" s="48" t="s">
        <v>163</v>
      </c>
      <c r="B253" s="926" t="s">
        <v>1388</v>
      </c>
      <c r="C253" s="44" t="s">
        <v>236</v>
      </c>
      <c r="D253" s="113"/>
      <c r="E253" s="113"/>
      <c r="F253" s="114"/>
      <c r="G253" s="131" t="s">
        <v>237</v>
      </c>
      <c r="H253" s="101">
        <v>0</v>
      </c>
      <c r="I253" s="111">
        <v>5000</v>
      </c>
      <c r="J253" s="112"/>
      <c r="K253" s="101">
        <v>5000</v>
      </c>
      <c r="L253" s="112"/>
      <c r="M253" s="6"/>
      <c r="N253" s="6"/>
    </row>
    <row r="254" spans="1:16" s="48" customFormat="1" ht="18" customHeight="1" x14ac:dyDescent="0.25">
      <c r="A254" s="48" t="s">
        <v>163</v>
      </c>
      <c r="B254" s="926" t="s">
        <v>1388</v>
      </c>
      <c r="C254" s="44" t="s">
        <v>198</v>
      </c>
      <c r="D254" s="113"/>
      <c r="E254" s="113"/>
      <c r="F254" s="114"/>
      <c r="G254" s="133" t="s">
        <v>199</v>
      </c>
      <c r="H254" s="105">
        <v>264243.05</v>
      </c>
      <c r="I254" s="117">
        <v>731035.68</v>
      </c>
      <c r="J254" s="118">
        <v>163423.59</v>
      </c>
      <c r="K254" s="106">
        <v>420000</v>
      </c>
      <c r="L254" s="118"/>
      <c r="M254" s="6"/>
      <c r="N254" s="6"/>
      <c r="O254" s="115"/>
      <c r="P254" s="115"/>
    </row>
    <row r="255" spans="1:16" s="136" customFormat="1" ht="18" customHeight="1" x14ac:dyDescent="0.25">
      <c r="A255" s="136" t="s">
        <v>201</v>
      </c>
      <c r="B255" s="926" t="s">
        <v>1388</v>
      </c>
      <c r="C255" s="824" t="s">
        <v>238</v>
      </c>
      <c r="D255" s="824"/>
      <c r="E255" s="824"/>
      <c r="F255" s="825"/>
      <c r="G255" s="97"/>
      <c r="H255" s="101"/>
      <c r="I255" s="111"/>
      <c r="J255" s="112"/>
      <c r="K255" s="145">
        <v>400000</v>
      </c>
      <c r="L255" s="112"/>
      <c r="M255" s="6"/>
      <c r="N255" s="6"/>
      <c r="O255" s="115"/>
      <c r="P255" s="115"/>
    </row>
    <row r="256" spans="1:16" s="136" customFormat="1" ht="18" customHeight="1" x14ac:dyDescent="0.25">
      <c r="A256" s="136" t="s">
        <v>201</v>
      </c>
      <c r="B256" s="926" t="s">
        <v>1388</v>
      </c>
      <c r="C256" s="824" t="s">
        <v>239</v>
      </c>
      <c r="D256" s="824"/>
      <c r="E256" s="824"/>
      <c r="F256" s="825"/>
      <c r="G256" s="97"/>
      <c r="H256" s="101"/>
      <c r="I256" s="111"/>
      <c r="J256" s="112"/>
      <c r="K256" s="102">
        <v>80000</v>
      </c>
      <c r="L256" s="112"/>
      <c r="M256" s="6"/>
      <c r="N256" s="6"/>
      <c r="O256" s="115"/>
      <c r="P256" s="115"/>
    </row>
    <row r="257" spans="1:16" s="136" customFormat="1" ht="18" customHeight="1" x14ac:dyDescent="0.25">
      <c r="A257" s="136" t="s">
        <v>201</v>
      </c>
      <c r="B257" s="926" t="s">
        <v>1388</v>
      </c>
      <c r="C257" s="824" t="s">
        <v>203</v>
      </c>
      <c r="D257" s="824"/>
      <c r="E257" s="824"/>
      <c r="F257" s="825"/>
      <c r="G257" s="97"/>
      <c r="H257" s="101"/>
      <c r="I257" s="111"/>
      <c r="J257" s="112"/>
      <c r="K257" s="102">
        <v>115000</v>
      </c>
      <c r="L257" s="112"/>
      <c r="M257" s="6"/>
      <c r="N257" s="6"/>
      <c r="O257" s="115"/>
      <c r="P257" s="115"/>
    </row>
    <row r="258" spans="1:16" s="136" customFormat="1" ht="18" customHeight="1" x14ac:dyDescent="0.25">
      <c r="A258" s="136" t="s">
        <v>201</v>
      </c>
      <c r="B258" s="926" t="s">
        <v>1388</v>
      </c>
      <c r="C258" s="824" t="s">
        <v>240</v>
      </c>
      <c r="D258" s="824"/>
      <c r="E258" s="824"/>
      <c r="F258" s="825"/>
      <c r="G258" s="97"/>
      <c r="H258" s="101"/>
      <c r="I258" s="111"/>
      <c r="J258" s="112"/>
      <c r="K258" s="101">
        <v>300000</v>
      </c>
      <c r="L258" s="112"/>
      <c r="M258" s="6"/>
      <c r="N258" s="6"/>
      <c r="O258" s="115"/>
      <c r="P258" s="115"/>
    </row>
    <row r="259" spans="1:16" s="48" customFormat="1" ht="18" customHeight="1" x14ac:dyDescent="0.25">
      <c r="A259" s="48" t="s">
        <v>123</v>
      </c>
      <c r="B259" s="926" t="s">
        <v>1386</v>
      </c>
      <c r="C259" s="1602" t="s">
        <v>124</v>
      </c>
      <c r="D259" s="1603"/>
      <c r="E259" s="1603"/>
      <c r="F259" s="1603"/>
      <c r="G259" s="100" t="s">
        <v>125</v>
      </c>
      <c r="H259" s="101">
        <v>648024</v>
      </c>
      <c r="I259" s="102">
        <v>648024</v>
      </c>
      <c r="J259" s="101">
        <v>396419.55</v>
      </c>
      <c r="K259" s="101">
        <v>712428</v>
      </c>
      <c r="L259" s="101"/>
      <c r="M259" s="6"/>
      <c r="N259" s="6"/>
    </row>
    <row r="260" spans="1:16" s="48" customFormat="1" ht="18" customHeight="1" x14ac:dyDescent="0.25">
      <c r="A260" s="48" t="s">
        <v>123</v>
      </c>
      <c r="B260" s="926" t="s">
        <v>1386</v>
      </c>
      <c r="C260" s="1602" t="s">
        <v>126</v>
      </c>
      <c r="D260" s="1603"/>
      <c r="E260" s="1603"/>
      <c r="F260" s="1603"/>
      <c r="G260" s="100" t="s">
        <v>127</v>
      </c>
      <c r="H260" s="101">
        <v>147691.04999999999</v>
      </c>
      <c r="I260" s="102">
        <v>132552</v>
      </c>
      <c r="J260" s="101">
        <v>70776.45</v>
      </c>
      <c r="K260" s="101">
        <v>143928</v>
      </c>
      <c r="L260" s="101"/>
      <c r="M260" s="6"/>
      <c r="N260" s="6"/>
    </row>
    <row r="261" spans="1:16" s="48" customFormat="1" ht="18" customHeight="1" x14ac:dyDescent="0.25">
      <c r="A261" s="48" t="s">
        <v>123</v>
      </c>
      <c r="B261" s="926" t="s">
        <v>1386</v>
      </c>
      <c r="C261" s="1602" t="s">
        <v>128</v>
      </c>
      <c r="D261" s="1603"/>
      <c r="E261" s="1603"/>
      <c r="F261" s="1603"/>
      <c r="G261" s="100" t="s">
        <v>125</v>
      </c>
      <c r="H261" s="101"/>
      <c r="I261" s="102">
        <v>810</v>
      </c>
      <c r="J261" s="101"/>
      <c r="K261" s="101">
        <v>3477.64</v>
      </c>
      <c r="L261" s="101"/>
      <c r="M261" s="6"/>
      <c r="N261" s="6"/>
    </row>
    <row r="262" spans="1:16" s="48" customFormat="1" ht="18" customHeight="1" x14ac:dyDescent="0.25">
      <c r="A262" s="48" t="s">
        <v>123</v>
      </c>
      <c r="B262" s="926" t="s">
        <v>1386</v>
      </c>
      <c r="C262" s="1602" t="s">
        <v>129</v>
      </c>
      <c r="D262" s="1603"/>
      <c r="E262" s="1603"/>
      <c r="F262" s="1603"/>
      <c r="G262" s="103" t="s">
        <v>130</v>
      </c>
      <c r="H262" s="101">
        <v>86181.56</v>
      </c>
      <c r="I262" s="102">
        <v>96000</v>
      </c>
      <c r="J262" s="101">
        <v>54181.81</v>
      </c>
      <c r="K262" s="101">
        <v>96000</v>
      </c>
      <c r="L262" s="101"/>
      <c r="M262" s="6"/>
      <c r="N262" s="6"/>
    </row>
    <row r="263" spans="1:16" s="48" customFormat="1" ht="18" customHeight="1" x14ac:dyDescent="0.25">
      <c r="A263" s="48" t="s">
        <v>123</v>
      </c>
      <c r="B263" s="926" t="s">
        <v>1386</v>
      </c>
      <c r="C263" s="826" t="s">
        <v>135</v>
      </c>
      <c r="D263" s="813"/>
      <c r="E263" s="813"/>
      <c r="F263" s="811"/>
      <c r="G263" s="100" t="s">
        <v>136</v>
      </c>
      <c r="H263" s="101"/>
      <c r="I263" s="102">
        <v>62788.800000000003</v>
      </c>
      <c r="J263" s="101"/>
      <c r="K263" s="102">
        <v>62788.800000000003</v>
      </c>
      <c r="L263" s="101"/>
      <c r="M263" s="6"/>
      <c r="N263" s="6"/>
    </row>
    <row r="264" spans="1:16" s="48" customFormat="1" ht="18" customHeight="1" x14ac:dyDescent="0.25">
      <c r="A264" s="48" t="s">
        <v>123</v>
      </c>
      <c r="B264" s="926" t="s">
        <v>1386</v>
      </c>
      <c r="C264" s="1602" t="s">
        <v>137</v>
      </c>
      <c r="D264" s="1603"/>
      <c r="E264" s="1603"/>
      <c r="F264" s="1603"/>
      <c r="G264" s="100" t="s">
        <v>138</v>
      </c>
      <c r="H264" s="101">
        <v>18000</v>
      </c>
      <c r="I264" s="102">
        <v>24000</v>
      </c>
      <c r="J264" s="101">
        <v>24000</v>
      </c>
      <c r="K264" s="101">
        <v>24000</v>
      </c>
      <c r="L264" s="101"/>
      <c r="M264" s="6"/>
      <c r="N264" s="6"/>
    </row>
    <row r="265" spans="1:16" s="48" customFormat="1" ht="18" customHeight="1" x14ac:dyDescent="0.25">
      <c r="A265" s="48" t="s">
        <v>123</v>
      </c>
      <c r="B265" s="926" t="s">
        <v>1386</v>
      </c>
      <c r="C265" s="1602" t="s">
        <v>139</v>
      </c>
      <c r="D265" s="1603"/>
      <c r="E265" s="1603"/>
      <c r="F265" s="1603"/>
      <c r="G265" s="100" t="s">
        <v>140</v>
      </c>
      <c r="H265" s="101">
        <v>65048</v>
      </c>
      <c r="I265" s="102">
        <v>65048</v>
      </c>
      <c r="J265" s="101">
        <v>68132</v>
      </c>
      <c r="K265" s="101">
        <v>71779</v>
      </c>
      <c r="L265" s="101"/>
      <c r="M265" s="6"/>
      <c r="N265" s="6"/>
    </row>
    <row r="266" spans="1:16" s="48" customFormat="1" ht="18" customHeight="1" x14ac:dyDescent="0.25">
      <c r="A266" s="48" t="s">
        <v>123</v>
      </c>
      <c r="B266" s="926" t="s">
        <v>1386</v>
      </c>
      <c r="C266" s="1602" t="s">
        <v>141</v>
      </c>
      <c r="D266" s="1603"/>
      <c r="E266" s="1603"/>
      <c r="F266" s="1603"/>
      <c r="G266" s="100" t="s">
        <v>142</v>
      </c>
      <c r="H266" s="101">
        <v>65048</v>
      </c>
      <c r="I266" s="102">
        <v>65183</v>
      </c>
      <c r="J266" s="101"/>
      <c r="K266" s="101">
        <v>71779</v>
      </c>
      <c r="L266" s="101"/>
      <c r="M266" s="6"/>
      <c r="N266" s="6"/>
    </row>
    <row r="267" spans="1:16" s="48" customFormat="1" ht="18" customHeight="1" x14ac:dyDescent="0.25">
      <c r="A267" s="48" t="s">
        <v>123</v>
      </c>
      <c r="B267" s="926" t="s">
        <v>1386</v>
      </c>
      <c r="C267" s="1602" t="s">
        <v>143</v>
      </c>
      <c r="D267" s="1603"/>
      <c r="E267" s="1603"/>
      <c r="F267" s="1603"/>
      <c r="G267" s="100" t="s">
        <v>144</v>
      </c>
      <c r="H267" s="101">
        <v>20000</v>
      </c>
      <c r="I267" s="102">
        <v>20000</v>
      </c>
      <c r="J267" s="101"/>
      <c r="K267" s="101">
        <v>20000</v>
      </c>
      <c r="L267" s="101"/>
      <c r="M267" s="6"/>
      <c r="N267" s="6"/>
    </row>
    <row r="268" spans="1:16" s="48" customFormat="1" ht="18" customHeight="1" x14ac:dyDescent="0.25">
      <c r="A268" s="48" t="s">
        <v>123</v>
      </c>
      <c r="B268" s="926" t="s">
        <v>1386</v>
      </c>
      <c r="C268" s="1602" t="s">
        <v>145</v>
      </c>
      <c r="D268" s="1603"/>
      <c r="E268" s="1603"/>
      <c r="F268" s="1603"/>
      <c r="G268" s="100" t="s">
        <v>146</v>
      </c>
      <c r="H268" s="101">
        <v>20000</v>
      </c>
      <c r="I268" s="102">
        <v>20000</v>
      </c>
      <c r="J268" s="101"/>
      <c r="K268" s="101">
        <v>20000</v>
      </c>
      <c r="L268" s="101"/>
      <c r="M268" s="6"/>
      <c r="N268" s="6"/>
    </row>
    <row r="269" spans="1:16" s="48" customFormat="1" ht="18" customHeight="1" x14ac:dyDescent="0.25">
      <c r="A269" s="48" t="s">
        <v>123</v>
      </c>
      <c r="B269" s="926" t="s">
        <v>1386</v>
      </c>
      <c r="C269" s="826" t="s">
        <v>147</v>
      </c>
      <c r="D269" s="813"/>
      <c r="E269" s="813"/>
      <c r="F269" s="811"/>
      <c r="G269" s="100" t="s">
        <v>148</v>
      </c>
      <c r="H269" s="101"/>
      <c r="I269" s="102"/>
      <c r="J269" s="101"/>
      <c r="K269" s="101">
        <v>12000</v>
      </c>
      <c r="L269" s="101"/>
      <c r="M269" s="6"/>
      <c r="N269" s="6"/>
    </row>
    <row r="270" spans="1:16" s="48" customFormat="1" ht="18" customHeight="1" x14ac:dyDescent="0.25">
      <c r="A270" s="48" t="s">
        <v>123</v>
      </c>
      <c r="B270" s="926" t="s">
        <v>1386</v>
      </c>
      <c r="C270" s="1602" t="s">
        <v>153</v>
      </c>
      <c r="D270" s="1603"/>
      <c r="E270" s="1603"/>
      <c r="F270" s="1603"/>
      <c r="G270" s="100" t="s">
        <v>154</v>
      </c>
      <c r="H270" s="101">
        <v>87932.28</v>
      </c>
      <c r="I270" s="102">
        <v>93766.32</v>
      </c>
      <c r="J270" s="101">
        <v>56555.42</v>
      </c>
      <c r="K270" s="101">
        <v>103180.04</v>
      </c>
      <c r="L270" s="101"/>
      <c r="M270" s="6"/>
      <c r="N270" s="6"/>
    </row>
    <row r="271" spans="1:16" s="48" customFormat="1" ht="18" customHeight="1" x14ac:dyDescent="0.25">
      <c r="A271" s="48" t="s">
        <v>123</v>
      </c>
      <c r="B271" s="926" t="s">
        <v>1386</v>
      </c>
      <c r="C271" s="1602" t="s">
        <v>155</v>
      </c>
      <c r="D271" s="1603"/>
      <c r="E271" s="1603"/>
      <c r="F271" s="1603"/>
      <c r="G271" s="100" t="s">
        <v>156</v>
      </c>
      <c r="H271" s="101">
        <v>4300</v>
      </c>
      <c r="I271" s="102">
        <v>4800</v>
      </c>
      <c r="J271" s="101">
        <v>2800</v>
      </c>
      <c r="K271" s="101">
        <v>4800</v>
      </c>
      <c r="L271" s="101"/>
      <c r="M271" s="6"/>
      <c r="N271" s="6"/>
    </row>
    <row r="272" spans="1:16" s="48" customFormat="1" ht="18" customHeight="1" x14ac:dyDescent="0.25">
      <c r="A272" s="48" t="s">
        <v>123</v>
      </c>
      <c r="B272" s="926" t="s">
        <v>1386</v>
      </c>
      <c r="C272" s="1602" t="s">
        <v>157</v>
      </c>
      <c r="D272" s="1603"/>
      <c r="E272" s="1603"/>
      <c r="F272" s="1603"/>
      <c r="G272" s="100" t="s">
        <v>158</v>
      </c>
      <c r="H272" s="101">
        <v>10908.83</v>
      </c>
      <c r="I272" s="102">
        <v>13674.26</v>
      </c>
      <c r="J272" s="101">
        <v>7155.99</v>
      </c>
      <c r="K272" s="101">
        <v>34423.11</v>
      </c>
      <c r="L272" s="101"/>
      <c r="M272" s="6"/>
      <c r="N272" s="6"/>
    </row>
    <row r="273" spans="1:16" s="48" customFormat="1" ht="18" customHeight="1" x14ac:dyDescent="0.25">
      <c r="A273" s="48" t="s">
        <v>123</v>
      </c>
      <c r="B273" s="926" t="s">
        <v>1386</v>
      </c>
      <c r="C273" s="1602" t="s">
        <v>159</v>
      </c>
      <c r="D273" s="1603"/>
      <c r="E273" s="1603"/>
      <c r="F273" s="1603"/>
      <c r="G273" s="104" t="s">
        <v>160</v>
      </c>
      <c r="H273" s="105">
        <v>4300</v>
      </c>
      <c r="I273" s="106">
        <v>4800</v>
      </c>
      <c r="J273" s="105">
        <v>2800</v>
      </c>
      <c r="K273" s="105">
        <v>4800</v>
      </c>
      <c r="L273" s="105"/>
      <c r="M273" s="6"/>
      <c r="N273" s="6"/>
    </row>
    <row r="274" spans="1:16" s="48" customFormat="1" ht="18" customHeight="1" x14ac:dyDescent="0.25">
      <c r="A274" s="48" t="s">
        <v>163</v>
      </c>
      <c r="B274" s="926" t="s">
        <v>1386</v>
      </c>
      <c r="C274" s="44" t="s">
        <v>164</v>
      </c>
      <c r="D274" s="113"/>
      <c r="E274" s="113"/>
      <c r="F274" s="114"/>
      <c r="G274" s="100" t="s">
        <v>165</v>
      </c>
      <c r="H274" s="101">
        <v>0</v>
      </c>
      <c r="I274" s="111">
        <v>15000</v>
      </c>
      <c r="J274" s="112"/>
      <c r="K274" s="101">
        <v>15000</v>
      </c>
      <c r="L274" s="112"/>
      <c r="M274" s="6"/>
      <c r="N274" s="6"/>
    </row>
    <row r="275" spans="1:16" s="48" customFormat="1" ht="18" customHeight="1" x14ac:dyDescent="0.25">
      <c r="A275" s="48" t="s">
        <v>163</v>
      </c>
      <c r="B275" s="926" t="s">
        <v>1386</v>
      </c>
      <c r="C275" s="44" t="s">
        <v>168</v>
      </c>
      <c r="D275" s="113"/>
      <c r="E275" s="113"/>
      <c r="F275" s="114"/>
      <c r="G275" s="100" t="s">
        <v>169</v>
      </c>
      <c r="H275" s="101">
        <v>102559</v>
      </c>
      <c r="I275" s="111">
        <v>92000</v>
      </c>
      <c r="J275" s="112">
        <v>22037</v>
      </c>
      <c r="K275" s="101">
        <v>92714</v>
      </c>
      <c r="L275" s="112"/>
      <c r="M275" s="6"/>
      <c r="N275" s="6"/>
    </row>
    <row r="276" spans="1:16" s="48" customFormat="1" ht="18" customHeight="1" x14ac:dyDescent="0.25">
      <c r="A276" s="48" t="s">
        <v>163</v>
      </c>
      <c r="B276" s="926" t="s">
        <v>1386</v>
      </c>
      <c r="C276" s="44" t="s">
        <v>213</v>
      </c>
      <c r="D276" s="113"/>
      <c r="E276" s="113"/>
      <c r="F276" s="114"/>
      <c r="G276" s="100" t="s">
        <v>171</v>
      </c>
      <c r="H276" s="101"/>
      <c r="I276" s="111"/>
      <c r="J276" s="112"/>
      <c r="K276" s="101">
        <v>31200</v>
      </c>
      <c r="L276" s="112"/>
      <c r="M276" s="6"/>
      <c r="N276" s="6"/>
    </row>
    <row r="277" spans="1:16" s="48" customFormat="1" ht="18" customHeight="1" x14ac:dyDescent="0.25">
      <c r="A277" s="48" t="s">
        <v>163</v>
      </c>
      <c r="B277" s="926" t="s">
        <v>1386</v>
      </c>
      <c r="C277" s="44" t="s">
        <v>178</v>
      </c>
      <c r="D277" s="157"/>
      <c r="E277" s="113"/>
      <c r="F277" s="114"/>
      <c r="G277" s="100" t="s">
        <v>179</v>
      </c>
      <c r="H277" s="101"/>
      <c r="I277" s="111"/>
      <c r="J277" s="112"/>
      <c r="K277" s="102">
        <v>7200</v>
      </c>
      <c r="L277" s="112"/>
      <c r="M277" s="6"/>
      <c r="N277" s="6"/>
    </row>
    <row r="278" spans="1:16" s="48" customFormat="1" ht="18" customHeight="1" x14ac:dyDescent="0.25">
      <c r="A278" s="48" t="s">
        <v>163</v>
      </c>
      <c r="B278" s="926" t="s">
        <v>1386</v>
      </c>
      <c r="C278" s="44" t="s">
        <v>186</v>
      </c>
      <c r="D278" s="113"/>
      <c r="E278" s="113"/>
      <c r="F278" s="114"/>
      <c r="G278" s="100" t="s">
        <v>187</v>
      </c>
      <c r="H278" s="101">
        <v>0</v>
      </c>
      <c r="I278" s="111">
        <v>10000</v>
      </c>
      <c r="J278" s="112"/>
      <c r="K278" s="101">
        <v>10000</v>
      </c>
      <c r="L278" s="112"/>
      <c r="M278" s="6"/>
      <c r="N278" s="6"/>
      <c r="O278" s="115"/>
      <c r="P278" s="115"/>
    </row>
    <row r="279" spans="1:16" s="48" customFormat="1" ht="18" customHeight="1" x14ac:dyDescent="0.25">
      <c r="A279" s="48" t="s">
        <v>163</v>
      </c>
      <c r="B279" s="926" t="s">
        <v>1386</v>
      </c>
      <c r="C279" s="44" t="s">
        <v>198</v>
      </c>
      <c r="D279" s="113"/>
      <c r="E279" s="113"/>
      <c r="F279" s="114"/>
      <c r="G279" s="104" t="s">
        <v>199</v>
      </c>
      <c r="H279" s="101">
        <v>0</v>
      </c>
      <c r="I279" s="117">
        <v>5000</v>
      </c>
      <c r="J279" s="118"/>
      <c r="K279" s="105">
        <v>5000</v>
      </c>
      <c r="L279" s="118"/>
      <c r="M279" s="6"/>
      <c r="N279" s="6"/>
      <c r="O279" s="115"/>
      <c r="P279" s="115"/>
    </row>
    <row r="280" spans="1:16" s="136" customFormat="1" ht="18" customHeight="1" x14ac:dyDescent="0.25">
      <c r="A280" s="136" t="s">
        <v>201</v>
      </c>
      <c r="B280" s="926" t="s">
        <v>1386</v>
      </c>
      <c r="C280" s="826" t="s">
        <v>244</v>
      </c>
      <c r="D280" s="813"/>
      <c r="E280" s="813"/>
      <c r="F280" s="813"/>
      <c r="G280" s="97"/>
      <c r="H280" s="101"/>
      <c r="I280" s="111"/>
      <c r="J280" s="112"/>
      <c r="K280" s="101">
        <v>40000</v>
      </c>
      <c r="L280" s="112"/>
      <c r="M280" s="6"/>
      <c r="N280" s="6"/>
      <c r="O280" s="115"/>
      <c r="P280" s="115"/>
    </row>
    <row r="281" spans="1:16" s="48" customFormat="1" ht="17.100000000000001" customHeight="1" x14ac:dyDescent="0.25">
      <c r="A281" s="48" t="s">
        <v>123</v>
      </c>
      <c r="B281" s="926" t="s">
        <v>1386</v>
      </c>
      <c r="C281" s="1602" t="s">
        <v>124</v>
      </c>
      <c r="D281" s="1603"/>
      <c r="E281" s="1603"/>
      <c r="F281" s="1603"/>
      <c r="G281" s="100" t="s">
        <v>125</v>
      </c>
      <c r="H281" s="101">
        <v>303132</v>
      </c>
      <c r="I281" s="162">
        <v>825072</v>
      </c>
      <c r="J281" s="112">
        <v>204255.55</v>
      </c>
      <c r="K281" s="101">
        <v>908568</v>
      </c>
      <c r="L281" s="112"/>
      <c r="M281" s="6"/>
      <c r="N281" s="6"/>
    </row>
    <row r="282" spans="1:16" s="48" customFormat="1" ht="17.100000000000001" customHeight="1" x14ac:dyDescent="0.25">
      <c r="A282" s="48" t="s">
        <v>123</v>
      </c>
      <c r="B282" s="926" t="s">
        <v>1386</v>
      </c>
      <c r="C282" s="1614" t="s">
        <v>128</v>
      </c>
      <c r="D282" s="1615"/>
      <c r="E282" s="812"/>
      <c r="F282" s="812"/>
      <c r="G282" s="100" t="s">
        <v>125</v>
      </c>
      <c r="H282" s="101"/>
      <c r="I282" s="162"/>
      <c r="J282" s="112"/>
      <c r="K282" s="101">
        <v>878.18</v>
      </c>
      <c r="L282" s="112"/>
      <c r="M282" s="6"/>
      <c r="N282" s="6"/>
    </row>
    <row r="283" spans="1:16" s="48" customFormat="1" ht="17.100000000000001" customHeight="1" x14ac:dyDescent="0.25">
      <c r="A283" s="48" t="s">
        <v>123</v>
      </c>
      <c r="B283" s="926" t="s">
        <v>1386</v>
      </c>
      <c r="C283" s="1602" t="s">
        <v>129</v>
      </c>
      <c r="D283" s="1603"/>
      <c r="E283" s="1603"/>
      <c r="F283" s="1603"/>
      <c r="G283" s="103" t="s">
        <v>130</v>
      </c>
      <c r="H283" s="101">
        <v>48000</v>
      </c>
      <c r="I283" s="162">
        <v>96000</v>
      </c>
      <c r="J283" s="112">
        <v>28000</v>
      </c>
      <c r="K283" s="101">
        <v>96000</v>
      </c>
      <c r="L283" s="112"/>
      <c r="M283" s="6"/>
      <c r="N283" s="6"/>
    </row>
    <row r="284" spans="1:16" s="48" customFormat="1" ht="17.100000000000001" customHeight="1" x14ac:dyDescent="0.25">
      <c r="A284" s="48" t="s">
        <v>123</v>
      </c>
      <c r="B284" s="926" t="s">
        <v>1386</v>
      </c>
      <c r="C284" s="1602" t="s">
        <v>135</v>
      </c>
      <c r="D284" s="1603"/>
      <c r="E284" s="1603"/>
      <c r="F284" s="1603"/>
      <c r="G284" s="100" t="s">
        <v>136</v>
      </c>
      <c r="H284" s="101">
        <v>14756.63</v>
      </c>
      <c r="I284" s="162">
        <v>83000</v>
      </c>
      <c r="J284" s="112">
        <v>22218.04</v>
      </c>
      <c r="K284" s="101">
        <v>65629.69</v>
      </c>
      <c r="L284" s="112"/>
      <c r="M284" s="6"/>
      <c r="N284" s="6"/>
    </row>
    <row r="285" spans="1:16" s="48" customFormat="1" ht="17.100000000000001" customHeight="1" x14ac:dyDescent="0.25">
      <c r="A285" s="48" t="s">
        <v>123</v>
      </c>
      <c r="B285" s="926" t="s">
        <v>1386</v>
      </c>
      <c r="C285" s="1602" t="s">
        <v>137</v>
      </c>
      <c r="D285" s="1603"/>
      <c r="E285" s="1603"/>
      <c r="F285" s="1603"/>
      <c r="G285" s="100" t="s">
        <v>138</v>
      </c>
      <c r="H285" s="101">
        <v>12000</v>
      </c>
      <c r="I285" s="162">
        <v>24000</v>
      </c>
      <c r="J285" s="112">
        <v>12000</v>
      </c>
      <c r="K285" s="101">
        <v>24000</v>
      </c>
      <c r="L285" s="112"/>
      <c r="M285" s="6"/>
      <c r="N285" s="6"/>
    </row>
    <row r="286" spans="1:16" s="48" customFormat="1" ht="17.100000000000001" customHeight="1" x14ac:dyDescent="0.25">
      <c r="A286" s="48" t="s">
        <v>123</v>
      </c>
      <c r="B286" s="926" t="s">
        <v>1386</v>
      </c>
      <c r="C286" s="1602" t="s">
        <v>139</v>
      </c>
      <c r="D286" s="1603"/>
      <c r="E286" s="1603"/>
      <c r="F286" s="1603"/>
      <c r="G286" s="100" t="s">
        <v>140</v>
      </c>
      <c r="H286" s="101">
        <v>25261</v>
      </c>
      <c r="I286" s="162">
        <v>68756</v>
      </c>
      <c r="J286" s="112">
        <v>30711</v>
      </c>
      <c r="K286" s="101">
        <v>75806</v>
      </c>
      <c r="L286" s="112"/>
      <c r="M286" s="6"/>
      <c r="N286" s="6"/>
    </row>
    <row r="287" spans="1:16" s="48" customFormat="1" ht="17.100000000000001" customHeight="1" x14ac:dyDescent="0.25">
      <c r="A287" s="48" t="s">
        <v>123</v>
      </c>
      <c r="B287" s="926" t="s">
        <v>1386</v>
      </c>
      <c r="C287" s="1602" t="s">
        <v>141</v>
      </c>
      <c r="D287" s="1603"/>
      <c r="E287" s="1603"/>
      <c r="F287" s="1603"/>
      <c r="G287" s="100" t="s">
        <v>142</v>
      </c>
      <c r="H287" s="101">
        <v>25261</v>
      </c>
      <c r="I287" s="162">
        <v>68756</v>
      </c>
      <c r="J287" s="112"/>
      <c r="K287" s="101">
        <v>75806</v>
      </c>
      <c r="L287" s="112"/>
      <c r="M287" s="6"/>
      <c r="N287" s="6"/>
    </row>
    <row r="288" spans="1:16" s="48" customFormat="1" ht="17.100000000000001" customHeight="1" x14ac:dyDescent="0.25">
      <c r="A288" s="48" t="s">
        <v>123</v>
      </c>
      <c r="B288" s="926" t="s">
        <v>1386</v>
      </c>
      <c r="C288" s="1602" t="s">
        <v>143</v>
      </c>
      <c r="D288" s="1603"/>
      <c r="E288" s="1603"/>
      <c r="F288" s="1603"/>
      <c r="G288" s="100" t="s">
        <v>144</v>
      </c>
      <c r="H288" s="101">
        <v>10000</v>
      </c>
      <c r="I288" s="162">
        <v>20000</v>
      </c>
      <c r="J288" s="112"/>
      <c r="K288" s="101">
        <v>20000</v>
      </c>
      <c r="L288" s="112"/>
      <c r="M288" s="6"/>
      <c r="N288" s="6"/>
    </row>
    <row r="289" spans="1:14" s="48" customFormat="1" ht="17.100000000000001" customHeight="1" x14ac:dyDescent="0.25">
      <c r="A289" s="48" t="s">
        <v>123</v>
      </c>
      <c r="B289" s="926" t="s">
        <v>1386</v>
      </c>
      <c r="C289" s="1602" t="s">
        <v>145</v>
      </c>
      <c r="D289" s="1603"/>
      <c r="E289" s="1603"/>
      <c r="F289" s="1603"/>
      <c r="G289" s="100" t="s">
        <v>146</v>
      </c>
      <c r="H289" s="101">
        <v>10000</v>
      </c>
      <c r="I289" s="162">
        <v>20000</v>
      </c>
      <c r="J289" s="112"/>
      <c r="K289" s="101">
        <v>20000</v>
      </c>
      <c r="L289" s="112"/>
      <c r="M289" s="6"/>
      <c r="N289" s="6"/>
    </row>
    <row r="290" spans="1:14" s="48" customFormat="1" ht="17.100000000000001" customHeight="1" x14ac:dyDescent="0.25">
      <c r="A290" s="48" t="s">
        <v>123</v>
      </c>
      <c r="B290" s="926" t="s">
        <v>1386</v>
      </c>
      <c r="C290" s="826" t="s">
        <v>147</v>
      </c>
      <c r="D290" s="813"/>
      <c r="E290" s="813"/>
      <c r="F290" s="811"/>
      <c r="G290" s="100" t="s">
        <v>148</v>
      </c>
      <c r="H290" s="101"/>
      <c r="I290" s="162"/>
      <c r="J290" s="112"/>
      <c r="K290" s="101">
        <v>12000</v>
      </c>
      <c r="L290" s="112"/>
      <c r="M290" s="6"/>
      <c r="N290" s="6"/>
    </row>
    <row r="291" spans="1:14" s="48" customFormat="1" ht="17.100000000000001" customHeight="1" x14ac:dyDescent="0.25">
      <c r="A291" s="48" t="s">
        <v>123</v>
      </c>
      <c r="B291" s="926" t="s">
        <v>1386</v>
      </c>
      <c r="C291" s="1602" t="s">
        <v>153</v>
      </c>
      <c r="D291" s="1603"/>
      <c r="E291" s="1603"/>
      <c r="F291" s="1603"/>
      <c r="G291" s="100" t="s">
        <v>154</v>
      </c>
      <c r="H291" s="101">
        <v>36375.839999999997</v>
      </c>
      <c r="I291" s="162">
        <v>99008.639999999999</v>
      </c>
      <c r="J291" s="112">
        <v>24372.32</v>
      </c>
      <c r="K291" s="101">
        <v>109133.54</v>
      </c>
      <c r="L291" s="112"/>
      <c r="M291" s="6"/>
      <c r="N291" s="6"/>
    </row>
    <row r="292" spans="1:14" s="48" customFormat="1" ht="17.100000000000001" customHeight="1" x14ac:dyDescent="0.25">
      <c r="A292" s="48" t="s">
        <v>123</v>
      </c>
      <c r="B292" s="926" t="s">
        <v>1386</v>
      </c>
      <c r="C292" s="1602" t="s">
        <v>155</v>
      </c>
      <c r="D292" s="1603"/>
      <c r="E292" s="1603"/>
      <c r="F292" s="1603"/>
      <c r="G292" s="100" t="s">
        <v>156</v>
      </c>
      <c r="H292" s="101">
        <v>2400</v>
      </c>
      <c r="I292" s="162">
        <v>4800</v>
      </c>
      <c r="J292" s="112">
        <v>1400</v>
      </c>
      <c r="K292" s="101">
        <v>4800</v>
      </c>
      <c r="L292" s="112"/>
      <c r="M292" s="6"/>
      <c r="N292" s="6"/>
    </row>
    <row r="293" spans="1:14" s="48" customFormat="1" ht="17.100000000000001" customHeight="1" x14ac:dyDescent="0.25">
      <c r="A293" s="48" t="s">
        <v>123</v>
      </c>
      <c r="B293" s="926" t="s">
        <v>1386</v>
      </c>
      <c r="C293" s="1602" t="s">
        <v>157</v>
      </c>
      <c r="D293" s="1603"/>
      <c r="E293" s="1603"/>
      <c r="F293" s="1603"/>
      <c r="G293" s="100" t="s">
        <v>158</v>
      </c>
      <c r="H293" s="101">
        <v>4547.0600000000004</v>
      </c>
      <c r="I293" s="162">
        <v>14438.76</v>
      </c>
      <c r="J293" s="112">
        <v>3093.64</v>
      </c>
      <c r="K293" s="101">
        <v>36551.129999999997</v>
      </c>
      <c r="L293" s="112"/>
      <c r="M293" s="6"/>
      <c r="N293" s="6"/>
    </row>
    <row r="294" spans="1:14" s="48" customFormat="1" ht="17.100000000000001" customHeight="1" x14ac:dyDescent="0.25">
      <c r="A294" s="48" t="s">
        <v>123</v>
      </c>
      <c r="B294" s="926" t="s">
        <v>1386</v>
      </c>
      <c r="C294" s="1602" t="s">
        <v>159</v>
      </c>
      <c r="D294" s="1603"/>
      <c r="E294" s="1603"/>
      <c r="F294" s="1603"/>
      <c r="G294" s="104" t="s">
        <v>160</v>
      </c>
      <c r="H294" s="105">
        <v>2400</v>
      </c>
      <c r="I294" s="163">
        <v>4800</v>
      </c>
      <c r="J294" s="118">
        <v>1400</v>
      </c>
      <c r="K294" s="105">
        <v>4800</v>
      </c>
      <c r="L294" s="118"/>
      <c r="M294" s="6"/>
      <c r="N294" s="6"/>
    </row>
    <row r="295" spans="1:14" s="48" customFormat="1" ht="17.100000000000001" customHeight="1" x14ac:dyDescent="0.25">
      <c r="A295" s="48" t="s">
        <v>163</v>
      </c>
      <c r="B295" s="926" t="s">
        <v>1386</v>
      </c>
      <c r="C295" s="44" t="s">
        <v>164</v>
      </c>
      <c r="D295" s="113"/>
      <c r="E295" s="113"/>
      <c r="F295" s="114"/>
      <c r="G295" s="100" t="s">
        <v>165</v>
      </c>
      <c r="H295" s="101">
        <v>0</v>
      </c>
      <c r="I295" s="162">
        <v>15000</v>
      </c>
      <c r="J295" s="112">
        <v>0</v>
      </c>
      <c r="K295" s="101">
        <v>15000</v>
      </c>
      <c r="L295" s="112"/>
      <c r="M295" s="6"/>
      <c r="N295" s="6"/>
    </row>
    <row r="296" spans="1:14" s="48" customFormat="1" ht="17.100000000000001" customHeight="1" x14ac:dyDescent="0.25">
      <c r="A296" s="48" t="s">
        <v>163</v>
      </c>
      <c r="B296" s="926" t="s">
        <v>1386</v>
      </c>
      <c r="C296" s="44" t="s">
        <v>168</v>
      </c>
      <c r="D296" s="113"/>
      <c r="E296" s="113"/>
      <c r="F296" s="114"/>
      <c r="G296" s="100" t="s">
        <v>169</v>
      </c>
      <c r="H296" s="101">
        <v>218362.2</v>
      </c>
      <c r="I296" s="162">
        <v>217261.75</v>
      </c>
      <c r="J296" s="112">
        <v>122881</v>
      </c>
      <c r="K296" s="101">
        <v>234235</v>
      </c>
      <c r="L296" s="112"/>
      <c r="M296" s="6"/>
      <c r="N296" s="6"/>
    </row>
    <row r="297" spans="1:14" s="48" customFormat="1" ht="17.100000000000001" customHeight="1" x14ac:dyDescent="0.25">
      <c r="A297" s="48" t="s">
        <v>163</v>
      </c>
      <c r="B297" s="926" t="s">
        <v>1386</v>
      </c>
      <c r="C297" s="826" t="s">
        <v>248</v>
      </c>
      <c r="D297" s="813"/>
      <c r="E297" s="813"/>
      <c r="F297" s="811"/>
      <c r="G297" s="100" t="s">
        <v>171</v>
      </c>
      <c r="H297" s="101"/>
      <c r="I297" s="162"/>
      <c r="J297" s="112"/>
      <c r="K297" s="101">
        <v>56070</v>
      </c>
      <c r="L297" s="112"/>
      <c r="M297" s="6"/>
      <c r="N297" s="6">
        <f>34540+8730+12800</f>
        <v>56070</v>
      </c>
    </row>
    <row r="298" spans="1:14" s="48" customFormat="1" ht="17.100000000000001" customHeight="1" x14ac:dyDescent="0.25">
      <c r="A298" s="48" t="s">
        <v>163</v>
      </c>
      <c r="B298" s="926" t="s">
        <v>1386</v>
      </c>
      <c r="C298" s="44" t="s">
        <v>176</v>
      </c>
      <c r="D298" s="113"/>
      <c r="E298" s="113"/>
      <c r="F298" s="114"/>
      <c r="G298" s="100" t="s">
        <v>177</v>
      </c>
      <c r="H298" s="101">
        <v>5000</v>
      </c>
      <c r="I298" s="162">
        <v>5000</v>
      </c>
      <c r="J298" s="112"/>
      <c r="K298" s="101">
        <v>5000</v>
      </c>
      <c r="L298" s="112"/>
      <c r="M298" s="6"/>
      <c r="N298" s="6"/>
    </row>
    <row r="299" spans="1:14" s="48" customFormat="1" ht="17.100000000000001" customHeight="1" x14ac:dyDescent="0.25">
      <c r="A299" s="48" t="s">
        <v>163</v>
      </c>
      <c r="B299" s="926" t="s">
        <v>1386</v>
      </c>
      <c r="C299" s="44" t="s">
        <v>178</v>
      </c>
      <c r="D299" s="113"/>
      <c r="E299" s="113"/>
      <c r="F299" s="114"/>
      <c r="G299" s="100" t="s">
        <v>179</v>
      </c>
      <c r="H299" s="101"/>
      <c r="I299" s="162"/>
      <c r="J299" s="112"/>
      <c r="K299" s="101">
        <v>39000</v>
      </c>
      <c r="L299" s="112"/>
      <c r="M299" s="6"/>
      <c r="N299" s="6"/>
    </row>
    <row r="300" spans="1:14" s="48" customFormat="1" ht="17.100000000000001" customHeight="1" x14ac:dyDescent="0.25">
      <c r="A300" s="48" t="s">
        <v>163</v>
      </c>
      <c r="B300" s="926" t="s">
        <v>1386</v>
      </c>
      <c r="C300" s="44" t="s">
        <v>182</v>
      </c>
      <c r="D300" s="114"/>
      <c r="E300" s="116"/>
      <c r="F300" s="116"/>
      <c r="G300" s="100" t="s">
        <v>183</v>
      </c>
      <c r="H300" s="101"/>
      <c r="I300" s="162">
        <v>30000</v>
      </c>
      <c r="J300" s="112">
        <v>19808.71</v>
      </c>
      <c r="K300" s="101">
        <v>48000</v>
      </c>
      <c r="L300" s="112"/>
      <c r="M300" s="6"/>
      <c r="N300" s="6"/>
    </row>
    <row r="301" spans="1:14" s="48" customFormat="1" ht="17.100000000000001" customHeight="1" x14ac:dyDescent="0.25">
      <c r="A301" s="48" t="s">
        <v>163</v>
      </c>
      <c r="B301" s="926" t="s">
        <v>1386</v>
      </c>
      <c r="C301" s="44" t="s">
        <v>186</v>
      </c>
      <c r="D301" s="113"/>
      <c r="E301" s="113"/>
      <c r="F301" s="114"/>
      <c r="G301" s="100" t="s">
        <v>187</v>
      </c>
      <c r="H301" s="101">
        <v>0</v>
      </c>
      <c r="I301" s="162">
        <v>15000</v>
      </c>
      <c r="J301" s="112"/>
      <c r="K301" s="101">
        <v>15000</v>
      </c>
      <c r="L301" s="112"/>
      <c r="M301" s="6"/>
      <c r="N301" s="6"/>
    </row>
    <row r="302" spans="1:14" s="48" customFormat="1" ht="17.100000000000001" customHeight="1" x14ac:dyDescent="0.25">
      <c r="A302" s="48" t="s">
        <v>163</v>
      </c>
      <c r="B302" s="926" t="s">
        <v>1386</v>
      </c>
      <c r="C302" s="44" t="s">
        <v>198</v>
      </c>
      <c r="D302" s="113"/>
      <c r="E302" s="113"/>
      <c r="F302" s="114"/>
      <c r="G302" s="100" t="s">
        <v>199</v>
      </c>
      <c r="H302" s="101">
        <v>250723.37</v>
      </c>
      <c r="I302" s="162">
        <v>470953.44</v>
      </c>
      <c r="J302" s="112">
        <v>135125.38</v>
      </c>
      <c r="K302" s="105">
        <v>470953.44</v>
      </c>
      <c r="L302" s="112"/>
      <c r="M302" s="6"/>
      <c r="N302" s="6"/>
    </row>
    <row r="303" spans="1:14" s="48" customFormat="1" ht="36.75" customHeight="1" x14ac:dyDescent="0.25">
      <c r="A303" s="48" t="s">
        <v>201</v>
      </c>
      <c r="B303" s="926" t="s">
        <v>1386</v>
      </c>
      <c r="C303" s="1612" t="s">
        <v>251</v>
      </c>
      <c r="D303" s="1612"/>
      <c r="E303" s="813"/>
      <c r="F303" s="813"/>
      <c r="G303" s="97"/>
      <c r="H303" s="101"/>
      <c r="I303" s="111"/>
      <c r="J303" s="112"/>
      <c r="K303" s="101">
        <v>16000</v>
      </c>
      <c r="L303" s="112"/>
      <c r="M303" s="6"/>
      <c r="N303" s="6"/>
    </row>
    <row r="304" spans="1:14" s="48" customFormat="1" ht="18" customHeight="1" x14ac:dyDescent="0.25">
      <c r="A304" s="48" t="s">
        <v>201</v>
      </c>
      <c r="B304" s="926" t="s">
        <v>1386</v>
      </c>
      <c r="C304" s="826" t="s">
        <v>252</v>
      </c>
      <c r="D304" s="813"/>
      <c r="E304" s="813"/>
      <c r="F304" s="813"/>
      <c r="G304" s="97"/>
      <c r="H304" s="101"/>
      <c r="I304" s="111"/>
      <c r="J304" s="112"/>
      <c r="K304" s="101">
        <v>110000</v>
      </c>
      <c r="L304" s="112"/>
      <c r="M304" s="6"/>
      <c r="N304" s="6"/>
    </row>
    <row r="305" spans="1:14" s="48" customFormat="1" ht="18" customHeight="1" x14ac:dyDescent="0.25">
      <c r="A305" s="48" t="s">
        <v>201</v>
      </c>
      <c r="B305" s="926" t="s">
        <v>1386</v>
      </c>
      <c r="C305" s="826" t="s">
        <v>253</v>
      </c>
      <c r="D305" s="813"/>
      <c r="E305" s="813"/>
      <c r="F305" s="813"/>
      <c r="G305" s="97"/>
      <c r="H305" s="101"/>
      <c r="I305" s="111"/>
      <c r="J305" s="112"/>
      <c r="K305" s="101">
        <v>50000</v>
      </c>
      <c r="L305" s="112"/>
      <c r="M305" s="6"/>
      <c r="N305" s="6"/>
    </row>
    <row r="306" spans="1:14" s="48" customFormat="1" ht="18" customHeight="1" x14ac:dyDescent="0.25">
      <c r="A306" s="48" t="s">
        <v>201</v>
      </c>
      <c r="B306" s="926" t="s">
        <v>1386</v>
      </c>
      <c r="C306" s="826" t="s">
        <v>254</v>
      </c>
      <c r="D306" s="813"/>
      <c r="E306" s="813"/>
      <c r="F306" s="813"/>
      <c r="G306" s="97"/>
      <c r="H306" s="101"/>
      <c r="I306" s="111"/>
      <c r="J306" s="112"/>
      <c r="K306" s="101">
        <v>29200</v>
      </c>
      <c r="L306" s="112"/>
      <c r="M306" s="6"/>
      <c r="N306" s="6"/>
    </row>
    <row r="307" spans="1:14" s="48" customFormat="1" ht="17.100000000000001" customHeight="1" x14ac:dyDescent="0.25">
      <c r="A307" s="48" t="s">
        <v>123</v>
      </c>
      <c r="B307" s="926" t="s">
        <v>1386</v>
      </c>
      <c r="C307" s="1602" t="s">
        <v>124</v>
      </c>
      <c r="D307" s="1603"/>
      <c r="E307" s="1603"/>
      <c r="F307" s="1603"/>
      <c r="G307" s="131" t="s">
        <v>125</v>
      </c>
      <c r="H307" s="101">
        <v>346788</v>
      </c>
      <c r="I307" s="162">
        <v>654492</v>
      </c>
      <c r="J307" s="112">
        <v>249702.59</v>
      </c>
      <c r="K307" s="101">
        <v>726192</v>
      </c>
      <c r="L307" s="112"/>
      <c r="M307" s="6"/>
      <c r="N307" s="6"/>
    </row>
    <row r="308" spans="1:14" s="48" customFormat="1" ht="17.100000000000001" customHeight="1" x14ac:dyDescent="0.25">
      <c r="A308" s="48" t="s">
        <v>123</v>
      </c>
      <c r="B308" s="926" t="s">
        <v>1386</v>
      </c>
      <c r="C308" s="1602" t="s">
        <v>129</v>
      </c>
      <c r="D308" s="1603"/>
      <c r="E308" s="1603"/>
      <c r="F308" s="1603"/>
      <c r="G308" s="132" t="s">
        <v>130</v>
      </c>
      <c r="H308" s="101">
        <v>48000</v>
      </c>
      <c r="I308" s="162">
        <v>72000</v>
      </c>
      <c r="J308" s="112">
        <v>28000</v>
      </c>
      <c r="K308" s="101">
        <v>72000</v>
      </c>
      <c r="L308" s="112"/>
      <c r="M308" s="6"/>
      <c r="N308" s="6"/>
    </row>
    <row r="309" spans="1:14" s="48" customFormat="1" ht="17.100000000000001" customHeight="1" x14ac:dyDescent="0.25">
      <c r="A309" s="48" t="s">
        <v>123</v>
      </c>
      <c r="B309" s="926" t="s">
        <v>1386</v>
      </c>
      <c r="C309" s="1602" t="s">
        <v>135</v>
      </c>
      <c r="D309" s="1603"/>
      <c r="E309" s="1603"/>
      <c r="F309" s="1603"/>
      <c r="G309" s="131" t="s">
        <v>136</v>
      </c>
      <c r="H309" s="101">
        <v>17559</v>
      </c>
      <c r="I309" s="162">
        <v>46796.68</v>
      </c>
      <c r="J309" s="112"/>
      <c r="K309" s="102">
        <v>69927.27</v>
      </c>
      <c r="L309" s="112"/>
      <c r="M309" s="6"/>
      <c r="N309" s="6"/>
    </row>
    <row r="310" spans="1:14" s="48" customFormat="1" ht="17.100000000000001" customHeight="1" x14ac:dyDescent="0.25">
      <c r="A310" s="48" t="s">
        <v>123</v>
      </c>
      <c r="B310" s="926" t="s">
        <v>1386</v>
      </c>
      <c r="C310" s="1602" t="s">
        <v>137</v>
      </c>
      <c r="D310" s="1603"/>
      <c r="E310" s="1603"/>
      <c r="F310" s="1603"/>
      <c r="G310" s="131" t="s">
        <v>138</v>
      </c>
      <c r="H310" s="101">
        <v>12000</v>
      </c>
      <c r="I310" s="162">
        <v>18000</v>
      </c>
      <c r="J310" s="112">
        <v>12000</v>
      </c>
      <c r="K310" s="101">
        <v>18000</v>
      </c>
      <c r="L310" s="112"/>
      <c r="M310" s="6"/>
      <c r="N310" s="6"/>
    </row>
    <row r="311" spans="1:14" s="48" customFormat="1" ht="17.100000000000001" customHeight="1" x14ac:dyDescent="0.25">
      <c r="A311" s="48" t="s">
        <v>123</v>
      </c>
      <c r="B311" s="926" t="s">
        <v>1386</v>
      </c>
      <c r="C311" s="1602" t="s">
        <v>139</v>
      </c>
      <c r="D311" s="1603"/>
      <c r="E311" s="1603"/>
      <c r="F311" s="1603"/>
      <c r="G311" s="131" t="s">
        <v>140</v>
      </c>
      <c r="H311" s="101">
        <v>28899</v>
      </c>
      <c r="I311" s="162">
        <v>54541</v>
      </c>
      <c r="J311" s="112">
        <v>38380</v>
      </c>
      <c r="K311" s="101">
        <v>60516</v>
      </c>
      <c r="L311" s="112"/>
      <c r="M311" s="6"/>
      <c r="N311" s="6"/>
    </row>
    <row r="312" spans="1:14" s="48" customFormat="1" ht="17.100000000000001" customHeight="1" x14ac:dyDescent="0.25">
      <c r="A312" s="48" t="s">
        <v>123</v>
      </c>
      <c r="B312" s="926" t="s">
        <v>1386</v>
      </c>
      <c r="C312" s="1602" t="s">
        <v>141</v>
      </c>
      <c r="D312" s="1603"/>
      <c r="E312" s="1603"/>
      <c r="F312" s="1603"/>
      <c r="G312" s="131" t="s">
        <v>142</v>
      </c>
      <c r="H312" s="101">
        <v>28899</v>
      </c>
      <c r="I312" s="162">
        <v>54853</v>
      </c>
      <c r="J312" s="112"/>
      <c r="K312" s="101">
        <v>60516</v>
      </c>
      <c r="L312" s="112"/>
      <c r="M312" s="6"/>
      <c r="N312" s="6"/>
    </row>
    <row r="313" spans="1:14" s="48" customFormat="1" ht="17.100000000000001" customHeight="1" x14ac:dyDescent="0.25">
      <c r="A313" s="48" t="s">
        <v>123</v>
      </c>
      <c r="B313" s="926" t="s">
        <v>1386</v>
      </c>
      <c r="C313" s="1602" t="s">
        <v>143</v>
      </c>
      <c r="D313" s="1603"/>
      <c r="E313" s="1603"/>
      <c r="F313" s="1603"/>
      <c r="G313" s="131" t="s">
        <v>144</v>
      </c>
      <c r="H313" s="101">
        <v>10000</v>
      </c>
      <c r="I313" s="162">
        <v>15000</v>
      </c>
      <c r="J313" s="112"/>
      <c r="K313" s="101">
        <v>15000</v>
      </c>
      <c r="L313" s="112"/>
      <c r="M313" s="6"/>
      <c r="N313" s="6"/>
    </row>
    <row r="314" spans="1:14" s="48" customFormat="1" ht="17.100000000000001" customHeight="1" x14ac:dyDescent="0.25">
      <c r="A314" s="48" t="s">
        <v>123</v>
      </c>
      <c r="B314" s="926" t="s">
        <v>1386</v>
      </c>
      <c r="C314" s="1602" t="s">
        <v>145</v>
      </c>
      <c r="D314" s="1603"/>
      <c r="E314" s="1603"/>
      <c r="F314" s="1603"/>
      <c r="G314" s="131" t="s">
        <v>146</v>
      </c>
      <c r="H314" s="101">
        <v>10000</v>
      </c>
      <c r="I314" s="162">
        <v>15000</v>
      </c>
      <c r="J314" s="112"/>
      <c r="K314" s="101">
        <v>15000</v>
      </c>
      <c r="L314" s="112"/>
      <c r="M314" s="6"/>
      <c r="N314" s="6"/>
    </row>
    <row r="315" spans="1:14" s="48" customFormat="1" ht="17.100000000000001" customHeight="1" x14ac:dyDescent="0.25">
      <c r="A315" s="48" t="s">
        <v>123</v>
      </c>
      <c r="B315" s="926" t="s">
        <v>1386</v>
      </c>
      <c r="C315" s="826" t="s">
        <v>147</v>
      </c>
      <c r="D315" s="813"/>
      <c r="E315" s="813"/>
      <c r="F315" s="811"/>
      <c r="G315" s="131" t="s">
        <v>148</v>
      </c>
      <c r="H315" s="101"/>
      <c r="I315" s="162"/>
      <c r="J315" s="112"/>
      <c r="K315" s="101">
        <v>9000</v>
      </c>
      <c r="L315" s="112"/>
      <c r="M315" s="6"/>
      <c r="N315" s="6"/>
    </row>
    <row r="316" spans="1:14" s="48" customFormat="1" ht="17.100000000000001" customHeight="1" x14ac:dyDescent="0.25">
      <c r="A316" s="48" t="s">
        <v>123</v>
      </c>
      <c r="B316" s="926" t="s">
        <v>1386</v>
      </c>
      <c r="C316" s="1602" t="s">
        <v>153</v>
      </c>
      <c r="D316" s="1603"/>
      <c r="E316" s="1603"/>
      <c r="F316" s="1603"/>
      <c r="G316" s="131" t="s">
        <v>154</v>
      </c>
      <c r="H316" s="101">
        <v>41614.559999999998</v>
      </c>
      <c r="I316" s="162">
        <v>78763.679999999993</v>
      </c>
      <c r="J316" s="112">
        <v>29718.28</v>
      </c>
      <c r="K316" s="101">
        <v>87143.039999999994</v>
      </c>
      <c r="L316" s="112"/>
      <c r="M316" s="6"/>
      <c r="N316" s="6"/>
    </row>
    <row r="317" spans="1:14" s="48" customFormat="1" ht="17.100000000000001" customHeight="1" x14ac:dyDescent="0.25">
      <c r="A317" s="48" t="s">
        <v>123</v>
      </c>
      <c r="B317" s="926" t="s">
        <v>1386</v>
      </c>
      <c r="C317" s="1602" t="s">
        <v>155</v>
      </c>
      <c r="D317" s="1603"/>
      <c r="E317" s="1603"/>
      <c r="F317" s="1603"/>
      <c r="G317" s="131" t="s">
        <v>156</v>
      </c>
      <c r="H317" s="101">
        <v>2400</v>
      </c>
      <c r="I317" s="162">
        <v>3600</v>
      </c>
      <c r="J317" s="112">
        <v>1400</v>
      </c>
      <c r="K317" s="101">
        <v>3600</v>
      </c>
      <c r="L317" s="112"/>
      <c r="M317" s="6"/>
      <c r="N317" s="6"/>
    </row>
    <row r="318" spans="1:14" s="48" customFormat="1" ht="17.100000000000001" customHeight="1" x14ac:dyDescent="0.25">
      <c r="A318" s="48" t="s">
        <v>123</v>
      </c>
      <c r="B318" s="926" t="s">
        <v>1386</v>
      </c>
      <c r="C318" s="1602" t="s">
        <v>157</v>
      </c>
      <c r="D318" s="1603"/>
      <c r="E318" s="1603"/>
      <c r="F318" s="1603"/>
      <c r="G318" s="131" t="s">
        <v>158</v>
      </c>
      <c r="H318" s="101">
        <v>5201.8999999999996</v>
      </c>
      <c r="I318" s="162">
        <v>11486.37</v>
      </c>
      <c r="J318" s="112">
        <v>3798.5</v>
      </c>
      <c r="K318" s="101">
        <v>29220</v>
      </c>
      <c r="L318" s="112"/>
      <c r="M318" s="6"/>
      <c r="N318" s="6"/>
    </row>
    <row r="319" spans="1:14" s="48" customFormat="1" ht="17.100000000000001" customHeight="1" x14ac:dyDescent="0.25">
      <c r="A319" s="48" t="s">
        <v>123</v>
      </c>
      <c r="B319" s="926" t="s">
        <v>1386</v>
      </c>
      <c r="C319" s="1602" t="s">
        <v>159</v>
      </c>
      <c r="D319" s="1603"/>
      <c r="E319" s="1603"/>
      <c r="F319" s="1603"/>
      <c r="G319" s="133" t="s">
        <v>160</v>
      </c>
      <c r="H319" s="105">
        <v>2400</v>
      </c>
      <c r="I319" s="163">
        <v>3600</v>
      </c>
      <c r="J319" s="118">
        <v>1400</v>
      </c>
      <c r="K319" s="101">
        <v>3600</v>
      </c>
      <c r="L319" s="112"/>
      <c r="M319" s="6"/>
      <c r="N319" s="6"/>
    </row>
    <row r="320" spans="1:14" s="48" customFormat="1" ht="17.100000000000001" customHeight="1" x14ac:dyDescent="0.25">
      <c r="A320" s="48" t="s">
        <v>163</v>
      </c>
      <c r="B320" s="926" t="s">
        <v>1386</v>
      </c>
      <c r="C320" s="44" t="s">
        <v>164</v>
      </c>
      <c r="D320" s="113"/>
      <c r="E320" s="113"/>
      <c r="F320" s="114"/>
      <c r="G320" s="131" t="s">
        <v>165</v>
      </c>
      <c r="H320" s="101"/>
      <c r="I320" s="162">
        <v>20000</v>
      </c>
      <c r="J320" s="112"/>
      <c r="K320" s="101">
        <v>20000</v>
      </c>
      <c r="L320" s="112"/>
      <c r="M320" s="6"/>
      <c r="N320" s="6"/>
    </row>
    <row r="321" spans="1:14" s="48" customFormat="1" ht="17.100000000000001" customHeight="1" x14ac:dyDescent="0.25">
      <c r="A321" s="48" t="s">
        <v>163</v>
      </c>
      <c r="B321" s="926" t="s">
        <v>1386</v>
      </c>
      <c r="C321" s="44" t="s">
        <v>168</v>
      </c>
      <c r="D321" s="113"/>
      <c r="E321" s="113"/>
      <c r="F321" s="114"/>
      <c r="G321" s="131" t="s">
        <v>169</v>
      </c>
      <c r="H321" s="101">
        <v>74511</v>
      </c>
      <c r="I321" s="162">
        <v>381751.5</v>
      </c>
      <c r="J321" s="112">
        <v>304584</v>
      </c>
      <c r="K321" s="101">
        <v>543095.1</v>
      </c>
      <c r="L321" s="112"/>
      <c r="M321" s="6"/>
      <c r="N321" s="6"/>
    </row>
    <row r="322" spans="1:14" s="48" customFormat="1" ht="17.100000000000001" customHeight="1" x14ac:dyDescent="0.25">
      <c r="A322" s="48" t="s">
        <v>163</v>
      </c>
      <c r="B322" s="926" t="s">
        <v>1386</v>
      </c>
      <c r="C322" s="44" t="s">
        <v>213</v>
      </c>
      <c r="D322" s="113"/>
      <c r="E322" s="113"/>
      <c r="F322" s="114"/>
      <c r="G322" s="131" t="s">
        <v>171</v>
      </c>
      <c r="H322" s="101"/>
      <c r="I322" s="162"/>
      <c r="J322" s="112"/>
      <c r="K322" s="101">
        <f>10380+12000</f>
        <v>22380</v>
      </c>
      <c r="L322" s="112"/>
      <c r="M322" s="6"/>
      <c r="N322" s="6"/>
    </row>
    <row r="323" spans="1:14" s="48" customFormat="1" ht="17.100000000000001" customHeight="1" x14ac:dyDescent="0.25">
      <c r="A323" s="48" t="s">
        <v>163</v>
      </c>
      <c r="B323" s="926" t="s">
        <v>1386</v>
      </c>
      <c r="C323" s="44" t="s">
        <v>178</v>
      </c>
      <c r="D323" s="113"/>
      <c r="E323" s="113"/>
      <c r="F323" s="114"/>
      <c r="G323" s="131" t="s">
        <v>179</v>
      </c>
      <c r="H323" s="101"/>
      <c r="I323" s="162"/>
      <c r="J323" s="112"/>
      <c r="K323" s="102">
        <v>18000</v>
      </c>
      <c r="L323" s="112"/>
      <c r="M323" s="6"/>
      <c r="N323" s="6"/>
    </row>
    <row r="324" spans="1:14" s="48" customFormat="1" ht="17.100000000000001" customHeight="1" x14ac:dyDescent="0.25">
      <c r="A324" s="48" t="s">
        <v>163</v>
      </c>
      <c r="B324" s="926" t="s">
        <v>1386</v>
      </c>
      <c r="C324" s="44" t="s">
        <v>182</v>
      </c>
      <c r="D324" s="113"/>
      <c r="E324" s="113"/>
      <c r="F324" s="114"/>
      <c r="G324" s="131" t="s">
        <v>183</v>
      </c>
      <c r="H324" s="101">
        <v>0</v>
      </c>
      <c r="I324" s="162">
        <v>42000</v>
      </c>
      <c r="J324" s="112"/>
      <c r="K324" s="102">
        <v>42000</v>
      </c>
      <c r="L324" s="112"/>
      <c r="M324" s="6"/>
      <c r="N324" s="6"/>
    </row>
    <row r="325" spans="1:14" s="48" customFormat="1" ht="17.100000000000001" customHeight="1" x14ac:dyDescent="0.25">
      <c r="A325" s="48" t="s">
        <v>163</v>
      </c>
      <c r="B325" s="926" t="s">
        <v>1386</v>
      </c>
      <c r="C325" s="44" t="s">
        <v>186</v>
      </c>
      <c r="D325" s="113"/>
      <c r="E325" s="113"/>
      <c r="F325" s="114"/>
      <c r="G325" s="131" t="s">
        <v>187</v>
      </c>
      <c r="H325" s="101">
        <v>0</v>
      </c>
      <c r="I325" s="162">
        <v>30000</v>
      </c>
      <c r="J325" s="112"/>
      <c r="K325" s="101">
        <v>110000</v>
      </c>
      <c r="L325" s="112"/>
      <c r="M325" s="6"/>
      <c r="N325" s="6"/>
    </row>
    <row r="326" spans="1:14" s="48" customFormat="1" ht="17.100000000000001" customHeight="1" x14ac:dyDescent="0.25">
      <c r="A326" s="48" t="s">
        <v>163</v>
      </c>
      <c r="B326" s="926" t="s">
        <v>1386</v>
      </c>
      <c r="C326" s="44" t="s">
        <v>198</v>
      </c>
      <c r="D326" s="113"/>
      <c r="E326" s="113"/>
      <c r="F326" s="114"/>
      <c r="G326" s="131" t="s">
        <v>199</v>
      </c>
      <c r="H326" s="101">
        <v>212843.66</v>
      </c>
      <c r="I326" s="162">
        <v>470953.44</v>
      </c>
      <c r="J326" s="112">
        <v>118466.51</v>
      </c>
      <c r="K326" s="105">
        <v>615600</v>
      </c>
      <c r="L326" s="112"/>
      <c r="M326" s="6"/>
      <c r="N326" s="6"/>
    </row>
    <row r="327" spans="1:14" s="136" customFormat="1" ht="18" customHeight="1" x14ac:dyDescent="0.25">
      <c r="A327" s="136" t="s">
        <v>201</v>
      </c>
      <c r="B327" s="926" t="s">
        <v>1386</v>
      </c>
      <c r="C327" s="824" t="s">
        <v>257</v>
      </c>
      <c r="D327" s="824"/>
      <c r="E327" s="824"/>
      <c r="F327" s="824"/>
      <c r="G327" s="97"/>
      <c r="H327" s="101"/>
      <c r="I327" s="111"/>
      <c r="J327" s="112"/>
      <c r="K327" s="101">
        <v>51200</v>
      </c>
      <c r="L327" s="112"/>
      <c r="M327" s="6"/>
      <c r="N327" s="6"/>
    </row>
    <row r="328" spans="1:14" s="136" customFormat="1" ht="18" customHeight="1" x14ac:dyDescent="0.25">
      <c r="A328" s="136" t="s">
        <v>201</v>
      </c>
      <c r="B328" s="926" t="s">
        <v>1386</v>
      </c>
      <c r="C328" s="824" t="s">
        <v>258</v>
      </c>
      <c r="D328" s="824"/>
      <c r="E328" s="824"/>
      <c r="F328" s="824"/>
      <c r="G328" s="97"/>
      <c r="H328" s="101"/>
      <c r="I328" s="111"/>
      <c r="J328" s="112"/>
      <c r="K328" s="101">
        <v>26000</v>
      </c>
      <c r="L328" s="112"/>
      <c r="M328" s="6"/>
      <c r="N328" s="6"/>
    </row>
    <row r="329" spans="1:14" s="136" customFormat="1" ht="18" customHeight="1" x14ac:dyDescent="0.25">
      <c r="A329" s="136" t="s">
        <v>201</v>
      </c>
      <c r="B329" s="926" t="s">
        <v>1386</v>
      </c>
      <c r="C329" s="167" t="s">
        <v>259</v>
      </c>
      <c r="D329" s="824"/>
      <c r="E329" s="824"/>
      <c r="F329" s="824"/>
      <c r="G329" s="97"/>
      <c r="H329" s="101"/>
      <c r="I329" s="111"/>
      <c r="J329" s="112"/>
      <c r="K329" s="101">
        <v>20000</v>
      </c>
      <c r="L329" s="112"/>
      <c r="M329" s="6"/>
      <c r="N329" s="6"/>
    </row>
    <row r="330" spans="1:14" s="136" customFormat="1" ht="18" customHeight="1" x14ac:dyDescent="0.25">
      <c r="A330" s="136" t="s">
        <v>201</v>
      </c>
      <c r="B330" s="926" t="s">
        <v>1386</v>
      </c>
      <c r="C330" s="824" t="s">
        <v>260</v>
      </c>
      <c r="D330" s="824"/>
      <c r="E330" s="824"/>
      <c r="F330" s="824"/>
      <c r="G330" s="97"/>
      <c r="H330" s="101"/>
      <c r="I330" s="111"/>
      <c r="J330" s="112"/>
      <c r="K330" s="101">
        <v>48000</v>
      </c>
      <c r="L330" s="112"/>
      <c r="M330" s="6"/>
      <c r="N330" s="6"/>
    </row>
    <row r="331" spans="1:14" s="136" customFormat="1" ht="18" customHeight="1" x14ac:dyDescent="0.25">
      <c r="A331" s="136" t="s">
        <v>201</v>
      </c>
      <c r="B331" s="926" t="s">
        <v>1386</v>
      </c>
      <c r="C331" s="824" t="s">
        <v>261</v>
      </c>
      <c r="D331" s="824"/>
      <c r="E331" s="824"/>
      <c r="F331" s="824"/>
      <c r="G331" s="97"/>
      <c r="H331" s="101"/>
      <c r="I331" s="111"/>
      <c r="J331" s="112"/>
      <c r="K331" s="101">
        <v>25000</v>
      </c>
      <c r="L331" s="112"/>
      <c r="M331" s="6"/>
      <c r="N331" s="6"/>
    </row>
    <row r="332" spans="1:14" s="136" customFormat="1" ht="18" customHeight="1" x14ac:dyDescent="0.25">
      <c r="A332" s="136" t="s">
        <v>201</v>
      </c>
      <c r="B332" s="926" t="s">
        <v>1386</v>
      </c>
      <c r="C332" s="824" t="s">
        <v>262</v>
      </c>
      <c r="D332" s="824"/>
      <c r="E332" s="824"/>
      <c r="F332" s="824"/>
      <c r="G332" s="97"/>
      <c r="H332" s="101"/>
      <c r="I332" s="111"/>
      <c r="J332" s="112"/>
      <c r="K332" s="101">
        <v>20000</v>
      </c>
      <c r="L332" s="112"/>
      <c r="M332" s="6"/>
      <c r="N332" s="6"/>
    </row>
    <row r="333" spans="1:14" s="136" customFormat="1" ht="18" customHeight="1" x14ac:dyDescent="0.25">
      <c r="A333" s="136" t="s">
        <v>201</v>
      </c>
      <c r="B333" s="926" t="s">
        <v>1386</v>
      </c>
      <c r="C333" s="826" t="s">
        <v>263</v>
      </c>
      <c r="D333" s="826"/>
      <c r="E333" s="826"/>
      <c r="F333" s="826"/>
      <c r="G333" s="168"/>
      <c r="H333" s="102"/>
      <c r="I333" s="111"/>
      <c r="J333" s="111"/>
      <c r="K333" s="102">
        <v>220000</v>
      </c>
      <c r="L333" s="111"/>
      <c r="M333" s="6"/>
      <c r="N333" s="6"/>
    </row>
    <row r="334" spans="1:14" s="48" customFormat="1" ht="18" customHeight="1" x14ac:dyDescent="0.25">
      <c r="A334" s="48" t="s">
        <v>123</v>
      </c>
      <c r="B334" s="926" t="s">
        <v>1388</v>
      </c>
      <c r="C334" s="1602" t="s">
        <v>124</v>
      </c>
      <c r="D334" s="1603"/>
      <c r="E334" s="1603"/>
      <c r="F334" s="1603"/>
      <c r="G334" s="131" t="s">
        <v>125</v>
      </c>
      <c r="H334" s="101">
        <v>214236</v>
      </c>
      <c r="I334" s="102">
        <v>654492</v>
      </c>
      <c r="J334" s="101">
        <v>133714</v>
      </c>
      <c r="K334" s="101">
        <v>725076</v>
      </c>
      <c r="L334" s="101"/>
      <c r="M334" s="6"/>
      <c r="N334" s="6"/>
    </row>
    <row r="335" spans="1:14" s="48" customFormat="1" ht="18" customHeight="1" x14ac:dyDescent="0.25">
      <c r="A335" s="48" t="s">
        <v>123</v>
      </c>
      <c r="B335" s="926" t="s">
        <v>1388</v>
      </c>
      <c r="C335" s="1611" t="s">
        <v>128</v>
      </c>
      <c r="D335" s="1602"/>
      <c r="E335" s="812"/>
      <c r="F335" s="812"/>
      <c r="G335" s="131" t="s">
        <v>125</v>
      </c>
      <c r="H335" s="101"/>
      <c r="I335" s="102"/>
      <c r="J335" s="101"/>
      <c r="K335" s="101">
        <v>2270</v>
      </c>
      <c r="L335" s="101"/>
      <c r="M335" s="6"/>
      <c r="N335" s="6"/>
    </row>
    <row r="336" spans="1:14" s="48" customFormat="1" ht="18" customHeight="1" x14ac:dyDescent="0.25">
      <c r="A336" s="48" t="s">
        <v>123</v>
      </c>
      <c r="B336" s="926" t="s">
        <v>1388</v>
      </c>
      <c r="C336" s="1602" t="s">
        <v>129</v>
      </c>
      <c r="D336" s="1603"/>
      <c r="E336" s="1603"/>
      <c r="F336" s="1603"/>
      <c r="G336" s="132" t="s">
        <v>130</v>
      </c>
      <c r="H336" s="101">
        <v>24000</v>
      </c>
      <c r="I336" s="102">
        <v>72000</v>
      </c>
      <c r="J336" s="101">
        <v>14000</v>
      </c>
      <c r="K336" s="101">
        <v>72000</v>
      </c>
      <c r="L336" s="101"/>
      <c r="M336" s="6"/>
      <c r="N336" s="6"/>
    </row>
    <row r="337" spans="1:14" s="48" customFormat="1" ht="18" customHeight="1" x14ac:dyDescent="0.25">
      <c r="A337" s="48" t="s">
        <v>123</v>
      </c>
      <c r="B337" s="926" t="s">
        <v>1388</v>
      </c>
      <c r="C337" s="808" t="s">
        <v>135</v>
      </c>
      <c r="D337" s="813"/>
      <c r="E337" s="813"/>
      <c r="F337" s="811"/>
      <c r="G337" s="131" t="s">
        <v>136</v>
      </c>
      <c r="H337" s="101"/>
      <c r="I337" s="102">
        <v>20186.060000000001</v>
      </c>
      <c r="J337" s="101">
        <v>7949.84</v>
      </c>
      <c r="K337" s="102">
        <v>20000</v>
      </c>
      <c r="L337" s="101"/>
      <c r="M337" s="6"/>
      <c r="N337" s="6"/>
    </row>
    <row r="338" spans="1:14" s="48" customFormat="1" ht="18" customHeight="1" x14ac:dyDescent="0.25">
      <c r="A338" s="48" t="s">
        <v>123</v>
      </c>
      <c r="B338" s="926" t="s">
        <v>1388</v>
      </c>
      <c r="C338" s="1602" t="s">
        <v>137</v>
      </c>
      <c r="D338" s="1603"/>
      <c r="E338" s="1603"/>
      <c r="F338" s="1603"/>
      <c r="G338" s="131" t="s">
        <v>138</v>
      </c>
      <c r="H338" s="101">
        <v>6000</v>
      </c>
      <c r="I338" s="102">
        <v>18000</v>
      </c>
      <c r="J338" s="101">
        <v>6000</v>
      </c>
      <c r="K338" s="101">
        <v>18000</v>
      </c>
      <c r="L338" s="101"/>
      <c r="M338" s="6"/>
      <c r="N338" s="6"/>
    </row>
    <row r="339" spans="1:14" s="48" customFormat="1" ht="18" customHeight="1" x14ac:dyDescent="0.25">
      <c r="A339" s="48" t="s">
        <v>123</v>
      </c>
      <c r="B339" s="926" t="s">
        <v>1388</v>
      </c>
      <c r="C339" s="1602" t="s">
        <v>139</v>
      </c>
      <c r="D339" s="1603"/>
      <c r="E339" s="1603"/>
      <c r="F339" s="1603"/>
      <c r="G339" s="131" t="s">
        <v>140</v>
      </c>
      <c r="H339" s="101">
        <v>17853</v>
      </c>
      <c r="I339" s="102">
        <v>54541</v>
      </c>
      <c r="J339" s="101">
        <v>19102</v>
      </c>
      <c r="K339" s="101">
        <v>60650</v>
      </c>
      <c r="L339" s="101"/>
      <c r="M339" s="6"/>
      <c r="N339" s="6"/>
    </row>
    <row r="340" spans="1:14" s="48" customFormat="1" ht="18" customHeight="1" x14ac:dyDescent="0.25">
      <c r="A340" s="48" t="s">
        <v>123</v>
      </c>
      <c r="B340" s="926" t="s">
        <v>1388</v>
      </c>
      <c r="C340" s="1602" t="s">
        <v>141</v>
      </c>
      <c r="D340" s="1603"/>
      <c r="E340" s="1603"/>
      <c r="F340" s="1603"/>
      <c r="G340" s="131" t="s">
        <v>142</v>
      </c>
      <c r="H340" s="101">
        <v>17853</v>
      </c>
      <c r="I340" s="102">
        <v>54541</v>
      </c>
      <c r="J340" s="101"/>
      <c r="K340" s="101">
        <v>60650</v>
      </c>
      <c r="L340" s="101"/>
      <c r="M340" s="6"/>
      <c r="N340" s="6"/>
    </row>
    <row r="341" spans="1:14" s="48" customFormat="1" ht="18" customHeight="1" x14ac:dyDescent="0.25">
      <c r="A341" s="48" t="s">
        <v>123</v>
      </c>
      <c r="B341" s="926" t="s">
        <v>1388</v>
      </c>
      <c r="C341" s="1602" t="s">
        <v>143</v>
      </c>
      <c r="D341" s="1603"/>
      <c r="E341" s="1603"/>
      <c r="F341" s="1603"/>
      <c r="G341" s="131" t="s">
        <v>144</v>
      </c>
      <c r="H341" s="101">
        <v>5000</v>
      </c>
      <c r="I341" s="102">
        <v>15000</v>
      </c>
      <c r="J341" s="101"/>
      <c r="K341" s="101">
        <v>15000</v>
      </c>
      <c r="L341" s="101"/>
      <c r="M341" s="6"/>
      <c r="N341" s="6"/>
    </row>
    <row r="342" spans="1:14" s="48" customFormat="1" ht="18" customHeight="1" x14ac:dyDescent="0.25">
      <c r="A342" s="48" t="s">
        <v>123</v>
      </c>
      <c r="B342" s="926" t="s">
        <v>1388</v>
      </c>
      <c r="C342" s="1602" t="s">
        <v>145</v>
      </c>
      <c r="D342" s="1603"/>
      <c r="E342" s="1603"/>
      <c r="F342" s="1603"/>
      <c r="G342" s="131" t="s">
        <v>146</v>
      </c>
      <c r="H342" s="101">
        <v>5000</v>
      </c>
      <c r="I342" s="102">
        <v>15000</v>
      </c>
      <c r="J342" s="101"/>
      <c r="K342" s="101">
        <v>15000</v>
      </c>
      <c r="L342" s="101"/>
      <c r="M342" s="6"/>
      <c r="N342" s="6"/>
    </row>
    <row r="343" spans="1:14" s="48" customFormat="1" ht="18" customHeight="1" x14ac:dyDescent="0.25">
      <c r="A343" s="48" t="s">
        <v>123</v>
      </c>
      <c r="B343" s="926" t="s">
        <v>1388</v>
      </c>
      <c r="C343" s="826" t="s">
        <v>147</v>
      </c>
      <c r="D343" s="813"/>
      <c r="E343" s="813"/>
      <c r="F343" s="811"/>
      <c r="G343" s="131" t="s">
        <v>148</v>
      </c>
      <c r="H343" s="101"/>
      <c r="I343" s="102"/>
      <c r="J343" s="101"/>
      <c r="K343" s="101">
        <v>9000</v>
      </c>
      <c r="L343" s="101"/>
      <c r="M343" s="6"/>
      <c r="N343" s="6"/>
    </row>
    <row r="344" spans="1:14" s="48" customFormat="1" ht="18" customHeight="1" x14ac:dyDescent="0.25">
      <c r="A344" s="48" t="s">
        <v>123</v>
      </c>
      <c r="B344" s="926" t="s">
        <v>1388</v>
      </c>
      <c r="C344" s="1602" t="s">
        <v>153</v>
      </c>
      <c r="D344" s="1603"/>
      <c r="E344" s="1603"/>
      <c r="F344" s="1603"/>
      <c r="G344" s="131" t="s">
        <v>154</v>
      </c>
      <c r="H344" s="101">
        <v>25708.32</v>
      </c>
      <c r="I344" s="102">
        <v>78539.039999999994</v>
      </c>
      <c r="J344" s="101">
        <v>16045.68</v>
      </c>
      <c r="K344" s="101">
        <v>87281.52</v>
      </c>
      <c r="L344" s="101"/>
      <c r="M344" s="6"/>
      <c r="N344" s="6"/>
    </row>
    <row r="345" spans="1:14" s="48" customFormat="1" ht="18" customHeight="1" x14ac:dyDescent="0.25">
      <c r="A345" s="48" t="s">
        <v>123</v>
      </c>
      <c r="B345" s="926" t="s">
        <v>1388</v>
      </c>
      <c r="C345" s="1602" t="s">
        <v>155</v>
      </c>
      <c r="D345" s="1603"/>
      <c r="E345" s="1603"/>
      <c r="F345" s="1603"/>
      <c r="G345" s="131" t="s">
        <v>156</v>
      </c>
      <c r="H345" s="101">
        <v>1200</v>
      </c>
      <c r="I345" s="102">
        <v>3600</v>
      </c>
      <c r="J345" s="101">
        <v>700</v>
      </c>
      <c r="K345" s="101">
        <v>3600</v>
      </c>
      <c r="L345" s="101"/>
      <c r="M345" s="6"/>
      <c r="N345" s="6"/>
    </row>
    <row r="346" spans="1:14" s="48" customFormat="1" ht="18" customHeight="1" x14ac:dyDescent="0.25">
      <c r="A346" s="48" t="s">
        <v>123</v>
      </c>
      <c r="B346" s="926" t="s">
        <v>1388</v>
      </c>
      <c r="C346" s="1602" t="s">
        <v>157</v>
      </c>
      <c r="D346" s="1603"/>
      <c r="E346" s="1603"/>
      <c r="F346" s="1603"/>
      <c r="G346" s="131" t="s">
        <v>158</v>
      </c>
      <c r="H346" s="101">
        <v>3213.6</v>
      </c>
      <c r="I346" s="102">
        <v>11453.61</v>
      </c>
      <c r="J346" s="101">
        <v>2005.71</v>
      </c>
      <c r="K346" s="101">
        <v>29262.799999999999</v>
      </c>
      <c r="L346" s="101"/>
      <c r="M346" s="6"/>
      <c r="N346" s="6"/>
    </row>
    <row r="347" spans="1:14" s="48" customFormat="1" ht="18" customHeight="1" x14ac:dyDescent="0.25">
      <c r="A347" s="48" t="s">
        <v>123</v>
      </c>
      <c r="B347" s="926" t="s">
        <v>1388</v>
      </c>
      <c r="C347" s="1602" t="s">
        <v>159</v>
      </c>
      <c r="D347" s="1603"/>
      <c r="E347" s="1603"/>
      <c r="F347" s="1603"/>
      <c r="G347" s="133" t="s">
        <v>160</v>
      </c>
      <c r="H347" s="105">
        <v>1200</v>
      </c>
      <c r="I347" s="106">
        <v>3600</v>
      </c>
      <c r="J347" s="105">
        <v>700</v>
      </c>
      <c r="K347" s="105">
        <v>3600</v>
      </c>
      <c r="L347" s="105"/>
      <c r="M347" s="6"/>
      <c r="N347" s="6"/>
    </row>
    <row r="348" spans="1:14" s="48" customFormat="1" ht="18" customHeight="1" x14ac:dyDescent="0.25">
      <c r="A348" s="48" t="s">
        <v>163</v>
      </c>
      <c r="B348" s="926" t="s">
        <v>1388</v>
      </c>
      <c r="C348" s="44" t="s">
        <v>164</v>
      </c>
      <c r="D348" s="113"/>
      <c r="E348" s="113"/>
      <c r="F348" s="114"/>
      <c r="G348" s="131" t="s">
        <v>165</v>
      </c>
      <c r="H348" s="101">
        <v>9426</v>
      </c>
      <c r="I348" s="102">
        <v>20000</v>
      </c>
      <c r="J348" s="101"/>
      <c r="K348" s="101">
        <v>20000</v>
      </c>
      <c r="L348" s="101"/>
      <c r="M348" s="6"/>
      <c r="N348" s="6"/>
    </row>
    <row r="349" spans="1:14" s="48" customFormat="1" ht="18" customHeight="1" x14ac:dyDescent="0.25">
      <c r="A349" s="48" t="s">
        <v>163</v>
      </c>
      <c r="B349" s="926" t="s">
        <v>1388</v>
      </c>
      <c r="C349" s="44" t="s">
        <v>178</v>
      </c>
      <c r="D349" s="170"/>
      <c r="E349" s="170"/>
      <c r="F349" s="171"/>
      <c r="G349" s="172" t="s">
        <v>167</v>
      </c>
      <c r="H349" s="102"/>
      <c r="I349" s="102"/>
      <c r="J349" s="102"/>
      <c r="K349" s="102">
        <v>30000</v>
      </c>
      <c r="L349" s="102"/>
      <c r="M349" s="6"/>
      <c r="N349" s="6"/>
    </row>
    <row r="350" spans="1:14" s="48" customFormat="1" ht="18" customHeight="1" x14ac:dyDescent="0.25">
      <c r="A350" s="48" t="s">
        <v>163</v>
      </c>
      <c r="B350" s="926" t="s">
        <v>1388</v>
      </c>
      <c r="C350" s="44" t="s">
        <v>168</v>
      </c>
      <c r="D350" s="113"/>
      <c r="E350" s="113"/>
      <c r="F350" s="114"/>
      <c r="G350" s="131" t="s">
        <v>169</v>
      </c>
      <c r="H350" s="101">
        <v>22308.25</v>
      </c>
      <c r="I350" s="102">
        <v>33681</v>
      </c>
      <c r="J350" s="101">
        <v>23056.5</v>
      </c>
      <c r="K350" s="101">
        <v>20000</v>
      </c>
      <c r="L350" s="101"/>
      <c r="M350" s="6"/>
      <c r="N350" s="6"/>
    </row>
    <row r="351" spans="1:14" s="48" customFormat="1" ht="18" customHeight="1" x14ac:dyDescent="0.25">
      <c r="A351" s="48" t="s">
        <v>163</v>
      </c>
      <c r="B351" s="926" t="s">
        <v>1388</v>
      </c>
      <c r="C351" s="44" t="s">
        <v>213</v>
      </c>
      <c r="D351" s="113"/>
      <c r="E351" s="113"/>
      <c r="F351" s="114"/>
      <c r="G351" s="131" t="s">
        <v>171</v>
      </c>
      <c r="H351" s="101"/>
      <c r="I351" s="102"/>
      <c r="J351" s="101"/>
      <c r="K351" s="101">
        <v>113350</v>
      </c>
      <c r="L351" s="101"/>
      <c r="M351" s="6"/>
      <c r="N351" s="6"/>
    </row>
    <row r="352" spans="1:14" s="179" customFormat="1" ht="21.75" customHeight="1" x14ac:dyDescent="0.25">
      <c r="A352" s="48" t="s">
        <v>163</v>
      </c>
      <c r="B352" s="926" t="s">
        <v>1388</v>
      </c>
      <c r="C352" s="180" t="s">
        <v>281</v>
      </c>
      <c r="D352" s="174"/>
      <c r="E352" s="174"/>
      <c r="F352" s="175"/>
      <c r="G352" s="176" t="s">
        <v>282</v>
      </c>
      <c r="H352" s="101">
        <v>4200</v>
      </c>
      <c r="I352" s="162">
        <v>15000</v>
      </c>
      <c r="J352" s="112"/>
      <c r="K352" s="101">
        <v>15000</v>
      </c>
      <c r="L352" s="112"/>
      <c r="M352" s="177"/>
      <c r="N352" s="177"/>
    </row>
    <row r="353" spans="1:16" s="179" customFormat="1" ht="18" customHeight="1" x14ac:dyDescent="0.25">
      <c r="A353" s="48" t="s">
        <v>163</v>
      </c>
      <c r="B353" s="926" t="s">
        <v>1388</v>
      </c>
      <c r="C353" s="180" t="s">
        <v>198</v>
      </c>
      <c r="D353" s="174"/>
      <c r="E353" s="174"/>
      <c r="F353" s="175"/>
      <c r="G353" s="181" t="s">
        <v>199</v>
      </c>
      <c r="H353" s="105">
        <v>495365.91</v>
      </c>
      <c r="I353" s="106">
        <v>1435820.88</v>
      </c>
      <c r="J353" s="105">
        <v>354493</v>
      </c>
      <c r="K353" s="105">
        <v>1493678.16</v>
      </c>
      <c r="L353" s="105"/>
      <c r="M353" s="177"/>
      <c r="N353" s="177">
        <f>1435820.88+276480</f>
        <v>1712300.88</v>
      </c>
      <c r="O353" s="178"/>
      <c r="P353" s="178"/>
    </row>
    <row r="354" spans="1:16" s="136" customFormat="1" ht="18" customHeight="1" x14ac:dyDescent="0.25">
      <c r="A354" s="136" t="s">
        <v>201</v>
      </c>
      <c r="B354" s="926" t="s">
        <v>1388</v>
      </c>
      <c r="C354" s="824" t="s">
        <v>283</v>
      </c>
      <c r="D354" s="813"/>
      <c r="E354" s="813"/>
      <c r="F354" s="813"/>
      <c r="G354" s="97"/>
      <c r="H354" s="101"/>
      <c r="I354" s="102"/>
      <c r="J354" s="101"/>
      <c r="K354" s="101">
        <v>66000</v>
      </c>
      <c r="L354" s="101"/>
      <c r="M354" s="6"/>
      <c r="N354" s="6"/>
      <c r="O354" s="115"/>
      <c r="P354" s="115"/>
    </row>
    <row r="355" spans="1:16" s="136" customFormat="1" ht="18" customHeight="1" x14ac:dyDescent="0.25">
      <c r="A355" s="136" t="s">
        <v>201</v>
      </c>
      <c r="B355" s="926" t="s">
        <v>1388</v>
      </c>
      <c r="C355" s="826" t="s">
        <v>287</v>
      </c>
      <c r="D355" s="813"/>
      <c r="E355" s="813"/>
      <c r="F355" s="811"/>
      <c r="G355" s="97"/>
      <c r="H355" s="101"/>
      <c r="I355" s="102">
        <v>85000</v>
      </c>
      <c r="J355" s="101"/>
      <c r="K355" s="101">
        <v>80000</v>
      </c>
      <c r="L355" s="101"/>
      <c r="M355" s="6"/>
      <c r="N355" s="6"/>
      <c r="O355" s="115"/>
      <c r="P355" s="115"/>
    </row>
    <row r="356" spans="1:16" s="48" customFormat="1" ht="17.100000000000001" customHeight="1" x14ac:dyDescent="0.25">
      <c r="A356" s="48" t="s">
        <v>123</v>
      </c>
      <c r="B356" s="926" t="s">
        <v>1387</v>
      </c>
      <c r="C356" s="1602" t="s">
        <v>124</v>
      </c>
      <c r="D356" s="1603"/>
      <c r="E356" s="1603"/>
      <c r="F356" s="1603"/>
      <c r="G356" s="131" t="s">
        <v>125</v>
      </c>
      <c r="H356" s="101">
        <v>0</v>
      </c>
      <c r="I356" s="162">
        <v>430092</v>
      </c>
      <c r="J356" s="112"/>
      <c r="K356" s="101">
        <v>472308</v>
      </c>
      <c r="L356" s="112"/>
      <c r="M356" s="6"/>
      <c r="N356" s="6"/>
    </row>
    <row r="357" spans="1:16" s="48" customFormat="1" ht="17.100000000000001" customHeight="1" x14ac:dyDescent="0.25">
      <c r="A357" s="48" t="s">
        <v>123</v>
      </c>
      <c r="B357" s="926" t="s">
        <v>1387</v>
      </c>
      <c r="C357" s="1602" t="s">
        <v>129</v>
      </c>
      <c r="D357" s="1603"/>
      <c r="E357" s="1603"/>
      <c r="F357" s="1603"/>
      <c r="G357" s="132" t="s">
        <v>130</v>
      </c>
      <c r="H357" s="101">
        <v>0</v>
      </c>
      <c r="I357" s="162">
        <v>48000</v>
      </c>
      <c r="J357" s="112"/>
      <c r="K357" s="101">
        <v>48000</v>
      </c>
      <c r="L357" s="112"/>
      <c r="M357" s="6"/>
      <c r="N357" s="6"/>
    </row>
    <row r="358" spans="1:16" s="48" customFormat="1" ht="17.100000000000001" customHeight="1" x14ac:dyDescent="0.25">
      <c r="A358" s="48" t="s">
        <v>123</v>
      </c>
      <c r="B358" s="926" t="s">
        <v>1387</v>
      </c>
      <c r="C358" s="1602" t="s">
        <v>135</v>
      </c>
      <c r="D358" s="1603"/>
      <c r="E358" s="1603"/>
      <c r="F358" s="1603"/>
      <c r="G358" s="131" t="s">
        <v>136</v>
      </c>
      <c r="H358" s="101">
        <v>0</v>
      </c>
      <c r="I358" s="162">
        <v>0</v>
      </c>
      <c r="J358" s="112"/>
      <c r="K358" s="101"/>
      <c r="L358" s="112"/>
      <c r="M358" s="6"/>
      <c r="N358" s="6"/>
    </row>
    <row r="359" spans="1:16" s="48" customFormat="1" ht="17.100000000000001" customHeight="1" x14ac:dyDescent="0.25">
      <c r="A359" s="48" t="s">
        <v>123</v>
      </c>
      <c r="B359" s="926" t="s">
        <v>1387</v>
      </c>
      <c r="C359" s="1602" t="s">
        <v>137</v>
      </c>
      <c r="D359" s="1603"/>
      <c r="E359" s="1603"/>
      <c r="F359" s="1603"/>
      <c r="G359" s="131" t="s">
        <v>138</v>
      </c>
      <c r="H359" s="101">
        <v>0</v>
      </c>
      <c r="I359" s="162">
        <v>12000</v>
      </c>
      <c r="J359" s="112"/>
      <c r="K359" s="101">
        <v>12000</v>
      </c>
      <c r="L359" s="112"/>
      <c r="M359" s="6"/>
      <c r="N359" s="6"/>
    </row>
    <row r="360" spans="1:16" s="48" customFormat="1" ht="17.100000000000001" customHeight="1" x14ac:dyDescent="0.25">
      <c r="A360" s="48" t="s">
        <v>123</v>
      </c>
      <c r="B360" s="926" t="s">
        <v>1387</v>
      </c>
      <c r="C360" s="1602" t="s">
        <v>139</v>
      </c>
      <c r="D360" s="1603"/>
      <c r="E360" s="1603"/>
      <c r="F360" s="1603"/>
      <c r="G360" s="131" t="s">
        <v>140</v>
      </c>
      <c r="H360" s="101">
        <v>0</v>
      </c>
      <c r="I360" s="162">
        <v>35841</v>
      </c>
      <c r="J360" s="112"/>
      <c r="K360" s="101">
        <v>37599</v>
      </c>
      <c r="L360" s="112"/>
      <c r="M360" s="6"/>
      <c r="N360" s="6"/>
    </row>
    <row r="361" spans="1:16" s="48" customFormat="1" ht="17.100000000000001" customHeight="1" x14ac:dyDescent="0.25">
      <c r="A361" s="48" t="s">
        <v>123</v>
      </c>
      <c r="B361" s="926" t="s">
        <v>1387</v>
      </c>
      <c r="C361" s="1602" t="s">
        <v>141</v>
      </c>
      <c r="D361" s="1603"/>
      <c r="E361" s="1603"/>
      <c r="F361" s="1603"/>
      <c r="G361" s="131" t="s">
        <v>142</v>
      </c>
      <c r="H361" s="101">
        <v>0</v>
      </c>
      <c r="I361" s="162">
        <v>35841</v>
      </c>
      <c r="J361" s="112"/>
      <c r="K361" s="101">
        <v>37599</v>
      </c>
      <c r="L361" s="112"/>
      <c r="M361" s="6"/>
      <c r="N361" s="6"/>
    </row>
    <row r="362" spans="1:16" s="48" customFormat="1" ht="17.100000000000001" customHeight="1" x14ac:dyDescent="0.25">
      <c r="A362" s="48" t="s">
        <v>123</v>
      </c>
      <c r="B362" s="926" t="s">
        <v>1387</v>
      </c>
      <c r="C362" s="1602" t="s">
        <v>143</v>
      </c>
      <c r="D362" s="1603"/>
      <c r="E362" s="1603"/>
      <c r="F362" s="1603"/>
      <c r="G362" s="131" t="s">
        <v>144</v>
      </c>
      <c r="H362" s="101">
        <v>0</v>
      </c>
      <c r="I362" s="162">
        <v>10000</v>
      </c>
      <c r="J362" s="112"/>
      <c r="K362" s="101">
        <v>10000</v>
      </c>
      <c r="L362" s="112"/>
      <c r="M362" s="6"/>
      <c r="N362" s="6"/>
    </row>
    <row r="363" spans="1:16" s="48" customFormat="1" ht="17.100000000000001" customHeight="1" x14ac:dyDescent="0.25">
      <c r="A363" s="48" t="s">
        <v>123</v>
      </c>
      <c r="B363" s="926" t="s">
        <v>1387</v>
      </c>
      <c r="C363" s="1602" t="s">
        <v>145</v>
      </c>
      <c r="D363" s="1603"/>
      <c r="E363" s="1603"/>
      <c r="F363" s="1603"/>
      <c r="G363" s="131" t="s">
        <v>146</v>
      </c>
      <c r="H363" s="101">
        <v>0</v>
      </c>
      <c r="I363" s="162">
        <v>10000</v>
      </c>
      <c r="J363" s="112"/>
      <c r="K363" s="101">
        <v>10000</v>
      </c>
      <c r="L363" s="112"/>
      <c r="M363" s="6"/>
      <c r="N363" s="6"/>
    </row>
    <row r="364" spans="1:16" s="48" customFormat="1" ht="17.100000000000001" customHeight="1" x14ac:dyDescent="0.25">
      <c r="A364" s="48" t="s">
        <v>123</v>
      </c>
      <c r="B364" s="926" t="s">
        <v>1387</v>
      </c>
      <c r="C364" s="826" t="s">
        <v>147</v>
      </c>
      <c r="D364" s="813"/>
      <c r="E364" s="813"/>
      <c r="F364" s="811"/>
      <c r="G364" s="131" t="s">
        <v>148</v>
      </c>
      <c r="H364" s="101"/>
      <c r="I364" s="162"/>
      <c r="J364" s="112"/>
      <c r="K364" s="101">
        <v>6000</v>
      </c>
      <c r="L364" s="112"/>
      <c r="M364" s="6"/>
      <c r="N364" s="6"/>
    </row>
    <row r="365" spans="1:16" s="48" customFormat="1" ht="17.100000000000001" customHeight="1" x14ac:dyDescent="0.25">
      <c r="A365" s="48" t="s">
        <v>123</v>
      </c>
      <c r="B365" s="926" t="s">
        <v>1387</v>
      </c>
      <c r="C365" s="1602" t="s">
        <v>153</v>
      </c>
      <c r="D365" s="1603"/>
      <c r="E365" s="1603"/>
      <c r="F365" s="1603"/>
      <c r="G365" s="131" t="s">
        <v>154</v>
      </c>
      <c r="H365" s="101">
        <v>0</v>
      </c>
      <c r="I365" s="162">
        <v>51611.040000000001</v>
      </c>
      <c r="J365" s="112"/>
      <c r="K365" s="101">
        <v>56676.959999999999</v>
      </c>
      <c r="L365" s="112"/>
      <c r="M365" s="6"/>
      <c r="N365" s="6"/>
    </row>
    <row r="366" spans="1:16" s="48" customFormat="1" ht="17.100000000000001" customHeight="1" x14ac:dyDescent="0.25">
      <c r="A366" s="48" t="s">
        <v>123</v>
      </c>
      <c r="B366" s="926" t="s">
        <v>1387</v>
      </c>
      <c r="C366" s="1602" t="s">
        <v>155</v>
      </c>
      <c r="D366" s="1603"/>
      <c r="E366" s="1603"/>
      <c r="F366" s="1603"/>
      <c r="G366" s="131" t="s">
        <v>156</v>
      </c>
      <c r="H366" s="101">
        <v>0</v>
      </c>
      <c r="I366" s="162">
        <v>2400</v>
      </c>
      <c r="J366" s="112"/>
      <c r="K366" s="101">
        <v>2400</v>
      </c>
      <c r="L366" s="112"/>
      <c r="M366" s="6"/>
      <c r="N366" s="6"/>
    </row>
    <row r="367" spans="1:16" s="48" customFormat="1" ht="17.100000000000001" customHeight="1" x14ac:dyDescent="0.25">
      <c r="A367" s="48" t="s">
        <v>123</v>
      </c>
      <c r="B367" s="926" t="s">
        <v>1387</v>
      </c>
      <c r="C367" s="1602" t="s">
        <v>157</v>
      </c>
      <c r="D367" s="1603"/>
      <c r="E367" s="1603"/>
      <c r="F367" s="1603"/>
      <c r="G367" s="131" t="s">
        <v>158</v>
      </c>
      <c r="H367" s="101">
        <v>0</v>
      </c>
      <c r="I367" s="162">
        <v>7526.61</v>
      </c>
      <c r="J367" s="112"/>
      <c r="K367" s="101">
        <v>18912</v>
      </c>
      <c r="L367" s="112"/>
      <c r="M367" s="6"/>
      <c r="N367" s="6"/>
    </row>
    <row r="368" spans="1:16" s="48" customFormat="1" ht="17.100000000000001" customHeight="1" x14ac:dyDescent="0.25">
      <c r="A368" s="48" t="s">
        <v>123</v>
      </c>
      <c r="B368" s="926" t="s">
        <v>1387</v>
      </c>
      <c r="C368" s="1602" t="s">
        <v>159</v>
      </c>
      <c r="D368" s="1603"/>
      <c r="E368" s="1603"/>
      <c r="F368" s="1603"/>
      <c r="G368" s="133" t="s">
        <v>160</v>
      </c>
      <c r="H368" s="105">
        <v>0</v>
      </c>
      <c r="I368" s="163">
        <v>2400</v>
      </c>
      <c r="J368" s="118"/>
      <c r="K368" s="105">
        <v>2400</v>
      </c>
      <c r="L368" s="118"/>
      <c r="M368" s="6"/>
      <c r="N368" s="6"/>
    </row>
    <row r="369" spans="1:14" s="48" customFormat="1" ht="17.100000000000001" customHeight="1" x14ac:dyDescent="0.25">
      <c r="A369" s="48" t="s">
        <v>163</v>
      </c>
      <c r="B369" s="926" t="s">
        <v>1387</v>
      </c>
      <c r="C369" s="44" t="s">
        <v>164</v>
      </c>
      <c r="D369" s="113"/>
      <c r="E369" s="113"/>
      <c r="F369" s="114"/>
      <c r="G369" s="131" t="s">
        <v>165</v>
      </c>
      <c r="H369" s="101">
        <v>0</v>
      </c>
      <c r="I369" s="162">
        <v>15000</v>
      </c>
      <c r="J369" s="112"/>
      <c r="K369" s="162">
        <v>15000</v>
      </c>
      <c r="L369" s="112"/>
      <c r="M369" s="6"/>
      <c r="N369" s="6"/>
    </row>
    <row r="370" spans="1:14" s="48" customFormat="1" ht="17.100000000000001" customHeight="1" x14ac:dyDescent="0.25">
      <c r="A370" s="48" t="s">
        <v>163</v>
      </c>
      <c r="B370" s="926" t="s">
        <v>1387</v>
      </c>
      <c r="C370" s="44" t="s">
        <v>168</v>
      </c>
      <c r="D370" s="113"/>
      <c r="E370" s="113"/>
      <c r="F370" s="114"/>
      <c r="G370" s="131" t="s">
        <v>169</v>
      </c>
      <c r="H370" s="101">
        <v>0</v>
      </c>
      <c r="I370" s="162">
        <v>49952</v>
      </c>
      <c r="J370" s="112">
        <v>35368</v>
      </c>
      <c r="K370" s="162">
        <v>49952</v>
      </c>
      <c r="L370" s="112"/>
      <c r="M370" s="6"/>
      <c r="N370" s="6"/>
    </row>
    <row r="371" spans="1:14" s="48" customFormat="1" ht="17.100000000000001" customHeight="1" x14ac:dyDescent="0.25">
      <c r="A371" s="48" t="s">
        <v>163</v>
      </c>
      <c r="B371" s="926" t="s">
        <v>1387</v>
      </c>
      <c r="C371" s="44" t="s">
        <v>288</v>
      </c>
      <c r="D371" s="113"/>
      <c r="E371" s="113"/>
      <c r="F371" s="114"/>
      <c r="G371" s="131" t="s">
        <v>171</v>
      </c>
      <c r="H371" s="101"/>
      <c r="I371" s="162"/>
      <c r="J371" s="112"/>
      <c r="K371" s="162">
        <v>33960</v>
      </c>
      <c r="L371" s="112"/>
      <c r="M371" s="6"/>
      <c r="N371" s="6"/>
    </row>
    <row r="372" spans="1:14" s="48" customFormat="1" ht="17.100000000000001" customHeight="1" x14ac:dyDescent="0.25">
      <c r="A372" s="48" t="s">
        <v>163</v>
      </c>
      <c r="B372" s="926" t="s">
        <v>1387</v>
      </c>
      <c r="C372" s="44" t="s">
        <v>176</v>
      </c>
      <c r="D372" s="113"/>
      <c r="E372" s="113"/>
      <c r="F372" s="114"/>
      <c r="G372" s="131" t="s">
        <v>177</v>
      </c>
      <c r="H372" s="101">
        <v>0</v>
      </c>
      <c r="I372" s="162">
        <v>5000</v>
      </c>
      <c r="J372" s="112"/>
      <c r="K372" s="162">
        <v>5000</v>
      </c>
      <c r="L372" s="112"/>
      <c r="M372" s="6"/>
      <c r="N372" s="6"/>
    </row>
    <row r="373" spans="1:14" s="48" customFormat="1" ht="17.100000000000001" customHeight="1" x14ac:dyDescent="0.25">
      <c r="A373" s="48" t="s">
        <v>163</v>
      </c>
      <c r="B373" s="926" t="s">
        <v>1387</v>
      </c>
      <c r="C373" s="44" t="s">
        <v>178</v>
      </c>
      <c r="D373" s="113"/>
      <c r="E373" s="113"/>
      <c r="F373" s="114"/>
      <c r="G373" s="131" t="s">
        <v>179</v>
      </c>
      <c r="H373" s="101"/>
      <c r="I373" s="162"/>
      <c r="J373" s="112"/>
      <c r="K373" s="162">
        <v>30000</v>
      </c>
      <c r="L373" s="112"/>
      <c r="M373" s="6"/>
      <c r="N373" s="6"/>
    </row>
    <row r="374" spans="1:14" s="48" customFormat="1" ht="17.100000000000001" customHeight="1" x14ac:dyDescent="0.25">
      <c r="A374" s="48" t="s">
        <v>163</v>
      </c>
      <c r="B374" s="926" t="s">
        <v>1387</v>
      </c>
      <c r="C374" s="44" t="s">
        <v>186</v>
      </c>
      <c r="D374" s="113"/>
      <c r="E374" s="113"/>
      <c r="F374" s="114"/>
      <c r="G374" s="131" t="s">
        <v>187</v>
      </c>
      <c r="H374" s="101">
        <v>0</v>
      </c>
      <c r="I374" s="162">
        <v>5000</v>
      </c>
      <c r="J374" s="112"/>
      <c r="K374" s="162">
        <v>5000</v>
      </c>
      <c r="L374" s="112"/>
      <c r="M374" s="6"/>
      <c r="N374" s="6"/>
    </row>
    <row r="375" spans="1:14" s="48" customFormat="1" ht="17.100000000000001" customHeight="1" x14ac:dyDescent="0.25">
      <c r="A375" s="48" t="s">
        <v>163</v>
      </c>
      <c r="B375" s="926" t="s">
        <v>1387</v>
      </c>
      <c r="C375" s="44" t="s">
        <v>198</v>
      </c>
      <c r="D375" s="113"/>
      <c r="E375" s="113"/>
      <c r="F375" s="114"/>
      <c r="G375" s="131" t="s">
        <v>199</v>
      </c>
      <c r="H375" s="101">
        <v>0</v>
      </c>
      <c r="I375" s="162">
        <v>5000</v>
      </c>
      <c r="J375" s="112"/>
      <c r="K375" s="162">
        <v>5000</v>
      </c>
      <c r="L375" s="112"/>
      <c r="M375" s="6"/>
      <c r="N375" s="6">
        <v>720</v>
      </c>
    </row>
    <row r="376" spans="1:14" s="48" customFormat="1" ht="17.100000000000001" customHeight="1" x14ac:dyDescent="0.25">
      <c r="A376" s="48" t="s">
        <v>123</v>
      </c>
      <c r="B376" s="926" t="s">
        <v>1386</v>
      </c>
      <c r="C376" s="1602" t="s">
        <v>124</v>
      </c>
      <c r="D376" s="1603"/>
      <c r="E376" s="1603"/>
      <c r="F376" s="1603"/>
      <c r="G376" s="131" t="s">
        <v>125</v>
      </c>
      <c r="H376" s="101">
        <v>989760</v>
      </c>
      <c r="I376" s="162">
        <v>1157808</v>
      </c>
      <c r="J376" s="112">
        <v>644216.14</v>
      </c>
      <c r="K376" s="101">
        <v>1230660</v>
      </c>
      <c r="L376" s="112"/>
      <c r="M376" s="6"/>
      <c r="N376" s="6"/>
    </row>
    <row r="377" spans="1:14" s="48" customFormat="1" ht="18" customHeight="1" x14ac:dyDescent="0.25">
      <c r="A377" s="48" t="s">
        <v>123</v>
      </c>
      <c r="B377" s="926" t="s">
        <v>1386</v>
      </c>
      <c r="C377" s="1602" t="s">
        <v>128</v>
      </c>
      <c r="D377" s="1603"/>
      <c r="E377" s="1603"/>
      <c r="F377" s="1603"/>
      <c r="G377" s="131" t="s">
        <v>125</v>
      </c>
      <c r="H377" s="101">
        <v>0</v>
      </c>
      <c r="I377" s="102">
        <v>0</v>
      </c>
      <c r="J377" s="101"/>
      <c r="K377" s="101">
        <v>9443.59</v>
      </c>
      <c r="L377" s="101"/>
      <c r="M377" s="6"/>
      <c r="N377" s="6"/>
    </row>
    <row r="378" spans="1:14" s="48" customFormat="1" ht="17.100000000000001" customHeight="1" x14ac:dyDescent="0.25">
      <c r="A378" s="48" t="s">
        <v>123</v>
      </c>
      <c r="B378" s="926" t="s">
        <v>1386</v>
      </c>
      <c r="C378" s="1602" t="s">
        <v>129</v>
      </c>
      <c r="D378" s="1603"/>
      <c r="E378" s="1603"/>
      <c r="F378" s="1603"/>
      <c r="G378" s="132" t="s">
        <v>130</v>
      </c>
      <c r="H378" s="101">
        <v>72000</v>
      </c>
      <c r="I378" s="162">
        <v>96000</v>
      </c>
      <c r="J378" s="112">
        <v>48818.18</v>
      </c>
      <c r="K378" s="101">
        <v>96000</v>
      </c>
      <c r="L378" s="112"/>
      <c r="M378" s="6"/>
      <c r="N378" s="6"/>
    </row>
    <row r="379" spans="1:14" s="48" customFormat="1" ht="17.100000000000001" customHeight="1" x14ac:dyDescent="0.25">
      <c r="A379" s="48" t="s">
        <v>123</v>
      </c>
      <c r="B379" s="926" t="s">
        <v>1386</v>
      </c>
      <c r="C379" s="1602" t="s">
        <v>135</v>
      </c>
      <c r="D379" s="1603"/>
      <c r="E379" s="1603"/>
      <c r="F379" s="1603"/>
      <c r="G379" s="131" t="s">
        <v>136</v>
      </c>
      <c r="H379" s="101">
        <v>213798.15</v>
      </c>
      <c r="I379" s="162">
        <v>337420</v>
      </c>
      <c r="J379" s="112">
        <v>82342.039999999994</v>
      </c>
      <c r="K379" s="101">
        <v>434249.1</v>
      </c>
      <c r="L379" s="112"/>
      <c r="M379" s="6"/>
      <c r="N379" s="6"/>
    </row>
    <row r="380" spans="1:14" s="48" customFormat="1" ht="17.100000000000001" customHeight="1" x14ac:dyDescent="0.25">
      <c r="A380" s="48" t="s">
        <v>123</v>
      </c>
      <c r="B380" s="926" t="s">
        <v>1386</v>
      </c>
      <c r="C380" s="1602" t="s">
        <v>137</v>
      </c>
      <c r="D380" s="1603"/>
      <c r="E380" s="1603"/>
      <c r="F380" s="1603"/>
      <c r="G380" s="131" t="s">
        <v>138</v>
      </c>
      <c r="H380" s="101">
        <v>18000</v>
      </c>
      <c r="I380" s="162">
        <v>24000</v>
      </c>
      <c r="J380" s="112">
        <v>18000</v>
      </c>
      <c r="K380" s="101">
        <v>24000</v>
      </c>
      <c r="L380" s="112"/>
      <c r="M380" s="6"/>
      <c r="N380" s="6"/>
    </row>
    <row r="381" spans="1:14" s="48" customFormat="1" ht="17.100000000000001" customHeight="1" x14ac:dyDescent="0.25">
      <c r="A381" s="48" t="s">
        <v>123</v>
      </c>
      <c r="B381" s="926" t="s">
        <v>1386</v>
      </c>
      <c r="C381" s="824" t="s">
        <v>1370</v>
      </c>
      <c r="D381" s="811"/>
      <c r="E381" s="812"/>
      <c r="F381" s="812"/>
      <c r="G381" s="131"/>
      <c r="H381" s="101"/>
      <c r="I381" s="162"/>
      <c r="J381" s="112"/>
      <c r="K381" s="101">
        <v>41784.83</v>
      </c>
      <c r="L381" s="112">
        <v>41784.83</v>
      </c>
      <c r="M381" s="6"/>
      <c r="N381" s="6"/>
    </row>
    <row r="382" spans="1:14" s="48" customFormat="1" ht="17.100000000000001" customHeight="1" x14ac:dyDescent="0.25">
      <c r="A382" s="48" t="s">
        <v>123</v>
      </c>
      <c r="B382" s="926" t="s">
        <v>1386</v>
      </c>
      <c r="C382" s="1602" t="s">
        <v>139</v>
      </c>
      <c r="D382" s="1603"/>
      <c r="E382" s="1603"/>
      <c r="F382" s="1603"/>
      <c r="G382" s="131" t="s">
        <v>140</v>
      </c>
      <c r="H382" s="101">
        <v>82480</v>
      </c>
      <c r="I382" s="162">
        <v>96484</v>
      </c>
      <c r="J382" s="112">
        <v>84920</v>
      </c>
      <c r="K382" s="101">
        <v>103560</v>
      </c>
      <c r="L382" s="112"/>
      <c r="M382" s="6"/>
      <c r="N382" s="6"/>
    </row>
    <row r="383" spans="1:14" s="48" customFormat="1" ht="17.100000000000001" customHeight="1" x14ac:dyDescent="0.25">
      <c r="A383" s="48" t="s">
        <v>123</v>
      </c>
      <c r="B383" s="926" t="s">
        <v>1386</v>
      </c>
      <c r="C383" s="1602" t="s">
        <v>141</v>
      </c>
      <c r="D383" s="1603"/>
      <c r="E383" s="1603"/>
      <c r="F383" s="1603"/>
      <c r="G383" s="131" t="s">
        <v>142</v>
      </c>
      <c r="H383" s="101">
        <v>82480</v>
      </c>
      <c r="I383" s="162">
        <v>96484</v>
      </c>
      <c r="J383" s="112"/>
      <c r="K383" s="101">
        <v>103560</v>
      </c>
      <c r="L383" s="112"/>
      <c r="M383" s="6"/>
      <c r="N383" s="6"/>
    </row>
    <row r="384" spans="1:14" s="48" customFormat="1" ht="17.100000000000001" customHeight="1" x14ac:dyDescent="0.25">
      <c r="A384" s="48" t="s">
        <v>123</v>
      </c>
      <c r="B384" s="926" t="s">
        <v>1386</v>
      </c>
      <c r="C384" s="1602" t="s">
        <v>143</v>
      </c>
      <c r="D384" s="1603"/>
      <c r="E384" s="1603"/>
      <c r="F384" s="1603"/>
      <c r="G384" s="131" t="s">
        <v>144</v>
      </c>
      <c r="H384" s="101">
        <v>15000</v>
      </c>
      <c r="I384" s="162">
        <v>20000</v>
      </c>
      <c r="J384" s="112"/>
      <c r="K384" s="101">
        <v>20000</v>
      </c>
      <c r="L384" s="112"/>
      <c r="M384" s="6"/>
      <c r="N384" s="6"/>
    </row>
    <row r="385" spans="1:14" s="48" customFormat="1" ht="17.100000000000001" customHeight="1" x14ac:dyDescent="0.25">
      <c r="A385" s="48" t="s">
        <v>123</v>
      </c>
      <c r="B385" s="926" t="s">
        <v>1386</v>
      </c>
      <c r="C385" s="1602" t="s">
        <v>145</v>
      </c>
      <c r="D385" s="1603"/>
      <c r="E385" s="1603"/>
      <c r="F385" s="1603"/>
      <c r="G385" s="131" t="s">
        <v>146</v>
      </c>
      <c r="H385" s="101">
        <v>15000</v>
      </c>
      <c r="I385" s="162">
        <v>20000</v>
      </c>
      <c r="J385" s="112"/>
      <c r="K385" s="101">
        <v>20000</v>
      </c>
      <c r="L385" s="112"/>
      <c r="M385" s="6"/>
      <c r="N385" s="6"/>
    </row>
    <row r="386" spans="1:14" s="48" customFormat="1" ht="17.100000000000001" customHeight="1" x14ac:dyDescent="0.25">
      <c r="A386" s="48" t="s">
        <v>123</v>
      </c>
      <c r="B386" s="926" t="s">
        <v>1386</v>
      </c>
      <c r="C386" s="826" t="s">
        <v>147</v>
      </c>
      <c r="D386" s="813"/>
      <c r="E386" s="813"/>
      <c r="F386" s="811"/>
      <c r="G386" s="131" t="s">
        <v>148</v>
      </c>
      <c r="H386" s="101"/>
      <c r="I386" s="162"/>
      <c r="J386" s="112"/>
      <c r="K386" s="101">
        <v>12000</v>
      </c>
      <c r="L386" s="112"/>
      <c r="M386" s="6"/>
      <c r="N386" s="6"/>
    </row>
    <row r="387" spans="1:14" s="48" customFormat="1" ht="17.100000000000001" customHeight="1" x14ac:dyDescent="0.25">
      <c r="A387" s="48" t="s">
        <v>123</v>
      </c>
      <c r="B387" s="926" t="s">
        <v>1386</v>
      </c>
      <c r="C387" s="1602" t="s">
        <v>153</v>
      </c>
      <c r="D387" s="1603"/>
      <c r="E387" s="1603"/>
      <c r="F387" s="1603"/>
      <c r="G387" s="131" t="s">
        <v>154</v>
      </c>
      <c r="H387" s="101">
        <v>118771.2</v>
      </c>
      <c r="I387" s="162">
        <v>138936.95999999999</v>
      </c>
      <c r="J387" s="112">
        <v>76889.740000000005</v>
      </c>
      <c r="K387" s="101">
        <v>148812.43</v>
      </c>
      <c r="L387" s="112"/>
      <c r="M387" s="6"/>
      <c r="N387" s="6"/>
    </row>
    <row r="388" spans="1:14" s="48" customFormat="1" ht="17.100000000000001" customHeight="1" x14ac:dyDescent="0.25">
      <c r="A388" s="48" t="s">
        <v>123</v>
      </c>
      <c r="B388" s="926" t="s">
        <v>1386</v>
      </c>
      <c r="C388" s="1602" t="s">
        <v>155</v>
      </c>
      <c r="D388" s="1603"/>
      <c r="E388" s="1603"/>
      <c r="F388" s="1603"/>
      <c r="G388" s="131" t="s">
        <v>156</v>
      </c>
      <c r="H388" s="101">
        <v>3600</v>
      </c>
      <c r="I388" s="162">
        <v>4800</v>
      </c>
      <c r="J388" s="112">
        <v>2500</v>
      </c>
      <c r="K388" s="101">
        <v>4800</v>
      </c>
      <c r="L388" s="112"/>
      <c r="M388" s="6"/>
      <c r="N388" s="6"/>
    </row>
    <row r="389" spans="1:14" s="48" customFormat="1" ht="17.100000000000001" customHeight="1" x14ac:dyDescent="0.25">
      <c r="A389" s="48" t="s">
        <v>123</v>
      </c>
      <c r="B389" s="926" t="s">
        <v>1386</v>
      </c>
      <c r="C389" s="1602" t="s">
        <v>157</v>
      </c>
      <c r="D389" s="1603"/>
      <c r="E389" s="1603"/>
      <c r="F389" s="1603"/>
      <c r="G389" s="131" t="s">
        <v>158</v>
      </c>
      <c r="H389" s="101">
        <v>14846.42</v>
      </c>
      <c r="I389" s="162">
        <v>20261.64</v>
      </c>
      <c r="J389" s="112">
        <v>9792.73</v>
      </c>
      <c r="K389" s="101">
        <v>49205.74</v>
      </c>
      <c r="L389" s="112"/>
      <c r="M389" s="6"/>
      <c r="N389" s="6"/>
    </row>
    <row r="390" spans="1:14" s="48" customFormat="1" ht="17.100000000000001" customHeight="1" x14ac:dyDescent="0.25">
      <c r="A390" s="48" t="s">
        <v>123</v>
      </c>
      <c r="B390" s="926" t="s">
        <v>1386</v>
      </c>
      <c r="C390" s="1602" t="s">
        <v>159</v>
      </c>
      <c r="D390" s="1603"/>
      <c r="E390" s="1603"/>
      <c r="F390" s="1603"/>
      <c r="G390" s="133" t="s">
        <v>160</v>
      </c>
      <c r="H390" s="105">
        <v>3600</v>
      </c>
      <c r="I390" s="163">
        <v>4800</v>
      </c>
      <c r="J390" s="118">
        <v>2500</v>
      </c>
      <c r="K390" s="105">
        <v>4800</v>
      </c>
      <c r="L390" s="118"/>
      <c r="M390" s="6"/>
      <c r="N390" s="6"/>
    </row>
    <row r="391" spans="1:14" s="48" customFormat="1" ht="17.100000000000001" customHeight="1" x14ac:dyDescent="0.25">
      <c r="A391" s="48" t="s">
        <v>163</v>
      </c>
      <c r="B391" s="926" t="s">
        <v>1386</v>
      </c>
      <c r="C391" s="44" t="s">
        <v>164</v>
      </c>
      <c r="D391" s="113"/>
      <c r="E391" s="113"/>
      <c r="F391" s="114"/>
      <c r="G391" s="131" t="s">
        <v>165</v>
      </c>
      <c r="H391" s="101"/>
      <c r="I391" s="162">
        <v>15000</v>
      </c>
      <c r="J391" s="112"/>
      <c r="K391" s="101">
        <v>15000</v>
      </c>
      <c r="L391" s="112"/>
      <c r="M391" s="6"/>
      <c r="N391" s="6"/>
    </row>
    <row r="392" spans="1:14" s="48" customFormat="1" ht="17.100000000000001" customHeight="1" x14ac:dyDescent="0.25">
      <c r="A392" s="48" t="s">
        <v>163</v>
      </c>
      <c r="B392" s="926" t="s">
        <v>1386</v>
      </c>
      <c r="C392" s="44" t="s">
        <v>168</v>
      </c>
      <c r="D392" s="113"/>
      <c r="E392" s="113"/>
      <c r="F392" s="114"/>
      <c r="G392" s="131" t="s">
        <v>169</v>
      </c>
      <c r="H392" s="101">
        <v>86104</v>
      </c>
      <c r="I392" s="162">
        <v>108208</v>
      </c>
      <c r="J392" s="112">
        <v>91397</v>
      </c>
      <c r="K392" s="101">
        <v>129613</v>
      </c>
      <c r="L392" s="112"/>
      <c r="M392" s="6"/>
      <c r="N392" s="6"/>
    </row>
    <row r="393" spans="1:14" s="48" customFormat="1" ht="17.100000000000001" customHeight="1" x14ac:dyDescent="0.25">
      <c r="A393" s="48" t="s">
        <v>163</v>
      </c>
      <c r="B393" s="926" t="s">
        <v>1386</v>
      </c>
      <c r="C393" s="44" t="s">
        <v>170</v>
      </c>
      <c r="D393" s="113"/>
      <c r="E393" s="113"/>
      <c r="F393" s="114"/>
      <c r="G393" s="131" t="s">
        <v>171</v>
      </c>
      <c r="H393" s="101"/>
      <c r="I393" s="162"/>
      <c r="J393" s="112"/>
      <c r="K393" s="101">
        <v>160974</v>
      </c>
      <c r="L393" s="112"/>
      <c r="M393" s="6"/>
      <c r="N393" s="6"/>
    </row>
    <row r="394" spans="1:14" s="48" customFormat="1" ht="17.100000000000001" customHeight="1" x14ac:dyDescent="0.25">
      <c r="A394" s="48" t="s">
        <v>163</v>
      </c>
      <c r="B394" s="926" t="s">
        <v>1386</v>
      </c>
      <c r="C394" s="44" t="s">
        <v>178</v>
      </c>
      <c r="D394" s="170"/>
      <c r="E394" s="170"/>
      <c r="F394" s="171"/>
      <c r="G394" s="172"/>
      <c r="H394" s="102"/>
      <c r="I394" s="162"/>
      <c r="J394" s="111"/>
      <c r="K394" s="102">
        <v>18000</v>
      </c>
      <c r="L394" s="111"/>
      <c r="M394" s="6"/>
      <c r="N394" s="6"/>
    </row>
    <row r="395" spans="1:14" s="48" customFormat="1" ht="18" customHeight="1" x14ac:dyDescent="0.25">
      <c r="A395" s="48" t="s">
        <v>163</v>
      </c>
      <c r="B395" s="926" t="s">
        <v>1386</v>
      </c>
      <c r="C395" s="44" t="s">
        <v>182</v>
      </c>
      <c r="D395" s="170"/>
      <c r="E395" s="170"/>
      <c r="F395" s="171"/>
      <c r="G395" s="172" t="s">
        <v>183</v>
      </c>
      <c r="H395" s="102">
        <v>26388</v>
      </c>
      <c r="I395" s="102">
        <v>30000</v>
      </c>
      <c r="J395" s="102">
        <v>15393</v>
      </c>
      <c r="K395" s="102">
        <v>30000</v>
      </c>
      <c r="L395" s="102"/>
      <c r="M395" s="6"/>
      <c r="N395" s="6"/>
    </row>
    <row r="396" spans="1:14" s="48" customFormat="1" ht="17.100000000000001" customHeight="1" x14ac:dyDescent="0.25">
      <c r="A396" s="48" t="s">
        <v>163</v>
      </c>
      <c r="B396" s="926" t="s">
        <v>1386</v>
      </c>
      <c r="C396" s="44" t="s">
        <v>198</v>
      </c>
      <c r="D396" s="113"/>
      <c r="E396" s="113"/>
      <c r="F396" s="114"/>
      <c r="G396" s="131" t="s">
        <v>199</v>
      </c>
      <c r="H396" s="101">
        <v>276338.58</v>
      </c>
      <c r="I396" s="162">
        <v>1360194.72</v>
      </c>
      <c r="J396" s="112">
        <v>178921.72</v>
      </c>
      <c r="K396" s="105">
        <v>1360194.72</v>
      </c>
      <c r="L396" s="112"/>
      <c r="M396" s="6"/>
      <c r="N396" s="6"/>
    </row>
    <row r="397" spans="1:14" s="48" customFormat="1" ht="18" customHeight="1" x14ac:dyDescent="0.25">
      <c r="A397" s="48" t="s">
        <v>123</v>
      </c>
      <c r="B397" s="926" t="s">
        <v>1386</v>
      </c>
      <c r="C397" s="1602" t="s">
        <v>124</v>
      </c>
      <c r="D397" s="1603"/>
      <c r="E397" s="1603"/>
      <c r="F397" s="1603"/>
      <c r="G397" s="131" t="s">
        <v>125</v>
      </c>
      <c r="H397" s="101">
        <v>1421340</v>
      </c>
      <c r="I397" s="102">
        <v>1992948</v>
      </c>
      <c r="J397" s="101">
        <v>849681</v>
      </c>
      <c r="K397" s="101">
        <v>2117868</v>
      </c>
      <c r="L397" s="101"/>
      <c r="M397" s="6"/>
      <c r="N397" s="47"/>
    </row>
    <row r="398" spans="1:14" s="48" customFormat="1" ht="18" customHeight="1" x14ac:dyDescent="0.25">
      <c r="A398" s="48" t="s">
        <v>123</v>
      </c>
      <c r="B398" s="926" t="s">
        <v>1386</v>
      </c>
      <c r="C398" s="1602" t="s">
        <v>126</v>
      </c>
      <c r="D398" s="1603"/>
      <c r="E398" s="1603"/>
      <c r="F398" s="1603"/>
      <c r="G398" s="131" t="s">
        <v>127</v>
      </c>
      <c r="H398" s="101">
        <v>324211.21000000002</v>
      </c>
      <c r="I398" s="102">
        <v>298056</v>
      </c>
      <c r="J398" s="101">
        <v>159251.1</v>
      </c>
      <c r="K398" s="101">
        <v>324048</v>
      </c>
      <c r="L398" s="101"/>
      <c r="M398" s="6"/>
      <c r="N398" s="47"/>
    </row>
    <row r="399" spans="1:14" s="48" customFormat="1" ht="18" customHeight="1" x14ac:dyDescent="0.25">
      <c r="A399" s="48" t="s">
        <v>123</v>
      </c>
      <c r="B399" s="926" t="s">
        <v>1386</v>
      </c>
      <c r="C399" s="1614" t="s">
        <v>128</v>
      </c>
      <c r="D399" s="1615"/>
      <c r="E399" s="812"/>
      <c r="F399" s="812"/>
      <c r="G399" s="131"/>
      <c r="H399" s="101"/>
      <c r="I399" s="102"/>
      <c r="J399" s="101"/>
      <c r="K399" s="101">
        <v>10384</v>
      </c>
      <c r="L399" s="101"/>
      <c r="M399" s="6"/>
      <c r="N399" s="47"/>
    </row>
    <row r="400" spans="1:14" s="48" customFormat="1" ht="18" customHeight="1" x14ac:dyDescent="0.25">
      <c r="A400" s="48" t="s">
        <v>123</v>
      </c>
      <c r="B400" s="926" t="s">
        <v>1386</v>
      </c>
      <c r="C400" s="1602" t="s">
        <v>129</v>
      </c>
      <c r="D400" s="1603"/>
      <c r="E400" s="1603"/>
      <c r="F400" s="1603"/>
      <c r="G400" s="132" t="s">
        <v>130</v>
      </c>
      <c r="H400" s="101">
        <v>76363.28</v>
      </c>
      <c r="I400" s="102">
        <v>168000</v>
      </c>
      <c r="J400" s="101">
        <v>52363.62</v>
      </c>
      <c r="K400" s="101">
        <v>168000</v>
      </c>
      <c r="L400" s="101"/>
      <c r="M400" s="6"/>
      <c r="N400" s="47"/>
    </row>
    <row r="401" spans="1:14" s="48" customFormat="1" ht="18" customHeight="1" x14ac:dyDescent="0.25">
      <c r="A401" s="48" t="s">
        <v>123</v>
      </c>
      <c r="B401" s="926" t="s">
        <v>1386</v>
      </c>
      <c r="C401" s="1602" t="s">
        <v>131</v>
      </c>
      <c r="D401" s="1603"/>
      <c r="E401" s="1603"/>
      <c r="F401" s="1603"/>
      <c r="G401" s="131" t="s">
        <v>132</v>
      </c>
      <c r="H401" s="101">
        <v>86400</v>
      </c>
      <c r="I401" s="102">
        <v>86400</v>
      </c>
      <c r="J401" s="101">
        <v>50400</v>
      </c>
      <c r="K401" s="101">
        <v>86400</v>
      </c>
      <c r="L401" s="101"/>
      <c r="M401" s="6"/>
      <c r="N401" s="47"/>
    </row>
    <row r="402" spans="1:14" s="48" customFormat="1" ht="18" customHeight="1" x14ac:dyDescent="0.25">
      <c r="A402" s="48" t="s">
        <v>123</v>
      </c>
      <c r="B402" s="926" t="s">
        <v>1386</v>
      </c>
      <c r="C402" s="1602" t="s">
        <v>135</v>
      </c>
      <c r="D402" s="1603"/>
      <c r="E402" s="1603"/>
      <c r="F402" s="1603"/>
      <c r="G402" s="131" t="s">
        <v>136</v>
      </c>
      <c r="H402" s="101">
        <v>0</v>
      </c>
      <c r="I402" s="102">
        <v>30000</v>
      </c>
      <c r="J402" s="101"/>
      <c r="K402" s="101">
        <v>30000</v>
      </c>
      <c r="L402" s="101"/>
      <c r="M402" s="6"/>
      <c r="N402" s="47"/>
    </row>
    <row r="403" spans="1:14" s="48" customFormat="1" ht="18" customHeight="1" x14ac:dyDescent="0.25">
      <c r="A403" s="48" t="s">
        <v>123</v>
      </c>
      <c r="B403" s="926" t="s">
        <v>1386</v>
      </c>
      <c r="C403" s="1602" t="s">
        <v>137</v>
      </c>
      <c r="D403" s="1603"/>
      <c r="E403" s="1603"/>
      <c r="F403" s="1603"/>
      <c r="G403" s="131" t="s">
        <v>138</v>
      </c>
      <c r="H403" s="101">
        <v>6000</v>
      </c>
      <c r="I403" s="102">
        <v>42000</v>
      </c>
      <c r="J403" s="101">
        <v>24000</v>
      </c>
      <c r="K403" s="101">
        <v>42000</v>
      </c>
      <c r="L403" s="101"/>
      <c r="M403" s="6"/>
      <c r="N403" s="47"/>
    </row>
    <row r="404" spans="1:14" s="48" customFormat="1" ht="18" customHeight="1" x14ac:dyDescent="0.25">
      <c r="A404" s="48" t="s">
        <v>123</v>
      </c>
      <c r="B404" s="926" t="s">
        <v>1386</v>
      </c>
      <c r="C404" s="1602" t="s">
        <v>139</v>
      </c>
      <c r="D404" s="1603"/>
      <c r="E404" s="1603"/>
      <c r="F404" s="1603"/>
      <c r="G404" s="131" t="s">
        <v>140</v>
      </c>
      <c r="H404" s="101">
        <v>143283</v>
      </c>
      <c r="I404" s="102">
        <v>190917</v>
      </c>
      <c r="J404" s="101">
        <v>147303</v>
      </c>
      <c r="K404" s="101">
        <v>203493</v>
      </c>
      <c r="L404" s="101"/>
      <c r="M404" s="6"/>
      <c r="N404" s="47">
        <f>27004+176489</f>
        <v>203493</v>
      </c>
    </row>
    <row r="405" spans="1:14" s="48" customFormat="1" ht="18" customHeight="1" x14ac:dyDescent="0.25">
      <c r="A405" s="48" t="s">
        <v>123</v>
      </c>
      <c r="B405" s="926" t="s">
        <v>1386</v>
      </c>
      <c r="C405" s="1602" t="s">
        <v>141</v>
      </c>
      <c r="D405" s="1603"/>
      <c r="E405" s="1603"/>
      <c r="F405" s="1603"/>
      <c r="G405" s="131" t="s">
        <v>142</v>
      </c>
      <c r="H405" s="101">
        <v>143283</v>
      </c>
      <c r="I405" s="102">
        <v>190917</v>
      </c>
      <c r="J405" s="101"/>
      <c r="K405" s="101">
        <v>205346</v>
      </c>
      <c r="L405" s="101"/>
      <c r="M405" s="6"/>
      <c r="N405" s="47">
        <f>178342+27004</f>
        <v>205346</v>
      </c>
    </row>
    <row r="406" spans="1:14" s="48" customFormat="1" ht="18" customHeight="1" x14ac:dyDescent="0.25">
      <c r="A406" s="48" t="s">
        <v>123</v>
      </c>
      <c r="B406" s="926" t="s">
        <v>1386</v>
      </c>
      <c r="C406" s="1602" t="s">
        <v>143</v>
      </c>
      <c r="D406" s="1603"/>
      <c r="E406" s="1603"/>
      <c r="F406" s="1603"/>
      <c r="G406" s="131" t="s">
        <v>144</v>
      </c>
      <c r="H406" s="101">
        <v>20000</v>
      </c>
      <c r="I406" s="102">
        <v>35000</v>
      </c>
      <c r="J406" s="101"/>
      <c r="K406" s="101">
        <v>35000</v>
      </c>
      <c r="L406" s="101"/>
      <c r="M406" s="6"/>
      <c r="N406" s="47">
        <f>25000+10000</f>
        <v>35000</v>
      </c>
    </row>
    <row r="407" spans="1:14" s="48" customFormat="1" ht="18" customHeight="1" x14ac:dyDescent="0.25">
      <c r="A407" s="48" t="s">
        <v>123</v>
      </c>
      <c r="B407" s="926" t="s">
        <v>1386</v>
      </c>
      <c r="C407" s="1602" t="s">
        <v>145</v>
      </c>
      <c r="D407" s="1603"/>
      <c r="E407" s="1603"/>
      <c r="F407" s="1603"/>
      <c r="G407" s="131" t="s">
        <v>146</v>
      </c>
      <c r="H407" s="101">
        <v>20000</v>
      </c>
      <c r="I407" s="102">
        <v>35000</v>
      </c>
      <c r="J407" s="101"/>
      <c r="K407" s="101">
        <v>35000</v>
      </c>
      <c r="L407" s="101"/>
      <c r="M407" s="6"/>
      <c r="N407" s="47"/>
    </row>
    <row r="408" spans="1:14" s="48" customFormat="1" ht="18" customHeight="1" x14ac:dyDescent="0.25">
      <c r="A408" s="48" t="s">
        <v>123</v>
      </c>
      <c r="B408" s="926" t="s">
        <v>1386</v>
      </c>
      <c r="C408" s="826" t="s">
        <v>147</v>
      </c>
      <c r="D408" s="813"/>
      <c r="E408" s="813"/>
      <c r="F408" s="811"/>
      <c r="G408" s="131" t="s">
        <v>148</v>
      </c>
      <c r="H408" s="101"/>
      <c r="I408" s="102"/>
      <c r="J408" s="101"/>
      <c r="K408" s="101">
        <v>21000</v>
      </c>
      <c r="L408" s="101"/>
      <c r="M408" s="6"/>
      <c r="N408" s="47">
        <f>15000+6000</f>
        <v>21000</v>
      </c>
    </row>
    <row r="409" spans="1:14" s="48" customFormat="1" ht="18" customHeight="1" x14ac:dyDescent="0.25">
      <c r="A409" s="48" t="s">
        <v>123</v>
      </c>
      <c r="B409" s="926" t="s">
        <v>1386</v>
      </c>
      <c r="C409" s="1602" t="s">
        <v>153</v>
      </c>
      <c r="D409" s="1603"/>
      <c r="E409" s="1603"/>
      <c r="F409" s="1603"/>
      <c r="G409" s="131" t="s">
        <v>154</v>
      </c>
      <c r="H409" s="101">
        <v>193434.36</v>
      </c>
      <c r="I409" s="102">
        <v>274920.48</v>
      </c>
      <c r="J409" s="101">
        <v>122179.32</v>
      </c>
      <c r="K409" s="101">
        <v>294276</v>
      </c>
      <c r="L409" s="101"/>
      <c r="M409" s="6"/>
      <c r="N409" s="47">
        <f>38885.76+255390.24</f>
        <v>294276</v>
      </c>
    </row>
    <row r="410" spans="1:14" s="48" customFormat="1" ht="18" customHeight="1" x14ac:dyDescent="0.25">
      <c r="A410" s="48" t="s">
        <v>123</v>
      </c>
      <c r="B410" s="926" t="s">
        <v>1386</v>
      </c>
      <c r="C410" s="1602" t="s">
        <v>155</v>
      </c>
      <c r="D410" s="1603"/>
      <c r="E410" s="1603"/>
      <c r="F410" s="1603"/>
      <c r="G410" s="131" t="s">
        <v>156</v>
      </c>
      <c r="H410" s="101">
        <v>3800</v>
      </c>
      <c r="I410" s="102">
        <v>8400</v>
      </c>
      <c r="J410" s="101">
        <v>2800</v>
      </c>
      <c r="K410" s="101">
        <v>8400</v>
      </c>
      <c r="L410" s="101"/>
      <c r="M410" s="6"/>
      <c r="N410" s="47">
        <f>6000+2400</f>
        <v>8400</v>
      </c>
    </row>
    <row r="411" spans="1:14" s="48" customFormat="1" ht="18" customHeight="1" x14ac:dyDescent="0.25">
      <c r="A411" s="48" t="s">
        <v>123</v>
      </c>
      <c r="B411" s="926" t="s">
        <v>1386</v>
      </c>
      <c r="C411" s="1602" t="s">
        <v>157</v>
      </c>
      <c r="D411" s="1603"/>
      <c r="E411" s="1603"/>
      <c r="F411" s="1603"/>
      <c r="G411" s="131" t="s">
        <v>158</v>
      </c>
      <c r="H411" s="101">
        <v>18993.54</v>
      </c>
      <c r="I411" s="102">
        <v>36381.03</v>
      </c>
      <c r="J411" s="101">
        <v>12380.46</v>
      </c>
      <c r="K411" s="101">
        <v>92446.720000000001</v>
      </c>
      <c r="L411" s="101"/>
      <c r="M411" s="6"/>
      <c r="N411" s="47">
        <f>12984+79462.72</f>
        <v>92446.720000000001</v>
      </c>
    </row>
    <row r="412" spans="1:14" s="48" customFormat="1" ht="18" customHeight="1" x14ac:dyDescent="0.25">
      <c r="A412" s="48" t="s">
        <v>123</v>
      </c>
      <c r="B412" s="926" t="s">
        <v>1386</v>
      </c>
      <c r="C412" s="1602" t="s">
        <v>159</v>
      </c>
      <c r="D412" s="1603"/>
      <c r="E412" s="1603"/>
      <c r="F412" s="1603"/>
      <c r="G412" s="133" t="s">
        <v>160</v>
      </c>
      <c r="H412" s="105">
        <v>3800</v>
      </c>
      <c r="I412" s="106">
        <v>8400</v>
      </c>
      <c r="J412" s="105">
        <v>2800</v>
      </c>
      <c r="K412" s="105">
        <v>8400</v>
      </c>
      <c r="L412" s="105"/>
      <c r="M412" s="6"/>
      <c r="N412" s="47">
        <f>6000+2400</f>
        <v>8400</v>
      </c>
    </row>
    <row r="413" spans="1:14" s="48" customFormat="1" ht="18" customHeight="1" x14ac:dyDescent="0.25">
      <c r="A413" s="48" t="s">
        <v>163</v>
      </c>
      <c r="B413" s="926" t="s">
        <v>1386</v>
      </c>
      <c r="C413" s="44" t="s">
        <v>164</v>
      </c>
      <c r="D413" s="113"/>
      <c r="E413" s="113"/>
      <c r="F413" s="114"/>
      <c r="G413" s="131" t="s">
        <v>292</v>
      </c>
      <c r="H413" s="101"/>
      <c r="I413" s="102">
        <v>350000</v>
      </c>
      <c r="J413" s="101"/>
      <c r="K413" s="101">
        <v>350000</v>
      </c>
      <c r="L413" s="101"/>
      <c r="M413" s="6"/>
      <c r="N413" s="47"/>
    </row>
    <row r="414" spans="1:14" s="48" customFormat="1" ht="18" customHeight="1" x14ac:dyDescent="0.25">
      <c r="A414" s="48" t="s">
        <v>163</v>
      </c>
      <c r="B414" s="926" t="s">
        <v>1386</v>
      </c>
      <c r="C414" s="38" t="s">
        <v>166</v>
      </c>
      <c r="D414" s="184"/>
      <c r="E414" s="184"/>
      <c r="F414" s="184"/>
      <c r="G414" s="131" t="s">
        <v>293</v>
      </c>
      <c r="H414" s="101">
        <v>0</v>
      </c>
      <c r="I414" s="102">
        <v>750000</v>
      </c>
      <c r="J414" s="101"/>
      <c r="K414" s="101">
        <v>750000</v>
      </c>
      <c r="L414" s="101"/>
      <c r="M414" s="6"/>
      <c r="N414" s="47"/>
    </row>
    <row r="415" spans="1:14" s="48" customFormat="1" ht="18" customHeight="1" x14ac:dyDescent="0.25">
      <c r="A415" s="48" t="s">
        <v>163</v>
      </c>
      <c r="B415" s="926" t="s">
        <v>1386</v>
      </c>
      <c r="C415" s="38" t="s">
        <v>294</v>
      </c>
      <c r="D415" s="184"/>
      <c r="E415" s="184"/>
      <c r="F415" s="184"/>
      <c r="G415" s="131" t="s">
        <v>169</v>
      </c>
      <c r="H415" s="101">
        <v>183121.55</v>
      </c>
      <c r="I415" s="102">
        <v>300000</v>
      </c>
      <c r="J415" s="101">
        <v>141068</v>
      </c>
      <c r="K415" s="101">
        <v>350000</v>
      </c>
      <c r="L415" s="101"/>
      <c r="M415" s="6"/>
      <c r="N415" s="47"/>
    </row>
    <row r="416" spans="1:14" s="48" customFormat="1" ht="18" customHeight="1" x14ac:dyDescent="0.25">
      <c r="A416" s="48" t="s">
        <v>163</v>
      </c>
      <c r="B416" s="926" t="s">
        <v>1386</v>
      </c>
      <c r="C416" s="38" t="s">
        <v>295</v>
      </c>
      <c r="D416" s="184"/>
      <c r="E416" s="184"/>
      <c r="F416" s="185"/>
      <c r="G416" s="131" t="s">
        <v>173</v>
      </c>
      <c r="H416" s="101">
        <v>94311.4</v>
      </c>
      <c r="I416" s="102">
        <v>250000</v>
      </c>
      <c r="J416" s="101">
        <v>69180.5</v>
      </c>
      <c r="K416" s="101">
        <v>250000</v>
      </c>
      <c r="L416" s="101"/>
      <c r="M416" s="6"/>
      <c r="N416" s="47"/>
    </row>
    <row r="417" spans="1:16" s="48" customFormat="1" ht="18" customHeight="1" x14ac:dyDescent="0.25">
      <c r="A417" s="48" t="s">
        <v>163</v>
      </c>
      <c r="B417" s="926" t="s">
        <v>1386</v>
      </c>
      <c r="C417" s="38" t="s">
        <v>213</v>
      </c>
      <c r="D417" s="184"/>
      <c r="E417" s="184"/>
      <c r="F417" s="184"/>
      <c r="G417" s="131" t="s">
        <v>171</v>
      </c>
      <c r="H417" s="101">
        <v>203550</v>
      </c>
      <c r="I417" s="102">
        <v>300000</v>
      </c>
      <c r="J417" s="101"/>
      <c r="K417" s="101">
        <v>80000</v>
      </c>
      <c r="L417" s="101"/>
      <c r="M417" s="6"/>
      <c r="N417" s="47"/>
    </row>
    <row r="418" spans="1:16" s="48" customFormat="1" ht="18" customHeight="1" x14ac:dyDescent="0.25">
      <c r="A418" s="48" t="s">
        <v>163</v>
      </c>
      <c r="B418" s="926" t="s">
        <v>1386</v>
      </c>
      <c r="C418" s="38" t="s">
        <v>296</v>
      </c>
      <c r="D418" s="184"/>
      <c r="E418" s="184"/>
      <c r="F418" s="184"/>
      <c r="G418" s="131" t="s">
        <v>177</v>
      </c>
      <c r="H418" s="101">
        <v>0</v>
      </c>
      <c r="I418" s="102">
        <v>15000</v>
      </c>
      <c r="J418" s="101"/>
      <c r="K418" s="101">
        <v>15000</v>
      </c>
      <c r="L418" s="101"/>
      <c r="M418" s="6"/>
      <c r="N418" s="47"/>
    </row>
    <row r="419" spans="1:16" s="48" customFormat="1" ht="18" customHeight="1" x14ac:dyDescent="0.25">
      <c r="A419" s="48" t="s">
        <v>163</v>
      </c>
      <c r="B419" s="926" t="s">
        <v>1386</v>
      </c>
      <c r="C419" s="38" t="s">
        <v>178</v>
      </c>
      <c r="D419" s="184"/>
      <c r="E419" s="184"/>
      <c r="F419" s="184"/>
      <c r="G419" s="131" t="s">
        <v>179</v>
      </c>
      <c r="H419" s="101"/>
      <c r="I419" s="102"/>
      <c r="J419" s="101"/>
      <c r="K419" s="101">
        <v>88800</v>
      </c>
      <c r="L419" s="101"/>
      <c r="M419" s="6"/>
      <c r="N419" s="47"/>
    </row>
    <row r="420" spans="1:16" s="48" customFormat="1" ht="18" customHeight="1" x14ac:dyDescent="0.25">
      <c r="A420" s="48" t="s">
        <v>163</v>
      </c>
      <c r="B420" s="926" t="s">
        <v>1386</v>
      </c>
      <c r="C420" s="44" t="s">
        <v>182</v>
      </c>
      <c r="D420" s="113"/>
      <c r="E420" s="113"/>
      <c r="F420" s="113"/>
      <c r="G420" s="131" t="s">
        <v>183</v>
      </c>
      <c r="H420" s="101">
        <v>38401.5</v>
      </c>
      <c r="I420" s="102">
        <v>72000</v>
      </c>
      <c r="J420" s="101">
        <v>33172.68</v>
      </c>
      <c r="K420" s="101">
        <v>72000</v>
      </c>
      <c r="L420" s="101"/>
      <c r="M420" s="6"/>
      <c r="N420" s="47"/>
    </row>
    <row r="421" spans="1:16" s="48" customFormat="1" ht="18" customHeight="1" x14ac:dyDescent="0.25">
      <c r="A421" s="48" t="s">
        <v>163</v>
      </c>
      <c r="B421" s="926" t="s">
        <v>1386</v>
      </c>
      <c r="C421" s="38" t="s">
        <v>297</v>
      </c>
      <c r="D421" s="184"/>
      <c r="E421" s="184"/>
      <c r="F421" s="184"/>
      <c r="G421" s="131" t="s">
        <v>187</v>
      </c>
      <c r="H421" s="101"/>
      <c r="I421" s="102">
        <v>100000</v>
      </c>
      <c r="J421" s="101"/>
      <c r="K421" s="101">
        <v>100000</v>
      </c>
      <c r="L421" s="101"/>
      <c r="M421" s="6"/>
      <c r="N421" s="47"/>
    </row>
    <row r="422" spans="1:16" s="48" customFormat="1" ht="18" customHeight="1" x14ac:dyDescent="0.25">
      <c r="A422" s="48" t="s">
        <v>163</v>
      </c>
      <c r="B422" s="926" t="s">
        <v>1386</v>
      </c>
      <c r="C422" s="38" t="s">
        <v>298</v>
      </c>
      <c r="D422" s="184"/>
      <c r="E422" s="184"/>
      <c r="F422" s="184"/>
      <c r="G422" s="131" t="s">
        <v>189</v>
      </c>
      <c r="H422" s="101">
        <v>180668.74</v>
      </c>
      <c r="I422" s="102">
        <v>350000</v>
      </c>
      <c r="J422" s="101">
        <v>5775</v>
      </c>
      <c r="K422" s="101">
        <v>350000</v>
      </c>
      <c r="L422" s="101"/>
      <c r="M422" s="6"/>
      <c r="N422" s="47"/>
    </row>
    <row r="423" spans="1:16" s="48" customFormat="1" ht="18" customHeight="1" x14ac:dyDescent="0.25">
      <c r="A423" s="48" t="s">
        <v>163</v>
      </c>
      <c r="B423" s="926" t="s">
        <v>1386</v>
      </c>
      <c r="C423" s="38" t="s">
        <v>190</v>
      </c>
      <c r="D423" s="184"/>
      <c r="E423" s="184"/>
      <c r="F423" s="184"/>
      <c r="G423" s="131" t="s">
        <v>191</v>
      </c>
      <c r="H423" s="101">
        <v>5000</v>
      </c>
      <c r="I423" s="102">
        <v>150000</v>
      </c>
      <c r="J423" s="101"/>
      <c r="K423" s="101">
        <v>150000</v>
      </c>
      <c r="L423" s="101"/>
      <c r="M423" s="6"/>
      <c r="N423" s="47"/>
    </row>
    <row r="424" spans="1:16" s="48" customFormat="1" ht="18" customHeight="1" x14ac:dyDescent="0.25">
      <c r="A424" s="48" t="s">
        <v>163</v>
      </c>
      <c r="B424" s="926" t="s">
        <v>1386</v>
      </c>
      <c r="C424" s="38" t="s">
        <v>192</v>
      </c>
      <c r="D424" s="184"/>
      <c r="E424" s="184"/>
      <c r="F424" s="184"/>
      <c r="G424" s="131" t="s">
        <v>193</v>
      </c>
      <c r="H424" s="101">
        <v>30600</v>
      </c>
      <c r="I424" s="102">
        <v>300000</v>
      </c>
      <c r="J424" s="101"/>
      <c r="K424" s="101">
        <v>300000</v>
      </c>
      <c r="L424" s="101"/>
      <c r="M424" s="6"/>
      <c r="N424" s="47"/>
    </row>
    <row r="425" spans="1:16" s="48" customFormat="1" ht="18" customHeight="1" x14ac:dyDescent="0.25">
      <c r="A425" s="48" t="s">
        <v>163</v>
      </c>
      <c r="B425" s="926" t="s">
        <v>1386</v>
      </c>
      <c r="C425" s="38" t="s">
        <v>299</v>
      </c>
      <c r="D425" s="184"/>
      <c r="E425" s="184"/>
      <c r="F425" s="184"/>
      <c r="G425" s="131" t="s">
        <v>237</v>
      </c>
      <c r="H425" s="101">
        <v>0</v>
      </c>
      <c r="I425" s="102">
        <v>20000</v>
      </c>
      <c r="J425" s="101"/>
      <c r="K425" s="101">
        <v>20000</v>
      </c>
      <c r="L425" s="101"/>
      <c r="M425" s="6"/>
      <c r="N425" s="47"/>
    </row>
    <row r="426" spans="1:16" s="48" customFormat="1" ht="18" customHeight="1" x14ac:dyDescent="0.25">
      <c r="A426" s="48" t="s">
        <v>163</v>
      </c>
      <c r="B426" s="926" t="s">
        <v>1386</v>
      </c>
      <c r="C426" s="38" t="s">
        <v>300</v>
      </c>
      <c r="D426" s="184"/>
      <c r="E426" s="184"/>
      <c r="F426" s="184"/>
      <c r="G426" s="131" t="s">
        <v>199</v>
      </c>
      <c r="H426" s="101"/>
      <c r="I426" s="102">
        <v>1000000</v>
      </c>
      <c r="J426" s="101"/>
      <c r="K426" s="101">
        <v>1000000</v>
      </c>
      <c r="L426" s="101"/>
      <c r="M426" s="6"/>
      <c r="N426" s="47"/>
    </row>
    <row r="427" spans="1:16" s="48" customFormat="1" ht="18" customHeight="1" x14ac:dyDescent="0.25">
      <c r="A427" s="48" t="s">
        <v>163</v>
      </c>
      <c r="B427" s="926" t="s">
        <v>1386</v>
      </c>
      <c r="C427" s="38" t="s">
        <v>301</v>
      </c>
      <c r="D427" s="184"/>
      <c r="E427" s="184"/>
      <c r="F427" s="184"/>
      <c r="G427" s="131"/>
      <c r="H427" s="105">
        <v>0</v>
      </c>
      <c r="I427" s="106">
        <v>750000</v>
      </c>
      <c r="J427" s="105"/>
      <c r="K427" s="105">
        <v>750000</v>
      </c>
      <c r="L427" s="105"/>
      <c r="M427" s="6"/>
      <c r="N427" s="47"/>
    </row>
    <row r="428" spans="1:16" s="146" customFormat="1" ht="18" customHeight="1" x14ac:dyDescent="0.25">
      <c r="A428" s="48" t="s">
        <v>123</v>
      </c>
      <c r="B428" s="926" t="s">
        <v>1386</v>
      </c>
      <c r="C428" s="1602" t="s">
        <v>124</v>
      </c>
      <c r="D428" s="1603"/>
      <c r="E428" s="1603"/>
      <c r="F428" s="1603"/>
      <c r="G428" s="131" t="s">
        <v>125</v>
      </c>
      <c r="H428" s="101">
        <v>11279299.199999999</v>
      </c>
      <c r="I428" s="102">
        <v>11325852</v>
      </c>
      <c r="J428" s="101">
        <v>6736268</v>
      </c>
      <c r="K428" s="101">
        <v>11801532</v>
      </c>
      <c r="L428" s="101"/>
      <c r="M428" s="10"/>
      <c r="N428" s="10"/>
      <c r="O428"/>
      <c r="P428"/>
    </row>
    <row r="429" spans="1:16" s="146" customFormat="1" ht="18" customHeight="1" x14ac:dyDescent="0.25">
      <c r="A429" s="48" t="s">
        <v>123</v>
      </c>
      <c r="B429" s="926" t="s">
        <v>1386</v>
      </c>
      <c r="C429" s="1602" t="s">
        <v>128</v>
      </c>
      <c r="D429" s="1603"/>
      <c r="E429" s="1603"/>
      <c r="F429" s="1603"/>
      <c r="G429" s="131"/>
      <c r="H429" s="101"/>
      <c r="I429" s="102"/>
      <c r="J429" s="101"/>
      <c r="K429" s="101">
        <v>71976</v>
      </c>
      <c r="L429" s="101"/>
      <c r="M429" s="10"/>
      <c r="N429" s="10"/>
      <c r="O429"/>
      <c r="P429"/>
    </row>
    <row r="430" spans="1:16" s="146" customFormat="1" ht="18" customHeight="1" x14ac:dyDescent="0.25">
      <c r="A430" s="48" t="s">
        <v>123</v>
      </c>
      <c r="B430" s="926" t="s">
        <v>1386</v>
      </c>
      <c r="C430" s="1602" t="s">
        <v>126</v>
      </c>
      <c r="D430" s="1603"/>
      <c r="E430" s="1603"/>
      <c r="F430" s="1603"/>
      <c r="G430" s="131" t="s">
        <v>127</v>
      </c>
      <c r="H430" s="101">
        <v>3235998.63</v>
      </c>
      <c r="I430" s="102">
        <v>3031836</v>
      </c>
      <c r="J430" s="101">
        <v>1540600.2</v>
      </c>
      <c r="K430" s="101">
        <v>3295536</v>
      </c>
      <c r="L430" s="101"/>
      <c r="M430" s="10"/>
      <c r="N430" s="10"/>
      <c r="O430"/>
      <c r="P430"/>
    </row>
    <row r="431" spans="1:16" s="146" customFormat="1" ht="18" customHeight="1" x14ac:dyDescent="0.25">
      <c r="A431" s="48" t="s">
        <v>123</v>
      </c>
      <c r="B431" s="926" t="s">
        <v>1386</v>
      </c>
      <c r="C431" s="1602" t="s">
        <v>129</v>
      </c>
      <c r="D431" s="1603"/>
      <c r="E431" s="1603"/>
      <c r="F431" s="1603"/>
      <c r="G431" s="132" t="s">
        <v>130</v>
      </c>
      <c r="H431" s="101">
        <v>620131.31000000006</v>
      </c>
      <c r="I431" s="102">
        <v>888000</v>
      </c>
      <c r="J431" s="101">
        <v>457636.19</v>
      </c>
      <c r="K431" s="101">
        <v>888000</v>
      </c>
      <c r="L431" s="101"/>
      <c r="M431" s="10"/>
      <c r="N431" s="10">
        <f>600000+288000</f>
        <v>888000</v>
      </c>
      <c r="O431"/>
      <c r="P431"/>
    </row>
    <row r="432" spans="1:16" s="146" customFormat="1" ht="18" customHeight="1" x14ac:dyDescent="0.25">
      <c r="A432" s="48" t="s">
        <v>123</v>
      </c>
      <c r="B432" s="926" t="s">
        <v>1386</v>
      </c>
      <c r="C432" s="1602" t="s">
        <v>131</v>
      </c>
      <c r="D432" s="1603"/>
      <c r="E432" s="1603"/>
      <c r="F432" s="1603"/>
      <c r="G432" s="131" t="s">
        <v>132</v>
      </c>
      <c r="H432" s="101">
        <v>853500</v>
      </c>
      <c r="I432" s="102">
        <v>864000</v>
      </c>
      <c r="J432" s="101">
        <v>492000</v>
      </c>
      <c r="K432" s="101">
        <v>864000</v>
      </c>
      <c r="L432" s="101"/>
      <c r="M432" s="10"/>
      <c r="N432" s="10"/>
      <c r="O432"/>
      <c r="P432"/>
    </row>
    <row r="433" spans="1:16" s="146" customFormat="1" ht="18" customHeight="1" x14ac:dyDescent="0.25">
      <c r="A433" s="48" t="s">
        <v>123</v>
      </c>
      <c r="B433" s="926" t="s">
        <v>1386</v>
      </c>
      <c r="C433" s="1602" t="s">
        <v>133</v>
      </c>
      <c r="D433" s="1603"/>
      <c r="E433" s="1603"/>
      <c r="F433" s="1603"/>
      <c r="G433" s="131" t="s">
        <v>134</v>
      </c>
      <c r="H433" s="101">
        <v>853500</v>
      </c>
      <c r="I433" s="102">
        <v>864000</v>
      </c>
      <c r="J433" s="101">
        <v>492000</v>
      </c>
      <c r="K433" s="101">
        <v>864000</v>
      </c>
      <c r="L433" s="101"/>
      <c r="M433" s="10"/>
      <c r="N433" s="10"/>
      <c r="O433"/>
      <c r="P433"/>
    </row>
    <row r="434" spans="1:16" s="146" customFormat="1" ht="18" customHeight="1" x14ac:dyDescent="0.25">
      <c r="A434" s="48" t="s">
        <v>123</v>
      </c>
      <c r="B434" s="926" t="s">
        <v>1386</v>
      </c>
      <c r="C434" s="1602" t="s">
        <v>135</v>
      </c>
      <c r="D434" s="1603"/>
      <c r="E434" s="1603"/>
      <c r="F434" s="1603"/>
      <c r="G434" s="131" t="s">
        <v>136</v>
      </c>
      <c r="H434" s="101"/>
      <c r="I434" s="102">
        <v>100000</v>
      </c>
      <c r="J434" s="101"/>
      <c r="K434" s="102">
        <v>50000</v>
      </c>
      <c r="L434" s="101"/>
      <c r="M434" s="10"/>
      <c r="N434" s="10"/>
      <c r="O434"/>
      <c r="P434"/>
    </row>
    <row r="435" spans="1:16" s="146" customFormat="1" ht="18" x14ac:dyDescent="0.25">
      <c r="A435" s="48" t="s">
        <v>123</v>
      </c>
      <c r="B435" s="926" t="s">
        <v>1386</v>
      </c>
      <c r="C435" s="1602" t="s">
        <v>137</v>
      </c>
      <c r="D435" s="1603"/>
      <c r="E435" s="1603"/>
      <c r="F435" s="1603"/>
      <c r="G435" s="131" t="s">
        <v>138</v>
      </c>
      <c r="H435" s="101">
        <v>72000</v>
      </c>
      <c r="I435" s="102">
        <v>222000</v>
      </c>
      <c r="J435" s="101">
        <v>198000</v>
      </c>
      <c r="K435" s="101">
        <v>222000</v>
      </c>
      <c r="L435" s="101"/>
      <c r="M435" s="10"/>
      <c r="N435" s="10">
        <f>72000+150000</f>
        <v>222000</v>
      </c>
      <c r="O435"/>
      <c r="P435"/>
    </row>
    <row r="436" spans="1:16" s="146" customFormat="1" ht="18" x14ac:dyDescent="0.25">
      <c r="A436" s="48" t="s">
        <v>123</v>
      </c>
      <c r="B436" s="926" t="s">
        <v>1386</v>
      </c>
      <c r="C436" s="824" t="s">
        <v>1370</v>
      </c>
      <c r="D436" s="811"/>
      <c r="E436" s="812"/>
      <c r="F436" s="812"/>
      <c r="G436" s="131"/>
      <c r="H436" s="101"/>
      <c r="I436" s="102"/>
      <c r="J436" s="101"/>
      <c r="K436" s="101">
        <v>704334.78</v>
      </c>
      <c r="L436" s="101">
        <v>704334.78</v>
      </c>
      <c r="M436" s="10"/>
      <c r="N436" s="10"/>
      <c r="O436"/>
      <c r="P436"/>
    </row>
    <row r="437" spans="1:16" s="146" customFormat="1" ht="18" customHeight="1" x14ac:dyDescent="0.25">
      <c r="A437" s="48" t="s">
        <v>123</v>
      </c>
      <c r="B437" s="926" t="s">
        <v>1386</v>
      </c>
      <c r="C437" s="1602" t="s">
        <v>139</v>
      </c>
      <c r="D437" s="1603"/>
      <c r="E437" s="1603"/>
      <c r="F437" s="1603"/>
      <c r="G437" s="131" t="s">
        <v>140</v>
      </c>
      <c r="H437" s="101">
        <v>1186653</v>
      </c>
      <c r="I437" s="102">
        <v>1196474</v>
      </c>
      <c r="J437" s="101">
        <v>1205172</v>
      </c>
      <c r="K437" s="101">
        <v>1258089</v>
      </c>
      <c r="L437" s="101"/>
      <c r="M437" s="10"/>
      <c r="N437" s="10">
        <f>980829+274628</f>
        <v>1255457</v>
      </c>
      <c r="O437"/>
      <c r="P437"/>
    </row>
    <row r="438" spans="1:16" s="146" customFormat="1" ht="18" x14ac:dyDescent="0.25">
      <c r="A438" s="48" t="s">
        <v>123</v>
      </c>
      <c r="B438" s="926" t="s">
        <v>1386</v>
      </c>
      <c r="C438" s="1602" t="s">
        <v>141</v>
      </c>
      <c r="D438" s="1603"/>
      <c r="E438" s="1603"/>
      <c r="F438" s="1603"/>
      <c r="G438" s="131" t="s">
        <v>142</v>
      </c>
      <c r="H438" s="101">
        <v>1184570</v>
      </c>
      <c r="I438" s="102">
        <v>1196474</v>
      </c>
      <c r="J438" s="101"/>
      <c r="K438" s="101">
        <v>1270085</v>
      </c>
      <c r="L438" s="101"/>
      <c r="M438" s="10"/>
      <c r="N438" s="10">
        <f>274628+995457</f>
        <v>1270085</v>
      </c>
      <c r="O438"/>
      <c r="P438"/>
    </row>
    <row r="439" spans="1:16" s="146" customFormat="1" ht="18" x14ac:dyDescent="0.25">
      <c r="A439" s="48" t="s">
        <v>123</v>
      </c>
      <c r="B439" s="926" t="s">
        <v>1386</v>
      </c>
      <c r="C439" s="1602" t="s">
        <v>143</v>
      </c>
      <c r="D439" s="1603"/>
      <c r="E439" s="1603"/>
      <c r="F439" s="1603"/>
      <c r="G439" s="131" t="s">
        <v>144</v>
      </c>
      <c r="H439" s="101">
        <v>180000</v>
      </c>
      <c r="I439" s="102">
        <v>185000</v>
      </c>
      <c r="J439" s="101"/>
      <c r="K439" s="101">
        <v>185000</v>
      </c>
      <c r="L439" s="101"/>
      <c r="M439" s="10"/>
      <c r="N439" s="10">
        <f>60000+125000</f>
        <v>185000</v>
      </c>
      <c r="O439"/>
      <c r="P439"/>
    </row>
    <row r="440" spans="1:16" s="146" customFormat="1" ht="18" customHeight="1" x14ac:dyDescent="0.25">
      <c r="A440" s="48" t="s">
        <v>123</v>
      </c>
      <c r="B440" s="926" t="s">
        <v>1386</v>
      </c>
      <c r="C440" s="1602" t="s">
        <v>145</v>
      </c>
      <c r="D440" s="1603"/>
      <c r="E440" s="1603"/>
      <c r="F440" s="1603"/>
      <c r="G440" s="131" t="s">
        <v>146</v>
      </c>
      <c r="H440" s="101">
        <v>176500</v>
      </c>
      <c r="I440" s="102">
        <v>185000</v>
      </c>
      <c r="J440" s="101"/>
      <c r="K440" s="101">
        <v>185000</v>
      </c>
      <c r="L440" s="101"/>
      <c r="M440" s="10"/>
      <c r="N440" s="10"/>
      <c r="O440"/>
      <c r="P440"/>
    </row>
    <row r="441" spans="1:16" s="146" customFormat="1" ht="18" customHeight="1" x14ac:dyDescent="0.25">
      <c r="A441" s="48" t="s">
        <v>123</v>
      </c>
      <c r="B441" s="926" t="s">
        <v>1386</v>
      </c>
      <c r="C441" s="826" t="s">
        <v>147</v>
      </c>
      <c r="D441" s="813"/>
      <c r="E441" s="813"/>
      <c r="F441" s="811"/>
      <c r="G441" s="131" t="s">
        <v>148</v>
      </c>
      <c r="H441" s="101"/>
      <c r="I441" s="102"/>
      <c r="J441" s="101"/>
      <c r="K441" s="101">
        <v>111000</v>
      </c>
      <c r="L441" s="101"/>
      <c r="M441" s="10"/>
      <c r="N441" s="10">
        <f>75000+36000</f>
        <v>111000</v>
      </c>
      <c r="O441"/>
      <c r="P441"/>
    </row>
    <row r="442" spans="1:16" s="146" customFormat="1" ht="18" customHeight="1" x14ac:dyDescent="0.25">
      <c r="A442" s="48" t="s">
        <v>123</v>
      </c>
      <c r="B442" s="926" t="s">
        <v>1386</v>
      </c>
      <c r="C442" s="1602" t="s">
        <v>153</v>
      </c>
      <c r="D442" s="1603"/>
      <c r="E442" s="1603"/>
      <c r="F442" s="1603"/>
      <c r="G442" s="131" t="s">
        <v>154</v>
      </c>
      <c r="H442" s="101">
        <v>1459081.1</v>
      </c>
      <c r="I442" s="102">
        <v>1722922.56</v>
      </c>
      <c r="J442" s="101">
        <v>935468.33</v>
      </c>
      <c r="K442" s="101">
        <v>1820285.28</v>
      </c>
      <c r="L442" s="101"/>
      <c r="M442" s="10"/>
      <c r="N442" s="10">
        <f>1422925.92+395464.32</f>
        <v>1818390.24</v>
      </c>
      <c r="O442"/>
      <c r="P442"/>
    </row>
    <row r="443" spans="1:16" s="146" customFormat="1" ht="18" customHeight="1" x14ac:dyDescent="0.25">
      <c r="A443" s="48" t="s">
        <v>123</v>
      </c>
      <c r="B443" s="926" t="s">
        <v>1386</v>
      </c>
      <c r="C443" s="1602" t="s">
        <v>155</v>
      </c>
      <c r="D443" s="1603"/>
      <c r="E443" s="1603"/>
      <c r="F443" s="1603"/>
      <c r="G443" s="131" t="s">
        <v>156</v>
      </c>
      <c r="H443" s="101">
        <v>31000</v>
      </c>
      <c r="I443" s="102">
        <v>44400</v>
      </c>
      <c r="J443" s="101">
        <v>25100</v>
      </c>
      <c r="K443" s="101">
        <v>44400</v>
      </c>
      <c r="L443" s="101"/>
      <c r="M443" s="10"/>
      <c r="N443" s="10">
        <f>30000+14400</f>
        <v>44400</v>
      </c>
      <c r="O443"/>
      <c r="P443"/>
    </row>
    <row r="444" spans="1:16" s="146" customFormat="1" ht="18" customHeight="1" x14ac:dyDescent="0.25">
      <c r="A444" s="48" t="s">
        <v>123</v>
      </c>
      <c r="B444" s="926" t="s">
        <v>1386</v>
      </c>
      <c r="C444" s="1602" t="s">
        <v>157</v>
      </c>
      <c r="D444" s="1603"/>
      <c r="E444" s="1603"/>
      <c r="F444" s="1603"/>
      <c r="G444" s="131" t="s">
        <v>158</v>
      </c>
      <c r="H444" s="101">
        <v>155309.9</v>
      </c>
      <c r="I444" s="102">
        <v>229457.13</v>
      </c>
      <c r="J444" s="101">
        <v>102019.92</v>
      </c>
      <c r="K444" s="101">
        <v>592812</v>
      </c>
      <c r="L444" s="101"/>
      <c r="M444" s="10"/>
      <c r="N444" s="10">
        <f>460800+132012</f>
        <v>592812</v>
      </c>
      <c r="O444"/>
      <c r="P444"/>
    </row>
    <row r="445" spans="1:16" s="146" customFormat="1" ht="18" customHeight="1" x14ac:dyDescent="0.25">
      <c r="A445" s="48" t="s">
        <v>123</v>
      </c>
      <c r="B445" s="926" t="s">
        <v>1386</v>
      </c>
      <c r="C445" s="1602" t="s">
        <v>159</v>
      </c>
      <c r="D445" s="1603"/>
      <c r="E445" s="1603"/>
      <c r="F445" s="1603"/>
      <c r="G445" s="131" t="s">
        <v>160</v>
      </c>
      <c r="H445" s="105">
        <v>29860.36</v>
      </c>
      <c r="I445" s="106">
        <v>44400</v>
      </c>
      <c r="J445" s="105">
        <v>24400</v>
      </c>
      <c r="K445" s="105">
        <v>44400</v>
      </c>
      <c r="L445" s="105"/>
      <c r="M445" s="10"/>
      <c r="N445" s="10">
        <f>30000+14400</f>
        <v>44400</v>
      </c>
      <c r="O445"/>
      <c r="P445"/>
    </row>
    <row r="446" spans="1:16" s="146" customFormat="1" ht="18" customHeight="1" x14ac:dyDescent="0.25">
      <c r="A446" s="169" t="s">
        <v>163</v>
      </c>
      <c r="B446" s="926" t="s">
        <v>1386</v>
      </c>
      <c r="C446" s="44" t="s">
        <v>164</v>
      </c>
      <c r="D446" s="113"/>
      <c r="E446" s="113"/>
      <c r="F446" s="114"/>
      <c r="G446" s="131" t="s">
        <v>165</v>
      </c>
      <c r="H446" s="101">
        <v>112087</v>
      </c>
      <c r="I446" s="102">
        <v>1200000</v>
      </c>
      <c r="J446" s="101"/>
      <c r="K446" s="101">
        <v>1200000</v>
      </c>
      <c r="L446" s="101"/>
      <c r="M446" s="10"/>
      <c r="N446" s="10"/>
      <c r="O446"/>
      <c r="P446"/>
    </row>
    <row r="447" spans="1:16" s="146" customFormat="1" ht="18" x14ac:dyDescent="0.25">
      <c r="A447" s="169" t="s">
        <v>163</v>
      </c>
      <c r="B447" s="926" t="s">
        <v>1386</v>
      </c>
      <c r="C447" s="38" t="s">
        <v>166</v>
      </c>
      <c r="D447" s="184"/>
      <c r="E447" s="184"/>
      <c r="F447" s="184"/>
      <c r="G447" s="131" t="s">
        <v>293</v>
      </c>
      <c r="H447" s="101">
        <v>309500</v>
      </c>
      <c r="I447" s="102">
        <v>1000000</v>
      </c>
      <c r="J447" s="101"/>
      <c r="K447" s="101">
        <v>1000000</v>
      </c>
      <c r="L447" s="101"/>
      <c r="M447" s="10"/>
      <c r="N447" s="10"/>
      <c r="O447"/>
      <c r="P447"/>
    </row>
    <row r="448" spans="1:16" s="146" customFormat="1" ht="18" x14ac:dyDescent="0.25">
      <c r="A448" s="169" t="s">
        <v>163</v>
      </c>
      <c r="B448" s="926" t="s">
        <v>1386</v>
      </c>
      <c r="C448" s="38" t="s">
        <v>294</v>
      </c>
      <c r="D448" s="184"/>
      <c r="E448" s="184"/>
      <c r="F448" s="184"/>
      <c r="G448" s="131" t="s">
        <v>169</v>
      </c>
      <c r="H448" s="101">
        <v>1714287.2</v>
      </c>
      <c r="I448" s="102">
        <v>2400000</v>
      </c>
      <c r="J448" s="101">
        <v>1496205</v>
      </c>
      <c r="K448" s="101">
        <v>2640000</v>
      </c>
      <c r="L448" s="101"/>
      <c r="M448" s="10"/>
      <c r="N448" s="10"/>
      <c r="O448"/>
      <c r="P448"/>
    </row>
    <row r="449" spans="1:16" s="146" customFormat="1" ht="18" customHeight="1" x14ac:dyDescent="0.25">
      <c r="A449" s="169" t="s">
        <v>163</v>
      </c>
      <c r="B449" s="926" t="s">
        <v>1386</v>
      </c>
      <c r="C449" s="38" t="s">
        <v>295</v>
      </c>
      <c r="D449" s="184"/>
      <c r="E449" s="184"/>
      <c r="F449" s="185"/>
      <c r="G449" s="131" t="s">
        <v>173</v>
      </c>
      <c r="H449" s="101">
        <v>41609.61</v>
      </c>
      <c r="I449" s="102">
        <v>200000</v>
      </c>
      <c r="J449" s="101">
        <v>22232.85</v>
      </c>
      <c r="K449" s="101">
        <v>200000</v>
      </c>
      <c r="L449" s="101"/>
      <c r="M449" s="10"/>
      <c r="N449" s="10"/>
      <c r="O449"/>
      <c r="P449"/>
    </row>
    <row r="450" spans="1:16" s="146" customFormat="1" ht="18" x14ac:dyDescent="0.25">
      <c r="A450" s="169" t="s">
        <v>163</v>
      </c>
      <c r="B450" s="926" t="s">
        <v>1386</v>
      </c>
      <c r="C450" s="38" t="s">
        <v>213</v>
      </c>
      <c r="D450" s="184"/>
      <c r="E450" s="184"/>
      <c r="F450" s="184"/>
      <c r="G450" s="131" t="s">
        <v>171</v>
      </c>
      <c r="H450" s="101">
        <v>192050</v>
      </c>
      <c r="I450" s="102">
        <v>250000</v>
      </c>
      <c r="J450" s="101"/>
      <c r="K450" s="101">
        <v>180000</v>
      </c>
      <c r="L450" s="101"/>
      <c r="M450" s="10"/>
      <c r="N450" s="10"/>
      <c r="O450"/>
      <c r="P450"/>
    </row>
    <row r="451" spans="1:16" ht="18" x14ac:dyDescent="0.25">
      <c r="A451" s="169" t="s">
        <v>163</v>
      </c>
      <c r="B451" s="926" t="s">
        <v>1386</v>
      </c>
      <c r="C451" s="38" t="s">
        <v>296</v>
      </c>
      <c r="D451" s="184"/>
      <c r="E451" s="184"/>
      <c r="F451" s="184"/>
      <c r="G451" s="131" t="s">
        <v>177</v>
      </c>
      <c r="H451" s="101">
        <v>0</v>
      </c>
      <c r="I451" s="102">
        <v>15000</v>
      </c>
      <c r="J451" s="101"/>
      <c r="K451" s="101">
        <v>15000</v>
      </c>
      <c r="L451" s="101"/>
    </row>
    <row r="452" spans="1:16" ht="18" x14ac:dyDescent="0.25">
      <c r="A452" s="169" t="s">
        <v>163</v>
      </c>
      <c r="B452" s="926" t="s">
        <v>1386</v>
      </c>
      <c r="C452" s="38" t="s">
        <v>178</v>
      </c>
      <c r="D452" s="184"/>
      <c r="E452" s="184"/>
      <c r="F452" s="184"/>
      <c r="G452" s="131" t="s">
        <v>179</v>
      </c>
      <c r="H452" s="101"/>
      <c r="I452" s="102"/>
      <c r="J452" s="101"/>
      <c r="K452" s="101">
        <v>748800</v>
      </c>
      <c r="L452" s="101"/>
    </row>
    <row r="453" spans="1:16" ht="18" x14ac:dyDescent="0.25">
      <c r="A453" s="169" t="s">
        <v>163</v>
      </c>
      <c r="B453" s="926" t="s">
        <v>1386</v>
      </c>
      <c r="C453" s="44" t="s">
        <v>182</v>
      </c>
      <c r="D453" s="113"/>
      <c r="E453" s="113"/>
      <c r="F453" s="113"/>
      <c r="G453" s="131" t="s">
        <v>183</v>
      </c>
      <c r="H453" s="101">
        <v>7944.43</v>
      </c>
      <c r="I453" s="102">
        <v>72000</v>
      </c>
      <c r="J453" s="101"/>
      <c r="K453" s="101">
        <v>72000</v>
      </c>
      <c r="L453" s="101"/>
    </row>
    <row r="454" spans="1:16" ht="18" x14ac:dyDescent="0.25">
      <c r="A454" s="169" t="s">
        <v>163</v>
      </c>
      <c r="B454" s="926" t="s">
        <v>1386</v>
      </c>
      <c r="C454" s="38" t="s">
        <v>307</v>
      </c>
      <c r="D454" s="184"/>
      <c r="E454" s="184"/>
      <c r="F454" s="184"/>
      <c r="G454" s="131" t="s">
        <v>308</v>
      </c>
      <c r="H454" s="101"/>
      <c r="I454" s="102">
        <v>350000</v>
      </c>
      <c r="J454" s="101"/>
      <c r="K454" s="101">
        <v>350000</v>
      </c>
      <c r="L454" s="101"/>
    </row>
    <row r="455" spans="1:16" ht="18" x14ac:dyDescent="0.25">
      <c r="A455" s="169" t="s">
        <v>163</v>
      </c>
      <c r="B455" s="926" t="s">
        <v>1386</v>
      </c>
      <c r="C455" s="38" t="s">
        <v>297</v>
      </c>
      <c r="D455" s="184"/>
      <c r="E455" s="184"/>
      <c r="F455" s="184"/>
      <c r="G455" s="131" t="s">
        <v>187</v>
      </c>
      <c r="H455" s="101">
        <v>0</v>
      </c>
      <c r="I455" s="102">
        <v>200000</v>
      </c>
      <c r="J455" s="101">
        <v>770</v>
      </c>
      <c r="K455" s="101">
        <v>200000</v>
      </c>
      <c r="L455" s="101"/>
    </row>
    <row r="456" spans="1:16" ht="18" x14ac:dyDescent="0.25">
      <c r="A456" s="169" t="s">
        <v>163</v>
      </c>
      <c r="B456" s="926" t="s">
        <v>1386</v>
      </c>
      <c r="C456" s="38" t="s">
        <v>298</v>
      </c>
      <c r="D456" s="184"/>
      <c r="E456" s="184"/>
      <c r="F456" s="184"/>
      <c r="G456" s="131" t="s">
        <v>189</v>
      </c>
      <c r="H456" s="101"/>
      <c r="I456" s="102">
        <v>200000</v>
      </c>
      <c r="J456" s="101"/>
      <c r="K456" s="101">
        <v>200000</v>
      </c>
      <c r="L456" s="101"/>
    </row>
    <row r="457" spans="1:16" ht="18" x14ac:dyDescent="0.25">
      <c r="A457" s="169" t="s">
        <v>163</v>
      </c>
      <c r="B457" s="926" t="s">
        <v>1386</v>
      </c>
      <c r="C457" s="38" t="s">
        <v>190</v>
      </c>
      <c r="D457" s="184"/>
      <c r="E457" s="184"/>
      <c r="F457" s="184"/>
      <c r="G457" s="131" t="s">
        <v>191</v>
      </c>
      <c r="H457" s="101"/>
      <c r="I457" s="102"/>
      <c r="J457" s="101"/>
      <c r="K457" s="101">
        <v>125000</v>
      </c>
      <c r="L457" s="101"/>
    </row>
    <row r="458" spans="1:16" ht="18" x14ac:dyDescent="0.25">
      <c r="A458" s="169" t="s">
        <v>163</v>
      </c>
      <c r="B458" s="926" t="s">
        <v>1386</v>
      </c>
      <c r="C458" s="38" t="s">
        <v>192</v>
      </c>
      <c r="D458" s="184"/>
      <c r="E458" s="184"/>
      <c r="F458" s="184"/>
      <c r="G458" s="131" t="s">
        <v>193</v>
      </c>
      <c r="H458" s="101">
        <v>0</v>
      </c>
      <c r="I458" s="102">
        <v>500000</v>
      </c>
      <c r="J458" s="101">
        <v>6000</v>
      </c>
      <c r="K458" s="101">
        <v>500000</v>
      </c>
      <c r="L458" s="101"/>
    </row>
    <row r="459" spans="1:16" ht="18" x14ac:dyDescent="0.25">
      <c r="A459" s="169" t="s">
        <v>163</v>
      </c>
      <c r="B459" s="926" t="s">
        <v>1386</v>
      </c>
      <c r="C459" s="38" t="s">
        <v>299</v>
      </c>
      <c r="D459" s="184"/>
      <c r="E459" s="184"/>
      <c r="F459" s="184"/>
      <c r="G459" s="131" t="s">
        <v>237</v>
      </c>
      <c r="H459" s="101">
        <v>15000</v>
      </c>
      <c r="I459" s="102">
        <v>125000</v>
      </c>
      <c r="J459" s="101"/>
      <c r="K459" s="101">
        <v>500000</v>
      </c>
      <c r="L459" s="101"/>
    </row>
    <row r="460" spans="1:16" ht="18" x14ac:dyDescent="0.25">
      <c r="A460" s="169" t="s">
        <v>163</v>
      </c>
      <c r="B460" s="926" t="s">
        <v>1386</v>
      </c>
      <c r="C460" s="38" t="s">
        <v>301</v>
      </c>
      <c r="D460" s="184"/>
      <c r="E460" s="184"/>
      <c r="F460" s="184"/>
      <c r="G460" s="131"/>
      <c r="H460" s="105">
        <v>0</v>
      </c>
      <c r="I460" s="106">
        <v>1000000</v>
      </c>
      <c r="J460" s="105"/>
      <c r="K460" s="105">
        <v>1000000</v>
      </c>
      <c r="L460" s="105"/>
    </row>
    <row r="461" spans="1:16" s="146" customFormat="1" ht="18" x14ac:dyDescent="0.25">
      <c r="A461" s="48" t="s">
        <v>123</v>
      </c>
      <c r="B461" s="926" t="s">
        <v>1386</v>
      </c>
      <c r="C461" s="1602" t="s">
        <v>124</v>
      </c>
      <c r="D461" s="1603"/>
      <c r="E461" s="1603"/>
      <c r="F461" s="1603"/>
      <c r="G461" s="131" t="s">
        <v>125</v>
      </c>
      <c r="H461" s="101">
        <v>2334932</v>
      </c>
      <c r="I461" s="102">
        <v>3681852</v>
      </c>
      <c r="J461" s="101">
        <v>1413803</v>
      </c>
      <c r="K461" s="101">
        <v>3990060</v>
      </c>
      <c r="L461" s="101"/>
      <c r="M461" s="10"/>
      <c r="N461" s="10"/>
      <c r="O461"/>
      <c r="P461"/>
    </row>
    <row r="462" spans="1:16" s="146" customFormat="1" ht="18" x14ac:dyDescent="0.25">
      <c r="A462" s="48" t="s">
        <v>123</v>
      </c>
      <c r="B462" s="926" t="s">
        <v>1386</v>
      </c>
      <c r="C462" s="1602" t="s">
        <v>126</v>
      </c>
      <c r="D462" s="1603"/>
      <c r="E462" s="1603"/>
      <c r="F462" s="1603"/>
      <c r="G462" s="131" t="s">
        <v>127</v>
      </c>
      <c r="H462" s="101">
        <v>329001.84999999998</v>
      </c>
      <c r="I462" s="102">
        <v>298056</v>
      </c>
      <c r="J462" s="101">
        <v>159251.1</v>
      </c>
      <c r="K462" s="101">
        <v>324048</v>
      </c>
      <c r="L462" s="101"/>
      <c r="M462" s="10"/>
      <c r="N462" s="10"/>
      <c r="O462"/>
      <c r="P462"/>
    </row>
    <row r="463" spans="1:16" s="146" customFormat="1" ht="18" x14ac:dyDescent="0.25">
      <c r="A463" s="48" t="s">
        <v>123</v>
      </c>
      <c r="B463" s="926" t="s">
        <v>1386</v>
      </c>
      <c r="C463" s="1602" t="s">
        <v>128</v>
      </c>
      <c r="D463" s="1603"/>
      <c r="E463" s="1603"/>
      <c r="F463" s="1603"/>
      <c r="G463" s="131" t="s">
        <v>125</v>
      </c>
      <c r="H463" s="101">
        <v>0</v>
      </c>
      <c r="I463" s="102"/>
      <c r="J463" s="101"/>
      <c r="K463" s="101">
        <v>9037</v>
      </c>
      <c r="L463" s="101"/>
      <c r="M463" s="10"/>
      <c r="N463" s="10"/>
      <c r="O463"/>
      <c r="P463"/>
    </row>
    <row r="464" spans="1:16" s="146" customFormat="1" ht="18" x14ac:dyDescent="0.25">
      <c r="A464" s="48" t="s">
        <v>123</v>
      </c>
      <c r="B464" s="926" t="s">
        <v>1386</v>
      </c>
      <c r="C464" s="1602" t="s">
        <v>129</v>
      </c>
      <c r="D464" s="1603"/>
      <c r="E464" s="1603"/>
      <c r="F464" s="1603"/>
      <c r="G464" s="132" t="s">
        <v>130</v>
      </c>
      <c r="H464" s="101">
        <v>244363.28</v>
      </c>
      <c r="I464" s="102">
        <v>432000</v>
      </c>
      <c r="J464" s="101">
        <v>150363.62</v>
      </c>
      <c r="K464" s="101">
        <v>432000</v>
      </c>
      <c r="L464" s="101"/>
      <c r="M464" s="10"/>
      <c r="N464" s="10"/>
      <c r="O464"/>
      <c r="P464"/>
    </row>
    <row r="465" spans="1:16" s="146" customFormat="1" ht="18" x14ac:dyDescent="0.25">
      <c r="A465" s="48" t="s">
        <v>123</v>
      </c>
      <c r="B465" s="926" t="s">
        <v>1386</v>
      </c>
      <c r="C465" s="1602" t="s">
        <v>131</v>
      </c>
      <c r="D465" s="1603"/>
      <c r="E465" s="1603"/>
      <c r="F465" s="1603"/>
      <c r="G465" s="131" t="s">
        <v>132</v>
      </c>
      <c r="H465" s="101">
        <v>73500</v>
      </c>
      <c r="I465" s="102">
        <v>72000</v>
      </c>
      <c r="J465" s="101">
        <v>43500</v>
      </c>
      <c r="K465" s="101">
        <v>72000</v>
      </c>
      <c r="L465" s="101"/>
      <c r="M465" s="10"/>
      <c r="N465" s="10"/>
      <c r="O465"/>
      <c r="P465"/>
    </row>
    <row r="466" spans="1:16" s="146" customFormat="1" ht="18" x14ac:dyDescent="0.25">
      <c r="A466" s="48" t="s">
        <v>123</v>
      </c>
      <c r="B466" s="926" t="s">
        <v>1386</v>
      </c>
      <c r="C466" s="1602" t="s">
        <v>133</v>
      </c>
      <c r="D466" s="1603"/>
      <c r="E466" s="1603"/>
      <c r="F466" s="1603"/>
      <c r="G466" s="131" t="s">
        <v>134</v>
      </c>
      <c r="H466" s="101">
        <v>73500</v>
      </c>
      <c r="I466" s="102">
        <v>72000</v>
      </c>
      <c r="J466" s="101">
        <v>43500</v>
      </c>
      <c r="K466" s="101">
        <v>72000</v>
      </c>
      <c r="L466" s="101"/>
      <c r="M466" s="10"/>
      <c r="N466" s="10"/>
      <c r="O466"/>
      <c r="P466"/>
    </row>
    <row r="467" spans="1:16" s="146" customFormat="1" ht="18" x14ac:dyDescent="0.25">
      <c r="A467" s="48" t="s">
        <v>123</v>
      </c>
      <c r="B467" s="926" t="s">
        <v>1386</v>
      </c>
      <c r="C467" s="1602" t="s">
        <v>135</v>
      </c>
      <c r="D467" s="1603"/>
      <c r="E467" s="1603"/>
      <c r="F467" s="1603"/>
      <c r="G467" s="131" t="s">
        <v>136</v>
      </c>
      <c r="H467" s="101"/>
      <c r="I467" s="102">
        <v>100000</v>
      </c>
      <c r="J467" s="101"/>
      <c r="K467" s="102">
        <v>100000</v>
      </c>
      <c r="L467" s="101"/>
      <c r="M467" s="10"/>
      <c r="N467" s="10"/>
      <c r="O467"/>
      <c r="P467"/>
    </row>
    <row r="468" spans="1:16" s="146" customFormat="1" ht="18" x14ac:dyDescent="0.25">
      <c r="A468" s="48" t="s">
        <v>123</v>
      </c>
      <c r="B468" s="926" t="s">
        <v>1386</v>
      </c>
      <c r="C468" s="1602" t="s">
        <v>137</v>
      </c>
      <c r="D468" s="1603"/>
      <c r="E468" s="1603"/>
      <c r="F468" s="1603"/>
      <c r="G468" s="131" t="s">
        <v>138</v>
      </c>
      <c r="H468" s="101">
        <v>54000</v>
      </c>
      <c r="I468" s="102">
        <v>108000</v>
      </c>
      <c r="J468" s="101">
        <v>66000</v>
      </c>
      <c r="K468" s="101">
        <v>108000</v>
      </c>
      <c r="L468" s="101"/>
      <c r="M468" s="10"/>
      <c r="N468" s="10"/>
      <c r="O468"/>
      <c r="P468"/>
    </row>
    <row r="469" spans="1:16" s="146" customFormat="1" ht="18" customHeight="1" x14ac:dyDescent="0.25">
      <c r="A469" s="48" t="s">
        <v>123</v>
      </c>
      <c r="B469" s="926" t="s">
        <v>1386</v>
      </c>
      <c r="C469" s="1602" t="s">
        <v>139</v>
      </c>
      <c r="D469" s="1603"/>
      <c r="E469" s="1603"/>
      <c r="F469" s="1603"/>
      <c r="G469" s="131" t="s">
        <v>140</v>
      </c>
      <c r="H469" s="101">
        <v>219047</v>
      </c>
      <c r="I469" s="102">
        <v>331659</v>
      </c>
      <c r="J469" s="101">
        <v>227535</v>
      </c>
      <c r="K469" s="101">
        <v>360457</v>
      </c>
      <c r="L469" s="101"/>
      <c r="M469" s="10"/>
      <c r="N469" s="10"/>
      <c r="O469"/>
      <c r="P469"/>
    </row>
    <row r="470" spans="1:16" s="146" customFormat="1" ht="18" x14ac:dyDescent="0.25">
      <c r="A470" s="48" t="s">
        <v>123</v>
      </c>
      <c r="B470" s="926" t="s">
        <v>1386</v>
      </c>
      <c r="C470" s="1602" t="s">
        <v>141</v>
      </c>
      <c r="D470" s="1603"/>
      <c r="E470" s="1603"/>
      <c r="F470" s="1603"/>
      <c r="G470" s="131" t="s">
        <v>142</v>
      </c>
      <c r="H470" s="101">
        <v>219143</v>
      </c>
      <c r="I470" s="102">
        <v>331659</v>
      </c>
      <c r="J470" s="101"/>
      <c r="K470" s="101">
        <v>360457</v>
      </c>
      <c r="L470" s="101"/>
      <c r="M470" s="10"/>
      <c r="N470" s="10"/>
      <c r="O470"/>
      <c r="P470"/>
    </row>
    <row r="471" spans="1:16" s="146" customFormat="1" ht="18" x14ac:dyDescent="0.25">
      <c r="A471" s="48" t="s">
        <v>123</v>
      </c>
      <c r="B471" s="926" t="s">
        <v>1386</v>
      </c>
      <c r="C471" s="1602" t="s">
        <v>143</v>
      </c>
      <c r="D471" s="1603"/>
      <c r="E471" s="1603"/>
      <c r="F471" s="1603"/>
      <c r="G471" s="131" t="s">
        <v>144</v>
      </c>
      <c r="H471" s="101">
        <v>55000</v>
      </c>
      <c r="I471" s="102">
        <v>90000</v>
      </c>
      <c r="J471" s="101"/>
      <c r="K471" s="101">
        <v>90000</v>
      </c>
      <c r="L471" s="101"/>
      <c r="M471" s="10"/>
      <c r="N471" s="10"/>
      <c r="O471"/>
      <c r="P471"/>
    </row>
    <row r="472" spans="1:16" s="146" customFormat="1" ht="18" x14ac:dyDescent="0.25">
      <c r="A472" s="48" t="s">
        <v>123</v>
      </c>
      <c r="B472" s="926" t="s">
        <v>1386</v>
      </c>
      <c r="C472" s="1602" t="s">
        <v>145</v>
      </c>
      <c r="D472" s="1603"/>
      <c r="E472" s="1603"/>
      <c r="F472" s="1603"/>
      <c r="G472" s="131" t="s">
        <v>146</v>
      </c>
      <c r="H472" s="101">
        <v>55000</v>
      </c>
      <c r="I472" s="102">
        <v>90000</v>
      </c>
      <c r="J472" s="101"/>
      <c r="K472" s="101">
        <v>90000</v>
      </c>
      <c r="L472" s="101"/>
      <c r="M472" s="10"/>
      <c r="N472" s="10"/>
      <c r="O472"/>
      <c r="P472"/>
    </row>
    <row r="473" spans="1:16" s="146" customFormat="1" ht="18" x14ac:dyDescent="0.25">
      <c r="A473" s="48" t="s">
        <v>123</v>
      </c>
      <c r="B473" s="926" t="s">
        <v>1386</v>
      </c>
      <c r="C473" s="826" t="s">
        <v>231</v>
      </c>
      <c r="D473" s="813"/>
      <c r="E473" s="813"/>
      <c r="F473" s="811"/>
      <c r="G473" s="131" t="s">
        <v>232</v>
      </c>
      <c r="H473" s="101"/>
      <c r="I473" s="102"/>
      <c r="J473" s="101"/>
      <c r="K473" s="101">
        <v>35000</v>
      </c>
      <c r="L473" s="101"/>
      <c r="M473" s="10"/>
      <c r="N473" s="10"/>
      <c r="O473"/>
      <c r="P473"/>
    </row>
    <row r="474" spans="1:16" s="146" customFormat="1" ht="18" x14ac:dyDescent="0.25">
      <c r="A474" s="48" t="s">
        <v>123</v>
      </c>
      <c r="B474" s="926" t="s">
        <v>1386</v>
      </c>
      <c r="C474" s="826" t="s">
        <v>147</v>
      </c>
      <c r="D474" s="808"/>
      <c r="E474" s="808"/>
      <c r="F474" s="830"/>
      <c r="G474" s="172" t="s">
        <v>148</v>
      </c>
      <c r="H474" s="102"/>
      <c r="I474" s="102"/>
      <c r="J474" s="102"/>
      <c r="K474" s="102">
        <v>51000</v>
      </c>
      <c r="L474" s="102"/>
      <c r="M474" s="10"/>
      <c r="N474" s="10"/>
    </row>
    <row r="475" spans="1:16" s="146" customFormat="1" ht="18" x14ac:dyDescent="0.25">
      <c r="A475" s="48" t="s">
        <v>123</v>
      </c>
      <c r="B475" s="926" t="s">
        <v>1386</v>
      </c>
      <c r="C475" s="1602" t="s">
        <v>153</v>
      </c>
      <c r="D475" s="1603"/>
      <c r="E475" s="1603"/>
      <c r="F475" s="1603"/>
      <c r="G475" s="131" t="s">
        <v>154</v>
      </c>
      <c r="H475" s="101">
        <v>303065.40000000002</v>
      </c>
      <c r="I475" s="102">
        <v>477588.96</v>
      </c>
      <c r="J475" s="101">
        <v>189873.96</v>
      </c>
      <c r="K475" s="101">
        <v>518777.4</v>
      </c>
      <c r="L475" s="101"/>
      <c r="M475" s="10"/>
      <c r="N475" s="10"/>
      <c r="O475"/>
      <c r="P475"/>
    </row>
    <row r="476" spans="1:16" s="146" customFormat="1" ht="18" x14ac:dyDescent="0.25">
      <c r="A476" s="48" t="s">
        <v>123</v>
      </c>
      <c r="B476" s="926" t="s">
        <v>1386</v>
      </c>
      <c r="C476" s="1602" t="s">
        <v>155</v>
      </c>
      <c r="D476" s="1603"/>
      <c r="E476" s="1603"/>
      <c r="F476" s="1603"/>
      <c r="G476" s="131" t="s">
        <v>156</v>
      </c>
      <c r="H476" s="101">
        <v>12200</v>
      </c>
      <c r="I476" s="102">
        <v>21600</v>
      </c>
      <c r="J476" s="101">
        <v>7700</v>
      </c>
      <c r="K476" s="101">
        <v>21600</v>
      </c>
      <c r="L476" s="101"/>
      <c r="M476" s="10"/>
      <c r="N476" s="10"/>
      <c r="O476"/>
      <c r="P476"/>
    </row>
    <row r="477" spans="1:16" s="146" customFormat="1" ht="18" x14ac:dyDescent="0.25">
      <c r="A477" s="48" t="s">
        <v>123</v>
      </c>
      <c r="B477" s="926" t="s">
        <v>1386</v>
      </c>
      <c r="C477" s="1602" t="s">
        <v>157</v>
      </c>
      <c r="D477" s="1603"/>
      <c r="E477" s="1603"/>
      <c r="F477" s="1603"/>
      <c r="G477" s="131" t="s">
        <v>158</v>
      </c>
      <c r="H477" s="101">
        <v>32857.300000000003</v>
      </c>
      <c r="I477" s="102">
        <v>66099.81</v>
      </c>
      <c r="J477" s="101">
        <v>20925.46</v>
      </c>
      <c r="K477" s="101">
        <v>168133.48</v>
      </c>
      <c r="L477" s="101"/>
      <c r="M477" s="10"/>
      <c r="N477" s="10"/>
      <c r="O477"/>
      <c r="P477"/>
    </row>
    <row r="478" spans="1:16" s="146" customFormat="1" ht="18" x14ac:dyDescent="0.25">
      <c r="A478" s="48" t="s">
        <v>123</v>
      </c>
      <c r="B478" s="926" t="s">
        <v>1386</v>
      </c>
      <c r="C478" s="1602" t="s">
        <v>159</v>
      </c>
      <c r="D478" s="1603"/>
      <c r="E478" s="1603"/>
      <c r="F478" s="1603"/>
      <c r="G478" s="131" t="s">
        <v>160</v>
      </c>
      <c r="H478" s="105">
        <v>12200</v>
      </c>
      <c r="I478" s="106">
        <v>21600</v>
      </c>
      <c r="J478" s="105">
        <v>7700</v>
      </c>
      <c r="K478" s="105">
        <v>21600</v>
      </c>
      <c r="L478" s="105"/>
      <c r="M478" s="10"/>
      <c r="N478" s="10"/>
      <c r="O478"/>
      <c r="P478"/>
    </row>
    <row r="479" spans="1:16" s="146" customFormat="1" ht="18" customHeight="1" x14ac:dyDescent="0.25">
      <c r="A479" s="169" t="s">
        <v>163</v>
      </c>
      <c r="B479" s="926" t="s">
        <v>1386</v>
      </c>
      <c r="C479" s="44" t="s">
        <v>164</v>
      </c>
      <c r="D479" s="113"/>
      <c r="E479" s="113"/>
      <c r="F479" s="114"/>
      <c r="G479" s="131" t="s">
        <v>165</v>
      </c>
      <c r="H479" s="101"/>
      <c r="I479" s="102">
        <v>300000</v>
      </c>
      <c r="J479" s="101"/>
      <c r="K479" s="101">
        <v>300000</v>
      </c>
      <c r="L479" s="101"/>
      <c r="M479" s="10"/>
      <c r="N479" s="10"/>
      <c r="O479"/>
      <c r="P479"/>
    </row>
    <row r="480" spans="1:16" s="146" customFormat="1" ht="18" x14ac:dyDescent="0.25">
      <c r="A480" s="169" t="s">
        <v>163</v>
      </c>
      <c r="B480" s="926" t="s">
        <v>1386</v>
      </c>
      <c r="C480" s="38" t="s">
        <v>312</v>
      </c>
      <c r="D480" s="184"/>
      <c r="E480" s="184"/>
      <c r="F480" s="184"/>
      <c r="G480" s="131" t="s">
        <v>293</v>
      </c>
      <c r="H480" s="101"/>
      <c r="I480" s="102">
        <v>200000</v>
      </c>
      <c r="J480" s="101"/>
      <c r="K480" s="101">
        <v>200000</v>
      </c>
      <c r="L480" s="101"/>
      <c r="M480" s="10"/>
      <c r="N480" s="10"/>
      <c r="O480"/>
      <c r="P480"/>
    </row>
    <row r="481" spans="1:16" s="146" customFormat="1" ht="18" x14ac:dyDescent="0.25">
      <c r="A481" s="169" t="s">
        <v>163</v>
      </c>
      <c r="B481" s="926" t="s">
        <v>1386</v>
      </c>
      <c r="C481" s="38" t="s">
        <v>294</v>
      </c>
      <c r="D481" s="184"/>
      <c r="E481" s="184"/>
      <c r="F481" s="184"/>
      <c r="G481" s="131" t="s">
        <v>169</v>
      </c>
      <c r="H481" s="101">
        <v>1343354.5</v>
      </c>
      <c r="I481" s="102">
        <v>1800000</v>
      </c>
      <c r="J481" s="101">
        <v>353966</v>
      </c>
      <c r="K481" s="101">
        <v>2000000</v>
      </c>
      <c r="L481" s="101"/>
      <c r="M481" s="10"/>
      <c r="N481" s="10"/>
      <c r="O481"/>
      <c r="P481"/>
    </row>
    <row r="482" spans="1:16" ht="18" x14ac:dyDescent="0.25">
      <c r="A482" s="169" t="s">
        <v>163</v>
      </c>
      <c r="B482" s="926" t="s">
        <v>1386</v>
      </c>
      <c r="C482" s="38" t="s">
        <v>295</v>
      </c>
      <c r="D482" s="184"/>
      <c r="E482" s="184"/>
      <c r="F482" s="184"/>
      <c r="G482" s="131" t="s">
        <v>173</v>
      </c>
      <c r="H482" s="101">
        <v>32944.839999999997</v>
      </c>
      <c r="I482" s="102">
        <v>100000</v>
      </c>
      <c r="J482" s="101"/>
      <c r="K482" s="101">
        <v>100000</v>
      </c>
      <c r="L482" s="101"/>
    </row>
    <row r="483" spans="1:16" ht="18" x14ac:dyDescent="0.25">
      <c r="A483" s="169" t="s">
        <v>163</v>
      </c>
      <c r="B483" s="926" t="s">
        <v>1386</v>
      </c>
      <c r="C483" s="38" t="s">
        <v>213</v>
      </c>
      <c r="D483" s="184"/>
      <c r="E483" s="184"/>
      <c r="F483" s="184"/>
      <c r="G483" s="131" t="s">
        <v>171</v>
      </c>
      <c r="H483" s="101"/>
      <c r="I483" s="102"/>
      <c r="J483" s="101"/>
      <c r="K483" s="101">
        <v>120000</v>
      </c>
      <c r="L483" s="101"/>
    </row>
    <row r="484" spans="1:16" ht="18" x14ac:dyDescent="0.25">
      <c r="A484" s="169" t="s">
        <v>163</v>
      </c>
      <c r="B484" s="926" t="s">
        <v>1386</v>
      </c>
      <c r="C484" s="38" t="s">
        <v>296</v>
      </c>
      <c r="D484" s="184"/>
      <c r="E484" s="184"/>
      <c r="F484" s="184"/>
      <c r="G484" s="131" t="s">
        <v>177</v>
      </c>
      <c r="H484" s="101"/>
      <c r="I484" s="102">
        <v>15000</v>
      </c>
      <c r="J484" s="101"/>
      <c r="K484" s="101">
        <v>15000</v>
      </c>
      <c r="L484" s="101"/>
    </row>
    <row r="485" spans="1:16" ht="18" x14ac:dyDescent="0.25">
      <c r="A485" s="169" t="s">
        <v>163</v>
      </c>
      <c r="B485" s="926" t="s">
        <v>1386</v>
      </c>
      <c r="C485" s="180" t="s">
        <v>178</v>
      </c>
      <c r="D485" s="184"/>
      <c r="E485" s="184"/>
      <c r="F485" s="184"/>
      <c r="G485" s="131" t="s">
        <v>179</v>
      </c>
      <c r="H485" s="101"/>
      <c r="I485" s="102"/>
      <c r="J485" s="101"/>
      <c r="K485" s="101">
        <v>88800</v>
      </c>
      <c r="L485" s="101"/>
    </row>
    <row r="486" spans="1:16" ht="18" x14ac:dyDescent="0.25">
      <c r="A486" s="169" t="s">
        <v>163</v>
      </c>
      <c r="B486" s="926" t="s">
        <v>1386</v>
      </c>
      <c r="C486" s="38" t="s">
        <v>314</v>
      </c>
      <c r="D486" s="184"/>
      <c r="E486" s="184"/>
      <c r="F486" s="184"/>
      <c r="G486" s="131" t="s">
        <v>183</v>
      </c>
      <c r="H486" s="101">
        <v>29058.16</v>
      </c>
      <c r="I486" s="102">
        <v>72000</v>
      </c>
      <c r="J486" s="101">
        <v>16793</v>
      </c>
      <c r="K486" s="101">
        <v>72000</v>
      </c>
      <c r="L486" s="101"/>
    </row>
    <row r="487" spans="1:16" ht="18" x14ac:dyDescent="0.25">
      <c r="A487" s="169" t="s">
        <v>163</v>
      </c>
      <c r="B487" s="926" t="s">
        <v>1386</v>
      </c>
      <c r="C487" s="38" t="s">
        <v>297</v>
      </c>
      <c r="D487" s="184"/>
      <c r="E487" s="184"/>
      <c r="F487" s="184"/>
      <c r="G487" s="131" t="s">
        <v>187</v>
      </c>
      <c r="H487" s="101"/>
      <c r="I487" s="102">
        <v>250000</v>
      </c>
      <c r="J487" s="101"/>
      <c r="K487" s="101">
        <v>250000</v>
      </c>
      <c r="L487" s="101"/>
    </row>
    <row r="488" spans="1:16" ht="18" x14ac:dyDescent="0.25">
      <c r="A488" s="169" t="s">
        <v>163</v>
      </c>
      <c r="B488" s="926" t="s">
        <v>1386</v>
      </c>
      <c r="C488" s="38" t="s">
        <v>298</v>
      </c>
      <c r="D488" s="184"/>
      <c r="E488" s="184"/>
      <c r="F488" s="184"/>
      <c r="G488" s="131" t="s">
        <v>189</v>
      </c>
      <c r="H488" s="101">
        <v>0</v>
      </c>
      <c r="I488" s="102">
        <v>100000</v>
      </c>
      <c r="J488" s="101"/>
      <c r="K488" s="101">
        <v>100000</v>
      </c>
      <c r="L488" s="101"/>
    </row>
    <row r="489" spans="1:16" ht="18" x14ac:dyDescent="0.25">
      <c r="A489" s="169" t="s">
        <v>163</v>
      </c>
      <c r="B489" s="926" t="s">
        <v>1386</v>
      </c>
      <c r="C489" s="38" t="s">
        <v>300</v>
      </c>
      <c r="D489" s="184"/>
      <c r="E489" s="184"/>
      <c r="F489" s="184"/>
      <c r="G489" s="131" t="s">
        <v>199</v>
      </c>
      <c r="H489" s="101"/>
      <c r="I489" s="102">
        <v>200000</v>
      </c>
      <c r="J489" s="101"/>
      <c r="K489" s="101">
        <v>200000</v>
      </c>
      <c r="L489" s="101"/>
    </row>
    <row r="490" spans="1:16" ht="18" x14ac:dyDescent="0.25">
      <c r="A490" s="169" t="s">
        <v>163</v>
      </c>
      <c r="B490" s="926" t="s">
        <v>1386</v>
      </c>
      <c r="C490" s="38" t="s">
        <v>315</v>
      </c>
      <c r="D490" s="184"/>
      <c r="E490" s="184"/>
      <c r="F490" s="184"/>
      <c r="G490" s="131"/>
      <c r="H490" s="105"/>
      <c r="I490" s="106">
        <v>150000</v>
      </c>
      <c r="J490" s="105"/>
      <c r="K490" s="105">
        <v>150000</v>
      </c>
      <c r="L490" s="105"/>
    </row>
    <row r="491" spans="1:16" s="146" customFormat="1" ht="18" x14ac:dyDescent="0.25">
      <c r="A491" s="169" t="s">
        <v>123</v>
      </c>
      <c r="B491" s="926" t="s">
        <v>1387</v>
      </c>
      <c r="C491" s="1602" t="s">
        <v>124</v>
      </c>
      <c r="D491" s="1603"/>
      <c r="E491" s="1603"/>
      <c r="F491" s="1603"/>
      <c r="G491" s="131" t="s">
        <v>125</v>
      </c>
      <c r="H491" s="101">
        <v>230212</v>
      </c>
      <c r="I491" s="102">
        <v>234156</v>
      </c>
      <c r="J491" s="101">
        <v>142836</v>
      </c>
      <c r="K491" s="101">
        <v>264132</v>
      </c>
      <c r="L491" s="101"/>
      <c r="M491" s="10"/>
      <c r="N491" s="10"/>
      <c r="O491"/>
      <c r="P491"/>
    </row>
    <row r="492" spans="1:16" s="146" customFormat="1" ht="18" x14ac:dyDescent="0.25">
      <c r="A492" s="169" t="s">
        <v>123</v>
      </c>
      <c r="B492" s="926" t="s">
        <v>1387</v>
      </c>
      <c r="C492" s="1602" t="s">
        <v>129</v>
      </c>
      <c r="D492" s="1603"/>
      <c r="E492" s="1603"/>
      <c r="F492" s="1603"/>
      <c r="G492" s="132" t="s">
        <v>130</v>
      </c>
      <c r="H492" s="101">
        <v>24000</v>
      </c>
      <c r="I492" s="102">
        <v>24000</v>
      </c>
      <c r="J492" s="101">
        <v>14000</v>
      </c>
      <c r="K492" s="101">
        <v>24000</v>
      </c>
      <c r="L492" s="101"/>
      <c r="M492" s="10"/>
      <c r="N492" s="10"/>
      <c r="O492"/>
      <c r="P492"/>
    </row>
    <row r="493" spans="1:16" s="146" customFormat="1" ht="18" x14ac:dyDescent="0.25">
      <c r="A493" s="169" t="s">
        <v>123</v>
      </c>
      <c r="B493" s="926" t="s">
        <v>1387</v>
      </c>
      <c r="C493" s="1602" t="s">
        <v>137</v>
      </c>
      <c r="D493" s="1603"/>
      <c r="E493" s="1603"/>
      <c r="F493" s="1603"/>
      <c r="G493" s="131" t="s">
        <v>138</v>
      </c>
      <c r="H493" s="101">
        <v>6000</v>
      </c>
      <c r="I493" s="102">
        <v>6000</v>
      </c>
      <c r="J493" s="101">
        <v>6000</v>
      </c>
      <c r="K493" s="101">
        <v>6000</v>
      </c>
      <c r="L493" s="101"/>
      <c r="M493" s="10"/>
      <c r="N493" s="10"/>
      <c r="O493"/>
      <c r="P493"/>
    </row>
    <row r="494" spans="1:16" s="146" customFormat="1" ht="18" customHeight="1" x14ac:dyDescent="0.25">
      <c r="A494" s="169" t="s">
        <v>123</v>
      </c>
      <c r="B494" s="926" t="s">
        <v>1387</v>
      </c>
      <c r="C494" s="1602" t="s">
        <v>139</v>
      </c>
      <c r="D494" s="1603"/>
      <c r="E494" s="1603"/>
      <c r="F494" s="1603"/>
      <c r="G494" s="131" t="s">
        <v>140</v>
      </c>
      <c r="H494" s="101">
        <v>19513</v>
      </c>
      <c r="I494" s="102">
        <v>19513</v>
      </c>
      <c r="J494" s="101">
        <v>20762</v>
      </c>
      <c r="K494" s="101">
        <v>22011</v>
      </c>
      <c r="L494" s="101"/>
      <c r="M494" s="10"/>
      <c r="N494" s="10"/>
      <c r="O494"/>
      <c r="P494"/>
    </row>
    <row r="495" spans="1:16" s="146" customFormat="1" ht="18" x14ac:dyDescent="0.25">
      <c r="A495" s="169" t="s">
        <v>123</v>
      </c>
      <c r="B495" s="926" t="s">
        <v>1387</v>
      </c>
      <c r="C495" s="1602" t="s">
        <v>141</v>
      </c>
      <c r="D495" s="1603"/>
      <c r="E495" s="1603"/>
      <c r="F495" s="1603"/>
      <c r="G495" s="131" t="s">
        <v>142</v>
      </c>
      <c r="H495" s="101">
        <v>19513</v>
      </c>
      <c r="I495" s="102">
        <v>19513</v>
      </c>
      <c r="J495" s="101"/>
      <c r="K495" s="101">
        <v>22011</v>
      </c>
      <c r="L495" s="101"/>
      <c r="M495" s="10"/>
      <c r="N495" s="10"/>
      <c r="O495"/>
      <c r="P495"/>
    </row>
    <row r="496" spans="1:16" s="146" customFormat="1" ht="18" x14ac:dyDescent="0.25">
      <c r="A496" s="169" t="s">
        <v>123</v>
      </c>
      <c r="B496" s="926" t="s">
        <v>1387</v>
      </c>
      <c r="C496" s="1602" t="s">
        <v>143</v>
      </c>
      <c r="D496" s="1603"/>
      <c r="E496" s="1603"/>
      <c r="F496" s="1603"/>
      <c r="G496" s="131" t="s">
        <v>144</v>
      </c>
      <c r="H496" s="101">
        <v>5000</v>
      </c>
      <c r="I496" s="102">
        <v>5000</v>
      </c>
      <c r="J496" s="101"/>
      <c r="K496" s="101">
        <v>5000</v>
      </c>
      <c r="L496" s="101"/>
      <c r="M496" s="10"/>
      <c r="N496" s="10"/>
      <c r="O496"/>
      <c r="P496"/>
    </row>
    <row r="497" spans="1:16" s="146" customFormat="1" ht="18" x14ac:dyDescent="0.25">
      <c r="A497" s="169" t="s">
        <v>123</v>
      </c>
      <c r="B497" s="926" t="s">
        <v>1387</v>
      </c>
      <c r="C497" s="1602" t="s">
        <v>145</v>
      </c>
      <c r="D497" s="1603"/>
      <c r="E497" s="1603"/>
      <c r="F497" s="1603"/>
      <c r="G497" s="131" t="s">
        <v>146</v>
      </c>
      <c r="H497" s="101">
        <v>5000</v>
      </c>
      <c r="I497" s="102">
        <v>5000</v>
      </c>
      <c r="J497" s="101"/>
      <c r="K497" s="101">
        <v>5000</v>
      </c>
      <c r="L497" s="101"/>
      <c r="M497" s="10"/>
      <c r="N497" s="10"/>
      <c r="O497"/>
      <c r="P497"/>
    </row>
    <row r="498" spans="1:16" s="146" customFormat="1" ht="18" x14ac:dyDescent="0.25">
      <c r="A498" s="169" t="s">
        <v>123</v>
      </c>
      <c r="B498" s="926" t="s">
        <v>1387</v>
      </c>
      <c r="C498" s="826" t="s">
        <v>318</v>
      </c>
      <c r="D498" s="813"/>
      <c r="E498" s="813"/>
      <c r="F498" s="811"/>
      <c r="G498" s="131" t="s">
        <v>148</v>
      </c>
      <c r="H498" s="101"/>
      <c r="I498" s="102"/>
      <c r="J498" s="101"/>
      <c r="K498" s="101">
        <v>3000</v>
      </c>
      <c r="L498" s="101"/>
      <c r="M498" s="10"/>
      <c r="N498" s="10"/>
      <c r="O498"/>
      <c r="P498"/>
    </row>
    <row r="499" spans="1:16" s="146" customFormat="1" ht="18" x14ac:dyDescent="0.25">
      <c r="A499" s="169" t="s">
        <v>123</v>
      </c>
      <c r="B499" s="926" t="s">
        <v>1387</v>
      </c>
      <c r="C499" s="1602" t="s">
        <v>153</v>
      </c>
      <c r="D499" s="1603"/>
      <c r="E499" s="1603"/>
      <c r="F499" s="1603"/>
      <c r="G499" s="131" t="s">
        <v>154</v>
      </c>
      <c r="H499" s="101">
        <v>27625.439999999999</v>
      </c>
      <c r="I499" s="102">
        <v>28098.720000000001</v>
      </c>
      <c r="J499" s="101">
        <v>17140.32</v>
      </c>
      <c r="K499" s="101">
        <v>29897.279999999999</v>
      </c>
      <c r="L499" s="101"/>
      <c r="M499" s="10"/>
      <c r="N499" s="10"/>
      <c r="O499"/>
      <c r="P499"/>
    </row>
    <row r="500" spans="1:16" s="146" customFormat="1" ht="18" x14ac:dyDescent="0.25">
      <c r="A500" s="169" t="s">
        <v>123</v>
      </c>
      <c r="B500" s="926" t="s">
        <v>1387</v>
      </c>
      <c r="C500" s="1602" t="s">
        <v>155</v>
      </c>
      <c r="D500" s="1603"/>
      <c r="E500" s="1603"/>
      <c r="F500" s="1603"/>
      <c r="G500" s="131" t="s">
        <v>156</v>
      </c>
      <c r="H500" s="101">
        <v>1200</v>
      </c>
      <c r="I500" s="102">
        <v>1200</v>
      </c>
      <c r="J500" s="101">
        <v>700</v>
      </c>
      <c r="K500" s="101">
        <v>1200</v>
      </c>
      <c r="L500" s="101"/>
      <c r="M500" s="10"/>
      <c r="N500" s="10"/>
      <c r="O500"/>
      <c r="P500"/>
    </row>
    <row r="501" spans="1:16" s="146" customFormat="1" ht="18" x14ac:dyDescent="0.25">
      <c r="A501" s="169" t="s">
        <v>123</v>
      </c>
      <c r="B501" s="926" t="s">
        <v>1387</v>
      </c>
      <c r="C501" s="1602" t="s">
        <v>157</v>
      </c>
      <c r="D501" s="1603"/>
      <c r="E501" s="1603"/>
      <c r="F501" s="1603"/>
      <c r="G501" s="131" t="s">
        <v>158</v>
      </c>
      <c r="H501" s="101">
        <v>3453.24</v>
      </c>
      <c r="I501" s="102">
        <v>4097.7299999999996</v>
      </c>
      <c r="J501" s="101">
        <v>2142.5500000000002</v>
      </c>
      <c r="K501" s="101">
        <v>11000</v>
      </c>
      <c r="L501" s="101"/>
      <c r="M501" s="10"/>
      <c r="N501" s="10"/>
      <c r="O501"/>
      <c r="P501"/>
    </row>
    <row r="502" spans="1:16" s="146" customFormat="1" ht="18" x14ac:dyDescent="0.25">
      <c r="A502" s="169" t="s">
        <v>123</v>
      </c>
      <c r="B502" s="926" t="s">
        <v>1387</v>
      </c>
      <c r="C502" s="1602" t="s">
        <v>159</v>
      </c>
      <c r="D502" s="1603"/>
      <c r="E502" s="1603"/>
      <c r="F502" s="1603"/>
      <c r="G502" s="131" t="s">
        <v>160</v>
      </c>
      <c r="H502" s="105">
        <v>1200</v>
      </c>
      <c r="I502" s="106">
        <v>1200</v>
      </c>
      <c r="J502" s="105">
        <v>700</v>
      </c>
      <c r="K502" s="105">
        <v>1200</v>
      </c>
      <c r="L502" s="105"/>
      <c r="M502" s="10"/>
      <c r="N502" s="10"/>
      <c r="O502"/>
      <c r="P502"/>
    </row>
    <row r="503" spans="1:16" ht="18" customHeight="1" x14ac:dyDescent="0.25">
      <c r="A503" s="169" t="s">
        <v>163</v>
      </c>
      <c r="B503" s="926" t="s">
        <v>1387</v>
      </c>
      <c r="C503" s="44" t="s">
        <v>164</v>
      </c>
      <c r="D503" s="113"/>
      <c r="E503" s="113"/>
      <c r="F503" s="114"/>
      <c r="G503" s="131" t="s">
        <v>165</v>
      </c>
      <c r="H503" s="101"/>
      <c r="I503" s="102">
        <v>20000</v>
      </c>
      <c r="J503" s="101"/>
      <c r="K503" s="101">
        <v>20000</v>
      </c>
      <c r="L503" s="101"/>
    </row>
    <row r="504" spans="1:16" ht="18" x14ac:dyDescent="0.25">
      <c r="A504" s="169" t="s">
        <v>163</v>
      </c>
      <c r="B504" s="926" t="s">
        <v>1387</v>
      </c>
      <c r="C504" s="38" t="s">
        <v>294</v>
      </c>
      <c r="D504" s="184"/>
      <c r="E504" s="184"/>
      <c r="F504" s="184"/>
      <c r="G504" s="131" t="s">
        <v>169</v>
      </c>
      <c r="H504" s="101">
        <v>28209</v>
      </c>
      <c r="I504" s="102">
        <v>50000</v>
      </c>
      <c r="J504" s="101">
        <v>30196</v>
      </c>
      <c r="K504" s="101">
        <v>50000</v>
      </c>
      <c r="L504" s="101"/>
    </row>
    <row r="505" spans="1:16" ht="18" x14ac:dyDescent="0.25">
      <c r="A505" s="169" t="s">
        <v>163</v>
      </c>
      <c r="B505" s="926" t="s">
        <v>1387</v>
      </c>
      <c r="C505" s="38" t="s">
        <v>319</v>
      </c>
      <c r="D505" s="184"/>
      <c r="E505" s="184"/>
      <c r="F505" s="184"/>
      <c r="G505" s="131" t="s">
        <v>171</v>
      </c>
      <c r="H505" s="101"/>
      <c r="I505" s="102"/>
      <c r="J505" s="101"/>
      <c r="K505" s="101">
        <v>30000</v>
      </c>
      <c r="L505" s="101"/>
      <c r="O505" s="191"/>
      <c r="P505" s="191"/>
    </row>
    <row r="506" spans="1:16" s="191" customFormat="1" ht="18" x14ac:dyDescent="0.25">
      <c r="A506" s="169" t="s">
        <v>163</v>
      </c>
      <c r="B506" s="926" t="s">
        <v>1387</v>
      </c>
      <c r="C506" s="38" t="s">
        <v>178</v>
      </c>
      <c r="D506" s="184"/>
      <c r="E506" s="184"/>
      <c r="F506" s="184"/>
      <c r="G506" s="131" t="s">
        <v>179</v>
      </c>
      <c r="H506" s="101"/>
      <c r="I506" s="102"/>
      <c r="J506" s="101"/>
      <c r="K506" s="101">
        <v>28800</v>
      </c>
      <c r="L506" s="101"/>
      <c r="M506" s="10"/>
      <c r="N506" s="10"/>
    </row>
    <row r="507" spans="1:16" s="191" customFormat="1" ht="18" x14ac:dyDescent="0.25">
      <c r="A507" s="169" t="s">
        <v>163</v>
      </c>
      <c r="B507" s="926" t="s">
        <v>1387</v>
      </c>
      <c r="C507" s="38" t="s">
        <v>182</v>
      </c>
      <c r="D507" s="184"/>
      <c r="E507" s="184"/>
      <c r="F507" s="184"/>
      <c r="G507" s="131" t="s">
        <v>183</v>
      </c>
      <c r="H507" s="101">
        <v>26389</v>
      </c>
      <c r="I507" s="102">
        <v>67200</v>
      </c>
      <c r="J507" s="101">
        <v>14394</v>
      </c>
      <c r="K507" s="101">
        <v>67200</v>
      </c>
      <c r="L507" s="101"/>
      <c r="M507" s="10"/>
      <c r="N507" s="10"/>
      <c r="O507"/>
      <c r="P507"/>
    </row>
    <row r="508" spans="1:16" ht="18" x14ac:dyDescent="0.25">
      <c r="A508" s="169" t="s">
        <v>163</v>
      </c>
      <c r="B508" s="926" t="s">
        <v>1387</v>
      </c>
      <c r="C508" s="38" t="s">
        <v>297</v>
      </c>
      <c r="D508" s="184"/>
      <c r="E508" s="184"/>
      <c r="F508" s="184"/>
      <c r="G508" s="131" t="s">
        <v>187</v>
      </c>
      <c r="H508" s="101">
        <v>0</v>
      </c>
      <c r="I508" s="102">
        <v>30000</v>
      </c>
      <c r="J508" s="101"/>
      <c r="K508" s="101">
        <v>30000</v>
      </c>
      <c r="L508" s="101"/>
    </row>
    <row r="509" spans="1:16" ht="18" x14ac:dyDescent="0.25">
      <c r="A509" s="169" t="s">
        <v>163</v>
      </c>
      <c r="B509" s="926" t="s">
        <v>1387</v>
      </c>
      <c r="C509" s="38" t="s">
        <v>300</v>
      </c>
      <c r="D509" s="184"/>
      <c r="E509" s="184"/>
      <c r="F509" s="184"/>
      <c r="G509" s="131" t="s">
        <v>199</v>
      </c>
      <c r="H509" s="105">
        <v>12664</v>
      </c>
      <c r="I509" s="106">
        <v>33000</v>
      </c>
      <c r="J509" s="105">
        <v>6556</v>
      </c>
      <c r="K509" s="105">
        <v>33000</v>
      </c>
      <c r="L509" s="105"/>
    </row>
    <row r="510" spans="1:16" s="146" customFormat="1" ht="18" x14ac:dyDescent="0.25">
      <c r="A510" s="48" t="s">
        <v>123</v>
      </c>
      <c r="B510" s="926" t="s">
        <v>1386</v>
      </c>
      <c r="C510" s="1602" t="s">
        <v>124</v>
      </c>
      <c r="D510" s="1603"/>
      <c r="E510" s="1603"/>
      <c r="F510" s="1603"/>
      <c r="G510" s="131" t="s">
        <v>125</v>
      </c>
      <c r="H510" s="101"/>
      <c r="I510" s="102">
        <v>1080084</v>
      </c>
      <c r="J510" s="101"/>
      <c r="K510" s="101">
        <v>1129584</v>
      </c>
      <c r="L510" s="101"/>
      <c r="M510" s="10"/>
      <c r="N510" s="10"/>
      <c r="O510"/>
      <c r="P510"/>
    </row>
    <row r="511" spans="1:16" s="146" customFormat="1" ht="18" x14ac:dyDescent="0.25">
      <c r="A511" s="48" t="s">
        <v>123</v>
      </c>
      <c r="B511" s="926" t="s">
        <v>1386</v>
      </c>
      <c r="C511" s="1602" t="s">
        <v>126</v>
      </c>
      <c r="D511" s="1603"/>
      <c r="E511" s="1603"/>
      <c r="F511" s="1603"/>
      <c r="G511" s="131" t="s">
        <v>127</v>
      </c>
      <c r="H511" s="101"/>
      <c r="I511" s="102">
        <v>132552</v>
      </c>
      <c r="J511" s="101"/>
      <c r="K511" s="101">
        <v>143928</v>
      </c>
      <c r="L511" s="101"/>
      <c r="M511" s="10"/>
      <c r="N511" s="10"/>
      <c r="O511"/>
      <c r="P511"/>
    </row>
    <row r="512" spans="1:16" s="146" customFormat="1" ht="18" x14ac:dyDescent="0.25">
      <c r="A512" s="48" t="s">
        <v>123</v>
      </c>
      <c r="B512" s="926" t="s">
        <v>1386</v>
      </c>
      <c r="C512" s="1602" t="s">
        <v>129</v>
      </c>
      <c r="D512" s="1603"/>
      <c r="E512" s="1603"/>
      <c r="F512" s="1603"/>
      <c r="G512" s="132" t="s">
        <v>130</v>
      </c>
      <c r="H512" s="101"/>
      <c r="I512" s="102">
        <v>72000</v>
      </c>
      <c r="J512" s="101"/>
      <c r="K512" s="101">
        <v>72000</v>
      </c>
      <c r="L512" s="101"/>
      <c r="M512" s="10"/>
      <c r="N512" s="10"/>
      <c r="O512"/>
      <c r="P512"/>
    </row>
    <row r="513" spans="1:16" s="146" customFormat="1" ht="18" x14ac:dyDescent="0.25">
      <c r="A513" s="48" t="s">
        <v>123</v>
      </c>
      <c r="B513" s="926" t="s">
        <v>1386</v>
      </c>
      <c r="C513" s="1602" t="s">
        <v>131</v>
      </c>
      <c r="D513" s="1603"/>
      <c r="E513" s="1603"/>
      <c r="F513" s="1603"/>
      <c r="G513" s="131" t="s">
        <v>132</v>
      </c>
      <c r="H513" s="101"/>
      <c r="I513" s="102">
        <v>72000</v>
      </c>
      <c r="J513" s="101"/>
      <c r="K513" s="101">
        <v>72000</v>
      </c>
      <c r="L513" s="101"/>
      <c r="M513" s="10"/>
      <c r="N513" s="10"/>
      <c r="O513"/>
      <c r="P513"/>
    </row>
    <row r="514" spans="1:16" s="146" customFormat="1" ht="18" x14ac:dyDescent="0.25">
      <c r="A514" s="48" t="s">
        <v>123</v>
      </c>
      <c r="B514" s="926" t="s">
        <v>1386</v>
      </c>
      <c r="C514" s="1602" t="s">
        <v>133</v>
      </c>
      <c r="D514" s="1603"/>
      <c r="E514" s="1603"/>
      <c r="F514" s="1603"/>
      <c r="G514" s="131" t="s">
        <v>134</v>
      </c>
      <c r="H514" s="101"/>
      <c r="I514" s="102">
        <v>72000</v>
      </c>
      <c r="J514" s="101"/>
      <c r="K514" s="101">
        <v>72000</v>
      </c>
      <c r="L514" s="101"/>
      <c r="M514" s="10"/>
      <c r="N514" s="10"/>
      <c r="O514"/>
      <c r="P514"/>
    </row>
    <row r="515" spans="1:16" s="146" customFormat="1" ht="18" x14ac:dyDescent="0.25">
      <c r="A515" s="48" t="s">
        <v>123</v>
      </c>
      <c r="B515" s="926" t="s">
        <v>1386</v>
      </c>
      <c r="C515" s="1602" t="s">
        <v>137</v>
      </c>
      <c r="D515" s="1603"/>
      <c r="E515" s="1603"/>
      <c r="F515" s="1603"/>
      <c r="G515" s="131" t="s">
        <v>138</v>
      </c>
      <c r="H515" s="101"/>
      <c r="I515" s="102">
        <v>18000</v>
      </c>
      <c r="J515" s="101"/>
      <c r="K515" s="101">
        <v>18000</v>
      </c>
      <c r="L515" s="101"/>
      <c r="M515" s="10"/>
      <c r="N515" s="10"/>
      <c r="O515"/>
      <c r="P515"/>
    </row>
    <row r="516" spans="1:16" s="146" customFormat="1" ht="18" customHeight="1" x14ac:dyDescent="0.25">
      <c r="A516" s="48" t="s">
        <v>123</v>
      </c>
      <c r="B516" s="926" t="s">
        <v>1386</v>
      </c>
      <c r="C516" s="1602" t="s">
        <v>139</v>
      </c>
      <c r="D516" s="1603"/>
      <c r="E516" s="1603"/>
      <c r="F516" s="1603"/>
      <c r="G516" s="131" t="s">
        <v>140</v>
      </c>
      <c r="H516" s="101"/>
      <c r="I516" s="102">
        <v>101053</v>
      </c>
      <c r="J516" s="101"/>
      <c r="K516" s="101">
        <v>106126</v>
      </c>
      <c r="L516" s="101"/>
      <c r="M516" s="10"/>
      <c r="N516" s="10"/>
      <c r="O516"/>
      <c r="P516"/>
    </row>
    <row r="517" spans="1:16" s="146" customFormat="1" ht="18" x14ac:dyDescent="0.25">
      <c r="A517" s="48" t="s">
        <v>123</v>
      </c>
      <c r="B517" s="926" t="s">
        <v>1386</v>
      </c>
      <c r="C517" s="1602" t="s">
        <v>141</v>
      </c>
      <c r="D517" s="1603"/>
      <c r="E517" s="1603"/>
      <c r="F517" s="1603"/>
      <c r="G517" s="131" t="s">
        <v>142</v>
      </c>
      <c r="H517" s="101"/>
      <c r="I517" s="102">
        <v>101053</v>
      </c>
      <c r="J517" s="101"/>
      <c r="K517" s="101">
        <v>106126</v>
      </c>
      <c r="L517" s="101"/>
      <c r="M517" s="10"/>
      <c r="N517" s="10"/>
      <c r="O517"/>
      <c r="P517"/>
    </row>
    <row r="518" spans="1:16" s="146" customFormat="1" ht="18" x14ac:dyDescent="0.25">
      <c r="A518" s="48" t="s">
        <v>123</v>
      </c>
      <c r="B518" s="926" t="s">
        <v>1386</v>
      </c>
      <c r="C518" s="1602" t="s">
        <v>143</v>
      </c>
      <c r="D518" s="1603"/>
      <c r="E518" s="1603"/>
      <c r="F518" s="1603"/>
      <c r="G518" s="131" t="s">
        <v>144</v>
      </c>
      <c r="H518" s="101"/>
      <c r="I518" s="102">
        <v>15000</v>
      </c>
      <c r="J518" s="101"/>
      <c r="K518" s="101">
        <v>15000</v>
      </c>
      <c r="L518" s="101"/>
      <c r="M518" s="10"/>
      <c r="N518" s="10"/>
      <c r="O518"/>
      <c r="P518"/>
    </row>
    <row r="519" spans="1:16" s="146" customFormat="1" ht="18" x14ac:dyDescent="0.25">
      <c r="A519" s="48" t="s">
        <v>123</v>
      </c>
      <c r="B519" s="926" t="s">
        <v>1386</v>
      </c>
      <c r="C519" s="1602" t="s">
        <v>145</v>
      </c>
      <c r="D519" s="1603"/>
      <c r="E519" s="1603"/>
      <c r="F519" s="1603"/>
      <c r="G519" s="131" t="s">
        <v>146</v>
      </c>
      <c r="H519" s="101"/>
      <c r="I519" s="102">
        <v>15000</v>
      </c>
      <c r="J519" s="101"/>
      <c r="K519" s="101">
        <v>15000</v>
      </c>
      <c r="L519" s="101"/>
      <c r="M519" s="10"/>
      <c r="N519" s="10"/>
      <c r="O519"/>
      <c r="P519"/>
    </row>
    <row r="520" spans="1:16" s="146" customFormat="1" ht="18" x14ac:dyDescent="0.25">
      <c r="A520" s="48" t="s">
        <v>123</v>
      </c>
      <c r="B520" s="926" t="s">
        <v>1386</v>
      </c>
      <c r="C520" s="1611" t="s">
        <v>147</v>
      </c>
      <c r="D520" s="1602"/>
      <c r="E520" s="812"/>
      <c r="F520" s="812"/>
      <c r="G520" s="131" t="s">
        <v>148</v>
      </c>
      <c r="H520" s="101"/>
      <c r="I520" s="102"/>
      <c r="J520" s="101"/>
      <c r="K520" s="101">
        <v>9000</v>
      </c>
      <c r="L520" s="101"/>
      <c r="M520" s="10"/>
      <c r="N520" s="10"/>
      <c r="O520"/>
      <c r="P520"/>
    </row>
    <row r="521" spans="1:16" s="146" customFormat="1" ht="18" x14ac:dyDescent="0.25">
      <c r="A521" s="48" t="s">
        <v>123</v>
      </c>
      <c r="B521" s="926" t="s">
        <v>1386</v>
      </c>
      <c r="C521" s="1602" t="s">
        <v>153</v>
      </c>
      <c r="D521" s="1603"/>
      <c r="E521" s="1603"/>
      <c r="F521" s="1603"/>
      <c r="G521" s="131" t="s">
        <v>154</v>
      </c>
      <c r="H521" s="101"/>
      <c r="I521" s="102">
        <v>145516.32</v>
      </c>
      <c r="J521" s="101"/>
      <c r="K521" s="101">
        <v>152821.44</v>
      </c>
      <c r="L521" s="101"/>
      <c r="M521" s="10"/>
      <c r="N521" s="10"/>
      <c r="O521"/>
      <c r="P521"/>
    </row>
    <row r="522" spans="1:16" s="146" customFormat="1" ht="18" x14ac:dyDescent="0.25">
      <c r="A522" s="48" t="s">
        <v>123</v>
      </c>
      <c r="B522" s="926" t="s">
        <v>1386</v>
      </c>
      <c r="C522" s="1602" t="s">
        <v>155</v>
      </c>
      <c r="D522" s="1603"/>
      <c r="E522" s="1603"/>
      <c r="F522" s="1603"/>
      <c r="G522" s="131" t="s">
        <v>156</v>
      </c>
      <c r="H522" s="101"/>
      <c r="I522" s="102">
        <v>3600</v>
      </c>
      <c r="J522" s="101"/>
      <c r="K522" s="101">
        <v>3600</v>
      </c>
      <c r="L522" s="101"/>
      <c r="M522" s="10"/>
      <c r="N522" s="10"/>
      <c r="O522"/>
      <c r="P522"/>
    </row>
    <row r="523" spans="1:16" s="146" customFormat="1" ht="18" x14ac:dyDescent="0.25">
      <c r="A523" s="48" t="s">
        <v>123</v>
      </c>
      <c r="B523" s="926" t="s">
        <v>1386</v>
      </c>
      <c r="C523" s="1602" t="s">
        <v>157</v>
      </c>
      <c r="D523" s="1603"/>
      <c r="E523" s="1603"/>
      <c r="F523" s="1603"/>
      <c r="G523" s="131" t="s">
        <v>158</v>
      </c>
      <c r="H523" s="101"/>
      <c r="I523" s="102">
        <v>19627.650000000001</v>
      </c>
      <c r="J523" s="101"/>
      <c r="K523" s="101">
        <v>50652</v>
      </c>
      <c r="L523" s="101"/>
      <c r="M523" s="10"/>
      <c r="N523" s="10"/>
      <c r="O523"/>
      <c r="P523"/>
    </row>
    <row r="524" spans="1:16" s="146" customFormat="1" ht="18" x14ac:dyDescent="0.25">
      <c r="A524" s="48" t="s">
        <v>123</v>
      </c>
      <c r="B524" s="926" t="s">
        <v>1386</v>
      </c>
      <c r="C524" s="1602" t="s">
        <v>159</v>
      </c>
      <c r="D524" s="1603"/>
      <c r="E524" s="1603"/>
      <c r="F524" s="1603"/>
      <c r="G524" s="133" t="s">
        <v>160</v>
      </c>
      <c r="H524" s="105"/>
      <c r="I524" s="106">
        <v>3600</v>
      </c>
      <c r="J524" s="105"/>
      <c r="K524" s="105">
        <v>3600</v>
      </c>
      <c r="L524" s="105"/>
      <c r="M524" s="10"/>
      <c r="N524" s="10"/>
      <c r="O524"/>
      <c r="P524"/>
    </row>
    <row r="525" spans="1:16" s="146" customFormat="1" ht="18" x14ac:dyDescent="0.25">
      <c r="A525" s="169" t="s">
        <v>163</v>
      </c>
      <c r="B525" s="926" t="s">
        <v>1386</v>
      </c>
      <c r="C525" s="38" t="s">
        <v>294</v>
      </c>
      <c r="D525" s="184"/>
      <c r="E525" s="184"/>
      <c r="F525" s="184"/>
      <c r="G525" s="131" t="s">
        <v>169</v>
      </c>
      <c r="H525" s="101">
        <v>0</v>
      </c>
      <c r="I525" s="102">
        <v>10000</v>
      </c>
      <c r="J525" s="101"/>
      <c r="K525" s="102">
        <v>68000</v>
      </c>
      <c r="L525" s="101"/>
      <c r="M525" s="10"/>
      <c r="N525" s="10"/>
      <c r="O525"/>
      <c r="P525"/>
    </row>
    <row r="526" spans="1:16" s="146" customFormat="1" ht="18" x14ac:dyDescent="0.25">
      <c r="A526" s="169" t="s">
        <v>163</v>
      </c>
      <c r="B526" s="926" t="s">
        <v>1386</v>
      </c>
      <c r="C526" s="38" t="s">
        <v>213</v>
      </c>
      <c r="D526" s="184"/>
      <c r="E526" s="184"/>
      <c r="F526" s="184"/>
      <c r="G526" s="131"/>
      <c r="H526" s="101"/>
      <c r="I526" s="102"/>
      <c r="J526" s="101"/>
      <c r="K526" s="102">
        <v>8000</v>
      </c>
      <c r="L526" s="101"/>
      <c r="M526" s="10"/>
      <c r="N526" s="10"/>
      <c r="O526"/>
      <c r="P526"/>
    </row>
    <row r="527" spans="1:16" s="146" customFormat="1" ht="18" x14ac:dyDescent="0.25">
      <c r="A527" s="169" t="s">
        <v>163</v>
      </c>
      <c r="B527" s="926" t="s">
        <v>1386</v>
      </c>
      <c r="C527" s="38" t="s">
        <v>296</v>
      </c>
      <c r="D527" s="184"/>
      <c r="E527" s="184"/>
      <c r="F527" s="184"/>
      <c r="G527" s="131" t="s">
        <v>177</v>
      </c>
      <c r="H527" s="101">
        <v>0</v>
      </c>
      <c r="I527" s="102">
        <v>10000</v>
      </c>
      <c r="J527" s="101"/>
      <c r="K527" s="102">
        <v>10000</v>
      </c>
      <c r="L527" s="101"/>
      <c r="M527" s="10"/>
      <c r="N527" s="10"/>
      <c r="O527"/>
      <c r="P527"/>
    </row>
    <row r="528" spans="1:16" s="146" customFormat="1" ht="18" x14ac:dyDescent="0.25">
      <c r="A528" s="169" t="s">
        <v>163</v>
      </c>
      <c r="B528" s="926" t="s">
        <v>1386</v>
      </c>
      <c r="C528" s="38" t="s">
        <v>178</v>
      </c>
      <c r="D528" s="184"/>
      <c r="E528" s="184"/>
      <c r="F528" s="184"/>
      <c r="G528" s="131" t="s">
        <v>179</v>
      </c>
      <c r="H528" s="101"/>
      <c r="I528" s="102"/>
      <c r="J528" s="101"/>
      <c r="K528" s="102">
        <v>54000</v>
      </c>
      <c r="L528" s="101"/>
      <c r="M528" s="10"/>
      <c r="N528" s="10"/>
      <c r="O528"/>
      <c r="P528"/>
    </row>
    <row r="529" spans="1:16" s="146" customFormat="1" ht="18" x14ac:dyDescent="0.25">
      <c r="A529" s="169" t="s">
        <v>163</v>
      </c>
      <c r="B529" s="926" t="s">
        <v>1386</v>
      </c>
      <c r="C529" s="38" t="s">
        <v>297</v>
      </c>
      <c r="D529" s="184"/>
      <c r="E529" s="184"/>
      <c r="F529" s="184"/>
      <c r="G529" s="131" t="s">
        <v>187</v>
      </c>
      <c r="H529" s="101">
        <v>0</v>
      </c>
      <c r="I529" s="102">
        <v>10000</v>
      </c>
      <c r="J529" s="101"/>
      <c r="K529" s="102">
        <v>10000</v>
      </c>
      <c r="L529" s="101"/>
      <c r="M529" s="10"/>
      <c r="N529" s="10"/>
      <c r="O529"/>
      <c r="P529"/>
    </row>
    <row r="530" spans="1:16" s="146" customFormat="1" ht="18" x14ac:dyDescent="0.25">
      <c r="A530" s="169" t="s">
        <v>163</v>
      </c>
      <c r="B530" s="926" t="s">
        <v>1386</v>
      </c>
      <c r="C530" s="38" t="s">
        <v>300</v>
      </c>
      <c r="D530" s="184"/>
      <c r="E530" s="184"/>
      <c r="F530" s="184"/>
      <c r="G530" s="131" t="s">
        <v>199</v>
      </c>
      <c r="H530" s="101">
        <v>0</v>
      </c>
      <c r="I530" s="102">
        <v>150000</v>
      </c>
      <c r="J530" s="101"/>
      <c r="K530" s="102">
        <v>150000</v>
      </c>
      <c r="L530" s="101"/>
      <c r="M530" s="10"/>
      <c r="N530" s="10"/>
      <c r="O530"/>
      <c r="P530"/>
    </row>
    <row r="531" spans="1:16" s="194" customFormat="1" ht="18" x14ac:dyDescent="0.25">
      <c r="A531" s="927" t="s">
        <v>201</v>
      </c>
      <c r="B531" s="926" t="s">
        <v>1386</v>
      </c>
      <c r="C531" s="824" t="s">
        <v>325</v>
      </c>
      <c r="D531" s="813"/>
      <c r="E531" s="813"/>
      <c r="F531" s="811"/>
      <c r="G531" s="97"/>
      <c r="H531" s="101"/>
      <c r="I531" s="102"/>
      <c r="J531" s="101"/>
      <c r="K531" s="102">
        <v>400000</v>
      </c>
      <c r="L531" s="101"/>
      <c r="M531" s="10"/>
      <c r="N531" s="10"/>
      <c r="O531" s="191"/>
      <c r="P531" s="191"/>
    </row>
    <row r="532" spans="1:16" s="146" customFormat="1" ht="18" x14ac:dyDescent="0.25">
      <c r="A532" s="48" t="s">
        <v>123</v>
      </c>
      <c r="B532" s="926" t="s">
        <v>1386</v>
      </c>
      <c r="C532" s="1602" t="s">
        <v>124</v>
      </c>
      <c r="D532" s="1603"/>
      <c r="E532" s="1603"/>
      <c r="F532" s="1603"/>
      <c r="G532" s="100" t="s">
        <v>125</v>
      </c>
      <c r="H532" s="101">
        <v>0</v>
      </c>
      <c r="I532" s="102">
        <v>1063608</v>
      </c>
      <c r="J532" s="101"/>
      <c r="K532" s="101">
        <v>1111488</v>
      </c>
      <c r="L532" s="101"/>
      <c r="M532" s="10"/>
      <c r="N532" s="10"/>
      <c r="O532"/>
      <c r="P532"/>
    </row>
    <row r="533" spans="1:16" s="146" customFormat="1" ht="18" x14ac:dyDescent="0.25">
      <c r="A533" s="48" t="s">
        <v>123</v>
      </c>
      <c r="B533" s="926" t="s">
        <v>1386</v>
      </c>
      <c r="C533" s="1602" t="s">
        <v>129</v>
      </c>
      <c r="D533" s="1603"/>
      <c r="E533" s="1603"/>
      <c r="F533" s="1603"/>
      <c r="G533" s="103" t="s">
        <v>130</v>
      </c>
      <c r="H533" s="101">
        <v>0</v>
      </c>
      <c r="I533" s="102">
        <v>48000</v>
      </c>
      <c r="J533" s="101"/>
      <c r="K533" s="101">
        <v>48000</v>
      </c>
      <c r="L533" s="101"/>
      <c r="M533" s="10"/>
      <c r="N533" s="10"/>
      <c r="O533"/>
      <c r="P533"/>
    </row>
    <row r="534" spans="1:16" s="146" customFormat="1" ht="18" x14ac:dyDescent="0.25">
      <c r="A534" s="48" t="s">
        <v>123</v>
      </c>
      <c r="B534" s="926" t="s">
        <v>1386</v>
      </c>
      <c r="C534" s="1602" t="s">
        <v>131</v>
      </c>
      <c r="D534" s="1603"/>
      <c r="E534" s="1603"/>
      <c r="F534" s="1603"/>
      <c r="G534" s="100" t="s">
        <v>132</v>
      </c>
      <c r="H534" s="101">
        <v>0</v>
      </c>
      <c r="I534" s="102">
        <v>72000</v>
      </c>
      <c r="J534" s="101"/>
      <c r="K534" s="101">
        <v>72000</v>
      </c>
      <c r="L534" s="101"/>
      <c r="M534" s="10"/>
      <c r="N534" s="10"/>
      <c r="O534"/>
      <c r="P534"/>
    </row>
    <row r="535" spans="1:16" s="146" customFormat="1" ht="18" x14ac:dyDescent="0.25">
      <c r="A535" s="48" t="s">
        <v>123</v>
      </c>
      <c r="B535" s="926" t="s">
        <v>1386</v>
      </c>
      <c r="C535" s="1602" t="s">
        <v>133</v>
      </c>
      <c r="D535" s="1603"/>
      <c r="E535" s="1603"/>
      <c r="F535" s="1603"/>
      <c r="G535" s="100" t="s">
        <v>134</v>
      </c>
      <c r="H535" s="101">
        <v>0</v>
      </c>
      <c r="I535" s="102">
        <v>72000</v>
      </c>
      <c r="J535" s="101"/>
      <c r="K535" s="101">
        <v>72000</v>
      </c>
      <c r="L535" s="101"/>
      <c r="M535" s="10"/>
      <c r="N535" s="10"/>
      <c r="O535"/>
      <c r="P535"/>
    </row>
    <row r="536" spans="1:16" s="146" customFormat="1" ht="18" x14ac:dyDescent="0.25">
      <c r="A536" s="48" t="s">
        <v>123</v>
      </c>
      <c r="B536" s="926" t="s">
        <v>1386</v>
      </c>
      <c r="C536" s="1602" t="s">
        <v>137</v>
      </c>
      <c r="D536" s="1603"/>
      <c r="E536" s="1603"/>
      <c r="F536" s="1603"/>
      <c r="G536" s="100" t="s">
        <v>138</v>
      </c>
      <c r="H536" s="101">
        <v>0</v>
      </c>
      <c r="I536" s="102">
        <v>12000</v>
      </c>
      <c r="J536" s="101"/>
      <c r="K536" s="101">
        <v>12000</v>
      </c>
      <c r="L536" s="101"/>
      <c r="M536" s="10"/>
      <c r="N536" s="10"/>
      <c r="O536"/>
      <c r="P536"/>
    </row>
    <row r="537" spans="1:16" s="146" customFormat="1" ht="18" customHeight="1" x14ac:dyDescent="0.25">
      <c r="A537" s="48" t="s">
        <v>123</v>
      </c>
      <c r="B537" s="926" t="s">
        <v>1386</v>
      </c>
      <c r="C537" s="1602" t="s">
        <v>139</v>
      </c>
      <c r="D537" s="1603"/>
      <c r="E537" s="1603"/>
      <c r="F537" s="1603"/>
      <c r="G537" s="100" t="s">
        <v>140</v>
      </c>
      <c r="H537" s="101">
        <v>0</v>
      </c>
      <c r="I537" s="102">
        <v>88634</v>
      </c>
      <c r="J537" s="101"/>
      <c r="K537" s="101">
        <v>92624</v>
      </c>
      <c r="L537" s="101"/>
      <c r="M537" s="10"/>
      <c r="N537" s="10"/>
      <c r="O537"/>
      <c r="P537"/>
    </row>
    <row r="538" spans="1:16" s="146" customFormat="1" ht="18" x14ac:dyDescent="0.25">
      <c r="A538" s="48" t="s">
        <v>123</v>
      </c>
      <c r="B538" s="926" t="s">
        <v>1386</v>
      </c>
      <c r="C538" s="1602" t="s">
        <v>141</v>
      </c>
      <c r="D538" s="1603"/>
      <c r="E538" s="1603"/>
      <c r="F538" s="1603"/>
      <c r="G538" s="100" t="s">
        <v>142</v>
      </c>
      <c r="H538" s="101">
        <v>0</v>
      </c>
      <c r="I538" s="102">
        <v>88634</v>
      </c>
      <c r="J538" s="101"/>
      <c r="K538" s="101">
        <v>92624</v>
      </c>
      <c r="L538" s="101"/>
      <c r="M538" s="10"/>
      <c r="N538" s="10"/>
      <c r="O538"/>
      <c r="P538"/>
    </row>
    <row r="539" spans="1:16" s="146" customFormat="1" ht="18" x14ac:dyDescent="0.25">
      <c r="A539" s="48" t="s">
        <v>123</v>
      </c>
      <c r="B539" s="926" t="s">
        <v>1386</v>
      </c>
      <c r="C539" s="1602" t="s">
        <v>143</v>
      </c>
      <c r="D539" s="1603"/>
      <c r="E539" s="1603"/>
      <c r="F539" s="1603"/>
      <c r="G539" s="100" t="s">
        <v>144</v>
      </c>
      <c r="H539" s="101">
        <v>0</v>
      </c>
      <c r="I539" s="102">
        <v>10000</v>
      </c>
      <c r="J539" s="101"/>
      <c r="K539" s="101">
        <v>10000</v>
      </c>
      <c r="L539" s="101"/>
      <c r="M539" s="10"/>
      <c r="N539" s="10"/>
      <c r="O539"/>
      <c r="P539"/>
    </row>
    <row r="540" spans="1:16" s="146" customFormat="1" ht="18" x14ac:dyDescent="0.25">
      <c r="A540" s="48" t="s">
        <v>123</v>
      </c>
      <c r="B540" s="926" t="s">
        <v>1386</v>
      </c>
      <c r="C540" s="1602" t="s">
        <v>145</v>
      </c>
      <c r="D540" s="1603"/>
      <c r="E540" s="1603"/>
      <c r="F540" s="1603"/>
      <c r="G540" s="100" t="s">
        <v>146</v>
      </c>
      <c r="H540" s="101">
        <v>0</v>
      </c>
      <c r="I540" s="102">
        <v>10000</v>
      </c>
      <c r="J540" s="101"/>
      <c r="K540" s="101">
        <v>10000</v>
      </c>
      <c r="L540" s="101"/>
      <c r="M540" s="10"/>
      <c r="N540" s="10"/>
      <c r="O540"/>
      <c r="P540"/>
    </row>
    <row r="541" spans="1:16" s="146" customFormat="1" ht="18" x14ac:dyDescent="0.25">
      <c r="A541" s="48" t="s">
        <v>123</v>
      </c>
      <c r="B541" s="926" t="s">
        <v>1386</v>
      </c>
      <c r="C541" s="826" t="s">
        <v>147</v>
      </c>
      <c r="D541" s="813"/>
      <c r="E541" s="813"/>
      <c r="F541" s="811"/>
      <c r="G541" s="100" t="s">
        <v>148</v>
      </c>
      <c r="H541" s="101"/>
      <c r="I541" s="102"/>
      <c r="J541" s="101"/>
      <c r="K541" s="101">
        <v>6000</v>
      </c>
      <c r="L541" s="101"/>
      <c r="M541" s="10"/>
      <c r="N541" s="10"/>
      <c r="O541"/>
      <c r="P541"/>
    </row>
    <row r="542" spans="1:16" s="146" customFormat="1" ht="18" x14ac:dyDescent="0.25">
      <c r="A542" s="48" t="s">
        <v>123</v>
      </c>
      <c r="B542" s="926" t="s">
        <v>1386</v>
      </c>
      <c r="C542" s="1602" t="s">
        <v>153</v>
      </c>
      <c r="D542" s="1603"/>
      <c r="E542" s="1603"/>
      <c r="F542" s="1603"/>
      <c r="G542" s="100" t="s">
        <v>154</v>
      </c>
      <c r="H542" s="101">
        <v>0</v>
      </c>
      <c r="I542" s="102">
        <v>127632.96000000001</v>
      </c>
      <c r="J542" s="101"/>
      <c r="K542" s="101">
        <v>133378.56</v>
      </c>
      <c r="L542" s="101"/>
      <c r="M542" s="10"/>
      <c r="N542" s="10"/>
      <c r="O542"/>
      <c r="P542"/>
    </row>
    <row r="543" spans="1:16" s="146" customFormat="1" ht="18" x14ac:dyDescent="0.25">
      <c r="A543" s="48" t="s">
        <v>123</v>
      </c>
      <c r="B543" s="926" t="s">
        <v>1386</v>
      </c>
      <c r="C543" s="1602" t="s">
        <v>155</v>
      </c>
      <c r="D543" s="1603"/>
      <c r="E543" s="1603"/>
      <c r="F543" s="1603"/>
      <c r="G543" s="100" t="s">
        <v>156</v>
      </c>
      <c r="H543" s="101">
        <v>0</v>
      </c>
      <c r="I543" s="102">
        <v>2400</v>
      </c>
      <c r="J543" s="101"/>
      <c r="K543" s="101">
        <v>2400</v>
      </c>
      <c r="L543" s="101"/>
      <c r="M543" s="10"/>
      <c r="N543" s="10"/>
      <c r="O543"/>
      <c r="P543"/>
    </row>
    <row r="544" spans="1:16" s="146" customFormat="1" ht="18" x14ac:dyDescent="0.25">
      <c r="A544" s="48" t="s">
        <v>123</v>
      </c>
      <c r="B544" s="926" t="s">
        <v>1386</v>
      </c>
      <c r="C544" s="1602" t="s">
        <v>157</v>
      </c>
      <c r="D544" s="1603"/>
      <c r="E544" s="1603"/>
      <c r="F544" s="1603"/>
      <c r="G544" s="100" t="s">
        <v>158</v>
      </c>
      <c r="H544" s="101">
        <v>0</v>
      </c>
      <c r="I544" s="102">
        <v>17019.66</v>
      </c>
      <c r="J544" s="101"/>
      <c r="K544" s="101">
        <v>44160</v>
      </c>
      <c r="L544" s="101"/>
      <c r="M544" s="10"/>
      <c r="N544" s="10"/>
      <c r="O544"/>
      <c r="P544"/>
    </row>
    <row r="545" spans="1:16" s="146" customFormat="1" ht="18" x14ac:dyDescent="0.25">
      <c r="A545" s="48" t="s">
        <v>123</v>
      </c>
      <c r="B545" s="926" t="s">
        <v>1386</v>
      </c>
      <c r="C545" s="1602" t="s">
        <v>159</v>
      </c>
      <c r="D545" s="1603"/>
      <c r="E545" s="1603"/>
      <c r="F545" s="1603"/>
      <c r="G545" s="100" t="s">
        <v>160</v>
      </c>
      <c r="H545" s="101">
        <v>0</v>
      </c>
      <c r="I545" s="102">
        <v>2400</v>
      </c>
      <c r="J545" s="101"/>
      <c r="K545" s="101">
        <v>2400</v>
      </c>
      <c r="L545" s="101"/>
      <c r="M545" s="10"/>
      <c r="N545" s="10"/>
      <c r="O545"/>
      <c r="P545"/>
    </row>
    <row r="546" spans="1:16" s="146" customFormat="1" ht="18" x14ac:dyDescent="0.25">
      <c r="A546" s="169" t="s">
        <v>163</v>
      </c>
      <c r="B546" s="926" t="s">
        <v>1386</v>
      </c>
      <c r="C546" s="38" t="s">
        <v>294</v>
      </c>
      <c r="D546" s="184"/>
      <c r="E546" s="184"/>
      <c r="F546" s="184"/>
      <c r="G546" s="100" t="s">
        <v>169</v>
      </c>
      <c r="H546" s="101">
        <v>0</v>
      </c>
      <c r="I546" s="102">
        <v>10000</v>
      </c>
      <c r="J546" s="101"/>
      <c r="K546" s="102">
        <v>10000</v>
      </c>
      <c r="L546" s="101"/>
      <c r="M546" s="10"/>
      <c r="N546" s="10"/>
      <c r="O546"/>
      <c r="P546"/>
    </row>
    <row r="547" spans="1:16" s="146" customFormat="1" ht="18" x14ac:dyDescent="0.25">
      <c r="A547" s="169" t="s">
        <v>163</v>
      </c>
      <c r="B547" s="926" t="s">
        <v>1386</v>
      </c>
      <c r="C547" s="38" t="s">
        <v>178</v>
      </c>
      <c r="D547" s="184"/>
      <c r="E547" s="184"/>
      <c r="F547" s="184"/>
      <c r="G547" s="100" t="s">
        <v>179</v>
      </c>
      <c r="H547" s="101"/>
      <c r="I547" s="102"/>
      <c r="J547" s="101"/>
      <c r="K547" s="102">
        <v>42000</v>
      </c>
      <c r="L547" s="101"/>
      <c r="M547" s="10"/>
      <c r="N547" s="10"/>
      <c r="O547"/>
      <c r="P547"/>
    </row>
    <row r="548" spans="1:16" s="146" customFormat="1" ht="18" x14ac:dyDescent="0.25">
      <c r="A548" s="169" t="s">
        <v>163</v>
      </c>
      <c r="B548" s="926" t="s">
        <v>1386</v>
      </c>
      <c r="C548" s="38" t="s">
        <v>327</v>
      </c>
      <c r="D548" s="184"/>
      <c r="E548" s="184"/>
      <c r="F548" s="184"/>
      <c r="G548" s="100" t="s">
        <v>237</v>
      </c>
      <c r="H548" s="101">
        <v>0</v>
      </c>
      <c r="I548" s="102">
        <v>6000</v>
      </c>
      <c r="J548" s="101"/>
      <c r="K548" s="102">
        <v>6000</v>
      </c>
      <c r="L548" s="101"/>
      <c r="M548" s="10"/>
      <c r="N548" s="10"/>
      <c r="O548"/>
      <c r="P548"/>
    </row>
    <row r="549" spans="1:16" s="146" customFormat="1" ht="18" x14ac:dyDescent="0.25">
      <c r="A549" s="169" t="s">
        <v>163</v>
      </c>
      <c r="B549" s="926" t="s">
        <v>1386</v>
      </c>
      <c r="C549" s="38" t="s">
        <v>300</v>
      </c>
      <c r="D549" s="184"/>
      <c r="E549" s="184"/>
      <c r="F549" s="184"/>
      <c r="G549" s="100" t="s">
        <v>199</v>
      </c>
      <c r="H549" s="105">
        <v>0</v>
      </c>
      <c r="I549" s="106">
        <v>46600</v>
      </c>
      <c r="J549" s="105"/>
      <c r="K549" s="106">
        <v>46600</v>
      </c>
      <c r="L549" s="105"/>
      <c r="M549" s="10"/>
      <c r="N549" s="10"/>
      <c r="O549"/>
      <c r="P549"/>
    </row>
    <row r="550" spans="1:16" s="146" customFormat="1" ht="18" x14ac:dyDescent="0.25">
      <c r="A550" s="48" t="s">
        <v>123</v>
      </c>
      <c r="B550" s="926" t="s">
        <v>1386</v>
      </c>
      <c r="C550" s="1602" t="s">
        <v>124</v>
      </c>
      <c r="D550" s="1603"/>
      <c r="E550" s="1603"/>
      <c r="F550" s="1603"/>
      <c r="G550" s="100" t="s">
        <v>125</v>
      </c>
      <c r="H550" s="101">
        <v>1525368</v>
      </c>
      <c r="I550" s="102">
        <v>1833072</v>
      </c>
      <c r="J550" s="101">
        <v>944784.36</v>
      </c>
      <c r="K550" s="101">
        <v>1957500</v>
      </c>
      <c r="L550" s="101"/>
      <c r="M550" s="10"/>
      <c r="N550" s="10"/>
      <c r="O550"/>
      <c r="P550"/>
    </row>
    <row r="551" spans="1:16" s="146" customFormat="1" ht="18" x14ac:dyDescent="0.25">
      <c r="A551" s="48" t="s">
        <v>123</v>
      </c>
      <c r="B551" s="926" t="s">
        <v>1386</v>
      </c>
      <c r="C551" s="1602" t="s">
        <v>128</v>
      </c>
      <c r="D551" s="1603"/>
      <c r="E551" s="1603"/>
      <c r="F551" s="1603"/>
      <c r="G551" s="100" t="s">
        <v>125</v>
      </c>
      <c r="H551" s="101"/>
      <c r="I551" s="102">
        <v>2574</v>
      </c>
      <c r="J551" s="101">
        <v>6000</v>
      </c>
      <c r="K551" s="101">
        <v>3078.55</v>
      </c>
      <c r="L551" s="101"/>
      <c r="M551" s="10"/>
      <c r="N551" s="10"/>
      <c r="O551"/>
      <c r="P551"/>
    </row>
    <row r="552" spans="1:16" s="146" customFormat="1" ht="18" x14ac:dyDescent="0.25">
      <c r="A552" s="48" t="s">
        <v>123</v>
      </c>
      <c r="B552" s="926" t="s">
        <v>1386</v>
      </c>
      <c r="C552" s="1602" t="s">
        <v>129</v>
      </c>
      <c r="D552" s="1603"/>
      <c r="E552" s="1603"/>
      <c r="F552" s="1603"/>
      <c r="G552" s="103" t="s">
        <v>130</v>
      </c>
      <c r="H552" s="101">
        <v>72000</v>
      </c>
      <c r="I552" s="102">
        <v>96000</v>
      </c>
      <c r="J552" s="101">
        <v>42000</v>
      </c>
      <c r="K552" s="101">
        <v>96000</v>
      </c>
      <c r="L552" s="101"/>
      <c r="M552" s="10"/>
      <c r="N552" s="10"/>
      <c r="O552"/>
      <c r="P552"/>
    </row>
    <row r="553" spans="1:16" s="146" customFormat="1" ht="18" x14ac:dyDescent="0.25">
      <c r="A553" s="48" t="s">
        <v>123</v>
      </c>
      <c r="B553" s="926" t="s">
        <v>1386</v>
      </c>
      <c r="C553" s="1602" t="s">
        <v>131</v>
      </c>
      <c r="D553" s="1603"/>
      <c r="E553" s="1603"/>
      <c r="F553" s="1603"/>
      <c r="G553" s="100" t="s">
        <v>132</v>
      </c>
      <c r="H553" s="101">
        <v>72000</v>
      </c>
      <c r="I553" s="102">
        <v>72000</v>
      </c>
      <c r="J553" s="101">
        <v>42000</v>
      </c>
      <c r="K553" s="101">
        <v>72000</v>
      </c>
      <c r="L553" s="101"/>
      <c r="M553" s="10"/>
      <c r="N553" s="10"/>
      <c r="O553"/>
      <c r="P553"/>
    </row>
    <row r="554" spans="1:16" s="146" customFormat="1" ht="18" x14ac:dyDescent="0.25">
      <c r="A554" s="48" t="s">
        <v>123</v>
      </c>
      <c r="B554" s="926" t="s">
        <v>1386</v>
      </c>
      <c r="C554" s="1602" t="s">
        <v>133</v>
      </c>
      <c r="D554" s="1603"/>
      <c r="E554" s="1603"/>
      <c r="F554" s="1603"/>
      <c r="G554" s="100" t="s">
        <v>134</v>
      </c>
      <c r="H554" s="101">
        <v>72000</v>
      </c>
      <c r="I554" s="102">
        <v>72000</v>
      </c>
      <c r="J554" s="101">
        <v>36000</v>
      </c>
      <c r="K554" s="101">
        <v>72000</v>
      </c>
      <c r="L554" s="101"/>
      <c r="M554" s="10"/>
      <c r="N554" s="10"/>
      <c r="O554"/>
      <c r="P554"/>
    </row>
    <row r="555" spans="1:16" s="146" customFormat="1" ht="18" x14ac:dyDescent="0.25">
      <c r="A555" s="48" t="s">
        <v>123</v>
      </c>
      <c r="B555" s="926" t="s">
        <v>1386</v>
      </c>
      <c r="C555" s="1602" t="s">
        <v>135</v>
      </c>
      <c r="D555" s="1603"/>
      <c r="E555" s="1603"/>
      <c r="F555" s="1603"/>
      <c r="G555" s="100" t="s">
        <v>136</v>
      </c>
      <c r="H555" s="101"/>
      <c r="I555" s="102">
        <v>120000</v>
      </c>
      <c r="J555" s="101"/>
      <c r="K555" s="101">
        <v>119869.8</v>
      </c>
      <c r="L555" s="101"/>
      <c r="M555" s="10"/>
      <c r="N555" s="10"/>
      <c r="O555"/>
      <c r="P555"/>
    </row>
    <row r="556" spans="1:16" s="146" customFormat="1" ht="18" x14ac:dyDescent="0.25">
      <c r="A556" s="48" t="s">
        <v>123</v>
      </c>
      <c r="B556" s="926" t="s">
        <v>1386</v>
      </c>
      <c r="C556" s="1602" t="s">
        <v>137</v>
      </c>
      <c r="D556" s="1603"/>
      <c r="E556" s="1603"/>
      <c r="F556" s="1603"/>
      <c r="G556" s="100" t="s">
        <v>138</v>
      </c>
      <c r="H556" s="101">
        <v>18000</v>
      </c>
      <c r="I556" s="102">
        <v>24000</v>
      </c>
      <c r="J556" s="101">
        <v>18000</v>
      </c>
      <c r="K556" s="101">
        <v>24000</v>
      </c>
      <c r="L556" s="101"/>
      <c r="M556" s="10"/>
      <c r="N556" s="10"/>
      <c r="O556"/>
      <c r="P556"/>
    </row>
    <row r="557" spans="1:16" s="146" customFormat="1" ht="18" customHeight="1" x14ac:dyDescent="0.25">
      <c r="A557" s="48" t="s">
        <v>123</v>
      </c>
      <c r="B557" s="926" t="s">
        <v>1386</v>
      </c>
      <c r="C557" s="1602" t="s">
        <v>139</v>
      </c>
      <c r="D557" s="1603"/>
      <c r="E557" s="1603"/>
      <c r="F557" s="1603"/>
      <c r="G557" s="100" t="s">
        <v>140</v>
      </c>
      <c r="H557" s="101">
        <v>127114</v>
      </c>
      <c r="I557" s="102">
        <v>152756</v>
      </c>
      <c r="J557" s="101">
        <v>142607</v>
      </c>
      <c r="K557" s="101">
        <v>163533</v>
      </c>
      <c r="L557" s="1616"/>
      <c r="M557" s="10"/>
      <c r="N557" s="10">
        <v>181975.71</v>
      </c>
      <c r="O557"/>
      <c r="P557"/>
    </row>
    <row r="558" spans="1:16" s="146" customFormat="1" ht="18" x14ac:dyDescent="0.25">
      <c r="A558" s="48" t="s">
        <v>123</v>
      </c>
      <c r="B558" s="926" t="s">
        <v>1386</v>
      </c>
      <c r="C558" s="1602" t="s">
        <v>141</v>
      </c>
      <c r="D558" s="1603"/>
      <c r="E558" s="1603"/>
      <c r="F558" s="1603"/>
      <c r="G558" s="100" t="s">
        <v>142</v>
      </c>
      <c r="H558" s="101">
        <v>127114</v>
      </c>
      <c r="I558" s="102">
        <v>152756</v>
      </c>
      <c r="J558" s="101"/>
      <c r="K558" s="101">
        <v>163533</v>
      </c>
      <c r="L558" s="1616"/>
      <c r="M558" s="10"/>
      <c r="N558" s="10">
        <v>704334.78</v>
      </c>
      <c r="O558"/>
      <c r="P558"/>
    </row>
    <row r="559" spans="1:16" s="146" customFormat="1" ht="18" x14ac:dyDescent="0.25">
      <c r="A559" s="48" t="s">
        <v>123</v>
      </c>
      <c r="B559" s="926" t="s">
        <v>1386</v>
      </c>
      <c r="C559" s="1602" t="s">
        <v>143</v>
      </c>
      <c r="D559" s="1603"/>
      <c r="E559" s="1603"/>
      <c r="F559" s="1603"/>
      <c r="G559" s="100" t="s">
        <v>144</v>
      </c>
      <c r="H559" s="101">
        <v>15000</v>
      </c>
      <c r="I559" s="102">
        <v>20000</v>
      </c>
      <c r="J559" s="101"/>
      <c r="K559" s="101">
        <v>20000</v>
      </c>
      <c r="L559" s="101"/>
      <c r="M559" s="10"/>
      <c r="N559" s="10">
        <v>346576.64000000001</v>
      </c>
      <c r="O559"/>
      <c r="P559"/>
    </row>
    <row r="560" spans="1:16" s="146" customFormat="1" ht="18" x14ac:dyDescent="0.25">
      <c r="A560" s="48" t="s">
        <v>123</v>
      </c>
      <c r="B560" s="926" t="s">
        <v>1386</v>
      </c>
      <c r="C560" s="1602" t="s">
        <v>145</v>
      </c>
      <c r="D560" s="1603"/>
      <c r="E560" s="1603"/>
      <c r="F560" s="1610"/>
      <c r="G560" s="100" t="s">
        <v>146</v>
      </c>
      <c r="H560" s="101">
        <v>15000</v>
      </c>
      <c r="I560" s="102">
        <v>20000</v>
      </c>
      <c r="J560" s="101"/>
      <c r="K560" s="101">
        <v>20000</v>
      </c>
      <c r="L560" s="101"/>
      <c r="M560" s="10"/>
      <c r="N560" s="10">
        <v>1085872.56</v>
      </c>
      <c r="O560"/>
      <c r="P560"/>
    </row>
    <row r="561" spans="1:16" s="146" customFormat="1" ht="18" x14ac:dyDescent="0.25">
      <c r="A561" s="48" t="s">
        <v>123</v>
      </c>
      <c r="B561" s="926" t="s">
        <v>1386</v>
      </c>
      <c r="C561" s="826" t="s">
        <v>147</v>
      </c>
      <c r="D561" s="813"/>
      <c r="E561" s="813"/>
      <c r="F561" s="813"/>
      <c r="G561" s="100" t="s">
        <v>148</v>
      </c>
      <c r="H561" s="101"/>
      <c r="I561" s="102"/>
      <c r="J561" s="101"/>
      <c r="K561" s="101">
        <v>12000</v>
      </c>
      <c r="L561" s="101"/>
      <c r="M561" s="10"/>
      <c r="N561" s="10">
        <v>1216270.04</v>
      </c>
      <c r="O561"/>
      <c r="P561"/>
    </row>
    <row r="562" spans="1:16" s="146" customFormat="1" ht="18" x14ac:dyDescent="0.25">
      <c r="A562" s="48" t="s">
        <v>123</v>
      </c>
      <c r="B562" s="926" t="s">
        <v>1386</v>
      </c>
      <c r="C562" s="1602" t="s">
        <v>153</v>
      </c>
      <c r="D562" s="1603"/>
      <c r="E562" s="1603"/>
      <c r="F562" s="1603"/>
      <c r="G562" s="100" t="s">
        <v>154</v>
      </c>
      <c r="H562" s="101">
        <v>183044.16</v>
      </c>
      <c r="I562" s="102">
        <v>220277.52</v>
      </c>
      <c r="J562" s="101">
        <v>112246.78</v>
      </c>
      <c r="K562" s="101">
        <v>235269.43</v>
      </c>
      <c r="L562" s="101"/>
      <c r="M562" s="10"/>
      <c r="N562" s="10"/>
      <c r="O562"/>
      <c r="P562"/>
    </row>
    <row r="563" spans="1:16" s="146" customFormat="1" ht="18" x14ac:dyDescent="0.25">
      <c r="A563" s="48" t="s">
        <v>123</v>
      </c>
      <c r="B563" s="926" t="s">
        <v>1386</v>
      </c>
      <c r="C563" s="1602" t="s">
        <v>155</v>
      </c>
      <c r="D563" s="1603"/>
      <c r="E563" s="1603"/>
      <c r="F563" s="1603"/>
      <c r="G563" s="100" t="s">
        <v>156</v>
      </c>
      <c r="H563" s="101">
        <v>3600</v>
      </c>
      <c r="I563" s="102">
        <v>4800</v>
      </c>
      <c r="J563" s="101">
        <v>2100</v>
      </c>
      <c r="K563" s="101">
        <v>4800</v>
      </c>
      <c r="L563" s="101"/>
      <c r="M563" s="10"/>
      <c r="N563" s="10"/>
      <c r="O563"/>
      <c r="P563"/>
    </row>
    <row r="564" spans="1:16" s="146" customFormat="1" ht="18" x14ac:dyDescent="0.25">
      <c r="A564" s="48" t="s">
        <v>123</v>
      </c>
      <c r="B564" s="926" t="s">
        <v>1386</v>
      </c>
      <c r="C564" s="1602" t="s">
        <v>157</v>
      </c>
      <c r="D564" s="1603"/>
      <c r="E564" s="1603"/>
      <c r="F564" s="1603"/>
      <c r="G564" s="100" t="s">
        <v>158</v>
      </c>
      <c r="H564" s="101">
        <v>19486.82</v>
      </c>
      <c r="I564" s="102">
        <v>30219.42</v>
      </c>
      <c r="J564" s="101">
        <v>12104.2</v>
      </c>
      <c r="K564" s="101">
        <v>76863.14</v>
      </c>
      <c r="L564" s="101"/>
      <c r="M564" s="10"/>
      <c r="N564" s="10"/>
      <c r="O564"/>
      <c r="P564"/>
    </row>
    <row r="565" spans="1:16" s="146" customFormat="1" ht="18" x14ac:dyDescent="0.25">
      <c r="A565" s="48" t="s">
        <v>123</v>
      </c>
      <c r="B565" s="926" t="s">
        <v>1386</v>
      </c>
      <c r="C565" s="1602" t="s">
        <v>159</v>
      </c>
      <c r="D565" s="1603"/>
      <c r="E565" s="1603"/>
      <c r="F565" s="1603"/>
      <c r="G565" s="100" t="s">
        <v>160</v>
      </c>
      <c r="H565" s="101">
        <v>3600</v>
      </c>
      <c r="I565" s="102">
        <v>4800</v>
      </c>
      <c r="J565" s="101">
        <v>2100</v>
      </c>
      <c r="K565" s="101">
        <v>4800</v>
      </c>
      <c r="L565" s="101"/>
      <c r="M565" s="10"/>
      <c r="N565" s="10"/>
      <c r="O565"/>
      <c r="P565"/>
    </row>
    <row r="566" spans="1:16" s="146" customFormat="1" ht="18" customHeight="1" x14ac:dyDescent="0.25">
      <c r="A566" s="169" t="s">
        <v>163</v>
      </c>
      <c r="B566" s="926" t="s">
        <v>1386</v>
      </c>
      <c r="C566" s="44" t="s">
        <v>164</v>
      </c>
      <c r="D566" s="113"/>
      <c r="E566" s="113"/>
      <c r="F566" s="114"/>
      <c r="G566" s="100" t="s">
        <v>165</v>
      </c>
      <c r="H566" s="101">
        <v>5060</v>
      </c>
      <c r="I566" s="102">
        <v>25000</v>
      </c>
      <c r="J566" s="101"/>
      <c r="K566" s="101">
        <v>25000</v>
      </c>
      <c r="L566" s="101"/>
      <c r="M566" s="10"/>
      <c r="N566" s="10"/>
      <c r="O566"/>
      <c r="P566"/>
    </row>
    <row r="567" spans="1:16" s="146" customFormat="1" ht="18" x14ac:dyDescent="0.25">
      <c r="A567" s="169" t="s">
        <v>163</v>
      </c>
      <c r="B567" s="926" t="s">
        <v>1386</v>
      </c>
      <c r="C567" s="38" t="s">
        <v>294</v>
      </c>
      <c r="D567" s="184"/>
      <c r="E567" s="184"/>
      <c r="F567" s="184"/>
      <c r="G567" s="100" t="s">
        <v>169</v>
      </c>
      <c r="H567" s="101">
        <v>94208.12</v>
      </c>
      <c r="I567" s="102">
        <v>154335.5</v>
      </c>
      <c r="J567" s="101">
        <v>69023</v>
      </c>
      <c r="K567" s="101">
        <v>168481</v>
      </c>
      <c r="L567" s="101"/>
      <c r="M567" s="10"/>
      <c r="N567" s="10"/>
      <c r="O567"/>
      <c r="P567"/>
    </row>
    <row r="568" spans="1:16" s="146" customFormat="1" ht="18" x14ac:dyDescent="0.25">
      <c r="A568" s="169" t="s">
        <v>163</v>
      </c>
      <c r="B568" s="926" t="s">
        <v>1386</v>
      </c>
      <c r="C568" s="38" t="s">
        <v>170</v>
      </c>
      <c r="D568" s="184"/>
      <c r="E568" s="184"/>
      <c r="F568" s="184"/>
      <c r="G568" s="100" t="s">
        <v>171</v>
      </c>
      <c r="H568" s="101"/>
      <c r="I568" s="102"/>
      <c r="J568" s="101"/>
      <c r="K568" s="101">
        <v>323314</v>
      </c>
      <c r="L568" s="101"/>
      <c r="M568" s="10"/>
      <c r="N568" s="10"/>
      <c r="O568"/>
      <c r="P568"/>
    </row>
    <row r="569" spans="1:16" s="146" customFormat="1" ht="18" x14ac:dyDescent="0.25">
      <c r="A569" s="169" t="s">
        <v>163</v>
      </c>
      <c r="B569" s="926" t="s">
        <v>1386</v>
      </c>
      <c r="C569" s="38" t="s">
        <v>178</v>
      </c>
      <c r="D569" s="184"/>
      <c r="E569" s="184"/>
      <c r="F569" s="184"/>
      <c r="G569" s="100" t="s">
        <v>179</v>
      </c>
      <c r="H569" s="101"/>
      <c r="I569" s="102"/>
      <c r="J569" s="101"/>
      <c r="K569" s="101">
        <v>54000</v>
      </c>
      <c r="L569" s="101"/>
      <c r="M569" s="10"/>
      <c r="N569" s="10"/>
      <c r="O569"/>
      <c r="P569"/>
    </row>
    <row r="570" spans="1:16" s="146" customFormat="1" ht="18" x14ac:dyDescent="0.25">
      <c r="A570" s="169" t="s">
        <v>163</v>
      </c>
      <c r="B570" s="926" t="s">
        <v>1386</v>
      </c>
      <c r="C570" s="38" t="s">
        <v>297</v>
      </c>
      <c r="D570" s="184"/>
      <c r="E570" s="184"/>
      <c r="F570" s="184"/>
      <c r="G570" s="100" t="s">
        <v>187</v>
      </c>
      <c r="H570" s="101">
        <v>784</v>
      </c>
      <c r="I570" s="102">
        <v>25000</v>
      </c>
      <c r="J570" s="101"/>
      <c r="K570" s="101">
        <v>25000</v>
      </c>
      <c r="L570" s="101"/>
      <c r="M570" s="10"/>
      <c r="N570" s="10"/>
      <c r="O570"/>
      <c r="P570"/>
    </row>
    <row r="571" spans="1:16" s="146" customFormat="1" ht="18" x14ac:dyDescent="0.25">
      <c r="A571" s="169" t="s">
        <v>163</v>
      </c>
      <c r="B571" s="926" t="s">
        <v>1386</v>
      </c>
      <c r="C571" s="38" t="s">
        <v>331</v>
      </c>
      <c r="D571" s="184"/>
      <c r="E571" s="184"/>
      <c r="F571" s="184"/>
      <c r="G571" s="100" t="s">
        <v>282</v>
      </c>
      <c r="H571" s="101">
        <v>0</v>
      </c>
      <c r="I571" s="102">
        <v>100000</v>
      </c>
      <c r="J571" s="101"/>
      <c r="K571" s="101">
        <v>100000</v>
      </c>
      <c r="L571" s="101"/>
      <c r="M571" s="10"/>
      <c r="N571" s="10"/>
      <c r="O571"/>
      <c r="P571"/>
    </row>
    <row r="572" spans="1:16" s="146" customFormat="1" ht="18" x14ac:dyDescent="0.25">
      <c r="A572" s="169" t="s">
        <v>163</v>
      </c>
      <c r="B572" s="926" t="s">
        <v>1386</v>
      </c>
      <c r="C572" s="38" t="s">
        <v>299</v>
      </c>
      <c r="D572" s="184"/>
      <c r="E572" s="184"/>
      <c r="F572" s="184"/>
      <c r="G572" s="100" t="s">
        <v>237</v>
      </c>
      <c r="H572" s="101">
        <v>0</v>
      </c>
      <c r="I572" s="102">
        <v>8000</v>
      </c>
      <c r="J572" s="101"/>
      <c r="K572" s="101">
        <v>8000</v>
      </c>
      <c r="L572" s="101"/>
      <c r="M572" s="10"/>
      <c r="N572" s="10"/>
      <c r="O572"/>
      <c r="P572"/>
    </row>
    <row r="573" spans="1:16" s="146" customFormat="1" ht="18" x14ac:dyDescent="0.25">
      <c r="A573" s="169" t="s">
        <v>163</v>
      </c>
      <c r="B573" s="926" t="s">
        <v>1386</v>
      </c>
      <c r="C573" s="38" t="s">
        <v>300</v>
      </c>
      <c r="D573" s="184"/>
      <c r="E573" s="184"/>
      <c r="F573" s="184"/>
      <c r="G573" s="100" t="s">
        <v>199</v>
      </c>
      <c r="H573" s="105">
        <v>48000</v>
      </c>
      <c r="I573" s="106">
        <v>140000</v>
      </c>
      <c r="J573" s="105"/>
      <c r="K573" s="105">
        <v>145000</v>
      </c>
      <c r="L573" s="105"/>
      <c r="M573" s="10"/>
      <c r="N573" s="10"/>
      <c r="O573"/>
      <c r="P573"/>
    </row>
    <row r="574" spans="1:16" s="146" customFormat="1" ht="18" customHeight="1" x14ac:dyDescent="0.25">
      <c r="A574" s="169" t="s">
        <v>201</v>
      </c>
      <c r="B574" s="926" t="s">
        <v>1386</v>
      </c>
      <c r="C574" s="829" t="s">
        <v>332</v>
      </c>
      <c r="D574" s="197"/>
      <c r="E574" s="832"/>
      <c r="F574" s="832"/>
      <c r="G574" s="97"/>
      <c r="H574" s="101"/>
      <c r="I574" s="102"/>
      <c r="J574" s="101"/>
      <c r="K574" s="121">
        <v>300000</v>
      </c>
      <c r="L574" s="101"/>
      <c r="M574" s="10"/>
      <c r="N574" s="10"/>
      <c r="O574"/>
      <c r="P574"/>
    </row>
    <row r="575" spans="1:16" s="146" customFormat="1" ht="18" customHeight="1" x14ac:dyDescent="0.25">
      <c r="A575" s="169" t="s">
        <v>201</v>
      </c>
      <c r="B575" s="926" t="s">
        <v>1386</v>
      </c>
      <c r="C575" s="826" t="s">
        <v>333</v>
      </c>
      <c r="D575" s="810"/>
      <c r="E575" s="810"/>
      <c r="F575" s="810"/>
      <c r="G575" s="168"/>
      <c r="H575" s="102"/>
      <c r="I575" s="102"/>
      <c r="J575" s="102"/>
      <c r="K575" s="102">
        <v>40000</v>
      </c>
      <c r="L575" s="102"/>
      <c r="M575" s="10"/>
      <c r="N575" s="10"/>
      <c r="O575"/>
      <c r="P575"/>
    </row>
    <row r="576" spans="1:16" s="146" customFormat="1" ht="18" customHeight="1" x14ac:dyDescent="0.25">
      <c r="A576" s="169" t="s">
        <v>201</v>
      </c>
      <c r="B576" s="926" t="s">
        <v>1386</v>
      </c>
      <c r="C576" s="826" t="s">
        <v>263</v>
      </c>
      <c r="D576" s="810"/>
      <c r="E576" s="810"/>
      <c r="F576" s="810"/>
      <c r="G576" s="168"/>
      <c r="H576" s="102"/>
      <c r="I576" s="102"/>
      <c r="J576" s="102"/>
      <c r="K576" s="102">
        <v>160000</v>
      </c>
      <c r="L576" s="102"/>
      <c r="M576" s="10"/>
      <c r="N576" s="10"/>
      <c r="O576"/>
      <c r="P576"/>
    </row>
    <row r="577" spans="1:16" s="146" customFormat="1" ht="17.45" customHeight="1" x14ac:dyDescent="0.25">
      <c r="A577" s="48" t="s">
        <v>123</v>
      </c>
      <c r="B577" s="926" t="s">
        <v>1386</v>
      </c>
      <c r="C577" s="1602" t="s">
        <v>124</v>
      </c>
      <c r="D577" s="1603"/>
      <c r="E577" s="1603"/>
      <c r="F577" s="1603"/>
      <c r="G577" s="100" t="s">
        <v>125</v>
      </c>
      <c r="H577" s="101">
        <v>2495148.87</v>
      </c>
      <c r="I577" s="102">
        <v>3863268</v>
      </c>
      <c r="J577" s="101">
        <v>1539327.49</v>
      </c>
      <c r="K577" s="101">
        <v>4183836</v>
      </c>
      <c r="L577" s="101"/>
      <c r="M577" s="10"/>
      <c r="N577" s="10"/>
      <c r="O577"/>
      <c r="P577"/>
    </row>
    <row r="578" spans="1:16" s="146" customFormat="1" ht="17.45" customHeight="1" x14ac:dyDescent="0.25">
      <c r="A578" s="48" t="s">
        <v>123</v>
      </c>
      <c r="B578" s="926" t="s">
        <v>1386</v>
      </c>
      <c r="C578" s="1602" t="s">
        <v>126</v>
      </c>
      <c r="D578" s="1603"/>
      <c r="E578" s="1603"/>
      <c r="F578" s="1603"/>
      <c r="G578" s="100" t="s">
        <v>127</v>
      </c>
      <c r="H578" s="101">
        <v>175541.43</v>
      </c>
      <c r="I578" s="102">
        <v>157992</v>
      </c>
      <c r="J578" s="101">
        <v>71943</v>
      </c>
      <c r="K578" s="101">
        <v>171828</v>
      </c>
      <c r="L578" s="101"/>
      <c r="M578" s="10"/>
      <c r="N578" s="10"/>
      <c r="O578"/>
      <c r="P578"/>
    </row>
    <row r="579" spans="1:16" s="146" customFormat="1" ht="17.45" customHeight="1" x14ac:dyDescent="0.25">
      <c r="A579" s="48" t="s">
        <v>123</v>
      </c>
      <c r="B579" s="926" t="s">
        <v>1386</v>
      </c>
      <c r="C579" s="1602" t="s">
        <v>128</v>
      </c>
      <c r="D579" s="1603"/>
      <c r="E579" s="1603"/>
      <c r="F579" s="1603"/>
      <c r="G579" s="100"/>
      <c r="H579" s="101"/>
      <c r="I579" s="102">
        <v>10572</v>
      </c>
      <c r="J579" s="101">
        <v>12493.6</v>
      </c>
      <c r="K579" s="101">
        <v>8197.3700000000008</v>
      </c>
      <c r="L579" s="101"/>
      <c r="M579" s="10"/>
      <c r="N579" s="10"/>
      <c r="O579"/>
      <c r="P579"/>
    </row>
    <row r="580" spans="1:16" s="146" customFormat="1" ht="17.45" customHeight="1" x14ac:dyDescent="0.25">
      <c r="A580" s="48" t="s">
        <v>123</v>
      </c>
      <c r="B580" s="926" t="s">
        <v>1386</v>
      </c>
      <c r="C580" s="1602" t="s">
        <v>129</v>
      </c>
      <c r="D580" s="1603"/>
      <c r="E580" s="1603"/>
      <c r="F580" s="1603"/>
      <c r="G580" s="103" t="s">
        <v>130</v>
      </c>
      <c r="H580" s="101">
        <v>205908.83</v>
      </c>
      <c r="I580" s="102">
        <v>336000</v>
      </c>
      <c r="J580" s="101">
        <v>123727.26</v>
      </c>
      <c r="K580" s="101">
        <v>336000</v>
      </c>
      <c r="L580" s="101"/>
      <c r="M580" s="10"/>
      <c r="N580" s="10"/>
      <c r="O580"/>
      <c r="P580"/>
    </row>
    <row r="581" spans="1:16" s="146" customFormat="1" ht="17.45" customHeight="1" x14ac:dyDescent="0.25">
      <c r="A581" s="48" t="s">
        <v>123</v>
      </c>
      <c r="B581" s="926" t="s">
        <v>1386</v>
      </c>
      <c r="C581" s="1602" t="s">
        <v>131</v>
      </c>
      <c r="D581" s="1603"/>
      <c r="E581" s="1603"/>
      <c r="F581" s="1603"/>
      <c r="G581" s="100" t="s">
        <v>132</v>
      </c>
      <c r="H581" s="101">
        <v>72000</v>
      </c>
      <c r="I581" s="102">
        <v>72000</v>
      </c>
      <c r="J581" s="101">
        <v>42000</v>
      </c>
      <c r="K581" s="101">
        <v>72000</v>
      </c>
      <c r="L581" s="101"/>
      <c r="M581" s="10"/>
      <c r="N581" s="10"/>
      <c r="O581"/>
      <c r="P581"/>
    </row>
    <row r="582" spans="1:16" s="146" customFormat="1" ht="17.45" customHeight="1" x14ac:dyDescent="0.25">
      <c r="A582" s="48" t="s">
        <v>123</v>
      </c>
      <c r="B582" s="926" t="s">
        <v>1386</v>
      </c>
      <c r="C582" s="1602" t="s">
        <v>133</v>
      </c>
      <c r="D582" s="1603"/>
      <c r="E582" s="1603"/>
      <c r="F582" s="1603"/>
      <c r="G582" s="100" t="s">
        <v>134</v>
      </c>
      <c r="H582" s="101">
        <v>72000</v>
      </c>
      <c r="I582" s="102">
        <v>72000</v>
      </c>
      <c r="J582" s="101">
        <v>42000</v>
      </c>
      <c r="K582" s="101">
        <v>72000</v>
      </c>
      <c r="L582" s="101"/>
      <c r="M582" s="10"/>
      <c r="N582" s="10"/>
      <c r="O582"/>
      <c r="P582"/>
    </row>
    <row r="583" spans="1:16" s="146" customFormat="1" ht="17.45" customHeight="1" x14ac:dyDescent="0.25">
      <c r="A583" s="48" t="s">
        <v>123</v>
      </c>
      <c r="B583" s="926" t="s">
        <v>1386</v>
      </c>
      <c r="C583" s="1602" t="s">
        <v>135</v>
      </c>
      <c r="D583" s="1603"/>
      <c r="E583" s="1603"/>
      <c r="F583" s="1603"/>
      <c r="G583" s="100" t="s">
        <v>136</v>
      </c>
      <c r="H583" s="101">
        <v>33191.42</v>
      </c>
      <c r="I583" s="102">
        <v>136343.85999999999</v>
      </c>
      <c r="J583" s="101">
        <v>55151.28</v>
      </c>
      <c r="K583" s="102">
        <v>147000</v>
      </c>
      <c r="L583" s="101"/>
      <c r="M583" s="10"/>
      <c r="N583" s="10"/>
      <c r="O583"/>
      <c r="P583"/>
    </row>
    <row r="584" spans="1:16" s="146" customFormat="1" ht="17.45" customHeight="1" x14ac:dyDescent="0.25">
      <c r="A584" s="48" t="s">
        <v>123</v>
      </c>
      <c r="B584" s="926" t="s">
        <v>1386</v>
      </c>
      <c r="C584" s="1602" t="s">
        <v>137</v>
      </c>
      <c r="D584" s="1603"/>
      <c r="E584" s="1603"/>
      <c r="F584" s="1603"/>
      <c r="G584" s="100" t="s">
        <v>138</v>
      </c>
      <c r="H584" s="101">
        <v>48000</v>
      </c>
      <c r="I584" s="102">
        <v>84000</v>
      </c>
      <c r="J584" s="101">
        <v>54000</v>
      </c>
      <c r="K584" s="101">
        <v>84000</v>
      </c>
      <c r="L584" s="101"/>
      <c r="M584" s="10"/>
      <c r="N584" s="10"/>
      <c r="O584"/>
      <c r="P584"/>
    </row>
    <row r="585" spans="1:16" s="146" customFormat="1" ht="17.45" customHeight="1" x14ac:dyDescent="0.25">
      <c r="A585" s="48" t="s">
        <v>123</v>
      </c>
      <c r="B585" s="926" t="s">
        <v>1386</v>
      </c>
      <c r="C585" s="1602" t="s">
        <v>139</v>
      </c>
      <c r="D585" s="1603"/>
      <c r="E585" s="1603"/>
      <c r="F585" s="1603"/>
      <c r="G585" s="100" t="s">
        <v>140</v>
      </c>
      <c r="H585" s="101">
        <v>221164</v>
      </c>
      <c r="I585" s="102">
        <v>335332</v>
      </c>
      <c r="J585" s="101">
        <v>236544</v>
      </c>
      <c r="K585" s="101">
        <v>363814</v>
      </c>
      <c r="L585" s="101"/>
      <c r="M585" s="10"/>
      <c r="N585" s="10"/>
      <c r="O585"/>
      <c r="P585"/>
    </row>
    <row r="586" spans="1:16" s="146" customFormat="1" ht="17.45" customHeight="1" x14ac:dyDescent="0.25">
      <c r="A586" s="48" t="s">
        <v>123</v>
      </c>
      <c r="B586" s="926" t="s">
        <v>1386</v>
      </c>
      <c r="C586" s="1602" t="s">
        <v>141</v>
      </c>
      <c r="D586" s="1603"/>
      <c r="E586" s="1603"/>
      <c r="F586" s="1603"/>
      <c r="G586" s="100" t="s">
        <v>142</v>
      </c>
      <c r="H586" s="101">
        <v>221297</v>
      </c>
      <c r="I586" s="102">
        <v>336640</v>
      </c>
      <c r="J586" s="101"/>
      <c r="K586" s="101">
        <v>363814</v>
      </c>
      <c r="L586" s="101"/>
      <c r="M586" s="10"/>
      <c r="N586" s="10"/>
      <c r="O586"/>
      <c r="P586"/>
    </row>
    <row r="587" spans="1:16" s="146" customFormat="1" ht="17.45" customHeight="1" x14ac:dyDescent="0.25">
      <c r="A587" s="48" t="s">
        <v>123</v>
      </c>
      <c r="B587" s="926" t="s">
        <v>1386</v>
      </c>
      <c r="C587" s="1602" t="s">
        <v>143</v>
      </c>
      <c r="D587" s="1603"/>
      <c r="E587" s="1603"/>
      <c r="F587" s="1603"/>
      <c r="G587" s="100" t="s">
        <v>144</v>
      </c>
      <c r="H587" s="101">
        <v>45000</v>
      </c>
      <c r="I587" s="102">
        <v>70000</v>
      </c>
      <c r="J587" s="101"/>
      <c r="K587" s="101">
        <v>70000</v>
      </c>
      <c r="L587" s="101"/>
      <c r="M587" s="10"/>
      <c r="N587" s="10"/>
      <c r="O587"/>
      <c r="P587"/>
    </row>
    <row r="588" spans="1:16" s="146" customFormat="1" ht="17.45" customHeight="1" x14ac:dyDescent="0.25">
      <c r="A588" s="48" t="s">
        <v>123</v>
      </c>
      <c r="B588" s="926" t="s">
        <v>1386</v>
      </c>
      <c r="C588" s="1602" t="s">
        <v>145</v>
      </c>
      <c r="D588" s="1603"/>
      <c r="E588" s="1603"/>
      <c r="F588" s="1603"/>
      <c r="G588" s="100" t="s">
        <v>146</v>
      </c>
      <c r="H588" s="101">
        <v>45000</v>
      </c>
      <c r="I588" s="102">
        <v>70000</v>
      </c>
      <c r="J588" s="101"/>
      <c r="K588" s="101">
        <v>70000</v>
      </c>
      <c r="L588" s="101"/>
      <c r="M588" s="10"/>
      <c r="N588" s="10"/>
      <c r="O588"/>
      <c r="P588"/>
    </row>
    <row r="589" spans="1:16" s="146" customFormat="1" ht="17.45" customHeight="1" x14ac:dyDescent="0.25">
      <c r="A589" s="48" t="s">
        <v>123</v>
      </c>
      <c r="B589" s="926" t="s">
        <v>1386</v>
      </c>
      <c r="C589" s="826" t="s">
        <v>147</v>
      </c>
      <c r="D589" s="813"/>
      <c r="E589" s="813"/>
      <c r="F589" s="811"/>
      <c r="G589" s="100" t="s">
        <v>148</v>
      </c>
      <c r="H589" s="101"/>
      <c r="I589" s="102"/>
      <c r="J589" s="101"/>
      <c r="K589" s="101">
        <v>42000</v>
      </c>
      <c r="L589" s="101"/>
      <c r="M589" s="10"/>
      <c r="N589" s="10"/>
      <c r="O589"/>
      <c r="P589"/>
    </row>
    <row r="590" spans="1:16" s="146" customFormat="1" ht="17.45" customHeight="1" x14ac:dyDescent="0.25">
      <c r="A590" s="48" t="s">
        <v>123</v>
      </c>
      <c r="B590" s="926" t="s">
        <v>1386</v>
      </c>
      <c r="C590" s="1602" t="s">
        <v>153</v>
      </c>
      <c r="D590" s="1603"/>
      <c r="E590" s="1603"/>
      <c r="F590" s="1603"/>
      <c r="G590" s="100" t="s">
        <v>154</v>
      </c>
      <c r="H590" s="101">
        <v>311395.90000000002</v>
      </c>
      <c r="I590" s="102">
        <v>483819.84</v>
      </c>
      <c r="J590" s="101">
        <v>195273.15</v>
      </c>
      <c r="K590" s="101">
        <v>523663.35999999999</v>
      </c>
      <c r="L590" s="101"/>
      <c r="M590" s="10"/>
      <c r="N590" s="10"/>
      <c r="O590"/>
      <c r="P590"/>
    </row>
    <row r="591" spans="1:16" s="146" customFormat="1" ht="17.45" customHeight="1" x14ac:dyDescent="0.25">
      <c r="A591" s="48" t="s">
        <v>123</v>
      </c>
      <c r="B591" s="926" t="s">
        <v>1386</v>
      </c>
      <c r="C591" s="1602" t="s">
        <v>155</v>
      </c>
      <c r="D591" s="1603"/>
      <c r="E591" s="1603"/>
      <c r="F591" s="1603"/>
      <c r="G591" s="100" t="s">
        <v>156</v>
      </c>
      <c r="H591" s="101">
        <v>10300</v>
      </c>
      <c r="I591" s="102">
        <v>16800</v>
      </c>
      <c r="J591" s="101">
        <v>6300</v>
      </c>
      <c r="K591" s="101">
        <v>16800</v>
      </c>
      <c r="L591" s="101"/>
      <c r="M591" s="10"/>
      <c r="N591" s="10"/>
      <c r="O591"/>
      <c r="P591"/>
    </row>
    <row r="592" spans="1:16" s="146" customFormat="1" ht="17.45" customHeight="1" x14ac:dyDescent="0.25">
      <c r="A592" s="48" t="s">
        <v>123</v>
      </c>
      <c r="B592" s="926" t="s">
        <v>1386</v>
      </c>
      <c r="C592" s="1602" t="s">
        <v>157</v>
      </c>
      <c r="D592" s="1603"/>
      <c r="E592" s="1603"/>
      <c r="F592" s="1603"/>
      <c r="G592" s="100" t="s">
        <v>158</v>
      </c>
      <c r="H592" s="101">
        <v>35224.99</v>
      </c>
      <c r="I592" s="102">
        <v>68290.11</v>
      </c>
      <c r="J592" s="101">
        <v>22298.76</v>
      </c>
      <c r="K592" s="101">
        <v>172503.89</v>
      </c>
      <c r="L592" s="101"/>
      <c r="M592" s="10"/>
      <c r="N592" s="10"/>
      <c r="O592"/>
      <c r="P592"/>
    </row>
    <row r="593" spans="1:16" s="146" customFormat="1" ht="17.45" customHeight="1" x14ac:dyDescent="0.25">
      <c r="A593" s="48" t="s">
        <v>123</v>
      </c>
      <c r="B593" s="926" t="s">
        <v>1386</v>
      </c>
      <c r="C593" s="1602" t="s">
        <v>159</v>
      </c>
      <c r="D593" s="1603"/>
      <c r="E593" s="1603"/>
      <c r="F593" s="1603"/>
      <c r="G593" s="100" t="s">
        <v>160</v>
      </c>
      <c r="H593" s="105">
        <v>10300</v>
      </c>
      <c r="I593" s="106">
        <v>16800</v>
      </c>
      <c r="J593" s="105">
        <v>6300</v>
      </c>
      <c r="K593" s="105">
        <v>16800</v>
      </c>
      <c r="L593" s="105"/>
      <c r="M593" s="10"/>
      <c r="N593" s="10"/>
      <c r="O593"/>
      <c r="P593"/>
    </row>
    <row r="594" spans="1:16" s="146" customFormat="1" ht="17.45" customHeight="1" x14ac:dyDescent="0.25">
      <c r="A594" s="169" t="s">
        <v>163</v>
      </c>
      <c r="B594" s="926" t="s">
        <v>1386</v>
      </c>
      <c r="C594" s="44" t="s">
        <v>164</v>
      </c>
      <c r="D594" s="113"/>
      <c r="E594" s="113"/>
      <c r="F594" s="114"/>
      <c r="G594" s="100" t="s">
        <v>165</v>
      </c>
      <c r="H594" s="101">
        <v>8615</v>
      </c>
      <c r="I594" s="102">
        <v>60000</v>
      </c>
      <c r="J594" s="101"/>
      <c r="K594" s="101">
        <v>60000</v>
      </c>
      <c r="L594" s="101"/>
      <c r="M594" s="10"/>
      <c r="N594" s="10"/>
      <c r="O594"/>
      <c r="P594"/>
    </row>
    <row r="595" spans="1:16" s="146" customFormat="1" ht="17.45" customHeight="1" x14ac:dyDescent="0.25">
      <c r="A595" s="169" t="s">
        <v>163</v>
      </c>
      <c r="B595" s="926" t="s">
        <v>1386</v>
      </c>
      <c r="C595" s="38" t="s">
        <v>294</v>
      </c>
      <c r="D595" s="184"/>
      <c r="E595" s="184"/>
      <c r="F595" s="184"/>
      <c r="G595" s="100" t="s">
        <v>169</v>
      </c>
      <c r="H595" s="101">
        <v>144027.5</v>
      </c>
      <c r="I595" s="102">
        <v>262402.5</v>
      </c>
      <c r="J595" s="101">
        <v>62658.5</v>
      </c>
      <c r="K595" s="101">
        <v>641000</v>
      </c>
      <c r="L595" s="101"/>
      <c r="M595" s="10"/>
      <c r="N595" s="10"/>
      <c r="O595"/>
      <c r="P595"/>
    </row>
    <row r="596" spans="1:16" s="146" customFormat="1" ht="17.45" customHeight="1" x14ac:dyDescent="0.25">
      <c r="A596" s="169" t="s">
        <v>163</v>
      </c>
      <c r="B596" s="926" t="s">
        <v>1386</v>
      </c>
      <c r="C596" s="38" t="s">
        <v>213</v>
      </c>
      <c r="D596" s="184"/>
      <c r="E596" s="184"/>
      <c r="F596" s="184"/>
      <c r="G596" s="100" t="s">
        <v>171</v>
      </c>
      <c r="H596" s="101"/>
      <c r="I596" s="102"/>
      <c r="J596" s="101"/>
      <c r="K596" s="101">
        <f>27000+2500</f>
        <v>29500</v>
      </c>
      <c r="L596" s="101"/>
      <c r="M596" s="10"/>
      <c r="N596" s="10"/>
      <c r="O596"/>
      <c r="P596"/>
    </row>
    <row r="597" spans="1:16" s="146" customFormat="1" ht="17.45" customHeight="1" x14ac:dyDescent="0.25">
      <c r="A597" s="169" t="s">
        <v>163</v>
      </c>
      <c r="B597" s="926" t="s">
        <v>1386</v>
      </c>
      <c r="C597" s="38" t="s">
        <v>296</v>
      </c>
      <c r="D597" s="184"/>
      <c r="E597" s="184"/>
      <c r="F597" s="184"/>
      <c r="G597" s="100" t="s">
        <v>177</v>
      </c>
      <c r="H597" s="101">
        <v>0</v>
      </c>
      <c r="I597" s="102">
        <v>1000</v>
      </c>
      <c r="J597" s="101"/>
      <c r="K597" s="101">
        <v>1000</v>
      </c>
      <c r="L597" s="101"/>
      <c r="M597" s="10"/>
      <c r="N597" s="10"/>
      <c r="O597"/>
      <c r="P597"/>
    </row>
    <row r="598" spans="1:16" s="146" customFormat="1" ht="17.45" customHeight="1" x14ac:dyDescent="0.25">
      <c r="A598" s="169" t="s">
        <v>163</v>
      </c>
      <c r="B598" s="926" t="s">
        <v>1386</v>
      </c>
      <c r="C598" s="38" t="s">
        <v>178</v>
      </c>
      <c r="D598" s="184"/>
      <c r="E598" s="184"/>
      <c r="F598" s="184"/>
      <c r="G598" s="100" t="s">
        <v>179</v>
      </c>
      <c r="H598" s="101"/>
      <c r="I598" s="102"/>
      <c r="J598" s="101"/>
      <c r="K598" s="101">
        <v>70800</v>
      </c>
      <c r="L598" s="101"/>
      <c r="M598" s="10"/>
      <c r="N598" s="10">
        <f>42000+28800</f>
        <v>70800</v>
      </c>
      <c r="O598"/>
      <c r="P598"/>
    </row>
    <row r="599" spans="1:16" s="146" customFormat="1" ht="17.45" customHeight="1" x14ac:dyDescent="0.25">
      <c r="A599" s="169" t="s">
        <v>163</v>
      </c>
      <c r="B599" s="926" t="s">
        <v>1386</v>
      </c>
      <c r="C599" s="38" t="s">
        <v>182</v>
      </c>
      <c r="D599" s="184"/>
      <c r="E599" s="184"/>
      <c r="F599" s="184"/>
      <c r="G599" s="100" t="s">
        <v>183</v>
      </c>
      <c r="H599" s="101"/>
      <c r="I599" s="102"/>
      <c r="J599" s="101"/>
      <c r="K599" s="101">
        <v>42000</v>
      </c>
      <c r="L599" s="101"/>
      <c r="M599" s="10"/>
      <c r="N599" s="10"/>
      <c r="O599"/>
      <c r="P599"/>
    </row>
    <row r="600" spans="1:16" s="146" customFormat="1" ht="17.45" customHeight="1" x14ac:dyDescent="0.25">
      <c r="A600" s="169" t="s">
        <v>163</v>
      </c>
      <c r="B600" s="926" t="s">
        <v>1386</v>
      </c>
      <c r="C600" s="38" t="s">
        <v>297</v>
      </c>
      <c r="D600" s="204"/>
      <c r="E600" s="204"/>
      <c r="F600" s="204"/>
      <c r="G600" s="205" t="s">
        <v>187</v>
      </c>
      <c r="H600" s="102"/>
      <c r="I600" s="102">
        <v>60000</v>
      </c>
      <c r="J600" s="102">
        <v>24258</v>
      </c>
      <c r="K600" s="102">
        <v>80000</v>
      </c>
      <c r="L600" s="102"/>
      <c r="M600" s="10"/>
      <c r="N600" s="10"/>
      <c r="O600"/>
      <c r="P600"/>
    </row>
    <row r="601" spans="1:16" s="146" customFormat="1" ht="17.45" customHeight="1" x14ac:dyDescent="0.25">
      <c r="A601" s="169" t="s">
        <v>163</v>
      </c>
      <c r="B601" s="926" t="s">
        <v>1386</v>
      </c>
      <c r="C601" s="38" t="s">
        <v>331</v>
      </c>
      <c r="D601" s="204"/>
      <c r="E601" s="204"/>
      <c r="F601" s="204"/>
      <c r="G601" s="205"/>
      <c r="H601" s="102"/>
      <c r="I601" s="102"/>
      <c r="J601" s="102"/>
      <c r="K601" s="102">
        <v>50000</v>
      </c>
      <c r="L601" s="102"/>
      <c r="M601" s="10"/>
      <c r="N601" s="10"/>
      <c r="O601"/>
      <c r="P601"/>
    </row>
    <row r="602" spans="1:16" ht="17.45" customHeight="1" x14ac:dyDescent="0.25">
      <c r="A602" s="169" t="s">
        <v>163</v>
      </c>
      <c r="B602" s="926" t="s">
        <v>1386</v>
      </c>
      <c r="C602" s="38" t="s">
        <v>299</v>
      </c>
      <c r="D602" s="184"/>
      <c r="E602" s="184"/>
      <c r="F602" s="184"/>
      <c r="G602" s="100" t="s">
        <v>237</v>
      </c>
      <c r="H602" s="101">
        <v>5000</v>
      </c>
      <c r="I602" s="102">
        <v>12000</v>
      </c>
      <c r="J602" s="101"/>
      <c r="K602" s="101">
        <v>12000</v>
      </c>
      <c r="L602" s="101"/>
    </row>
    <row r="603" spans="1:16" ht="17.45" customHeight="1" x14ac:dyDescent="0.25">
      <c r="A603" s="169" t="s">
        <v>163</v>
      </c>
      <c r="B603" s="926" t="s">
        <v>1386</v>
      </c>
      <c r="C603" s="38" t="s">
        <v>300</v>
      </c>
      <c r="D603" s="184"/>
      <c r="E603" s="184"/>
      <c r="F603" s="184"/>
      <c r="G603" s="100" t="s">
        <v>199</v>
      </c>
      <c r="H603" s="105"/>
      <c r="I603" s="106">
        <v>186796.08</v>
      </c>
      <c r="J603" s="105"/>
      <c r="K603" s="105">
        <v>375310.76</v>
      </c>
      <c r="L603" s="105"/>
    </row>
    <row r="604" spans="1:16" s="208" customFormat="1" ht="17.45" customHeight="1" x14ac:dyDescent="0.25">
      <c r="A604" s="927" t="s">
        <v>201</v>
      </c>
      <c r="B604" s="926" t="s">
        <v>1386</v>
      </c>
      <c r="C604" s="206" t="s">
        <v>344</v>
      </c>
      <c r="D604" s="826"/>
      <c r="E604" s="826"/>
      <c r="F604" s="826"/>
      <c r="G604" s="168"/>
      <c r="H604" s="102"/>
      <c r="I604" s="102"/>
      <c r="J604" s="102"/>
      <c r="K604" s="102">
        <v>295000</v>
      </c>
      <c r="L604" s="102"/>
      <c r="M604" s="207"/>
      <c r="N604" s="207">
        <f>160000+135000</f>
        <v>295000</v>
      </c>
    </row>
    <row r="605" spans="1:16" s="208" customFormat="1" ht="17.45" customHeight="1" x14ac:dyDescent="0.25">
      <c r="A605" s="927" t="s">
        <v>201</v>
      </c>
      <c r="B605" s="926" t="s">
        <v>1386</v>
      </c>
      <c r="C605" s="206" t="s">
        <v>203</v>
      </c>
      <c r="D605" s="826"/>
      <c r="E605" s="826"/>
      <c r="F605" s="826"/>
      <c r="G605" s="168"/>
      <c r="H605" s="102"/>
      <c r="I605" s="102"/>
      <c r="J605" s="102"/>
      <c r="K605" s="102">
        <v>115000</v>
      </c>
      <c r="L605" s="102"/>
      <c r="M605" s="207"/>
      <c r="N605" s="207"/>
    </row>
    <row r="606" spans="1:16" s="208" customFormat="1" ht="17.45" customHeight="1" x14ac:dyDescent="0.25">
      <c r="A606" s="927" t="s">
        <v>201</v>
      </c>
      <c r="B606" s="926" t="s">
        <v>1386</v>
      </c>
      <c r="C606" s="206" t="s">
        <v>345</v>
      </c>
      <c r="D606" s="826"/>
      <c r="E606" s="826"/>
      <c r="F606" s="826"/>
      <c r="G606" s="168"/>
      <c r="H606" s="102"/>
      <c r="I606" s="102"/>
      <c r="J606" s="102"/>
      <c r="K606" s="102">
        <v>40000</v>
      </c>
      <c r="L606" s="102"/>
      <c r="M606" s="207"/>
      <c r="N606" s="207"/>
    </row>
    <row r="607" spans="1:16" s="208" customFormat="1" ht="36" customHeight="1" x14ac:dyDescent="0.25">
      <c r="A607" s="927" t="s">
        <v>201</v>
      </c>
      <c r="B607" s="926" t="s">
        <v>1386</v>
      </c>
      <c r="C607" s="1617" t="s">
        <v>346</v>
      </c>
      <c r="D607" s="1617"/>
      <c r="E607" s="826"/>
      <c r="F607" s="826"/>
      <c r="G607" s="168"/>
      <c r="H607" s="102"/>
      <c r="I607" s="102"/>
      <c r="J607" s="102"/>
      <c r="K607" s="102">
        <v>30000</v>
      </c>
      <c r="L607" s="102"/>
      <c r="M607" s="207"/>
      <c r="N607" s="207"/>
    </row>
    <row r="608" spans="1:16" s="48" customFormat="1" ht="18" customHeight="1" x14ac:dyDescent="0.25">
      <c r="A608" s="48" t="s">
        <v>123</v>
      </c>
      <c r="B608" s="926" t="s">
        <v>1386</v>
      </c>
      <c r="C608" s="1602" t="s">
        <v>124</v>
      </c>
      <c r="D608" s="1603"/>
      <c r="E608" s="1603"/>
      <c r="F608" s="1603"/>
      <c r="G608" s="100" t="s">
        <v>125</v>
      </c>
      <c r="H608" s="101">
        <v>1641384</v>
      </c>
      <c r="I608" s="102">
        <v>1800708</v>
      </c>
      <c r="J608" s="101">
        <v>1049520.79</v>
      </c>
      <c r="K608" s="101">
        <v>1928580</v>
      </c>
      <c r="L608" s="101"/>
      <c r="M608" s="6"/>
      <c r="N608" s="6"/>
    </row>
    <row r="609" spans="1:14" s="48" customFormat="1" ht="18" customHeight="1" x14ac:dyDescent="0.25">
      <c r="A609" s="48" t="s">
        <v>123</v>
      </c>
      <c r="B609" s="926" t="s">
        <v>1386</v>
      </c>
      <c r="C609" s="1602" t="s">
        <v>126</v>
      </c>
      <c r="D609" s="1603"/>
      <c r="E609" s="1603"/>
      <c r="F609" s="1603"/>
      <c r="G609" s="100" t="s">
        <v>127</v>
      </c>
      <c r="H609" s="101">
        <v>147691.04999999999</v>
      </c>
      <c r="I609" s="102">
        <v>132552</v>
      </c>
      <c r="J609" s="101">
        <v>54543.92</v>
      </c>
      <c r="K609" s="101">
        <v>143928</v>
      </c>
      <c r="L609" s="101"/>
      <c r="M609" s="6"/>
      <c r="N609" s="6">
        <f>40*1250</f>
        <v>50000</v>
      </c>
    </row>
    <row r="610" spans="1:14" s="48" customFormat="1" ht="18" customHeight="1" x14ac:dyDescent="0.25">
      <c r="A610" s="48" t="s">
        <v>123</v>
      </c>
      <c r="B610" s="926" t="s">
        <v>1386</v>
      </c>
      <c r="C610" s="1602" t="s">
        <v>128</v>
      </c>
      <c r="D610" s="1603"/>
      <c r="E610" s="1603"/>
      <c r="F610" s="1603"/>
      <c r="G610" s="100" t="s">
        <v>125</v>
      </c>
      <c r="H610" s="101">
        <v>0</v>
      </c>
      <c r="I610" s="102">
        <v>3636</v>
      </c>
      <c r="J610" s="101"/>
      <c r="K610" s="101">
        <v>3764.09</v>
      </c>
      <c r="L610" s="101"/>
      <c r="M610" s="6"/>
      <c r="N610" s="6"/>
    </row>
    <row r="611" spans="1:14" s="48" customFormat="1" ht="18" customHeight="1" x14ac:dyDescent="0.25">
      <c r="A611" s="48" t="s">
        <v>123</v>
      </c>
      <c r="B611" s="926" t="s">
        <v>1386</v>
      </c>
      <c r="C611" s="1602" t="s">
        <v>129</v>
      </c>
      <c r="D611" s="1603"/>
      <c r="E611" s="1603"/>
      <c r="F611" s="1603"/>
      <c r="G611" s="103" t="s">
        <v>130</v>
      </c>
      <c r="H611" s="101">
        <v>110181.56</v>
      </c>
      <c r="I611" s="102">
        <v>144000</v>
      </c>
      <c r="J611" s="101">
        <v>74000.02</v>
      </c>
      <c r="K611" s="101">
        <v>144000</v>
      </c>
      <c r="L611" s="101"/>
      <c r="M611" s="6"/>
      <c r="N611" s="6"/>
    </row>
    <row r="612" spans="1:14" s="48" customFormat="1" ht="18" customHeight="1" x14ac:dyDescent="0.25">
      <c r="A612" s="48" t="s">
        <v>123</v>
      </c>
      <c r="B612" s="926" t="s">
        <v>1386</v>
      </c>
      <c r="C612" s="1602" t="s">
        <v>131</v>
      </c>
      <c r="D612" s="1603"/>
      <c r="E612" s="1603"/>
      <c r="F612" s="1603"/>
      <c r="G612" s="100" t="s">
        <v>132</v>
      </c>
      <c r="H612" s="101">
        <v>72000</v>
      </c>
      <c r="I612" s="102">
        <v>72000</v>
      </c>
      <c r="J612" s="101">
        <v>42000</v>
      </c>
      <c r="K612" s="101">
        <v>72000</v>
      </c>
      <c r="L612" s="101"/>
      <c r="M612" s="6"/>
      <c r="N612" s="6"/>
    </row>
    <row r="613" spans="1:14" s="48" customFormat="1" ht="18" customHeight="1" x14ac:dyDescent="0.25">
      <c r="A613" s="48" t="s">
        <v>123</v>
      </c>
      <c r="B613" s="926" t="s">
        <v>1386</v>
      </c>
      <c r="C613" s="1602" t="s">
        <v>133</v>
      </c>
      <c r="D613" s="1603"/>
      <c r="E613" s="1603"/>
      <c r="F613" s="1603"/>
      <c r="G613" s="100" t="s">
        <v>134</v>
      </c>
      <c r="H613" s="101">
        <v>72000</v>
      </c>
      <c r="I613" s="102">
        <v>72000</v>
      </c>
      <c r="J613" s="101">
        <v>42000</v>
      </c>
      <c r="K613" s="101">
        <v>72000</v>
      </c>
      <c r="L613" s="101"/>
      <c r="M613" s="6"/>
      <c r="N613" s="6"/>
    </row>
    <row r="614" spans="1:14" s="48" customFormat="1" ht="18" customHeight="1" x14ac:dyDescent="0.25">
      <c r="A614" s="48" t="s">
        <v>123</v>
      </c>
      <c r="B614" s="926" t="s">
        <v>1386</v>
      </c>
      <c r="C614" s="1602" t="s">
        <v>135</v>
      </c>
      <c r="D614" s="1603"/>
      <c r="E614" s="1603"/>
      <c r="F614" s="1603"/>
      <c r="G614" s="100" t="s">
        <v>136</v>
      </c>
      <c r="H614" s="101">
        <v>29202.17</v>
      </c>
      <c r="I614" s="102">
        <v>68040.570000000007</v>
      </c>
      <c r="J614" s="101"/>
      <c r="K614" s="102">
        <v>68040.570000000007</v>
      </c>
      <c r="L614" s="101"/>
      <c r="M614" s="6"/>
      <c r="N614" s="6"/>
    </row>
    <row r="615" spans="1:14" s="48" customFormat="1" ht="18" customHeight="1" x14ac:dyDescent="0.25">
      <c r="A615" s="48" t="s">
        <v>123</v>
      </c>
      <c r="B615" s="926" t="s">
        <v>1386</v>
      </c>
      <c r="C615" s="1602" t="s">
        <v>137</v>
      </c>
      <c r="D615" s="1603"/>
      <c r="E615" s="1603"/>
      <c r="F615" s="1603"/>
      <c r="G615" s="100" t="s">
        <v>138</v>
      </c>
      <c r="H615" s="101">
        <v>24000</v>
      </c>
      <c r="I615" s="102">
        <v>36000</v>
      </c>
      <c r="J615" s="101">
        <v>30000</v>
      </c>
      <c r="K615" s="101">
        <v>36000</v>
      </c>
      <c r="L615" s="101"/>
      <c r="M615" s="6"/>
      <c r="N615" s="6"/>
    </row>
    <row r="616" spans="1:14" s="48" customFormat="1" ht="18" customHeight="1" x14ac:dyDescent="0.25">
      <c r="A616" s="48" t="s">
        <v>123</v>
      </c>
      <c r="B616" s="926" t="s">
        <v>1386</v>
      </c>
      <c r="C616" s="1602" t="s">
        <v>139</v>
      </c>
      <c r="D616" s="1603"/>
      <c r="E616" s="1603"/>
      <c r="F616" s="1603"/>
      <c r="G616" s="100" t="s">
        <v>140</v>
      </c>
      <c r="H616" s="101">
        <v>147399</v>
      </c>
      <c r="I616" s="102">
        <v>161408</v>
      </c>
      <c r="J616" s="101">
        <v>155537</v>
      </c>
      <c r="K616" s="101">
        <v>173074</v>
      </c>
      <c r="L616" s="101"/>
      <c r="M616" s="6"/>
      <c r="N616" s="6"/>
    </row>
    <row r="617" spans="1:14" s="48" customFormat="1" ht="18" customHeight="1" x14ac:dyDescent="0.25">
      <c r="A617" s="48" t="s">
        <v>123</v>
      </c>
      <c r="B617" s="926" t="s">
        <v>1386</v>
      </c>
      <c r="C617" s="1602" t="s">
        <v>141</v>
      </c>
      <c r="D617" s="1603"/>
      <c r="E617" s="1603"/>
      <c r="F617" s="1603"/>
      <c r="G617" s="100" t="s">
        <v>142</v>
      </c>
      <c r="H617" s="101">
        <v>148686</v>
      </c>
      <c r="I617" s="102">
        <v>161408</v>
      </c>
      <c r="J617" s="101"/>
      <c r="K617" s="101">
        <v>173074</v>
      </c>
      <c r="L617" s="101"/>
      <c r="M617" s="6"/>
      <c r="N617" s="6"/>
    </row>
    <row r="618" spans="1:14" s="48" customFormat="1" ht="18" customHeight="1" x14ac:dyDescent="0.25">
      <c r="A618" s="48" t="s">
        <v>123</v>
      </c>
      <c r="B618" s="926" t="s">
        <v>1386</v>
      </c>
      <c r="C618" s="1602" t="s">
        <v>143</v>
      </c>
      <c r="D618" s="1603"/>
      <c r="E618" s="1603"/>
      <c r="F618" s="1603"/>
      <c r="G618" s="100" t="s">
        <v>144</v>
      </c>
      <c r="H618" s="101">
        <v>25000</v>
      </c>
      <c r="I618" s="102">
        <v>30000</v>
      </c>
      <c r="J618" s="101"/>
      <c r="K618" s="101">
        <v>30000</v>
      </c>
      <c r="L618" s="101"/>
      <c r="M618" s="6"/>
      <c r="N618" s="6"/>
    </row>
    <row r="619" spans="1:14" s="48" customFormat="1" ht="18" customHeight="1" x14ac:dyDescent="0.25">
      <c r="A619" s="48" t="s">
        <v>123</v>
      </c>
      <c r="B619" s="926" t="s">
        <v>1386</v>
      </c>
      <c r="C619" s="1602" t="s">
        <v>145</v>
      </c>
      <c r="D619" s="1603"/>
      <c r="E619" s="1603"/>
      <c r="F619" s="1603"/>
      <c r="G619" s="100" t="s">
        <v>146</v>
      </c>
      <c r="H619" s="101">
        <v>25000</v>
      </c>
      <c r="I619" s="102">
        <v>30000</v>
      </c>
      <c r="J619" s="101"/>
      <c r="K619" s="101">
        <v>30000</v>
      </c>
      <c r="L619" s="101"/>
      <c r="M619" s="6"/>
      <c r="N619" s="6"/>
    </row>
    <row r="620" spans="1:14" s="48" customFormat="1" ht="18" customHeight="1" x14ac:dyDescent="0.25">
      <c r="A620" s="48" t="s">
        <v>123</v>
      </c>
      <c r="B620" s="926" t="s">
        <v>1386</v>
      </c>
      <c r="C620" s="826" t="s">
        <v>231</v>
      </c>
      <c r="D620" s="813"/>
      <c r="E620" s="813"/>
      <c r="F620" s="811"/>
      <c r="G620" s="100" t="s">
        <v>148</v>
      </c>
      <c r="H620" s="101">
        <v>5000</v>
      </c>
      <c r="I620" s="102">
        <v>10000</v>
      </c>
      <c r="J620" s="101"/>
      <c r="K620" s="101">
        <v>5000</v>
      </c>
      <c r="L620" s="101"/>
      <c r="M620" s="6"/>
      <c r="N620" s="6"/>
    </row>
    <row r="621" spans="1:14" s="48" customFormat="1" ht="18" customHeight="1" x14ac:dyDescent="0.25">
      <c r="A621" s="48" t="s">
        <v>123</v>
      </c>
      <c r="B621" s="926" t="s">
        <v>1386</v>
      </c>
      <c r="C621" s="826" t="s">
        <v>147</v>
      </c>
      <c r="D621" s="813"/>
      <c r="E621" s="813"/>
      <c r="F621" s="811"/>
      <c r="G621" s="100" t="s">
        <v>148</v>
      </c>
      <c r="H621" s="101"/>
      <c r="I621" s="102"/>
      <c r="J621" s="101"/>
      <c r="K621" s="101">
        <v>18000</v>
      </c>
      <c r="L621" s="101"/>
      <c r="M621" s="6"/>
      <c r="N621" s="6"/>
    </row>
    <row r="622" spans="1:14" s="48" customFormat="1" ht="18" customHeight="1" x14ac:dyDescent="0.25">
      <c r="A622" s="48" t="s">
        <v>123</v>
      </c>
      <c r="B622" s="926" t="s">
        <v>1386</v>
      </c>
      <c r="C622" s="1602" t="s">
        <v>153</v>
      </c>
      <c r="D622" s="1603"/>
      <c r="E622" s="1603"/>
      <c r="F622" s="1603"/>
      <c r="G622" s="100" t="s">
        <v>154</v>
      </c>
      <c r="H622" s="101">
        <v>207135.48</v>
      </c>
      <c r="I622" s="102">
        <v>232427.51999999999</v>
      </c>
      <c r="J622" s="101">
        <v>131090.23999999999</v>
      </c>
      <c r="K622" s="101">
        <v>249152.65</v>
      </c>
      <c r="L622" s="101"/>
      <c r="M622" s="6"/>
      <c r="N622" s="6"/>
    </row>
    <row r="623" spans="1:14" s="48" customFormat="1" ht="18" customHeight="1" x14ac:dyDescent="0.25">
      <c r="A623" s="48" t="s">
        <v>123</v>
      </c>
      <c r="B623" s="926" t="s">
        <v>1386</v>
      </c>
      <c r="C623" s="1602" t="s">
        <v>155</v>
      </c>
      <c r="D623" s="1603"/>
      <c r="E623" s="1603"/>
      <c r="F623" s="1603"/>
      <c r="G623" s="100" t="s">
        <v>156</v>
      </c>
      <c r="H623" s="101">
        <v>5500</v>
      </c>
      <c r="I623" s="102">
        <v>7200</v>
      </c>
      <c r="J623" s="101">
        <v>3800</v>
      </c>
      <c r="K623" s="101">
        <v>7200</v>
      </c>
      <c r="L623" s="101"/>
      <c r="M623" s="6"/>
      <c r="N623" s="6"/>
    </row>
    <row r="624" spans="1:14" s="48" customFormat="1" ht="18" customHeight="1" x14ac:dyDescent="0.25">
      <c r="A624" s="48" t="s">
        <v>123</v>
      </c>
      <c r="B624" s="926" t="s">
        <v>1386</v>
      </c>
      <c r="C624" s="1602" t="s">
        <v>157</v>
      </c>
      <c r="D624" s="1603"/>
      <c r="E624" s="1603"/>
      <c r="F624" s="1603"/>
      <c r="G624" s="100" t="s">
        <v>158</v>
      </c>
      <c r="H624" s="101">
        <v>22338.25</v>
      </c>
      <c r="I624" s="102">
        <v>31766.07</v>
      </c>
      <c r="J624" s="101">
        <v>14526.85</v>
      </c>
      <c r="K624" s="101">
        <v>81510.559999999998</v>
      </c>
      <c r="L624" s="101"/>
      <c r="M624" s="6"/>
      <c r="N624" s="6"/>
    </row>
    <row r="625" spans="1:14" s="48" customFormat="1" ht="18" customHeight="1" x14ac:dyDescent="0.25">
      <c r="A625" s="48" t="s">
        <v>123</v>
      </c>
      <c r="B625" s="926" t="s">
        <v>1386</v>
      </c>
      <c r="C625" s="1602" t="s">
        <v>159</v>
      </c>
      <c r="D625" s="1603"/>
      <c r="E625" s="1603"/>
      <c r="F625" s="1603"/>
      <c r="G625" s="104" t="s">
        <v>160</v>
      </c>
      <c r="H625" s="105">
        <v>5500</v>
      </c>
      <c r="I625" s="106">
        <v>7200</v>
      </c>
      <c r="J625" s="105">
        <v>3800</v>
      </c>
      <c r="K625" s="105">
        <v>7200</v>
      </c>
      <c r="L625" s="105"/>
      <c r="M625" s="6"/>
      <c r="N625" s="6"/>
    </row>
    <row r="626" spans="1:14" s="48" customFormat="1" ht="18" customHeight="1" x14ac:dyDescent="0.25">
      <c r="A626" s="48" t="s">
        <v>163</v>
      </c>
      <c r="B626" s="926" t="s">
        <v>1386</v>
      </c>
      <c r="C626" s="44" t="s">
        <v>164</v>
      </c>
      <c r="D626" s="113"/>
      <c r="E626" s="113"/>
      <c r="F626" s="114"/>
      <c r="G626" s="100" t="s">
        <v>165</v>
      </c>
      <c r="H626" s="101">
        <v>2250</v>
      </c>
      <c r="I626" s="102">
        <v>50000</v>
      </c>
      <c r="J626" s="101"/>
      <c r="K626" s="101">
        <v>50000</v>
      </c>
      <c r="L626" s="101"/>
      <c r="M626" s="6"/>
      <c r="N626" s="6"/>
    </row>
    <row r="627" spans="1:14" s="48" customFormat="1" ht="18" customHeight="1" x14ac:dyDescent="0.25">
      <c r="A627" s="48" t="s">
        <v>163</v>
      </c>
      <c r="B627" s="926" t="s">
        <v>1386</v>
      </c>
      <c r="C627" s="44" t="s">
        <v>168</v>
      </c>
      <c r="D627" s="113"/>
      <c r="E627" s="113"/>
      <c r="F627" s="114"/>
      <c r="G627" s="100" t="s">
        <v>169</v>
      </c>
      <c r="H627" s="101">
        <v>193656.3</v>
      </c>
      <c r="I627" s="102">
        <v>221512.5</v>
      </c>
      <c r="J627" s="101">
        <v>159943</v>
      </c>
      <c r="K627" s="101">
        <v>239599</v>
      </c>
      <c r="L627" s="101"/>
      <c r="M627" s="6"/>
      <c r="N627" s="6"/>
    </row>
    <row r="628" spans="1:14" s="48" customFormat="1" ht="18" customHeight="1" x14ac:dyDescent="0.25">
      <c r="A628" s="48" t="s">
        <v>163</v>
      </c>
      <c r="B628" s="926" t="s">
        <v>1386</v>
      </c>
      <c r="C628" s="44" t="s">
        <v>170</v>
      </c>
      <c r="D628" s="113"/>
      <c r="E628" s="113"/>
      <c r="F628" s="114"/>
      <c r="G628" s="100" t="s">
        <v>171</v>
      </c>
      <c r="H628" s="101"/>
      <c r="I628" s="102"/>
      <c r="J628" s="101"/>
      <c r="K628" s="101">
        <v>26245</v>
      </c>
      <c r="L628" s="101"/>
      <c r="M628" s="6"/>
      <c r="N628" s="6"/>
    </row>
    <row r="629" spans="1:14" s="48" customFormat="1" ht="18" customHeight="1" x14ac:dyDescent="0.25">
      <c r="A629" s="48" t="s">
        <v>163</v>
      </c>
      <c r="B629" s="926" t="s">
        <v>1386</v>
      </c>
      <c r="C629" s="44" t="s">
        <v>176</v>
      </c>
      <c r="D629" s="113"/>
      <c r="E629" s="113"/>
      <c r="F629" s="114"/>
      <c r="G629" s="100" t="s">
        <v>177</v>
      </c>
      <c r="H629" s="101">
        <v>0</v>
      </c>
      <c r="I629" s="102">
        <v>1000</v>
      </c>
      <c r="J629" s="101"/>
      <c r="K629" s="101">
        <v>1000</v>
      </c>
      <c r="L629" s="101"/>
      <c r="M629" s="6"/>
      <c r="N629" s="6"/>
    </row>
    <row r="630" spans="1:14" s="48" customFormat="1" ht="18" customHeight="1" x14ac:dyDescent="0.25">
      <c r="A630" s="48" t="s">
        <v>163</v>
      </c>
      <c r="B630" s="926" t="s">
        <v>1386</v>
      </c>
      <c r="C630" s="44" t="s">
        <v>178</v>
      </c>
      <c r="D630" s="113"/>
      <c r="E630" s="113"/>
      <c r="F630" s="114"/>
      <c r="G630" s="100" t="s">
        <v>179</v>
      </c>
      <c r="H630" s="101"/>
      <c r="I630" s="102"/>
      <c r="J630" s="101"/>
      <c r="K630" s="101">
        <f>12000+42000</f>
        <v>54000</v>
      </c>
      <c r="L630" s="101"/>
      <c r="M630" s="6"/>
      <c r="N630" s="6"/>
    </row>
    <row r="631" spans="1:14" s="48" customFormat="1" ht="18" customHeight="1" x14ac:dyDescent="0.25">
      <c r="A631" s="48" t="s">
        <v>163</v>
      </c>
      <c r="B631" s="926" t="s">
        <v>1386</v>
      </c>
      <c r="C631" s="44" t="s">
        <v>182</v>
      </c>
      <c r="D631" s="113"/>
      <c r="E631" s="113"/>
      <c r="F631" s="114"/>
      <c r="G631" s="100" t="s">
        <v>183</v>
      </c>
      <c r="H631" s="101"/>
      <c r="I631" s="102"/>
      <c r="J631" s="101"/>
      <c r="K631" s="101">
        <v>42000</v>
      </c>
      <c r="L631" s="101"/>
      <c r="M631" s="6"/>
      <c r="N631" s="6"/>
    </row>
    <row r="632" spans="1:14" s="48" customFormat="1" ht="18" customHeight="1" x14ac:dyDescent="0.25">
      <c r="A632" s="48" t="s">
        <v>163</v>
      </c>
      <c r="B632" s="926" t="s">
        <v>1386</v>
      </c>
      <c r="C632" s="44" t="s">
        <v>186</v>
      </c>
      <c r="D632" s="113"/>
      <c r="E632" s="113"/>
      <c r="F632" s="114"/>
      <c r="G632" s="100" t="s">
        <v>187</v>
      </c>
      <c r="H632" s="101">
        <v>9061.92</v>
      </c>
      <c r="I632" s="102">
        <v>50000</v>
      </c>
      <c r="J632" s="101">
        <v>11044.12</v>
      </c>
      <c r="K632" s="101">
        <v>50000</v>
      </c>
      <c r="L632" s="101"/>
      <c r="M632" s="6"/>
      <c r="N632" s="6"/>
    </row>
    <row r="633" spans="1:14" s="48" customFormat="1" ht="18" customHeight="1" x14ac:dyDescent="0.25">
      <c r="A633" s="48" t="s">
        <v>163</v>
      </c>
      <c r="B633" s="926" t="s">
        <v>1386</v>
      </c>
      <c r="C633" s="44" t="s">
        <v>236</v>
      </c>
      <c r="D633" s="113"/>
      <c r="E633" s="113"/>
      <c r="F633" s="114"/>
      <c r="G633" s="100" t="s">
        <v>237</v>
      </c>
      <c r="H633" s="101">
        <v>0</v>
      </c>
      <c r="I633" s="102">
        <v>6000</v>
      </c>
      <c r="J633" s="101"/>
      <c r="K633" s="101">
        <v>6000</v>
      </c>
      <c r="L633" s="101"/>
      <c r="M633" s="6"/>
      <c r="N633" s="6"/>
    </row>
    <row r="634" spans="1:14" s="48" customFormat="1" ht="18" customHeight="1" x14ac:dyDescent="0.25">
      <c r="A634" s="48" t="s">
        <v>163</v>
      </c>
      <c r="B634" s="926" t="s">
        <v>1386</v>
      </c>
      <c r="C634" s="44" t="s">
        <v>198</v>
      </c>
      <c r="D634" s="113"/>
      <c r="E634" s="113"/>
      <c r="F634" s="114"/>
      <c r="G634" s="104" t="s">
        <v>199</v>
      </c>
      <c r="H634" s="105">
        <v>130911.65</v>
      </c>
      <c r="I634" s="106">
        <v>257704</v>
      </c>
      <c r="J634" s="105">
        <v>35268.300000000003</v>
      </c>
      <c r="K634" s="105">
        <v>282000</v>
      </c>
      <c r="L634" s="105"/>
      <c r="M634" s="6"/>
      <c r="N634" s="6"/>
    </row>
    <row r="635" spans="1:14" s="48" customFormat="1" ht="18" customHeight="1" x14ac:dyDescent="0.25">
      <c r="A635" s="48" t="s">
        <v>201</v>
      </c>
      <c r="B635" s="926" t="s">
        <v>1386</v>
      </c>
      <c r="C635" s="1618" t="s">
        <v>350</v>
      </c>
      <c r="D635" s="1619"/>
      <c r="E635" s="1619"/>
      <c r="F635" s="1619"/>
      <c r="G635" s="168"/>
      <c r="H635" s="102"/>
      <c r="I635" s="102">
        <v>170000</v>
      </c>
      <c r="J635" s="102"/>
      <c r="K635" s="102">
        <v>220000</v>
      </c>
      <c r="L635" s="102"/>
      <c r="M635" s="6"/>
      <c r="N635" s="6"/>
    </row>
    <row r="636" spans="1:14" ht="18" x14ac:dyDescent="0.25">
      <c r="A636" s="48" t="s">
        <v>123</v>
      </c>
      <c r="B636" s="926" t="s">
        <v>1386</v>
      </c>
      <c r="C636" s="1602" t="s">
        <v>124</v>
      </c>
      <c r="D636" s="1603"/>
      <c r="E636" s="1603"/>
      <c r="F636" s="1603"/>
      <c r="G636" s="131" t="s">
        <v>125</v>
      </c>
      <c r="H636" s="101">
        <v>2672016</v>
      </c>
      <c r="I636" s="102">
        <v>3489036</v>
      </c>
      <c r="J636" s="101">
        <v>1796430.88</v>
      </c>
      <c r="K636" s="101">
        <v>3771696</v>
      </c>
      <c r="L636" s="101"/>
      <c r="M636" s="188"/>
      <c r="N636" s="188"/>
    </row>
    <row r="637" spans="1:14" ht="18" x14ac:dyDescent="0.25">
      <c r="A637" s="48" t="s">
        <v>123</v>
      </c>
      <c r="B637" s="926" t="s">
        <v>1386</v>
      </c>
      <c r="C637" s="1602" t="s">
        <v>128</v>
      </c>
      <c r="D637" s="1603"/>
      <c r="E637" s="1603"/>
      <c r="F637" s="1603"/>
      <c r="G637" s="131" t="s">
        <v>125</v>
      </c>
      <c r="H637" s="101"/>
      <c r="I637" s="102">
        <v>9816</v>
      </c>
      <c r="J637" s="101"/>
      <c r="K637" s="101">
        <v>9022</v>
      </c>
      <c r="L637" s="101"/>
      <c r="M637" s="188"/>
      <c r="N637" s="188"/>
    </row>
    <row r="638" spans="1:14" ht="18" x14ac:dyDescent="0.25">
      <c r="A638" s="48" t="s">
        <v>123</v>
      </c>
      <c r="B638" s="926" t="s">
        <v>1386</v>
      </c>
      <c r="C638" s="1602" t="s">
        <v>129</v>
      </c>
      <c r="D638" s="1603"/>
      <c r="E638" s="1603"/>
      <c r="F638" s="1603"/>
      <c r="G638" s="131" t="s">
        <v>130</v>
      </c>
      <c r="H638" s="101">
        <v>192000</v>
      </c>
      <c r="I638" s="102">
        <v>312000</v>
      </c>
      <c r="J638" s="101">
        <v>137090.91</v>
      </c>
      <c r="K638" s="101">
        <v>312000</v>
      </c>
      <c r="L638" s="101"/>
      <c r="M638" s="188"/>
      <c r="N638" s="188"/>
    </row>
    <row r="639" spans="1:14" ht="18" x14ac:dyDescent="0.25">
      <c r="A639" s="48" t="s">
        <v>123</v>
      </c>
      <c r="B639" s="926" t="s">
        <v>1386</v>
      </c>
      <c r="C639" s="1602" t="s">
        <v>131</v>
      </c>
      <c r="D639" s="1603"/>
      <c r="E639" s="1603"/>
      <c r="F639" s="1603"/>
      <c r="G639" s="131" t="s">
        <v>132</v>
      </c>
      <c r="H639" s="101">
        <v>72000</v>
      </c>
      <c r="I639" s="102">
        <v>72000</v>
      </c>
      <c r="J639" s="101">
        <v>40500</v>
      </c>
      <c r="K639" s="101">
        <v>72000</v>
      </c>
      <c r="L639" s="101"/>
      <c r="M639" s="188"/>
      <c r="N639" s="188"/>
    </row>
    <row r="640" spans="1:14" ht="18" x14ac:dyDescent="0.25">
      <c r="A640" s="48" t="s">
        <v>123</v>
      </c>
      <c r="B640" s="926" t="s">
        <v>1386</v>
      </c>
      <c r="C640" s="1602" t="s">
        <v>133</v>
      </c>
      <c r="D640" s="1603"/>
      <c r="E640" s="1603"/>
      <c r="F640" s="1603"/>
      <c r="G640" s="131" t="s">
        <v>134</v>
      </c>
      <c r="H640" s="101">
        <v>72000</v>
      </c>
      <c r="I640" s="102">
        <v>72000</v>
      </c>
      <c r="J640" s="101">
        <v>40500</v>
      </c>
      <c r="K640" s="101">
        <v>72000</v>
      </c>
      <c r="L640" s="101"/>
      <c r="M640" s="188"/>
      <c r="N640" s="188"/>
    </row>
    <row r="641" spans="1:14" ht="18" x14ac:dyDescent="0.25">
      <c r="A641" s="48" t="s">
        <v>123</v>
      </c>
      <c r="B641" s="926" t="s">
        <v>1386</v>
      </c>
      <c r="C641" s="1602" t="s">
        <v>135</v>
      </c>
      <c r="D641" s="1603"/>
      <c r="E641" s="1603"/>
      <c r="F641" s="1603"/>
      <c r="G641" s="131" t="s">
        <v>136</v>
      </c>
      <c r="H641" s="101">
        <v>60478.16</v>
      </c>
      <c r="I641" s="102">
        <v>198280.35</v>
      </c>
      <c r="J641" s="101">
        <v>79686.22</v>
      </c>
      <c r="K641" s="102">
        <v>307591.45</v>
      </c>
      <c r="L641" s="101"/>
      <c r="M641" s="188"/>
      <c r="N641" s="188"/>
    </row>
    <row r="642" spans="1:14" ht="18" x14ac:dyDescent="0.25">
      <c r="A642" s="48" t="s">
        <v>123</v>
      </c>
      <c r="B642" s="926" t="s">
        <v>1386</v>
      </c>
      <c r="C642" s="1602" t="s">
        <v>137</v>
      </c>
      <c r="D642" s="1603"/>
      <c r="E642" s="1603"/>
      <c r="F642" s="1603"/>
      <c r="G642" s="131" t="s">
        <v>138</v>
      </c>
      <c r="H642" s="101">
        <v>48000</v>
      </c>
      <c r="I642" s="102">
        <v>78000</v>
      </c>
      <c r="J642" s="101">
        <v>48000</v>
      </c>
      <c r="K642" s="101">
        <v>78000</v>
      </c>
      <c r="L642" s="101"/>
      <c r="M642" s="188"/>
      <c r="N642" s="188"/>
    </row>
    <row r="643" spans="1:14" ht="18" x14ac:dyDescent="0.25">
      <c r="A643" s="48" t="s">
        <v>123</v>
      </c>
      <c r="B643" s="926" t="s">
        <v>1386</v>
      </c>
      <c r="C643" s="824" t="s">
        <v>1370</v>
      </c>
      <c r="D643" s="811"/>
      <c r="E643" s="812"/>
      <c r="F643" s="812"/>
      <c r="G643" s="131"/>
      <c r="H643" s="101"/>
      <c r="I643" s="102"/>
      <c r="J643" s="101"/>
      <c r="K643" s="101">
        <v>1432449.2</v>
      </c>
      <c r="L643" s="101">
        <v>1432449.2</v>
      </c>
      <c r="M643" s="188"/>
      <c r="N643" s="188">
        <f>346576.64+1085872.56</f>
        <v>1432449.2000000002</v>
      </c>
    </row>
    <row r="644" spans="1:14" ht="18" customHeight="1" x14ac:dyDescent="0.25">
      <c r="A644" s="48" t="s">
        <v>123</v>
      </c>
      <c r="B644" s="926" t="s">
        <v>1386</v>
      </c>
      <c r="C644" s="1602" t="s">
        <v>139</v>
      </c>
      <c r="D644" s="1603"/>
      <c r="E644" s="1603"/>
      <c r="F644" s="1603"/>
      <c r="G644" s="131" t="s">
        <v>140</v>
      </c>
      <c r="H644" s="101">
        <v>222668</v>
      </c>
      <c r="I644" s="102">
        <v>291571</v>
      </c>
      <c r="J644" s="101">
        <v>231993</v>
      </c>
      <c r="K644" s="101">
        <v>315174</v>
      </c>
      <c r="L644" s="101"/>
      <c r="M644" s="188"/>
      <c r="N644" s="188"/>
    </row>
    <row r="645" spans="1:14" ht="18" x14ac:dyDescent="0.25">
      <c r="A645" s="48" t="s">
        <v>123</v>
      </c>
      <c r="B645" s="926" t="s">
        <v>1386</v>
      </c>
      <c r="C645" s="1602" t="s">
        <v>141</v>
      </c>
      <c r="D645" s="1603"/>
      <c r="E645" s="1603"/>
      <c r="F645" s="1603"/>
      <c r="G645" s="131" t="s">
        <v>142</v>
      </c>
      <c r="H645" s="101">
        <v>222668</v>
      </c>
      <c r="I645" s="102">
        <v>291571</v>
      </c>
      <c r="J645" s="101"/>
      <c r="K645" s="101">
        <v>315174</v>
      </c>
      <c r="L645" s="101"/>
      <c r="M645" s="188"/>
      <c r="N645" s="188"/>
    </row>
    <row r="646" spans="1:14" ht="18" x14ac:dyDescent="0.25">
      <c r="A646" s="48" t="s">
        <v>123</v>
      </c>
      <c r="B646" s="926" t="s">
        <v>1386</v>
      </c>
      <c r="C646" s="1602" t="s">
        <v>143</v>
      </c>
      <c r="D646" s="1603"/>
      <c r="E646" s="1603"/>
      <c r="F646" s="1603"/>
      <c r="G646" s="131" t="s">
        <v>144</v>
      </c>
      <c r="H646" s="101">
        <v>40000</v>
      </c>
      <c r="I646" s="102">
        <v>65000</v>
      </c>
      <c r="J646" s="101"/>
      <c r="K646" s="101">
        <v>65000</v>
      </c>
      <c r="L646" s="101"/>
      <c r="M646" s="188"/>
      <c r="N646" s="188"/>
    </row>
    <row r="647" spans="1:14" ht="18" x14ac:dyDescent="0.25">
      <c r="A647" s="48" t="s">
        <v>123</v>
      </c>
      <c r="B647" s="926" t="s">
        <v>1386</v>
      </c>
      <c r="C647" s="1602" t="s">
        <v>145</v>
      </c>
      <c r="D647" s="1603"/>
      <c r="E647" s="1603"/>
      <c r="F647" s="1603"/>
      <c r="G647" s="131" t="s">
        <v>146</v>
      </c>
      <c r="H647" s="101">
        <v>40000</v>
      </c>
      <c r="I647" s="102">
        <v>65000</v>
      </c>
      <c r="J647" s="101"/>
      <c r="K647" s="101">
        <v>65000</v>
      </c>
      <c r="L647" s="101"/>
      <c r="M647" s="188"/>
      <c r="N647" s="188"/>
    </row>
    <row r="648" spans="1:14" ht="18" x14ac:dyDescent="0.25">
      <c r="A648" s="48" t="s">
        <v>123</v>
      </c>
      <c r="B648" s="926" t="s">
        <v>1386</v>
      </c>
      <c r="C648" s="826" t="s">
        <v>231</v>
      </c>
      <c r="D648" s="813"/>
      <c r="E648" s="813"/>
      <c r="F648" s="811"/>
      <c r="G648" s="131" t="s">
        <v>232</v>
      </c>
      <c r="H648" s="101"/>
      <c r="I648" s="102"/>
      <c r="J648" s="101"/>
      <c r="K648" s="101">
        <v>10000</v>
      </c>
      <c r="L648" s="101"/>
      <c r="M648" s="188"/>
      <c r="N648" s="188"/>
    </row>
    <row r="649" spans="1:14" ht="18" x14ac:dyDescent="0.25">
      <c r="A649" s="48" t="s">
        <v>123</v>
      </c>
      <c r="B649" s="926" t="s">
        <v>1386</v>
      </c>
      <c r="C649" s="826" t="s">
        <v>147</v>
      </c>
      <c r="D649" s="813"/>
      <c r="E649" s="813"/>
      <c r="F649" s="811"/>
      <c r="G649" s="131" t="s">
        <v>148</v>
      </c>
      <c r="H649" s="101"/>
      <c r="I649" s="102"/>
      <c r="J649" s="101"/>
      <c r="K649" s="101">
        <v>42000</v>
      </c>
      <c r="L649" s="101"/>
      <c r="M649" s="188"/>
      <c r="N649" s="188"/>
    </row>
    <row r="650" spans="1:14" ht="18" x14ac:dyDescent="0.25">
      <c r="A650" s="48" t="s">
        <v>123</v>
      </c>
      <c r="B650" s="926" t="s">
        <v>1386</v>
      </c>
      <c r="C650" s="1602" t="s">
        <v>153</v>
      </c>
      <c r="D650" s="1603"/>
      <c r="E650" s="1603"/>
      <c r="F650" s="1603"/>
      <c r="G650" s="131" t="s">
        <v>154</v>
      </c>
      <c r="H650" s="101">
        <v>320641.91999999998</v>
      </c>
      <c r="I650" s="102">
        <v>419862.24</v>
      </c>
      <c r="J650" s="101">
        <v>215091.69</v>
      </c>
      <c r="K650" s="101">
        <v>453686.16</v>
      </c>
      <c r="L650" s="101"/>
      <c r="M650" s="188"/>
      <c r="N650" s="188"/>
    </row>
    <row r="651" spans="1:14" ht="18" x14ac:dyDescent="0.25">
      <c r="A651" s="48" t="s">
        <v>123</v>
      </c>
      <c r="B651" s="926" t="s">
        <v>1386</v>
      </c>
      <c r="C651" s="1602" t="s">
        <v>155</v>
      </c>
      <c r="D651" s="1603"/>
      <c r="E651" s="1603"/>
      <c r="F651" s="1603"/>
      <c r="G651" s="131" t="s">
        <v>156</v>
      </c>
      <c r="H651" s="101">
        <v>9600</v>
      </c>
      <c r="I651" s="102">
        <v>15600</v>
      </c>
      <c r="J651" s="101">
        <v>7000</v>
      </c>
      <c r="K651" s="101">
        <v>15600</v>
      </c>
      <c r="L651" s="101"/>
    </row>
    <row r="652" spans="1:14" ht="18" x14ac:dyDescent="0.25">
      <c r="A652" s="48" t="s">
        <v>123</v>
      </c>
      <c r="B652" s="926" t="s">
        <v>1386</v>
      </c>
      <c r="C652" s="1602" t="s">
        <v>157</v>
      </c>
      <c r="D652" s="1603"/>
      <c r="E652" s="1603"/>
      <c r="F652" s="1603"/>
      <c r="G652" s="131" t="s">
        <v>158</v>
      </c>
      <c r="H652" s="101">
        <v>35238.82</v>
      </c>
      <c r="I652" s="102">
        <v>57681.33</v>
      </c>
      <c r="J652" s="101">
        <v>24237.54</v>
      </c>
      <c r="K652" s="101">
        <v>148728.88</v>
      </c>
      <c r="L652" s="101"/>
    </row>
    <row r="653" spans="1:14" ht="18" x14ac:dyDescent="0.25">
      <c r="A653" s="48" t="s">
        <v>123</v>
      </c>
      <c r="B653" s="926" t="s">
        <v>1386</v>
      </c>
      <c r="C653" s="1602" t="s">
        <v>159</v>
      </c>
      <c r="D653" s="1603"/>
      <c r="E653" s="1603"/>
      <c r="F653" s="1603"/>
      <c r="G653" s="131" t="s">
        <v>160</v>
      </c>
      <c r="H653" s="105">
        <v>9600</v>
      </c>
      <c r="I653" s="106">
        <v>15600</v>
      </c>
      <c r="J653" s="105">
        <v>7000</v>
      </c>
      <c r="K653" s="105">
        <v>15600</v>
      </c>
      <c r="L653" s="105"/>
    </row>
    <row r="654" spans="1:14" ht="18" customHeight="1" x14ac:dyDescent="0.25">
      <c r="A654" s="48" t="s">
        <v>163</v>
      </c>
      <c r="B654" s="926" t="s">
        <v>1386</v>
      </c>
      <c r="C654" s="44" t="s">
        <v>353</v>
      </c>
      <c r="D654" s="113"/>
      <c r="E654" s="113"/>
      <c r="F654" s="114"/>
      <c r="G654" s="131" t="s">
        <v>165</v>
      </c>
      <c r="H654" s="101">
        <v>11256</v>
      </c>
      <c r="I654" s="102">
        <v>60000</v>
      </c>
      <c r="J654" s="101"/>
      <c r="K654" s="101">
        <v>60000</v>
      </c>
      <c r="L654" s="101"/>
    </row>
    <row r="655" spans="1:14" ht="18" customHeight="1" x14ac:dyDescent="0.25">
      <c r="A655" s="48" t="s">
        <v>163</v>
      </c>
      <c r="B655" s="926" t="s">
        <v>1386</v>
      </c>
      <c r="C655" s="44" t="s">
        <v>168</v>
      </c>
      <c r="D655" s="113"/>
      <c r="E655" s="113"/>
      <c r="F655" s="114"/>
      <c r="G655" s="131" t="s">
        <v>169</v>
      </c>
      <c r="H655" s="101">
        <v>366645.25</v>
      </c>
      <c r="I655" s="102">
        <v>320000</v>
      </c>
      <c r="J655" s="101">
        <v>189722.5</v>
      </c>
      <c r="K655" s="101">
        <v>378061</v>
      </c>
      <c r="L655" s="101"/>
    </row>
    <row r="656" spans="1:14" ht="18" customHeight="1" x14ac:dyDescent="0.25">
      <c r="A656" s="48" t="s">
        <v>163</v>
      </c>
      <c r="B656" s="926" t="s">
        <v>1386</v>
      </c>
      <c r="C656" s="44" t="s">
        <v>213</v>
      </c>
      <c r="D656" s="113"/>
      <c r="E656" s="113"/>
      <c r="F656" s="114"/>
      <c r="G656" s="131" t="s">
        <v>171</v>
      </c>
      <c r="H656" s="101"/>
      <c r="I656" s="102"/>
      <c r="J656" s="101"/>
      <c r="K656" s="101">
        <v>94793</v>
      </c>
      <c r="L656" s="101"/>
    </row>
    <row r="657" spans="1:14" ht="18" customHeight="1" x14ac:dyDescent="0.25">
      <c r="A657" s="48" t="s">
        <v>163</v>
      </c>
      <c r="B657" s="926" t="s">
        <v>1386</v>
      </c>
      <c r="C657" s="44" t="s">
        <v>178</v>
      </c>
      <c r="D657" s="113"/>
      <c r="E657" s="113"/>
      <c r="F657" s="114"/>
      <c r="G657" s="131" t="s">
        <v>179</v>
      </c>
      <c r="H657" s="101"/>
      <c r="I657" s="102"/>
      <c r="J657" s="101"/>
      <c r="K657" s="101">
        <v>60000</v>
      </c>
      <c r="L657" s="101"/>
    </row>
    <row r="658" spans="1:14" ht="18" customHeight="1" x14ac:dyDescent="0.25">
      <c r="A658" s="48" t="s">
        <v>163</v>
      </c>
      <c r="B658" s="926" t="s">
        <v>1386</v>
      </c>
      <c r="C658" s="44" t="s">
        <v>182</v>
      </c>
      <c r="D658" s="113"/>
      <c r="E658" s="113"/>
      <c r="F658" s="114"/>
      <c r="G658" s="131" t="s">
        <v>183</v>
      </c>
      <c r="H658" s="101">
        <v>4995</v>
      </c>
      <c r="I658" s="102">
        <v>20400</v>
      </c>
      <c r="J658" s="101"/>
      <c r="K658" s="101">
        <v>36000</v>
      </c>
      <c r="L658" s="101"/>
    </row>
    <row r="659" spans="1:14" ht="18" customHeight="1" x14ac:dyDescent="0.25">
      <c r="A659" s="48" t="s">
        <v>163</v>
      </c>
      <c r="B659" s="926" t="s">
        <v>1386</v>
      </c>
      <c r="C659" s="44" t="s">
        <v>186</v>
      </c>
      <c r="D659" s="113"/>
      <c r="E659" s="113"/>
      <c r="F659" s="114"/>
      <c r="G659" s="131"/>
      <c r="H659" s="101"/>
      <c r="I659" s="102"/>
      <c r="J659" s="101"/>
      <c r="K659" s="101">
        <v>30000</v>
      </c>
      <c r="L659" s="101"/>
    </row>
    <row r="660" spans="1:14" ht="18" customHeight="1" x14ac:dyDescent="0.25">
      <c r="A660" s="48" t="s">
        <v>163</v>
      </c>
      <c r="B660" s="926" t="s">
        <v>1386</v>
      </c>
      <c r="C660" s="44" t="s">
        <v>357</v>
      </c>
      <c r="D660" s="113"/>
      <c r="E660" s="113"/>
      <c r="F660" s="114"/>
      <c r="G660" s="131" t="s">
        <v>237</v>
      </c>
      <c r="H660" s="101">
        <v>300</v>
      </c>
      <c r="I660" s="102">
        <v>10000</v>
      </c>
      <c r="J660" s="101"/>
      <c r="K660" s="101">
        <v>10000</v>
      </c>
      <c r="L660" s="101"/>
    </row>
    <row r="661" spans="1:14" ht="18" customHeight="1" x14ac:dyDescent="0.25">
      <c r="A661" s="48" t="s">
        <v>163</v>
      </c>
      <c r="B661" s="926" t="s">
        <v>1386</v>
      </c>
      <c r="C661" s="44" t="s">
        <v>198</v>
      </c>
      <c r="D661" s="113"/>
      <c r="E661" s="113"/>
      <c r="F661" s="114"/>
      <c r="G661" s="131" t="s">
        <v>199</v>
      </c>
      <c r="H661" s="105">
        <v>379521.71</v>
      </c>
      <c r="I661" s="106">
        <v>552764.80000000005</v>
      </c>
      <c r="J661" s="105">
        <v>163277.51999999999</v>
      </c>
      <c r="K661" s="105">
        <v>550790.64</v>
      </c>
      <c r="L661" s="105"/>
    </row>
    <row r="662" spans="1:14" s="208" customFormat="1" ht="17.45" customHeight="1" x14ac:dyDescent="0.25">
      <c r="A662" s="208" t="s">
        <v>201</v>
      </c>
      <c r="B662" s="926" t="s">
        <v>1386</v>
      </c>
      <c r="C662" s="826" t="s">
        <v>358</v>
      </c>
      <c r="D662" s="824"/>
      <c r="E662" s="824"/>
      <c r="F662" s="824"/>
      <c r="G662" s="120"/>
      <c r="H662" s="101"/>
      <c r="I662" s="145"/>
      <c r="J662" s="121"/>
      <c r="K662" s="121">
        <v>71700</v>
      </c>
      <c r="L662" s="121"/>
      <c r="M662" s="207"/>
      <c r="N662" s="207"/>
    </row>
    <row r="663" spans="1:14" s="208" customFormat="1" ht="17.45" customHeight="1" x14ac:dyDescent="0.25">
      <c r="A663" s="208" t="s">
        <v>201</v>
      </c>
      <c r="B663" s="926" t="s">
        <v>1386</v>
      </c>
      <c r="C663" s="826" t="s">
        <v>359</v>
      </c>
      <c r="D663" s="824"/>
      <c r="E663" s="824"/>
      <c r="F663" s="824"/>
      <c r="G663" s="97"/>
      <c r="H663" s="101"/>
      <c r="I663" s="102"/>
      <c r="J663" s="101"/>
      <c r="K663" s="101">
        <v>95000</v>
      </c>
      <c r="L663" s="101"/>
      <c r="M663" s="207"/>
      <c r="N663" s="207"/>
    </row>
    <row r="664" spans="1:14" s="208" customFormat="1" ht="17.45" customHeight="1" x14ac:dyDescent="0.25">
      <c r="A664" s="208" t="s">
        <v>201</v>
      </c>
      <c r="B664" s="926" t="s">
        <v>1386</v>
      </c>
      <c r="C664" s="826" t="s">
        <v>360</v>
      </c>
      <c r="D664" s="824"/>
      <c r="E664" s="824"/>
      <c r="F664" s="824"/>
      <c r="G664" s="97"/>
      <c r="H664" s="101"/>
      <c r="I664" s="102"/>
      <c r="J664" s="101"/>
      <c r="K664" s="101">
        <v>41600</v>
      </c>
      <c r="L664" s="101"/>
      <c r="M664" s="207"/>
      <c r="N664" s="207"/>
    </row>
    <row r="665" spans="1:14" s="208" customFormat="1" ht="17.45" customHeight="1" x14ac:dyDescent="0.25">
      <c r="A665" s="208" t="s">
        <v>201</v>
      </c>
      <c r="B665" s="926" t="s">
        <v>1386</v>
      </c>
      <c r="C665" s="826" t="s">
        <v>361</v>
      </c>
      <c r="D665" s="826"/>
      <c r="E665" s="824"/>
      <c r="F665" s="824"/>
      <c r="G665" s="97"/>
      <c r="H665" s="101"/>
      <c r="I665" s="102"/>
      <c r="J665" s="101"/>
      <c r="K665" s="101">
        <v>400000</v>
      </c>
      <c r="L665" s="101"/>
      <c r="M665" s="207"/>
      <c r="N665" s="207"/>
    </row>
    <row r="666" spans="1:14" s="208" customFormat="1" ht="17.45" customHeight="1" x14ac:dyDescent="0.25">
      <c r="A666" s="208" t="s">
        <v>201</v>
      </c>
      <c r="B666" s="926" t="s">
        <v>1386</v>
      </c>
      <c r="C666" s="826" t="s">
        <v>203</v>
      </c>
      <c r="D666" s="826"/>
      <c r="E666" s="824"/>
      <c r="F666" s="824"/>
      <c r="G666" s="97"/>
      <c r="H666" s="101"/>
      <c r="I666" s="102"/>
      <c r="J666" s="101"/>
      <c r="K666" s="101">
        <v>75000</v>
      </c>
      <c r="L666" s="101"/>
      <c r="M666" s="207"/>
      <c r="N666" s="207"/>
    </row>
    <row r="667" spans="1:14" s="208" customFormat="1" ht="17.45" customHeight="1" x14ac:dyDescent="0.25">
      <c r="A667" s="208" t="s">
        <v>201</v>
      </c>
      <c r="B667" s="926" t="s">
        <v>1386</v>
      </c>
      <c r="C667" s="826" t="s">
        <v>362</v>
      </c>
      <c r="D667" s="824"/>
      <c r="E667" s="824"/>
      <c r="F667" s="824"/>
      <c r="G667" s="97"/>
      <c r="H667" s="101"/>
      <c r="I667" s="102"/>
      <c r="J667" s="101"/>
      <c r="K667" s="101">
        <v>35200</v>
      </c>
      <c r="L667" s="101"/>
      <c r="M667" s="207"/>
      <c r="N667" s="207"/>
    </row>
    <row r="668" spans="1:14" s="48" customFormat="1" ht="18" customHeight="1" x14ac:dyDescent="0.25">
      <c r="A668" s="48" t="s">
        <v>123</v>
      </c>
      <c r="B668" s="926" t="s">
        <v>1386</v>
      </c>
      <c r="C668" s="1602" t="s">
        <v>124</v>
      </c>
      <c r="D668" s="1603"/>
      <c r="E668" s="1603"/>
      <c r="F668" s="1603"/>
      <c r="G668" s="131" t="s">
        <v>125</v>
      </c>
      <c r="H668" s="101">
        <v>5231866.72</v>
      </c>
      <c r="I668" s="102">
        <v>6175824</v>
      </c>
      <c r="J668" s="101">
        <v>3191880.4</v>
      </c>
      <c r="K668" s="101">
        <v>6696612</v>
      </c>
      <c r="L668" s="101"/>
      <c r="M668" s="6"/>
      <c r="N668" s="6"/>
    </row>
    <row r="669" spans="1:14" s="48" customFormat="1" ht="18" customHeight="1" x14ac:dyDescent="0.25">
      <c r="A669" s="48" t="s">
        <v>123</v>
      </c>
      <c r="B669" s="926" t="s">
        <v>1386</v>
      </c>
      <c r="C669" s="1602" t="s">
        <v>126</v>
      </c>
      <c r="D669" s="1603"/>
      <c r="E669" s="1603"/>
      <c r="F669" s="1603"/>
      <c r="G669" s="131" t="s">
        <v>127</v>
      </c>
      <c r="H669" s="101">
        <v>979409.38</v>
      </c>
      <c r="I669" s="102">
        <v>999840</v>
      </c>
      <c r="J669" s="101">
        <v>434656.46</v>
      </c>
      <c r="K669" s="101">
        <v>1084800</v>
      </c>
      <c r="L669" s="101"/>
      <c r="M669" s="6"/>
      <c r="N669" s="6"/>
    </row>
    <row r="670" spans="1:14" s="48" customFormat="1" ht="18" customHeight="1" x14ac:dyDescent="0.25">
      <c r="A670" s="48" t="s">
        <v>123</v>
      </c>
      <c r="B670" s="926" t="s">
        <v>1386</v>
      </c>
      <c r="C670" s="1602" t="s">
        <v>128</v>
      </c>
      <c r="D670" s="1603"/>
      <c r="E670" s="1603"/>
      <c r="F670" s="1603"/>
      <c r="G670" s="132" t="s">
        <v>125</v>
      </c>
      <c r="H670" s="101">
        <v>0</v>
      </c>
      <c r="I670" s="102">
        <v>5141</v>
      </c>
      <c r="J670" s="101"/>
      <c r="K670" s="101">
        <v>19583.43</v>
      </c>
      <c r="L670" s="101"/>
      <c r="M670" s="6"/>
      <c r="N670" s="6"/>
    </row>
    <row r="671" spans="1:14" s="48" customFormat="1" ht="18" customHeight="1" x14ac:dyDescent="0.25">
      <c r="A671" s="48" t="s">
        <v>123</v>
      </c>
      <c r="B671" s="926" t="s">
        <v>1386</v>
      </c>
      <c r="C671" s="1602" t="s">
        <v>129</v>
      </c>
      <c r="D671" s="1603"/>
      <c r="E671" s="1603"/>
      <c r="F671" s="1603"/>
      <c r="G671" s="132" t="s">
        <v>130</v>
      </c>
      <c r="H671" s="101">
        <v>821362.72</v>
      </c>
      <c r="I671" s="102">
        <v>1080000</v>
      </c>
      <c r="J671" s="101">
        <v>499454.53</v>
      </c>
      <c r="K671" s="101">
        <v>1080000</v>
      </c>
      <c r="L671" s="101"/>
      <c r="M671" s="6"/>
      <c r="N671" s="6"/>
    </row>
    <row r="672" spans="1:14" s="48" customFormat="1" ht="18" customHeight="1" x14ac:dyDescent="0.25">
      <c r="A672" s="48" t="s">
        <v>123</v>
      </c>
      <c r="B672" s="926" t="s">
        <v>1386</v>
      </c>
      <c r="C672" s="1602" t="s">
        <v>131</v>
      </c>
      <c r="D672" s="1603"/>
      <c r="E672" s="1603"/>
      <c r="F672" s="1603"/>
      <c r="G672" s="131" t="s">
        <v>132</v>
      </c>
      <c r="H672" s="101">
        <v>70500</v>
      </c>
      <c r="I672" s="102">
        <v>72000</v>
      </c>
      <c r="J672" s="101">
        <v>40500</v>
      </c>
      <c r="K672" s="101">
        <v>72000</v>
      </c>
      <c r="L672" s="101"/>
      <c r="M672" s="6"/>
      <c r="N672" s="6"/>
    </row>
    <row r="673" spans="1:14" s="48" customFormat="1" ht="18" customHeight="1" x14ac:dyDescent="0.25">
      <c r="A673" s="48" t="s">
        <v>123</v>
      </c>
      <c r="B673" s="926" t="s">
        <v>1386</v>
      </c>
      <c r="C673" s="1602" t="s">
        <v>133</v>
      </c>
      <c r="D673" s="1603"/>
      <c r="E673" s="1603"/>
      <c r="F673" s="1603"/>
      <c r="G673" s="131" t="s">
        <v>134</v>
      </c>
      <c r="H673" s="101">
        <v>70500</v>
      </c>
      <c r="I673" s="102">
        <v>72000</v>
      </c>
      <c r="J673" s="101">
        <v>40500</v>
      </c>
      <c r="K673" s="101">
        <v>72000</v>
      </c>
      <c r="L673" s="101"/>
      <c r="M673" s="6"/>
      <c r="N673" s="6"/>
    </row>
    <row r="674" spans="1:14" s="48" customFormat="1" ht="18" customHeight="1" x14ac:dyDescent="0.25">
      <c r="A674" s="48" t="s">
        <v>123</v>
      </c>
      <c r="B674" s="926" t="s">
        <v>1386</v>
      </c>
      <c r="C674" s="1602" t="s">
        <v>135</v>
      </c>
      <c r="D674" s="1603"/>
      <c r="E674" s="1603"/>
      <c r="F674" s="1603"/>
      <c r="G674" s="131" t="s">
        <v>136</v>
      </c>
      <c r="H674" s="101">
        <v>389188.09</v>
      </c>
      <c r="I674" s="102">
        <v>430452.6</v>
      </c>
      <c r="J674" s="101">
        <v>122167.61</v>
      </c>
      <c r="K674" s="101">
        <v>481917.36</v>
      </c>
      <c r="L674" s="101"/>
      <c r="M674" s="6"/>
      <c r="N674" s="6"/>
    </row>
    <row r="675" spans="1:14" s="48" customFormat="1" ht="18" customHeight="1" x14ac:dyDescent="0.25">
      <c r="A675" s="48" t="s">
        <v>123</v>
      </c>
      <c r="B675" s="926" t="s">
        <v>1386</v>
      </c>
      <c r="C675" s="1602" t="s">
        <v>137</v>
      </c>
      <c r="D675" s="1603"/>
      <c r="E675" s="1603"/>
      <c r="F675" s="1603"/>
      <c r="G675" s="131" t="s">
        <v>138</v>
      </c>
      <c r="H675" s="101">
        <v>180000</v>
      </c>
      <c r="I675" s="102">
        <v>270000</v>
      </c>
      <c r="J675" s="101">
        <v>222000</v>
      </c>
      <c r="K675" s="101">
        <v>270000</v>
      </c>
      <c r="L675" s="101"/>
      <c r="M675" s="6"/>
      <c r="N675" s="6"/>
    </row>
    <row r="676" spans="1:14" s="48" customFormat="1" ht="18" customHeight="1" x14ac:dyDescent="0.25">
      <c r="A676" s="48" t="s">
        <v>123</v>
      </c>
      <c r="B676" s="926" t="s">
        <v>1386</v>
      </c>
      <c r="C676" s="1602" t="s">
        <v>139</v>
      </c>
      <c r="D676" s="1603"/>
      <c r="E676" s="1603"/>
      <c r="F676" s="1603"/>
      <c r="G676" s="131" t="s">
        <v>140</v>
      </c>
      <c r="H676" s="101">
        <v>488697</v>
      </c>
      <c r="I676" s="102">
        <v>598152</v>
      </c>
      <c r="J676" s="101">
        <v>521499</v>
      </c>
      <c r="K676" s="101">
        <v>650419</v>
      </c>
      <c r="L676" s="101"/>
      <c r="M676" s="6"/>
      <c r="N676" s="6"/>
    </row>
    <row r="677" spans="1:14" s="48" customFormat="1" ht="18" customHeight="1" x14ac:dyDescent="0.25">
      <c r="A677" s="48" t="s">
        <v>123</v>
      </c>
      <c r="B677" s="926" t="s">
        <v>1386</v>
      </c>
      <c r="C677" s="1602" t="s">
        <v>141</v>
      </c>
      <c r="D677" s="1603"/>
      <c r="E677" s="1603"/>
      <c r="F677" s="1603"/>
      <c r="G677" s="131" t="s">
        <v>142</v>
      </c>
      <c r="H677" s="101">
        <v>510897</v>
      </c>
      <c r="I677" s="102">
        <v>598733</v>
      </c>
      <c r="J677" s="101"/>
      <c r="K677" s="101">
        <v>650419</v>
      </c>
      <c r="L677" s="101"/>
      <c r="M677" s="6"/>
      <c r="N677" s="6"/>
    </row>
    <row r="678" spans="1:14" s="48" customFormat="1" ht="18" customHeight="1" x14ac:dyDescent="0.25">
      <c r="A678" s="48" t="s">
        <v>123</v>
      </c>
      <c r="B678" s="926" t="s">
        <v>1386</v>
      </c>
      <c r="C678" s="1602" t="s">
        <v>143</v>
      </c>
      <c r="D678" s="1603"/>
      <c r="E678" s="1603"/>
      <c r="F678" s="1603"/>
      <c r="G678" s="131" t="s">
        <v>144</v>
      </c>
      <c r="H678" s="101">
        <v>185000</v>
      </c>
      <c r="I678" s="102">
        <v>225000</v>
      </c>
      <c r="J678" s="101"/>
      <c r="K678" s="101">
        <v>225000</v>
      </c>
      <c r="L678" s="101"/>
      <c r="M678" s="6"/>
      <c r="N678" s="6"/>
    </row>
    <row r="679" spans="1:14" s="48" customFormat="1" ht="18" customHeight="1" x14ac:dyDescent="0.25">
      <c r="A679" s="48" t="s">
        <v>123</v>
      </c>
      <c r="B679" s="926" t="s">
        <v>1386</v>
      </c>
      <c r="C679" s="1602" t="s">
        <v>145</v>
      </c>
      <c r="D679" s="1603"/>
      <c r="E679" s="1603"/>
      <c r="F679" s="1603"/>
      <c r="G679" s="131" t="s">
        <v>146</v>
      </c>
      <c r="H679" s="101">
        <v>185000</v>
      </c>
      <c r="I679" s="102">
        <v>225000</v>
      </c>
      <c r="J679" s="101"/>
      <c r="K679" s="101">
        <v>225000</v>
      </c>
      <c r="L679" s="101"/>
      <c r="M679" s="6"/>
      <c r="N679" s="6"/>
    </row>
    <row r="680" spans="1:14" s="48" customFormat="1" ht="18" customHeight="1" x14ac:dyDescent="0.25">
      <c r="A680" s="48" t="s">
        <v>123</v>
      </c>
      <c r="B680" s="926" t="s">
        <v>1386</v>
      </c>
      <c r="C680" s="1602" t="s">
        <v>231</v>
      </c>
      <c r="D680" s="1603"/>
      <c r="E680" s="1603"/>
      <c r="F680" s="1603"/>
      <c r="G680" s="131" t="s">
        <v>232</v>
      </c>
      <c r="H680" s="101">
        <v>20000</v>
      </c>
      <c r="I680" s="102">
        <v>10000</v>
      </c>
      <c r="J680" s="101"/>
      <c r="K680" s="101">
        <v>30000</v>
      </c>
      <c r="L680" s="101"/>
      <c r="M680" s="6"/>
      <c r="N680" s="6"/>
    </row>
    <row r="681" spans="1:14" s="48" customFormat="1" ht="18" customHeight="1" x14ac:dyDescent="0.25">
      <c r="A681" s="48" t="s">
        <v>123</v>
      </c>
      <c r="B681" s="926" t="s">
        <v>1386</v>
      </c>
      <c r="C681" s="826" t="s">
        <v>147</v>
      </c>
      <c r="D681" s="813"/>
      <c r="E681" s="813"/>
      <c r="F681" s="811"/>
      <c r="G681" s="131" t="s">
        <v>148</v>
      </c>
      <c r="H681" s="101"/>
      <c r="I681" s="102"/>
      <c r="J681" s="101"/>
      <c r="K681" s="101">
        <v>135000</v>
      </c>
      <c r="L681" s="101"/>
      <c r="M681" s="6"/>
      <c r="N681" s="6"/>
    </row>
    <row r="682" spans="1:14" s="48" customFormat="1" ht="18" customHeight="1" x14ac:dyDescent="0.25">
      <c r="A682" s="48" t="s">
        <v>123</v>
      </c>
      <c r="B682" s="926" t="s">
        <v>1386</v>
      </c>
      <c r="C682" s="1602" t="s">
        <v>153</v>
      </c>
      <c r="D682" s="1603"/>
      <c r="E682" s="1603"/>
      <c r="F682" s="1603"/>
      <c r="G682" s="131" t="s">
        <v>154</v>
      </c>
      <c r="H682" s="101">
        <v>694844.3</v>
      </c>
      <c r="I682" s="102">
        <v>861696.6</v>
      </c>
      <c r="J682" s="101">
        <v>437094.01</v>
      </c>
      <c r="K682" s="101">
        <v>936119.45</v>
      </c>
      <c r="L682" s="101"/>
      <c r="M682" s="6"/>
      <c r="N682" s="6"/>
    </row>
    <row r="683" spans="1:14" s="48" customFormat="1" ht="18" customHeight="1" x14ac:dyDescent="0.25">
      <c r="A683" s="48" t="s">
        <v>123</v>
      </c>
      <c r="B683" s="926" t="s">
        <v>1386</v>
      </c>
      <c r="C683" s="1602" t="s">
        <v>155</v>
      </c>
      <c r="D683" s="1603"/>
      <c r="E683" s="1603"/>
      <c r="F683" s="1603"/>
      <c r="G683" s="131" t="s">
        <v>156</v>
      </c>
      <c r="H683" s="101">
        <v>40900</v>
      </c>
      <c r="I683" s="102">
        <v>54000</v>
      </c>
      <c r="J683" s="101">
        <v>25500</v>
      </c>
      <c r="K683" s="101">
        <v>54000</v>
      </c>
      <c r="L683" s="101"/>
      <c r="M683" s="6"/>
      <c r="N683" s="6"/>
    </row>
    <row r="684" spans="1:14" s="48" customFormat="1" ht="18" customHeight="1" x14ac:dyDescent="0.25">
      <c r="A684" s="48" t="s">
        <v>123</v>
      </c>
      <c r="B684" s="926" t="s">
        <v>1386</v>
      </c>
      <c r="C684" s="1602" t="s">
        <v>157</v>
      </c>
      <c r="D684" s="1603"/>
      <c r="E684" s="1603"/>
      <c r="F684" s="1603"/>
      <c r="G684" s="131" t="s">
        <v>158</v>
      </c>
      <c r="H684" s="101">
        <v>83067.11</v>
      </c>
      <c r="I684" s="102">
        <v>123534.48</v>
      </c>
      <c r="J684" s="101">
        <v>52969.89</v>
      </c>
      <c r="K684" s="101">
        <v>310779.34000000003</v>
      </c>
      <c r="L684" s="101"/>
      <c r="M684" s="6"/>
      <c r="N684" s="6"/>
    </row>
    <row r="685" spans="1:14" s="48" customFormat="1" ht="18" customHeight="1" x14ac:dyDescent="0.25">
      <c r="A685" s="48" t="s">
        <v>123</v>
      </c>
      <c r="B685" s="926" t="s">
        <v>1386</v>
      </c>
      <c r="C685" s="1602" t="s">
        <v>159</v>
      </c>
      <c r="D685" s="1603"/>
      <c r="E685" s="1603"/>
      <c r="F685" s="1603"/>
      <c r="G685" s="131" t="s">
        <v>160</v>
      </c>
      <c r="H685" s="105">
        <v>40906.480000000003</v>
      </c>
      <c r="I685" s="106">
        <v>54000</v>
      </c>
      <c r="J685" s="105">
        <v>25500</v>
      </c>
      <c r="K685" s="105">
        <v>54000</v>
      </c>
      <c r="L685" s="105"/>
      <c r="M685" s="6"/>
      <c r="N685" s="6"/>
    </row>
    <row r="686" spans="1:14" s="48" customFormat="1" ht="18" customHeight="1" x14ac:dyDescent="0.25">
      <c r="A686" s="48" t="s">
        <v>163</v>
      </c>
      <c r="B686" s="926" t="s">
        <v>1386</v>
      </c>
      <c r="C686" s="44" t="s">
        <v>353</v>
      </c>
      <c r="D686" s="125"/>
      <c r="E686" s="125"/>
      <c r="F686" s="134"/>
      <c r="G686" s="131" t="s">
        <v>165</v>
      </c>
      <c r="H686" s="101">
        <v>10094</v>
      </c>
      <c r="I686" s="102">
        <v>80000</v>
      </c>
      <c r="J686" s="101">
        <v>7750</v>
      </c>
      <c r="K686" s="101">
        <v>80000</v>
      </c>
      <c r="L686" s="101"/>
      <c r="M686" s="6"/>
      <c r="N686" s="6"/>
    </row>
    <row r="687" spans="1:14" s="48" customFormat="1" ht="18" customHeight="1" x14ac:dyDescent="0.25">
      <c r="A687" s="48" t="s">
        <v>163</v>
      </c>
      <c r="B687" s="926" t="s">
        <v>1386</v>
      </c>
      <c r="C687" s="44" t="s">
        <v>168</v>
      </c>
      <c r="D687" s="125"/>
      <c r="E687" s="125"/>
      <c r="F687" s="134"/>
      <c r="G687" s="131" t="s">
        <v>169</v>
      </c>
      <c r="H687" s="101">
        <v>465620.04</v>
      </c>
      <c r="I687" s="102">
        <v>500000</v>
      </c>
      <c r="J687" s="101">
        <v>322354.5</v>
      </c>
      <c r="K687" s="101">
        <v>372200</v>
      </c>
      <c r="L687" s="101"/>
      <c r="M687" s="6"/>
      <c r="N687" s="6"/>
    </row>
    <row r="688" spans="1:14" s="48" customFormat="1" ht="18" customHeight="1" x14ac:dyDescent="0.25">
      <c r="A688" s="48" t="s">
        <v>163</v>
      </c>
      <c r="B688" s="926" t="s">
        <v>1386</v>
      </c>
      <c r="C688" s="44" t="s">
        <v>369</v>
      </c>
      <c r="D688" s="125"/>
      <c r="E688" s="125"/>
      <c r="F688" s="134"/>
      <c r="G688" s="131" t="s">
        <v>173</v>
      </c>
      <c r="H688" s="101">
        <v>1675752.84</v>
      </c>
      <c r="I688" s="102">
        <v>2449000</v>
      </c>
      <c r="J688" s="101">
        <v>717072.08</v>
      </c>
      <c r="K688" s="101">
        <f>3995000+200000</f>
        <v>4195000</v>
      </c>
      <c r="L688" s="101"/>
      <c r="M688" s="6"/>
      <c r="N688" s="6"/>
    </row>
    <row r="689" spans="1:16" s="48" customFormat="1" ht="18" customHeight="1" x14ac:dyDescent="0.25">
      <c r="A689" s="48" t="s">
        <v>163</v>
      </c>
      <c r="B689" s="926" t="s">
        <v>1386</v>
      </c>
      <c r="C689" s="44" t="s">
        <v>371</v>
      </c>
      <c r="D689" s="125"/>
      <c r="E689" s="125"/>
      <c r="F689" s="134"/>
      <c r="G689" s="131" t="s">
        <v>173</v>
      </c>
      <c r="H689" s="101">
        <v>261256</v>
      </c>
      <c r="I689" s="102">
        <v>600000</v>
      </c>
      <c r="J689" s="101">
        <v>60955.199999999997</v>
      </c>
      <c r="K689" s="101">
        <v>600000</v>
      </c>
      <c r="L689" s="101"/>
      <c r="M689" s="6"/>
      <c r="N689" s="6"/>
    </row>
    <row r="690" spans="1:16" s="48" customFormat="1" ht="18" customHeight="1" x14ac:dyDescent="0.25">
      <c r="A690" s="48" t="s">
        <v>163</v>
      </c>
      <c r="B690" s="926" t="s">
        <v>1386</v>
      </c>
      <c r="C690" s="44" t="s">
        <v>372</v>
      </c>
      <c r="D690" s="125"/>
      <c r="E690" s="125"/>
      <c r="F690" s="134"/>
      <c r="G690" s="131" t="s">
        <v>173</v>
      </c>
      <c r="H690" s="101">
        <v>43007.1</v>
      </c>
      <c r="I690" s="102">
        <v>150000</v>
      </c>
      <c r="J690" s="101">
        <v>22236.95</v>
      </c>
      <c r="K690" s="101">
        <v>150000</v>
      </c>
      <c r="L690" s="101"/>
      <c r="M690" s="6"/>
      <c r="N690" s="6"/>
    </row>
    <row r="691" spans="1:16" s="48" customFormat="1" ht="18" customHeight="1" x14ac:dyDescent="0.25">
      <c r="A691" s="48" t="s">
        <v>163</v>
      </c>
      <c r="B691" s="926" t="s">
        <v>1386</v>
      </c>
      <c r="C691" s="44" t="s">
        <v>288</v>
      </c>
      <c r="D691" s="125"/>
      <c r="E691" s="125"/>
      <c r="F691" s="134"/>
      <c r="G691" s="131" t="s">
        <v>171</v>
      </c>
      <c r="H691" s="101"/>
      <c r="I691" s="102"/>
      <c r="J691" s="101"/>
      <c r="K691" s="101">
        <v>6910600</v>
      </c>
      <c r="L691" s="101"/>
      <c r="M691" s="6"/>
      <c r="N691" s="6"/>
    </row>
    <row r="692" spans="1:16" s="48" customFormat="1" ht="18" customHeight="1" x14ac:dyDescent="0.25">
      <c r="A692" s="48" t="s">
        <v>163</v>
      </c>
      <c r="B692" s="926" t="s">
        <v>1386</v>
      </c>
      <c r="C692" s="44" t="s">
        <v>382</v>
      </c>
      <c r="D692" s="125"/>
      <c r="E692" s="125"/>
      <c r="F692" s="134"/>
      <c r="G692" s="131" t="s">
        <v>383</v>
      </c>
      <c r="H692" s="101">
        <v>17360.68</v>
      </c>
      <c r="I692" s="102">
        <v>20000</v>
      </c>
      <c r="J692" s="101">
        <v>1512</v>
      </c>
      <c r="K692" s="101">
        <v>20000</v>
      </c>
      <c r="L692" s="101"/>
      <c r="M692" s="6"/>
      <c r="N692" s="6"/>
    </row>
    <row r="693" spans="1:16" s="48" customFormat="1" ht="18" customHeight="1" x14ac:dyDescent="0.25">
      <c r="A693" s="48" t="s">
        <v>163</v>
      </c>
      <c r="B693" s="926" t="s">
        <v>1386</v>
      </c>
      <c r="C693" s="44" t="s">
        <v>384</v>
      </c>
      <c r="D693" s="125"/>
      <c r="E693" s="125"/>
      <c r="F693" s="134"/>
      <c r="G693" s="166" t="s">
        <v>385</v>
      </c>
      <c r="H693" s="101">
        <v>5437756.3799999999</v>
      </c>
      <c r="I693" s="102">
        <v>6000000</v>
      </c>
      <c r="J693" s="101">
        <v>2768213.53</v>
      </c>
      <c r="K693" s="101">
        <v>6000000</v>
      </c>
      <c r="L693" s="101"/>
      <c r="M693" s="6"/>
      <c r="N693" s="6"/>
    </row>
    <row r="694" spans="1:16" s="48" customFormat="1" ht="18" customHeight="1" x14ac:dyDescent="0.25">
      <c r="A694" s="48" t="s">
        <v>163</v>
      </c>
      <c r="B694" s="926" t="s">
        <v>1386</v>
      </c>
      <c r="C694" s="44" t="s">
        <v>178</v>
      </c>
      <c r="D694" s="125"/>
      <c r="E694" s="125"/>
      <c r="F694" s="134"/>
      <c r="G694" s="131" t="s">
        <v>179</v>
      </c>
      <c r="H694" s="101"/>
      <c r="I694" s="102">
        <v>0</v>
      </c>
      <c r="J694" s="101"/>
      <c r="K694" s="101">
        <v>50000</v>
      </c>
      <c r="L694" s="101"/>
      <c r="M694" s="6"/>
      <c r="N694" s="6"/>
    </row>
    <row r="695" spans="1:16" s="48" customFormat="1" ht="18" customHeight="1" thickBot="1" x14ac:dyDescent="0.3">
      <c r="A695" s="48" t="s">
        <v>163</v>
      </c>
      <c r="B695" s="926" t="s">
        <v>1386</v>
      </c>
      <c r="C695" s="215" t="s">
        <v>181</v>
      </c>
      <c r="D695" s="216"/>
      <c r="E695" s="216"/>
      <c r="F695" s="217"/>
      <c r="G695" s="218" t="s">
        <v>179</v>
      </c>
      <c r="H695" s="219">
        <v>42000</v>
      </c>
      <c r="I695" s="220">
        <v>50000</v>
      </c>
      <c r="J695" s="219">
        <v>21000</v>
      </c>
      <c r="K695" s="219"/>
      <c r="L695" s="219"/>
      <c r="M695" s="6"/>
      <c r="N695" s="6"/>
    </row>
    <row r="696" spans="1:16" s="48" customFormat="1" ht="18" customHeight="1" x14ac:dyDescent="0.25">
      <c r="A696" s="48" t="s">
        <v>163</v>
      </c>
      <c r="B696" s="926" t="s">
        <v>1386</v>
      </c>
      <c r="C696" s="44" t="s">
        <v>182</v>
      </c>
      <c r="D696" s="125"/>
      <c r="E696" s="125"/>
      <c r="F696" s="134"/>
      <c r="G696" s="131" t="s">
        <v>183</v>
      </c>
      <c r="H696" s="101">
        <v>36525.360000000001</v>
      </c>
      <c r="I696" s="102">
        <v>42000</v>
      </c>
      <c r="J696" s="101">
        <v>21306.46</v>
      </c>
      <c r="K696" s="101">
        <v>42000</v>
      </c>
      <c r="L696" s="101"/>
      <c r="M696" s="6"/>
      <c r="N696" s="6"/>
    </row>
    <row r="697" spans="1:16" s="48" customFormat="1" ht="18" customHeight="1" x14ac:dyDescent="0.25">
      <c r="A697" s="48" t="s">
        <v>163</v>
      </c>
      <c r="B697" s="926" t="s">
        <v>1386</v>
      </c>
      <c r="C697" s="44" t="s">
        <v>386</v>
      </c>
      <c r="D697" s="125"/>
      <c r="E697" s="125"/>
      <c r="F697" s="134"/>
      <c r="G697" s="131" t="s">
        <v>187</v>
      </c>
      <c r="H697" s="101">
        <v>0</v>
      </c>
      <c r="I697" s="102">
        <v>190000</v>
      </c>
      <c r="J697" s="101"/>
      <c r="K697" s="102">
        <v>700000</v>
      </c>
      <c r="L697" s="101"/>
      <c r="M697" s="6"/>
      <c r="N697" s="6"/>
    </row>
    <row r="698" spans="1:16" s="48" customFormat="1" ht="18" customHeight="1" x14ac:dyDescent="0.25">
      <c r="A698" s="48" t="s">
        <v>163</v>
      </c>
      <c r="B698" s="926" t="s">
        <v>1386</v>
      </c>
      <c r="C698" s="44" t="s">
        <v>387</v>
      </c>
      <c r="D698" s="125"/>
      <c r="E698" s="125"/>
      <c r="F698" s="134"/>
      <c r="G698" s="131" t="s">
        <v>388</v>
      </c>
      <c r="H698" s="101"/>
      <c r="I698" s="102">
        <v>300000</v>
      </c>
      <c r="J698" s="101"/>
      <c r="K698" s="102">
        <v>300000</v>
      </c>
      <c r="L698" s="101"/>
      <c r="M698" s="207"/>
      <c r="N698" s="207"/>
      <c r="O698" s="212"/>
      <c r="P698" s="212"/>
    </row>
    <row r="699" spans="1:16" s="48" customFormat="1" ht="18" customHeight="1" x14ac:dyDescent="0.25">
      <c r="A699" s="48" t="s">
        <v>163</v>
      </c>
      <c r="B699" s="926" t="s">
        <v>1386</v>
      </c>
      <c r="C699" s="44" t="s">
        <v>389</v>
      </c>
      <c r="D699" s="125"/>
      <c r="E699" s="125"/>
      <c r="F699" s="134"/>
      <c r="G699" s="131" t="s">
        <v>388</v>
      </c>
      <c r="H699" s="101"/>
      <c r="I699" s="102">
        <v>200000</v>
      </c>
      <c r="J699" s="101"/>
      <c r="K699" s="102">
        <v>200000</v>
      </c>
      <c r="L699" s="101"/>
      <c r="M699" s="207"/>
      <c r="N699" s="207"/>
      <c r="O699" s="212"/>
      <c r="P699" s="212"/>
    </row>
    <row r="700" spans="1:16" s="48" customFormat="1" ht="18" customHeight="1" x14ac:dyDescent="0.25">
      <c r="A700" s="48" t="s">
        <v>163</v>
      </c>
      <c r="B700" s="926" t="s">
        <v>1386</v>
      </c>
      <c r="C700" s="44" t="s">
        <v>390</v>
      </c>
      <c r="D700" s="125"/>
      <c r="E700" s="125"/>
      <c r="F700" s="134"/>
      <c r="G700" s="131" t="s">
        <v>391</v>
      </c>
      <c r="H700" s="101">
        <v>148597</v>
      </c>
      <c r="I700" s="102">
        <v>500000</v>
      </c>
      <c r="J700" s="101"/>
      <c r="K700" s="102">
        <v>500000</v>
      </c>
      <c r="L700" s="101"/>
      <c r="M700" s="222"/>
      <c r="N700" s="222"/>
      <c r="O700" s="212"/>
      <c r="P700" s="212"/>
    </row>
    <row r="701" spans="1:16" s="48" customFormat="1" ht="18" customHeight="1" x14ac:dyDescent="0.25">
      <c r="A701" s="48" t="s">
        <v>163</v>
      </c>
      <c r="B701" s="926" t="s">
        <v>1386</v>
      </c>
      <c r="C701" s="44" t="s">
        <v>392</v>
      </c>
      <c r="D701" s="125"/>
      <c r="E701" s="125"/>
      <c r="F701" s="134"/>
      <c r="G701" s="131" t="s">
        <v>189</v>
      </c>
      <c r="H701" s="101">
        <v>0</v>
      </c>
      <c r="I701" s="102">
        <v>3730000</v>
      </c>
      <c r="J701" s="101">
        <v>22871.4</v>
      </c>
      <c r="K701" s="102">
        <v>6753266</v>
      </c>
      <c r="L701" s="101"/>
      <c r="M701" s="6"/>
      <c r="N701" s="6"/>
    </row>
    <row r="702" spans="1:16" s="179" customFormat="1" ht="18" customHeight="1" x14ac:dyDescent="0.25">
      <c r="A702" s="48" t="s">
        <v>163</v>
      </c>
      <c r="B702" s="926" t="s">
        <v>1386</v>
      </c>
      <c r="C702" s="180" t="s">
        <v>396</v>
      </c>
      <c r="D702" s="225"/>
      <c r="E702" s="225"/>
      <c r="F702" s="226"/>
      <c r="G702" s="176" t="s">
        <v>395</v>
      </c>
      <c r="H702" s="101">
        <v>159551.29999999999</v>
      </c>
      <c r="I702" s="102">
        <v>304000</v>
      </c>
      <c r="J702" s="101">
        <v>65712.539999999994</v>
      </c>
      <c r="K702" s="101">
        <v>304000</v>
      </c>
      <c r="L702" s="101"/>
      <c r="M702" s="177"/>
      <c r="N702" s="177"/>
    </row>
    <row r="703" spans="1:16" s="179" customFormat="1" ht="18" customHeight="1" x14ac:dyDescent="0.25">
      <c r="A703" s="48" t="s">
        <v>163</v>
      </c>
      <c r="B703" s="926" t="s">
        <v>1386</v>
      </c>
      <c r="C703" s="180" t="s">
        <v>397</v>
      </c>
      <c r="D703" s="225"/>
      <c r="E703" s="225"/>
      <c r="F703" s="226"/>
      <c r="G703" s="176" t="s">
        <v>395</v>
      </c>
      <c r="H703" s="101">
        <v>442353.9</v>
      </c>
      <c r="I703" s="102">
        <v>1470000</v>
      </c>
      <c r="J703" s="101">
        <v>216394.47</v>
      </c>
      <c r="K703" s="101">
        <v>1465000</v>
      </c>
      <c r="L703" s="101"/>
      <c r="M703" s="177"/>
      <c r="N703" s="177"/>
    </row>
    <row r="704" spans="1:16" s="179" customFormat="1" ht="18" customHeight="1" x14ac:dyDescent="0.25">
      <c r="A704" s="48" t="s">
        <v>163</v>
      </c>
      <c r="B704" s="926" t="s">
        <v>1386</v>
      </c>
      <c r="C704" s="180" t="s">
        <v>398</v>
      </c>
      <c r="D704" s="225"/>
      <c r="E704" s="225"/>
      <c r="F704" s="226"/>
      <c r="G704" s="176" t="s">
        <v>395</v>
      </c>
      <c r="H704" s="101">
        <v>45400</v>
      </c>
      <c r="I704" s="102">
        <v>39700</v>
      </c>
      <c r="J704" s="101">
        <v>17536</v>
      </c>
      <c r="K704" s="101">
        <v>52400</v>
      </c>
      <c r="L704" s="101"/>
      <c r="M704" s="177"/>
      <c r="N704" s="177"/>
    </row>
    <row r="705" spans="1:16" s="212" customFormat="1" ht="18" customHeight="1" x14ac:dyDescent="0.25">
      <c r="A705" s="48" t="s">
        <v>163</v>
      </c>
      <c r="B705" s="926" t="s">
        <v>1386</v>
      </c>
      <c r="C705" s="44" t="s">
        <v>399</v>
      </c>
      <c r="D705" s="125"/>
      <c r="E705" s="125"/>
      <c r="F705" s="134"/>
      <c r="G705" s="131" t="s">
        <v>395</v>
      </c>
      <c r="H705" s="101">
        <v>502096</v>
      </c>
      <c r="I705" s="102">
        <v>760000</v>
      </c>
      <c r="J705" s="101">
        <v>361222.40000000002</v>
      </c>
      <c r="K705" s="101">
        <v>760000</v>
      </c>
      <c r="L705" s="101"/>
      <c r="M705" s="6"/>
      <c r="N705" s="6"/>
      <c r="O705" s="48"/>
      <c r="P705" s="48"/>
    </row>
    <row r="706" spans="1:16" s="212" customFormat="1" ht="18" customHeight="1" x14ac:dyDescent="0.25">
      <c r="A706" s="48" t="s">
        <v>163</v>
      </c>
      <c r="B706" s="926" t="s">
        <v>1386</v>
      </c>
      <c r="C706" s="44" t="s">
        <v>400</v>
      </c>
      <c r="D706" s="125"/>
      <c r="E706" s="125"/>
      <c r="F706" s="134"/>
      <c r="G706" s="131" t="s">
        <v>237</v>
      </c>
      <c r="H706" s="101"/>
      <c r="I706" s="102">
        <v>6000</v>
      </c>
      <c r="J706" s="101"/>
      <c r="K706" s="101">
        <v>6000</v>
      </c>
      <c r="L706" s="101"/>
      <c r="M706" s="207"/>
      <c r="N706" s="207"/>
    </row>
    <row r="707" spans="1:16" s="212" customFormat="1" ht="18" customHeight="1" x14ac:dyDescent="0.25">
      <c r="A707" s="48" t="s">
        <v>163</v>
      </c>
      <c r="B707" s="926" t="s">
        <v>1386</v>
      </c>
      <c r="C707" s="44" t="s">
        <v>198</v>
      </c>
      <c r="D707" s="125"/>
      <c r="E707" s="125"/>
      <c r="F707" s="134"/>
      <c r="G707" s="131" t="s">
        <v>199</v>
      </c>
      <c r="H707" s="105">
        <v>1846475.78</v>
      </c>
      <c r="I707" s="106">
        <v>4250364.6399999997</v>
      </c>
      <c r="J707" s="105">
        <v>890407.89</v>
      </c>
      <c r="K707" s="105">
        <v>4375332</v>
      </c>
      <c r="L707" s="105"/>
      <c r="M707" s="207"/>
      <c r="N707" s="207"/>
    </row>
    <row r="708" spans="1:16" ht="18" customHeight="1" x14ac:dyDescent="0.25">
      <c r="A708" t="s">
        <v>201</v>
      </c>
      <c r="B708" s="926" t="s">
        <v>1386</v>
      </c>
      <c r="C708" s="826" t="s">
        <v>402</v>
      </c>
      <c r="D708" s="813"/>
      <c r="E708" s="813"/>
      <c r="F708" s="811"/>
      <c r="G708" s="97"/>
      <c r="H708" s="101"/>
      <c r="I708" s="102"/>
      <c r="J708" s="101"/>
      <c r="K708" s="101">
        <v>280000</v>
      </c>
      <c r="L708" s="101"/>
    </row>
    <row r="709" spans="1:16" ht="18" customHeight="1" x14ac:dyDescent="0.25">
      <c r="A709" t="s">
        <v>201</v>
      </c>
      <c r="B709" s="926" t="s">
        <v>1386</v>
      </c>
      <c r="C709" s="826" t="s">
        <v>403</v>
      </c>
      <c r="D709" s="813"/>
      <c r="E709" s="813"/>
      <c r="F709" s="811"/>
      <c r="G709" s="97"/>
      <c r="H709" s="101"/>
      <c r="I709" s="102"/>
      <c r="J709" s="101"/>
      <c r="K709" s="101">
        <v>45000</v>
      </c>
      <c r="L709" s="101"/>
    </row>
    <row r="710" spans="1:16" ht="18" customHeight="1" x14ac:dyDescent="0.25">
      <c r="A710" t="s">
        <v>201</v>
      </c>
      <c r="B710" s="926" t="s">
        <v>1386</v>
      </c>
      <c r="C710" s="826" t="s">
        <v>404</v>
      </c>
      <c r="D710" s="813"/>
      <c r="E710" s="813"/>
      <c r="F710" s="811"/>
      <c r="G710" s="97"/>
      <c r="H710" s="101"/>
      <c r="I710" s="102"/>
      <c r="J710" s="101"/>
      <c r="K710" s="101">
        <v>240000</v>
      </c>
      <c r="L710" s="101"/>
    </row>
    <row r="711" spans="1:16" s="146" customFormat="1" ht="18" x14ac:dyDescent="0.25">
      <c r="A711" t="s">
        <v>201</v>
      </c>
      <c r="B711" s="926" t="s">
        <v>1386</v>
      </c>
      <c r="C711" s="1611" t="s">
        <v>414</v>
      </c>
      <c r="D711" s="1602"/>
      <c r="E711" s="812"/>
      <c r="F711" s="812"/>
      <c r="G711" s="97"/>
      <c r="H711" s="101"/>
      <c r="I711" s="102"/>
      <c r="J711" s="101"/>
      <c r="K711" s="101">
        <v>330000</v>
      </c>
      <c r="L711" s="101"/>
      <c r="M711" s="10"/>
      <c r="N711" s="10"/>
      <c r="O711"/>
      <c r="P711"/>
    </row>
    <row r="712" spans="1:16" s="146" customFormat="1" ht="18" x14ac:dyDescent="0.25">
      <c r="A712" t="s">
        <v>201</v>
      </c>
      <c r="B712" s="926" t="s">
        <v>1386</v>
      </c>
      <c r="C712" s="1611" t="s">
        <v>415</v>
      </c>
      <c r="D712" s="1602"/>
      <c r="E712" s="812"/>
      <c r="F712" s="812"/>
      <c r="G712" s="97"/>
      <c r="H712" s="101"/>
      <c r="I712" s="102"/>
      <c r="J712" s="101"/>
      <c r="K712" s="101">
        <v>180000</v>
      </c>
      <c r="L712" s="101"/>
      <c r="M712" s="10"/>
      <c r="N712" s="10"/>
      <c r="O712"/>
      <c r="P712"/>
    </row>
    <row r="713" spans="1:16" s="146" customFormat="1" ht="18" x14ac:dyDescent="0.25">
      <c r="A713" t="s">
        <v>201</v>
      </c>
      <c r="B713" s="926" t="s">
        <v>1386</v>
      </c>
      <c r="C713" s="1611" t="s">
        <v>416</v>
      </c>
      <c r="D713" s="1602"/>
      <c r="E713" s="812"/>
      <c r="F713" s="812"/>
      <c r="G713" s="97"/>
      <c r="H713" s="101"/>
      <c r="I713" s="102"/>
      <c r="J713" s="101"/>
      <c r="K713" s="101">
        <v>55000</v>
      </c>
      <c r="L713" s="101"/>
      <c r="M713" s="10"/>
      <c r="N713" s="10"/>
      <c r="O713"/>
      <c r="P713"/>
    </row>
    <row r="714" spans="1:16" s="146" customFormat="1" ht="18" x14ac:dyDescent="0.25">
      <c r="A714" t="s">
        <v>201</v>
      </c>
      <c r="B714" s="926" t="s">
        <v>1386</v>
      </c>
      <c r="C714" s="1611" t="s">
        <v>417</v>
      </c>
      <c r="D714" s="1602"/>
      <c r="E714" s="812"/>
      <c r="F714" s="812"/>
      <c r="G714" s="97"/>
      <c r="H714" s="101"/>
      <c r="I714" s="102"/>
      <c r="J714" s="101"/>
      <c r="K714" s="101">
        <v>50000</v>
      </c>
      <c r="L714" s="101"/>
      <c r="M714" s="10"/>
      <c r="N714" s="10"/>
      <c r="O714"/>
      <c r="P714"/>
    </row>
    <row r="715" spans="1:16" s="146" customFormat="1" ht="18" x14ac:dyDescent="0.25">
      <c r="A715" t="s">
        <v>201</v>
      </c>
      <c r="B715" s="926" t="s">
        <v>1386</v>
      </c>
      <c r="C715" s="1611" t="s">
        <v>418</v>
      </c>
      <c r="D715" s="1602"/>
      <c r="E715" s="812"/>
      <c r="F715" s="812"/>
      <c r="G715" s="97"/>
      <c r="H715" s="101"/>
      <c r="I715" s="102"/>
      <c r="J715" s="101"/>
      <c r="K715" s="101">
        <v>25000</v>
      </c>
      <c r="L715" s="101"/>
      <c r="M715" s="10"/>
      <c r="N715" s="10"/>
      <c r="O715"/>
      <c r="P715"/>
    </row>
    <row r="716" spans="1:16" s="146" customFormat="1" ht="18" x14ac:dyDescent="0.25">
      <c r="A716" t="s">
        <v>201</v>
      </c>
      <c r="B716" s="926" t="s">
        <v>1386</v>
      </c>
      <c r="C716" s="1611" t="s">
        <v>419</v>
      </c>
      <c r="D716" s="1602"/>
      <c r="E716" s="812"/>
      <c r="F716" s="812"/>
      <c r="G716" s="97"/>
      <c r="H716" s="101"/>
      <c r="I716" s="102"/>
      <c r="J716" s="101"/>
      <c r="K716" s="101">
        <v>65000</v>
      </c>
      <c r="L716" s="101"/>
      <c r="M716" s="10"/>
      <c r="N716" s="10"/>
      <c r="O716"/>
      <c r="P716"/>
    </row>
    <row r="717" spans="1:16" s="146" customFormat="1" ht="18" x14ac:dyDescent="0.25">
      <c r="A717" t="s">
        <v>201</v>
      </c>
      <c r="B717" s="926" t="s">
        <v>1386</v>
      </c>
      <c r="C717" s="1611" t="s">
        <v>420</v>
      </c>
      <c r="D717" s="1602"/>
      <c r="E717" s="812"/>
      <c r="F717" s="812"/>
      <c r="G717" s="97"/>
      <c r="H717" s="101"/>
      <c r="I717" s="102"/>
      <c r="J717" s="101"/>
      <c r="K717" s="101">
        <v>350000</v>
      </c>
      <c r="L717" s="101"/>
      <c r="M717" s="10"/>
      <c r="N717" s="10"/>
      <c r="O717"/>
      <c r="P717"/>
    </row>
    <row r="718" spans="1:16" s="146" customFormat="1" ht="18" x14ac:dyDescent="0.25">
      <c r="A718" t="s">
        <v>201</v>
      </c>
      <c r="B718" s="926" t="s">
        <v>1386</v>
      </c>
      <c r="C718" s="826" t="s">
        <v>421</v>
      </c>
      <c r="D718" s="830"/>
      <c r="E718" s="812"/>
      <c r="F718" s="812"/>
      <c r="G718" s="97"/>
      <c r="H718" s="101"/>
      <c r="I718" s="102"/>
      <c r="J718" s="101"/>
      <c r="K718" s="101">
        <v>1000000</v>
      </c>
      <c r="L718" s="101"/>
      <c r="M718" s="10"/>
      <c r="N718" s="10"/>
      <c r="O718"/>
      <c r="P718"/>
    </row>
    <row r="719" spans="1:16" s="146" customFormat="1" ht="18" x14ac:dyDescent="0.25">
      <c r="A719" s="48" t="s">
        <v>123</v>
      </c>
      <c r="B719" s="926" t="s">
        <v>1386</v>
      </c>
      <c r="C719" s="1602" t="s">
        <v>124</v>
      </c>
      <c r="D719" s="1603"/>
      <c r="E719" s="1603"/>
      <c r="F719" s="1603"/>
      <c r="G719" s="131" t="s">
        <v>125</v>
      </c>
      <c r="H719" s="101">
        <v>4246299.0599999996</v>
      </c>
      <c r="I719" s="102">
        <v>4687776</v>
      </c>
      <c r="J719" s="101">
        <v>2067893.54</v>
      </c>
      <c r="K719" s="101">
        <v>5074056</v>
      </c>
      <c r="L719" s="101"/>
      <c r="M719" s="10"/>
      <c r="N719" s="10"/>
      <c r="O719"/>
      <c r="P719"/>
    </row>
    <row r="720" spans="1:16" s="146" customFormat="1" ht="18" x14ac:dyDescent="0.25">
      <c r="A720" s="48" t="s">
        <v>123</v>
      </c>
      <c r="B720" s="926" t="s">
        <v>1386</v>
      </c>
      <c r="C720" s="1602" t="s">
        <v>128</v>
      </c>
      <c r="D720" s="1603"/>
      <c r="E720" s="1603"/>
      <c r="F720" s="1603"/>
      <c r="G720" s="131" t="s">
        <v>125</v>
      </c>
      <c r="H720" s="101"/>
      <c r="I720" s="102">
        <v>16612</v>
      </c>
      <c r="J720" s="101"/>
      <c r="K720" s="101">
        <v>6644.59</v>
      </c>
      <c r="L720" s="101"/>
      <c r="M720" s="10"/>
      <c r="N720" s="10"/>
      <c r="O720"/>
      <c r="P720"/>
    </row>
    <row r="721" spans="1:16" s="146" customFormat="1" ht="18" x14ac:dyDescent="0.25">
      <c r="A721" s="48" t="s">
        <v>123</v>
      </c>
      <c r="B721" s="926" t="s">
        <v>1386</v>
      </c>
      <c r="C721" s="1602" t="s">
        <v>129</v>
      </c>
      <c r="D721" s="1603"/>
      <c r="E721" s="1603"/>
      <c r="F721" s="1603"/>
      <c r="G721" s="131" t="s">
        <v>130</v>
      </c>
      <c r="H721" s="101">
        <v>378272.75</v>
      </c>
      <c r="I721" s="102">
        <v>432000</v>
      </c>
      <c r="J721" s="101">
        <v>196000</v>
      </c>
      <c r="K721" s="101">
        <v>432000</v>
      </c>
      <c r="L721" s="101"/>
      <c r="M721" s="10"/>
      <c r="N721" s="10"/>
      <c r="O721"/>
      <c r="P721"/>
    </row>
    <row r="722" spans="1:16" s="146" customFormat="1" ht="18" x14ac:dyDescent="0.25">
      <c r="A722" s="48" t="s">
        <v>123</v>
      </c>
      <c r="B722" s="926" t="s">
        <v>1386</v>
      </c>
      <c r="C722" s="1602" t="s">
        <v>131</v>
      </c>
      <c r="D722" s="1603"/>
      <c r="E722" s="1603"/>
      <c r="F722" s="1603"/>
      <c r="G722" s="131" t="s">
        <v>132</v>
      </c>
      <c r="H722" s="101">
        <v>112000</v>
      </c>
      <c r="I722" s="102">
        <v>120000</v>
      </c>
      <c r="J722" s="101">
        <v>40500</v>
      </c>
      <c r="K722" s="101">
        <v>120000</v>
      </c>
      <c r="L722" s="101"/>
      <c r="M722" s="10"/>
      <c r="N722" s="10"/>
      <c r="O722"/>
      <c r="P722"/>
    </row>
    <row r="723" spans="1:16" s="146" customFormat="1" ht="18" x14ac:dyDescent="0.25">
      <c r="A723" s="48" t="s">
        <v>123</v>
      </c>
      <c r="B723" s="926" t="s">
        <v>1386</v>
      </c>
      <c r="C723" s="1602" t="s">
        <v>133</v>
      </c>
      <c r="D723" s="1603"/>
      <c r="E723" s="1603"/>
      <c r="F723" s="1603"/>
      <c r="G723" s="131" t="s">
        <v>134</v>
      </c>
      <c r="H723" s="101">
        <v>112000</v>
      </c>
      <c r="I723" s="102">
        <v>120000</v>
      </c>
      <c r="J723" s="101">
        <v>40500</v>
      </c>
      <c r="K723" s="101">
        <v>120000</v>
      </c>
      <c r="L723" s="101"/>
      <c r="M723" s="10"/>
      <c r="N723" s="10"/>
      <c r="O723"/>
      <c r="P723"/>
    </row>
    <row r="724" spans="1:16" s="146" customFormat="1" ht="18" x14ac:dyDescent="0.25">
      <c r="A724" s="48" t="s">
        <v>123</v>
      </c>
      <c r="B724" s="926" t="s">
        <v>1386</v>
      </c>
      <c r="C724" s="1602" t="s">
        <v>135</v>
      </c>
      <c r="D724" s="1603"/>
      <c r="E724" s="1603"/>
      <c r="F724" s="1603"/>
      <c r="G724" s="131" t="s">
        <v>136</v>
      </c>
      <c r="H724" s="101">
        <v>129732.21</v>
      </c>
      <c r="I724" s="102">
        <v>113324.39</v>
      </c>
      <c r="J724" s="101">
        <v>52604.61</v>
      </c>
      <c r="K724" s="101">
        <v>171673.02</v>
      </c>
      <c r="L724" s="101"/>
      <c r="M724" s="10"/>
      <c r="N724" s="10"/>
      <c r="O724"/>
      <c r="P724"/>
    </row>
    <row r="725" spans="1:16" s="146" customFormat="1" ht="18" x14ac:dyDescent="0.25">
      <c r="A725" s="48" t="s">
        <v>123</v>
      </c>
      <c r="B725" s="926" t="s">
        <v>1386</v>
      </c>
      <c r="C725" s="1602" t="s">
        <v>137</v>
      </c>
      <c r="D725" s="1603"/>
      <c r="E725" s="1603"/>
      <c r="F725" s="1603"/>
      <c r="G725" s="131" t="s">
        <v>138</v>
      </c>
      <c r="H725" s="101">
        <v>102000</v>
      </c>
      <c r="I725" s="102">
        <v>108000</v>
      </c>
      <c r="J725" s="101">
        <v>84000</v>
      </c>
      <c r="K725" s="101">
        <v>108000</v>
      </c>
      <c r="L725" s="101"/>
      <c r="M725" s="10"/>
      <c r="N725" s="10"/>
      <c r="O725"/>
      <c r="P725"/>
    </row>
    <row r="726" spans="1:16" s="146" customFormat="1" ht="18" x14ac:dyDescent="0.25">
      <c r="A726" s="48" t="s">
        <v>123</v>
      </c>
      <c r="B726" s="926" t="s">
        <v>1386</v>
      </c>
      <c r="C726" s="824" t="s">
        <v>1370</v>
      </c>
      <c r="D726" s="811"/>
      <c r="E726" s="812"/>
      <c r="F726" s="812"/>
      <c r="G726" s="131"/>
      <c r="H726" s="101"/>
      <c r="I726" s="102"/>
      <c r="J726" s="101"/>
      <c r="K726" s="101">
        <v>2360794.88</v>
      </c>
      <c r="L726" s="101">
        <v>2360794.88</v>
      </c>
      <c r="M726" s="10"/>
      <c r="N726" s="10"/>
      <c r="O726"/>
      <c r="P726"/>
    </row>
    <row r="727" spans="1:16" s="146" customFormat="1" ht="18" customHeight="1" x14ac:dyDescent="0.25">
      <c r="A727" s="48" t="s">
        <v>123</v>
      </c>
      <c r="B727" s="926" t="s">
        <v>1386</v>
      </c>
      <c r="C727" s="1602" t="s">
        <v>139</v>
      </c>
      <c r="D727" s="1603"/>
      <c r="E727" s="1603"/>
      <c r="F727" s="1603"/>
      <c r="G727" s="131" t="s">
        <v>140</v>
      </c>
      <c r="H727" s="101">
        <v>377251</v>
      </c>
      <c r="I727" s="102">
        <v>391001</v>
      </c>
      <c r="J727" s="101">
        <v>295338</v>
      </c>
      <c r="K727" s="101">
        <v>423507</v>
      </c>
      <c r="L727" s="101"/>
      <c r="M727" s="10"/>
      <c r="N727" s="10"/>
      <c r="O727"/>
      <c r="P727"/>
    </row>
    <row r="728" spans="1:16" s="146" customFormat="1" ht="18" x14ac:dyDescent="0.25">
      <c r="A728" s="48" t="s">
        <v>123</v>
      </c>
      <c r="B728" s="926" t="s">
        <v>1386</v>
      </c>
      <c r="C728" s="1602" t="s">
        <v>141</v>
      </c>
      <c r="D728" s="1603"/>
      <c r="E728" s="1603"/>
      <c r="F728" s="1603"/>
      <c r="G728" s="131" t="s">
        <v>142</v>
      </c>
      <c r="H728" s="101">
        <v>364099</v>
      </c>
      <c r="I728" s="102">
        <v>392559</v>
      </c>
      <c r="J728" s="101"/>
      <c r="K728" s="101">
        <v>423507</v>
      </c>
      <c r="L728" s="101"/>
      <c r="M728" s="10"/>
      <c r="N728" s="10"/>
      <c r="O728"/>
      <c r="P728"/>
    </row>
    <row r="729" spans="1:16" s="146" customFormat="1" ht="18" x14ac:dyDescent="0.25">
      <c r="A729" s="48" t="s">
        <v>123</v>
      </c>
      <c r="B729" s="926" t="s">
        <v>1386</v>
      </c>
      <c r="C729" s="1602" t="s">
        <v>143</v>
      </c>
      <c r="D729" s="1603"/>
      <c r="E729" s="1603"/>
      <c r="F729" s="1603"/>
      <c r="G729" s="131" t="s">
        <v>144</v>
      </c>
      <c r="H729" s="101">
        <v>81000</v>
      </c>
      <c r="I729" s="102">
        <v>90000</v>
      </c>
      <c r="J729" s="101"/>
      <c r="K729" s="101">
        <v>90000</v>
      </c>
      <c r="L729" s="101"/>
      <c r="M729" s="10"/>
      <c r="N729" s="10"/>
      <c r="O729"/>
      <c r="P729"/>
    </row>
    <row r="730" spans="1:16" s="146" customFormat="1" ht="18" x14ac:dyDescent="0.25">
      <c r="A730" s="48" t="s">
        <v>123</v>
      </c>
      <c r="B730" s="926" t="s">
        <v>1386</v>
      </c>
      <c r="C730" s="1602" t="s">
        <v>145</v>
      </c>
      <c r="D730" s="1603"/>
      <c r="E730" s="1603"/>
      <c r="F730" s="1603"/>
      <c r="G730" s="131" t="s">
        <v>146</v>
      </c>
      <c r="H730" s="101">
        <v>75000</v>
      </c>
      <c r="I730" s="102">
        <v>90000</v>
      </c>
      <c r="J730" s="101"/>
      <c r="K730" s="101">
        <v>90000</v>
      </c>
      <c r="L730" s="101"/>
      <c r="M730" s="10"/>
      <c r="N730" s="10"/>
      <c r="O730"/>
      <c r="P730"/>
    </row>
    <row r="731" spans="1:16" s="146" customFormat="1" ht="18" x14ac:dyDescent="0.25">
      <c r="A731" s="48" t="s">
        <v>123</v>
      </c>
      <c r="B731" s="926" t="s">
        <v>1386</v>
      </c>
      <c r="C731" s="1602" t="s">
        <v>231</v>
      </c>
      <c r="D731" s="1603"/>
      <c r="E731" s="1603"/>
      <c r="F731" s="1603"/>
      <c r="G731" s="131" t="s">
        <v>232</v>
      </c>
      <c r="H731" s="101">
        <v>15000</v>
      </c>
      <c r="I731" s="102">
        <v>10000</v>
      </c>
      <c r="J731" s="101"/>
      <c r="K731" s="101">
        <v>10000</v>
      </c>
      <c r="L731" s="101"/>
      <c r="M731" s="10"/>
      <c r="N731" s="10"/>
      <c r="O731"/>
      <c r="P731"/>
    </row>
    <row r="732" spans="1:16" s="146" customFormat="1" ht="18" x14ac:dyDescent="0.25">
      <c r="A732" s="48" t="s">
        <v>123</v>
      </c>
      <c r="B732" s="926" t="s">
        <v>1386</v>
      </c>
      <c r="C732" s="826" t="s">
        <v>147</v>
      </c>
      <c r="D732" s="813"/>
      <c r="E732" s="813"/>
      <c r="F732" s="811"/>
      <c r="G732" s="131" t="s">
        <v>148</v>
      </c>
      <c r="H732" s="101"/>
      <c r="I732" s="102"/>
      <c r="J732" s="101"/>
      <c r="K732" s="101">
        <v>54000</v>
      </c>
      <c r="L732" s="101"/>
      <c r="M732" s="10"/>
      <c r="N732" s="10"/>
      <c r="O732"/>
      <c r="P732"/>
    </row>
    <row r="733" spans="1:16" s="146" customFormat="1" ht="18" x14ac:dyDescent="0.25">
      <c r="A733" s="48" t="s">
        <v>123</v>
      </c>
      <c r="B733" s="926" t="s">
        <v>1386</v>
      </c>
      <c r="C733" s="1602" t="s">
        <v>153</v>
      </c>
      <c r="D733" s="1603"/>
      <c r="E733" s="1603"/>
      <c r="F733" s="1603"/>
      <c r="G733" s="131" t="s">
        <v>154</v>
      </c>
      <c r="H733" s="101">
        <v>509555.88</v>
      </c>
      <c r="I733" s="102">
        <v>564526.56000000006</v>
      </c>
      <c r="J733" s="101">
        <v>248135.43</v>
      </c>
      <c r="K733" s="101">
        <v>609684.06999999995</v>
      </c>
      <c r="L733" s="101"/>
      <c r="M733" s="10"/>
      <c r="N733" s="10"/>
      <c r="O733"/>
      <c r="P733"/>
    </row>
    <row r="734" spans="1:16" s="146" customFormat="1" ht="18" x14ac:dyDescent="0.25">
      <c r="A734" s="48" t="s">
        <v>123</v>
      </c>
      <c r="B734" s="926" t="s">
        <v>1386</v>
      </c>
      <c r="C734" s="1602" t="s">
        <v>155</v>
      </c>
      <c r="D734" s="1603"/>
      <c r="E734" s="1603"/>
      <c r="F734" s="1603"/>
      <c r="G734" s="131" t="s">
        <v>156</v>
      </c>
      <c r="H734" s="101">
        <v>19000</v>
      </c>
      <c r="I734" s="102">
        <v>21600</v>
      </c>
      <c r="J734" s="101">
        <v>9800</v>
      </c>
      <c r="K734" s="101">
        <v>21600</v>
      </c>
      <c r="L734" s="101"/>
      <c r="M734" s="10"/>
      <c r="N734" s="10"/>
      <c r="O734"/>
      <c r="P734"/>
    </row>
    <row r="735" spans="1:16" s="146" customFormat="1" ht="18" x14ac:dyDescent="0.25">
      <c r="A735" s="48" t="s">
        <v>123</v>
      </c>
      <c r="B735" s="926" t="s">
        <v>1386</v>
      </c>
      <c r="C735" s="1602" t="s">
        <v>157</v>
      </c>
      <c r="D735" s="1603"/>
      <c r="E735" s="1603"/>
      <c r="F735" s="1603"/>
      <c r="G735" s="131" t="s">
        <v>158</v>
      </c>
      <c r="H735" s="101">
        <v>60606.12</v>
      </c>
      <c r="I735" s="102">
        <v>81889.64</v>
      </c>
      <c r="J735" s="101">
        <v>28739.58</v>
      </c>
      <c r="K735" s="101">
        <v>201109.78</v>
      </c>
      <c r="L735" s="101"/>
      <c r="M735" s="10"/>
      <c r="N735" s="10"/>
      <c r="O735"/>
      <c r="P735"/>
    </row>
    <row r="736" spans="1:16" s="146" customFormat="1" ht="18" x14ac:dyDescent="0.25">
      <c r="A736" s="48" t="s">
        <v>123</v>
      </c>
      <c r="B736" s="926" t="s">
        <v>1386</v>
      </c>
      <c r="C736" s="1602" t="s">
        <v>159</v>
      </c>
      <c r="D736" s="1603"/>
      <c r="E736" s="1603"/>
      <c r="F736" s="1603"/>
      <c r="G736" s="131" t="s">
        <v>160</v>
      </c>
      <c r="H736" s="105">
        <v>19000</v>
      </c>
      <c r="I736" s="106">
        <v>21600</v>
      </c>
      <c r="J736" s="105">
        <v>9800</v>
      </c>
      <c r="K736" s="105">
        <v>21600</v>
      </c>
      <c r="L736" s="105"/>
      <c r="M736" s="10"/>
      <c r="N736" s="10"/>
      <c r="O736"/>
      <c r="P736"/>
    </row>
    <row r="737" spans="1:16" s="229" customFormat="1" ht="18" customHeight="1" x14ac:dyDescent="0.25">
      <c r="A737" s="169" t="s">
        <v>163</v>
      </c>
      <c r="B737" s="926" t="s">
        <v>1386</v>
      </c>
      <c r="C737" s="44" t="s">
        <v>353</v>
      </c>
      <c r="D737" s="125"/>
      <c r="E737" s="125"/>
      <c r="F737" s="134"/>
      <c r="G737" s="131" t="s">
        <v>165</v>
      </c>
      <c r="H737" s="101">
        <v>29917</v>
      </c>
      <c r="I737" s="102">
        <v>58500</v>
      </c>
      <c r="J737" s="101">
        <v>5300</v>
      </c>
      <c r="K737" s="101">
        <v>58500</v>
      </c>
      <c r="L737" s="101"/>
      <c r="M737" s="207"/>
      <c r="N737" s="207"/>
      <c r="O737" s="212"/>
      <c r="P737" s="212"/>
    </row>
    <row r="738" spans="1:16" s="229" customFormat="1" ht="18" customHeight="1" x14ac:dyDescent="0.25">
      <c r="A738" s="169" t="s">
        <v>163</v>
      </c>
      <c r="B738" s="926" t="s">
        <v>1386</v>
      </c>
      <c r="C738" s="44" t="s">
        <v>168</v>
      </c>
      <c r="D738" s="125"/>
      <c r="E738" s="125"/>
      <c r="F738" s="134"/>
      <c r="G738" s="131" t="s">
        <v>169</v>
      </c>
      <c r="H738" s="101">
        <v>369935</v>
      </c>
      <c r="I738" s="102">
        <v>343605</v>
      </c>
      <c r="J738" s="101">
        <v>161285</v>
      </c>
      <c r="K738" s="101">
        <v>332049</v>
      </c>
      <c r="L738" s="101"/>
      <c r="M738" s="207"/>
      <c r="N738" s="207"/>
      <c r="O738" s="212"/>
      <c r="P738" s="212"/>
    </row>
    <row r="739" spans="1:16" s="229" customFormat="1" ht="18" customHeight="1" x14ac:dyDescent="0.25">
      <c r="A739" s="169" t="s">
        <v>163</v>
      </c>
      <c r="B739" s="926" t="s">
        <v>1386</v>
      </c>
      <c r="C739" s="44" t="s">
        <v>426</v>
      </c>
      <c r="D739" s="125"/>
      <c r="E739" s="125"/>
      <c r="F739" s="134"/>
      <c r="G739" s="131" t="s">
        <v>427</v>
      </c>
      <c r="H739" s="101">
        <v>694725</v>
      </c>
      <c r="I739" s="102">
        <v>1634825</v>
      </c>
      <c r="J739" s="101">
        <v>30000</v>
      </c>
      <c r="K739" s="101">
        <v>1432325</v>
      </c>
      <c r="L739" s="101"/>
      <c r="M739" s="207"/>
      <c r="N739" s="207">
        <f>1432325</f>
        <v>1432325</v>
      </c>
      <c r="O739" s="212"/>
      <c r="P739" s="212"/>
    </row>
    <row r="740" spans="1:16" s="229" customFormat="1" ht="18" x14ac:dyDescent="0.25">
      <c r="A740" s="169" t="s">
        <v>163</v>
      </c>
      <c r="B740" s="926" t="s">
        <v>1386</v>
      </c>
      <c r="C740" s="44" t="s">
        <v>288</v>
      </c>
      <c r="D740" s="134"/>
      <c r="E740" s="97"/>
      <c r="F740" s="97"/>
      <c r="G740" s="131" t="s">
        <v>171</v>
      </c>
      <c r="H740" s="101"/>
      <c r="I740" s="102"/>
      <c r="J740" s="101"/>
      <c r="K740" s="101">
        <v>73552</v>
      </c>
      <c r="L740" s="101"/>
      <c r="M740" s="207"/>
      <c r="N740" s="207"/>
      <c r="O740" s="212"/>
      <c r="P740" s="212"/>
    </row>
    <row r="741" spans="1:16" s="229" customFormat="1" ht="18" customHeight="1" x14ac:dyDescent="0.25">
      <c r="A741" s="169" t="s">
        <v>163</v>
      </c>
      <c r="B741" s="926" t="s">
        <v>1386</v>
      </c>
      <c r="C741" s="44" t="s">
        <v>176</v>
      </c>
      <c r="D741" s="125"/>
      <c r="E741" s="125"/>
      <c r="F741" s="134"/>
      <c r="G741" s="131" t="s">
        <v>177</v>
      </c>
      <c r="H741" s="101">
        <v>1475</v>
      </c>
      <c r="I741" s="102">
        <v>15000</v>
      </c>
      <c r="J741" s="101"/>
      <c r="K741" s="101">
        <v>15000</v>
      </c>
      <c r="L741" s="101"/>
      <c r="M741" s="207"/>
      <c r="N741" s="207"/>
      <c r="O741" s="212"/>
      <c r="P741" s="212"/>
    </row>
    <row r="742" spans="1:16" s="229" customFormat="1" ht="18" customHeight="1" x14ac:dyDescent="0.25">
      <c r="A742" s="169" t="s">
        <v>163</v>
      </c>
      <c r="B742" s="926" t="s">
        <v>1386</v>
      </c>
      <c r="C742" s="44" t="s">
        <v>178</v>
      </c>
      <c r="D742" s="125"/>
      <c r="E742" s="125"/>
      <c r="F742" s="134"/>
      <c r="G742" s="131" t="s">
        <v>179</v>
      </c>
      <c r="H742" s="101"/>
      <c r="I742" s="102"/>
      <c r="J742" s="101"/>
      <c r="K742" s="101">
        <v>100800</v>
      </c>
      <c r="L742" s="101"/>
      <c r="M742" s="207"/>
      <c r="N742" s="207"/>
      <c r="O742" s="212"/>
      <c r="P742" s="212"/>
    </row>
    <row r="743" spans="1:16" s="229" customFormat="1" ht="18" customHeight="1" x14ac:dyDescent="0.25">
      <c r="A743" s="169" t="s">
        <v>163</v>
      </c>
      <c r="B743" s="926" t="s">
        <v>1386</v>
      </c>
      <c r="C743" s="44" t="s">
        <v>217</v>
      </c>
      <c r="D743" s="125"/>
      <c r="E743" s="125"/>
      <c r="F743" s="134"/>
      <c r="G743" s="131" t="s">
        <v>218</v>
      </c>
      <c r="H743" s="101">
        <v>5700</v>
      </c>
      <c r="I743" s="102">
        <v>5700</v>
      </c>
      <c r="J743" s="101">
        <v>3325</v>
      </c>
      <c r="K743" s="101">
        <v>5700</v>
      </c>
      <c r="L743" s="101"/>
      <c r="M743" s="207"/>
      <c r="N743" s="207"/>
      <c r="O743" s="212"/>
      <c r="P743" s="212"/>
    </row>
    <row r="744" spans="1:16" s="229" customFormat="1" ht="18" customHeight="1" x14ac:dyDescent="0.25">
      <c r="A744" s="169" t="s">
        <v>163</v>
      </c>
      <c r="B744" s="926" t="s">
        <v>1386</v>
      </c>
      <c r="C744" s="44" t="s">
        <v>186</v>
      </c>
      <c r="D744" s="125"/>
      <c r="E744" s="125"/>
      <c r="F744" s="134"/>
      <c r="G744" s="131"/>
      <c r="H744" s="101"/>
      <c r="I744" s="102"/>
      <c r="J744" s="101"/>
      <c r="K744" s="101">
        <v>50000</v>
      </c>
      <c r="L744" s="101"/>
      <c r="M744" s="207"/>
      <c r="N744" s="207"/>
      <c r="O744" s="212"/>
      <c r="P744" s="212"/>
    </row>
    <row r="745" spans="1:16" s="229" customFormat="1" ht="18" customHeight="1" x14ac:dyDescent="0.25">
      <c r="A745" s="169" t="s">
        <v>163</v>
      </c>
      <c r="B745" s="926" t="s">
        <v>1386</v>
      </c>
      <c r="C745" s="44" t="s">
        <v>430</v>
      </c>
      <c r="D745" s="125"/>
      <c r="E745" s="125"/>
      <c r="F745" s="134"/>
      <c r="G745" s="131" t="s">
        <v>431</v>
      </c>
      <c r="H745" s="101">
        <v>274275</v>
      </c>
      <c r="I745" s="102">
        <v>350000</v>
      </c>
      <c r="J745" s="101">
        <v>29250</v>
      </c>
      <c r="K745" s="101">
        <v>400000</v>
      </c>
      <c r="L745" s="101"/>
      <c r="M745" s="207"/>
      <c r="N745" s="207"/>
      <c r="O745" s="212"/>
      <c r="P745" s="212"/>
    </row>
    <row r="746" spans="1:16" s="229" customFormat="1" ht="18" customHeight="1" x14ac:dyDescent="0.25">
      <c r="A746" s="169" t="s">
        <v>163</v>
      </c>
      <c r="B746" s="926" t="s">
        <v>1386</v>
      </c>
      <c r="C746" s="44" t="s">
        <v>432</v>
      </c>
      <c r="D746" s="125"/>
      <c r="E746" s="125"/>
      <c r="F746" s="134"/>
      <c r="G746" s="131" t="s">
        <v>237</v>
      </c>
      <c r="H746" s="101">
        <v>0</v>
      </c>
      <c r="I746" s="102">
        <v>12000</v>
      </c>
      <c r="J746" s="101"/>
      <c r="K746" s="101">
        <v>12000</v>
      </c>
      <c r="L746" s="101"/>
      <c r="M746" s="207"/>
      <c r="N746" s="207"/>
      <c r="O746" s="212"/>
      <c r="P746" s="212"/>
    </row>
    <row r="747" spans="1:16" s="229" customFormat="1" ht="18" customHeight="1" x14ac:dyDescent="0.25">
      <c r="A747" s="169" t="s">
        <v>163</v>
      </c>
      <c r="B747" s="926" t="s">
        <v>1386</v>
      </c>
      <c r="C747" s="44" t="s">
        <v>198</v>
      </c>
      <c r="D747" s="125"/>
      <c r="E747" s="125"/>
      <c r="F747" s="134"/>
      <c r="G747" s="131" t="s">
        <v>199</v>
      </c>
      <c r="H747" s="105">
        <v>119631.61</v>
      </c>
      <c r="I747" s="106">
        <v>156984.48000000001</v>
      </c>
      <c r="J747" s="105">
        <v>7574.4</v>
      </c>
      <c r="K747" s="105">
        <v>156984.48000000001</v>
      </c>
      <c r="L747" s="105"/>
      <c r="M747" s="207"/>
      <c r="N747" s="207"/>
      <c r="O747" s="212"/>
      <c r="P747" s="212"/>
    </row>
    <row r="748" spans="1:16" s="194" customFormat="1" ht="18" customHeight="1" x14ac:dyDescent="0.25">
      <c r="A748" s="927" t="s">
        <v>201</v>
      </c>
      <c r="B748" s="926" t="s">
        <v>1386</v>
      </c>
      <c r="C748" s="824" t="s">
        <v>1498</v>
      </c>
      <c r="D748" s="813"/>
      <c r="E748" s="813"/>
      <c r="F748" s="813"/>
      <c r="G748" s="97"/>
      <c r="H748" s="101"/>
      <c r="I748" s="102"/>
      <c r="J748" s="101"/>
      <c r="K748" s="121">
        <v>52800</v>
      </c>
      <c r="L748" s="101">
        <v>52800</v>
      </c>
      <c r="M748" s="10"/>
      <c r="N748" s="10"/>
      <c r="O748" s="191"/>
      <c r="P748" s="191"/>
    </row>
    <row r="749" spans="1:16" s="194" customFormat="1" ht="18" customHeight="1" x14ac:dyDescent="0.25">
      <c r="A749" s="927" t="s">
        <v>201</v>
      </c>
      <c r="B749" s="926" t="s">
        <v>1386</v>
      </c>
      <c r="C749" s="824" t="s">
        <v>263</v>
      </c>
      <c r="D749" s="813"/>
      <c r="E749" s="813"/>
      <c r="F749" s="813"/>
      <c r="G749" s="97"/>
      <c r="H749" s="101"/>
      <c r="I749" s="102"/>
      <c r="J749" s="101"/>
      <c r="K749" s="101">
        <v>195600</v>
      </c>
      <c r="L749" s="101">
        <v>195600</v>
      </c>
      <c r="M749" s="10"/>
      <c r="N749" s="10"/>
      <c r="O749" s="191"/>
      <c r="P749" s="191"/>
    </row>
    <row r="750" spans="1:16" s="194" customFormat="1" ht="18" customHeight="1" x14ac:dyDescent="0.25">
      <c r="A750" s="927" t="s">
        <v>201</v>
      </c>
      <c r="B750" s="926" t="s">
        <v>1386</v>
      </c>
      <c r="C750" s="824" t="s">
        <v>1517</v>
      </c>
      <c r="D750" s="813"/>
      <c r="E750" s="813"/>
      <c r="F750" s="813"/>
      <c r="G750" s="97"/>
      <c r="H750" s="101"/>
      <c r="I750" s="102"/>
      <c r="J750" s="101"/>
      <c r="K750" s="101">
        <v>15300</v>
      </c>
      <c r="L750" s="101">
        <v>15300</v>
      </c>
      <c r="M750" s="10"/>
      <c r="N750" s="10"/>
      <c r="O750" s="191"/>
      <c r="P750" s="191"/>
    </row>
    <row r="751" spans="1:16" ht="17.45" customHeight="1" x14ac:dyDescent="0.25">
      <c r="A751" s="48" t="s">
        <v>123</v>
      </c>
      <c r="B751" s="926" t="s">
        <v>1386</v>
      </c>
      <c r="C751" s="1602" t="s">
        <v>124</v>
      </c>
      <c r="D751" s="1603"/>
      <c r="E751" s="1603"/>
      <c r="F751" s="1603"/>
      <c r="G751" s="131" t="s">
        <v>125</v>
      </c>
      <c r="H751" s="101">
        <v>2384640</v>
      </c>
      <c r="I751" s="102">
        <v>3827988</v>
      </c>
      <c r="J751" s="101">
        <v>1369901.56</v>
      </c>
      <c r="K751" s="101">
        <v>4120764</v>
      </c>
      <c r="L751" s="101"/>
    </row>
    <row r="752" spans="1:16" ht="17.45" customHeight="1" x14ac:dyDescent="0.25">
      <c r="A752" s="48" t="s">
        <v>123</v>
      </c>
      <c r="B752" s="926" t="s">
        <v>1386</v>
      </c>
      <c r="C752" s="1602" t="s">
        <v>128</v>
      </c>
      <c r="D752" s="1603"/>
      <c r="E752" s="1603"/>
      <c r="F752" s="1603"/>
      <c r="G752" s="131" t="s">
        <v>125</v>
      </c>
      <c r="H752" s="101">
        <v>0</v>
      </c>
      <c r="I752" s="102">
        <v>12048</v>
      </c>
      <c r="J752" s="101"/>
      <c r="K752" s="101">
        <v>5807</v>
      </c>
      <c r="L752" s="101"/>
    </row>
    <row r="753" spans="1:16" ht="17.45" customHeight="1" x14ac:dyDescent="0.25">
      <c r="A753" s="48" t="s">
        <v>123</v>
      </c>
      <c r="B753" s="926" t="s">
        <v>1386</v>
      </c>
      <c r="C753" s="1602" t="s">
        <v>129</v>
      </c>
      <c r="D753" s="1603"/>
      <c r="E753" s="1603"/>
      <c r="F753" s="1603"/>
      <c r="G753" s="132" t="s">
        <v>130</v>
      </c>
      <c r="H753" s="101">
        <v>192000</v>
      </c>
      <c r="I753" s="102">
        <v>288000</v>
      </c>
      <c r="J753" s="101">
        <v>100000</v>
      </c>
      <c r="K753" s="101">
        <v>288000</v>
      </c>
      <c r="L753" s="101"/>
    </row>
    <row r="754" spans="1:16" ht="17.45" customHeight="1" x14ac:dyDescent="0.25">
      <c r="A754" s="48" t="s">
        <v>123</v>
      </c>
      <c r="B754" s="926" t="s">
        <v>1386</v>
      </c>
      <c r="C754" s="1602" t="s">
        <v>131</v>
      </c>
      <c r="D754" s="1603"/>
      <c r="E754" s="1603"/>
      <c r="F754" s="1603"/>
      <c r="G754" s="131" t="s">
        <v>132</v>
      </c>
      <c r="H754" s="101">
        <v>70500</v>
      </c>
      <c r="I754" s="102">
        <v>120000</v>
      </c>
      <c r="J754" s="101">
        <v>40500</v>
      </c>
      <c r="K754" s="101">
        <v>120000</v>
      </c>
      <c r="L754" s="101"/>
    </row>
    <row r="755" spans="1:16" ht="17.45" customHeight="1" x14ac:dyDescent="0.25">
      <c r="A755" s="48" t="s">
        <v>123</v>
      </c>
      <c r="B755" s="926" t="s">
        <v>1386</v>
      </c>
      <c r="C755" s="1602" t="s">
        <v>133</v>
      </c>
      <c r="D755" s="1603"/>
      <c r="E755" s="1603"/>
      <c r="F755" s="1603"/>
      <c r="G755" s="131" t="s">
        <v>134</v>
      </c>
      <c r="H755" s="101">
        <v>70500</v>
      </c>
      <c r="I755" s="102">
        <v>120000</v>
      </c>
      <c r="J755" s="101">
        <v>40500</v>
      </c>
      <c r="K755" s="101">
        <v>120000</v>
      </c>
      <c r="L755" s="101"/>
    </row>
    <row r="756" spans="1:16" s="146" customFormat="1" ht="17.45" customHeight="1" x14ac:dyDescent="0.25">
      <c r="A756" s="48" t="s">
        <v>123</v>
      </c>
      <c r="B756" s="926" t="s">
        <v>1386</v>
      </c>
      <c r="C756" s="808" t="s">
        <v>135</v>
      </c>
      <c r="D756" s="813"/>
      <c r="E756" s="813"/>
      <c r="F756" s="811"/>
      <c r="G756" s="131" t="s">
        <v>232</v>
      </c>
      <c r="H756" s="101">
        <v>2729.06</v>
      </c>
      <c r="I756" s="102">
        <v>93729.55</v>
      </c>
      <c r="J756" s="101">
        <v>57231.78</v>
      </c>
      <c r="K756" s="102">
        <v>306733.64</v>
      </c>
      <c r="L756" s="101"/>
      <c r="M756" s="10"/>
      <c r="N756" s="10"/>
      <c r="O756"/>
      <c r="P756"/>
    </row>
    <row r="757" spans="1:16" s="146" customFormat="1" ht="17.45" customHeight="1" x14ac:dyDescent="0.25">
      <c r="A757" s="48" t="s">
        <v>123</v>
      </c>
      <c r="B757" s="926" t="s">
        <v>1386</v>
      </c>
      <c r="C757" s="1602" t="s">
        <v>137</v>
      </c>
      <c r="D757" s="1603"/>
      <c r="E757" s="1603"/>
      <c r="F757" s="1603"/>
      <c r="G757" s="131" t="s">
        <v>138</v>
      </c>
      <c r="H757" s="101">
        <v>48000</v>
      </c>
      <c r="I757" s="102">
        <v>72000</v>
      </c>
      <c r="J757" s="101">
        <v>42000</v>
      </c>
      <c r="K757" s="101">
        <v>72000</v>
      </c>
      <c r="L757" s="101"/>
      <c r="M757" s="10"/>
      <c r="N757" s="10"/>
      <c r="O757"/>
      <c r="P757"/>
    </row>
    <row r="758" spans="1:16" s="146" customFormat="1" ht="17.45" customHeight="1" x14ac:dyDescent="0.25">
      <c r="A758" s="48" t="s">
        <v>123</v>
      </c>
      <c r="B758" s="926" t="s">
        <v>1386</v>
      </c>
      <c r="C758" s="1602" t="s">
        <v>139</v>
      </c>
      <c r="D758" s="1603"/>
      <c r="E758" s="1603"/>
      <c r="F758" s="1603"/>
      <c r="G758" s="131" t="s">
        <v>140</v>
      </c>
      <c r="H758" s="101">
        <v>207473.12</v>
      </c>
      <c r="I758" s="102">
        <v>320003</v>
      </c>
      <c r="J758" s="101">
        <v>197657</v>
      </c>
      <c r="K758" s="101">
        <v>343955</v>
      </c>
      <c r="L758" s="101"/>
      <c r="M758" s="10"/>
      <c r="N758" s="10"/>
      <c r="O758"/>
      <c r="P758"/>
    </row>
    <row r="759" spans="1:16" s="146" customFormat="1" ht="17.45" customHeight="1" x14ac:dyDescent="0.25">
      <c r="A759" s="48" t="s">
        <v>123</v>
      </c>
      <c r="B759" s="926" t="s">
        <v>1386</v>
      </c>
      <c r="C759" s="1602" t="s">
        <v>141</v>
      </c>
      <c r="D759" s="1603"/>
      <c r="E759" s="1603"/>
      <c r="F759" s="1603"/>
      <c r="G759" s="131" t="s">
        <v>142</v>
      </c>
      <c r="H759" s="101">
        <v>198720</v>
      </c>
      <c r="I759" s="102">
        <v>320003</v>
      </c>
      <c r="J759" s="101"/>
      <c r="K759" s="101">
        <v>343955</v>
      </c>
      <c r="L759" s="101"/>
      <c r="M759" s="10"/>
      <c r="N759" s="10"/>
      <c r="O759"/>
      <c r="P759"/>
    </row>
    <row r="760" spans="1:16" s="146" customFormat="1" ht="17.45" customHeight="1" x14ac:dyDescent="0.25">
      <c r="A760" s="48" t="s">
        <v>123</v>
      </c>
      <c r="B760" s="926" t="s">
        <v>1386</v>
      </c>
      <c r="C760" s="1602" t="s">
        <v>143</v>
      </c>
      <c r="D760" s="1603"/>
      <c r="E760" s="1603"/>
      <c r="F760" s="1603"/>
      <c r="G760" s="131" t="s">
        <v>144</v>
      </c>
      <c r="H760" s="101">
        <v>40000</v>
      </c>
      <c r="I760" s="102">
        <v>60000</v>
      </c>
      <c r="J760" s="101"/>
      <c r="K760" s="101">
        <v>60000</v>
      </c>
      <c r="L760" s="101"/>
      <c r="M760" s="10"/>
      <c r="N760" s="10"/>
      <c r="O760"/>
      <c r="P760"/>
    </row>
    <row r="761" spans="1:16" s="146" customFormat="1" ht="17.45" customHeight="1" x14ac:dyDescent="0.25">
      <c r="A761" s="48" t="s">
        <v>123</v>
      </c>
      <c r="B761" s="926" t="s">
        <v>1386</v>
      </c>
      <c r="C761" s="1602" t="s">
        <v>145</v>
      </c>
      <c r="D761" s="1603"/>
      <c r="E761" s="1603"/>
      <c r="F761" s="1603"/>
      <c r="G761" s="131" t="s">
        <v>146</v>
      </c>
      <c r="H761" s="101">
        <v>40000</v>
      </c>
      <c r="I761" s="102">
        <v>60000</v>
      </c>
      <c r="J761" s="101"/>
      <c r="K761" s="101">
        <v>60000</v>
      </c>
      <c r="L761" s="101"/>
      <c r="M761" s="10"/>
      <c r="N761" s="10"/>
      <c r="O761"/>
      <c r="P761"/>
    </row>
    <row r="762" spans="1:16" s="146" customFormat="1" ht="17.45" customHeight="1" x14ac:dyDescent="0.25">
      <c r="A762" s="48" t="s">
        <v>123</v>
      </c>
      <c r="B762" s="926" t="s">
        <v>1386</v>
      </c>
      <c r="C762" s="826" t="s">
        <v>147</v>
      </c>
      <c r="D762" s="813"/>
      <c r="E762" s="813"/>
      <c r="F762" s="811"/>
      <c r="G762" s="131" t="s">
        <v>148</v>
      </c>
      <c r="H762" s="101"/>
      <c r="I762" s="102"/>
      <c r="J762" s="101"/>
      <c r="K762" s="101">
        <v>36000</v>
      </c>
      <c r="L762" s="101"/>
      <c r="M762" s="10"/>
      <c r="N762" s="10"/>
      <c r="O762"/>
      <c r="P762"/>
    </row>
    <row r="763" spans="1:16" s="146" customFormat="1" ht="17.45" customHeight="1" x14ac:dyDescent="0.25">
      <c r="A763" s="48" t="s">
        <v>123</v>
      </c>
      <c r="B763" s="926" t="s">
        <v>1386</v>
      </c>
      <c r="C763" s="1602" t="s">
        <v>153</v>
      </c>
      <c r="D763" s="1603"/>
      <c r="E763" s="1603"/>
      <c r="F763" s="1603"/>
      <c r="G763" s="131" t="s">
        <v>154</v>
      </c>
      <c r="H763" s="101">
        <v>286156.79999999999</v>
      </c>
      <c r="I763" s="102">
        <v>460804.32</v>
      </c>
      <c r="J763" s="101">
        <v>163852.38</v>
      </c>
      <c r="K763" s="101">
        <v>495188.52</v>
      </c>
      <c r="L763" s="101"/>
      <c r="M763" s="10"/>
      <c r="N763" s="10"/>
      <c r="O763"/>
      <c r="P763"/>
    </row>
    <row r="764" spans="1:16" s="146" customFormat="1" ht="17.45" customHeight="1" x14ac:dyDescent="0.25">
      <c r="A764" s="48" t="s">
        <v>123</v>
      </c>
      <c r="B764" s="926" t="s">
        <v>1386</v>
      </c>
      <c r="C764" s="1602" t="s">
        <v>155</v>
      </c>
      <c r="D764" s="1603"/>
      <c r="E764" s="1603"/>
      <c r="F764" s="1603"/>
      <c r="G764" s="131" t="s">
        <v>156</v>
      </c>
      <c r="H764" s="101">
        <v>9600</v>
      </c>
      <c r="I764" s="102">
        <v>14400</v>
      </c>
      <c r="J764" s="101">
        <v>5000</v>
      </c>
      <c r="K764" s="101">
        <v>14400</v>
      </c>
      <c r="L764" s="101"/>
      <c r="M764" s="10"/>
      <c r="N764" s="10"/>
      <c r="O764"/>
      <c r="P764"/>
    </row>
    <row r="765" spans="1:16" s="146" customFormat="1" ht="17.45" customHeight="1" x14ac:dyDescent="0.25">
      <c r="A765" s="48" t="s">
        <v>123</v>
      </c>
      <c r="B765" s="926" t="s">
        <v>1386</v>
      </c>
      <c r="C765" s="1602" t="s">
        <v>157</v>
      </c>
      <c r="D765" s="1603"/>
      <c r="E765" s="1603"/>
      <c r="F765" s="1603"/>
      <c r="G765" s="131" t="s">
        <v>158</v>
      </c>
      <c r="H765" s="101">
        <v>35544.86</v>
      </c>
      <c r="I765" s="102">
        <v>65607.149999999994</v>
      </c>
      <c r="J765" s="101">
        <v>19154.97</v>
      </c>
      <c r="K765" s="101">
        <v>164872.28</v>
      </c>
      <c r="L765" s="101"/>
      <c r="M765" s="10"/>
      <c r="N765" s="10"/>
      <c r="O765"/>
      <c r="P765"/>
    </row>
    <row r="766" spans="1:16" s="146" customFormat="1" ht="17.45" customHeight="1" x14ac:dyDescent="0.25">
      <c r="A766" s="48" t="s">
        <v>123</v>
      </c>
      <c r="B766" s="926" t="s">
        <v>1386</v>
      </c>
      <c r="C766" s="1602" t="s">
        <v>159</v>
      </c>
      <c r="D766" s="1603"/>
      <c r="E766" s="1603"/>
      <c r="F766" s="1603"/>
      <c r="G766" s="131" t="s">
        <v>160</v>
      </c>
      <c r="H766" s="105">
        <v>9600</v>
      </c>
      <c r="I766" s="106">
        <v>14400</v>
      </c>
      <c r="J766" s="105">
        <v>5000</v>
      </c>
      <c r="K766" s="105">
        <v>14400</v>
      </c>
      <c r="L766" s="105"/>
      <c r="M766" s="10"/>
      <c r="N766" s="10"/>
      <c r="O766"/>
      <c r="P766"/>
    </row>
    <row r="767" spans="1:16" s="229" customFormat="1" ht="17.45" customHeight="1" x14ac:dyDescent="0.25">
      <c r="A767" s="169" t="s">
        <v>163</v>
      </c>
      <c r="B767" s="926" t="s">
        <v>1386</v>
      </c>
      <c r="C767" s="44" t="s">
        <v>353</v>
      </c>
      <c r="D767" s="125"/>
      <c r="E767" s="125"/>
      <c r="F767" s="134"/>
      <c r="G767" s="131" t="s">
        <v>165</v>
      </c>
      <c r="H767" s="101"/>
      <c r="I767" s="102">
        <v>100000</v>
      </c>
      <c r="J767" s="101"/>
      <c r="K767" s="101">
        <v>100000</v>
      </c>
      <c r="L767" s="101"/>
      <c r="M767" s="207"/>
      <c r="N767" s="207"/>
      <c r="O767" s="212"/>
      <c r="P767" s="212"/>
    </row>
    <row r="768" spans="1:16" s="229" customFormat="1" ht="17.45" customHeight="1" x14ac:dyDescent="0.25">
      <c r="A768" s="169" t="s">
        <v>163</v>
      </c>
      <c r="B768" s="926" t="s">
        <v>1386</v>
      </c>
      <c r="C768" s="44" t="s">
        <v>168</v>
      </c>
      <c r="D768" s="125"/>
      <c r="E768" s="125"/>
      <c r="F768" s="134"/>
      <c r="G768" s="131" t="s">
        <v>169</v>
      </c>
      <c r="H768" s="101">
        <v>174513.4</v>
      </c>
      <c r="I768" s="102">
        <v>614979</v>
      </c>
      <c r="J768" s="101">
        <v>271088</v>
      </c>
      <c r="K768" s="101">
        <v>698338</v>
      </c>
      <c r="L768" s="101"/>
      <c r="M768" s="207"/>
      <c r="N768" s="207"/>
      <c r="O768" s="212"/>
      <c r="P768" s="212"/>
    </row>
    <row r="769" spans="1:16" s="229" customFormat="1" ht="17.45" customHeight="1" x14ac:dyDescent="0.25">
      <c r="A769" s="169" t="s">
        <v>163</v>
      </c>
      <c r="B769" s="926" t="s">
        <v>1386</v>
      </c>
      <c r="C769" s="44" t="s">
        <v>288</v>
      </c>
      <c r="D769" s="125"/>
      <c r="E769" s="125"/>
      <c r="F769" s="134"/>
      <c r="G769" s="131" t="s">
        <v>171</v>
      </c>
      <c r="H769" s="101"/>
      <c r="I769" s="102"/>
      <c r="J769" s="101"/>
      <c r="K769" s="101">
        <v>121650</v>
      </c>
      <c r="L769" s="101"/>
      <c r="M769" s="207">
        <f>62150+59500</f>
        <v>121650</v>
      </c>
      <c r="N769" s="207"/>
      <c r="O769" s="212"/>
      <c r="P769" s="212"/>
    </row>
    <row r="770" spans="1:16" s="229" customFormat="1" ht="17.45" customHeight="1" x14ac:dyDescent="0.25">
      <c r="A770" s="169" t="s">
        <v>163</v>
      </c>
      <c r="B770" s="926" t="s">
        <v>1386</v>
      </c>
      <c r="C770" s="44" t="s">
        <v>176</v>
      </c>
      <c r="D770" s="125"/>
      <c r="E770" s="125"/>
      <c r="F770" s="134"/>
      <c r="G770" s="131" t="s">
        <v>177</v>
      </c>
      <c r="H770" s="101"/>
      <c r="I770" s="102">
        <v>5000</v>
      </c>
      <c r="J770" s="101">
        <v>660</v>
      </c>
      <c r="K770" s="101">
        <v>5000</v>
      </c>
      <c r="L770" s="101"/>
      <c r="M770" s="207"/>
      <c r="N770" s="207"/>
      <c r="O770" s="212"/>
      <c r="P770" s="212"/>
    </row>
    <row r="771" spans="1:16" s="229" customFormat="1" ht="17.45" customHeight="1" x14ac:dyDescent="0.25">
      <c r="A771" s="169" t="s">
        <v>163</v>
      </c>
      <c r="B771" s="926" t="s">
        <v>1386</v>
      </c>
      <c r="C771" s="44" t="s">
        <v>178</v>
      </c>
      <c r="D771" s="125"/>
      <c r="E771" s="125"/>
      <c r="F771" s="134"/>
      <c r="G771" s="131" t="s">
        <v>179</v>
      </c>
      <c r="H771" s="101"/>
      <c r="I771" s="102"/>
      <c r="J771" s="101"/>
      <c r="K771" s="101">
        <v>49200</v>
      </c>
      <c r="L771" s="101"/>
      <c r="M771" s="207"/>
      <c r="N771" s="207"/>
      <c r="O771" s="212"/>
      <c r="P771" s="212"/>
    </row>
    <row r="772" spans="1:16" s="229" customFormat="1" ht="17.45" customHeight="1" x14ac:dyDescent="0.25">
      <c r="A772" s="169" t="s">
        <v>163</v>
      </c>
      <c r="B772" s="926" t="s">
        <v>1386</v>
      </c>
      <c r="C772" s="44" t="s">
        <v>186</v>
      </c>
      <c r="D772" s="125"/>
      <c r="E772" s="125"/>
      <c r="F772" s="134"/>
      <c r="G772" s="131" t="s">
        <v>187</v>
      </c>
      <c r="H772" s="101"/>
      <c r="I772" s="102">
        <v>50000</v>
      </c>
      <c r="J772" s="101"/>
      <c r="K772" s="101">
        <v>50000</v>
      </c>
      <c r="L772" s="101"/>
      <c r="M772" s="207"/>
      <c r="N772" s="207"/>
      <c r="O772" s="212"/>
      <c r="P772" s="212"/>
    </row>
    <row r="773" spans="1:16" s="229" customFormat="1" ht="17.45" customHeight="1" x14ac:dyDescent="0.25">
      <c r="A773" s="169" t="s">
        <v>163</v>
      </c>
      <c r="B773" s="926" t="s">
        <v>1386</v>
      </c>
      <c r="C773" s="44" t="s">
        <v>439</v>
      </c>
      <c r="D773" s="125"/>
      <c r="E773" s="125"/>
      <c r="F773" s="134"/>
      <c r="G773" s="131" t="s">
        <v>237</v>
      </c>
      <c r="H773" s="101">
        <v>0</v>
      </c>
      <c r="I773" s="102">
        <v>6000</v>
      </c>
      <c r="J773" s="101"/>
      <c r="K773" s="101">
        <v>6000</v>
      </c>
      <c r="L773" s="101"/>
      <c r="M773" s="207"/>
      <c r="N773" s="207"/>
      <c r="O773" s="212"/>
      <c r="P773" s="212"/>
    </row>
    <row r="774" spans="1:16" s="229" customFormat="1" ht="17.45" customHeight="1" x14ac:dyDescent="0.25">
      <c r="A774" s="169" t="s">
        <v>163</v>
      </c>
      <c r="B774" s="926" t="s">
        <v>1386</v>
      </c>
      <c r="C774" s="44" t="s">
        <v>198</v>
      </c>
      <c r="D774" s="125"/>
      <c r="E774" s="125"/>
      <c r="F774" s="134"/>
      <c r="G774" s="131" t="s">
        <v>199</v>
      </c>
      <c r="H774" s="101">
        <v>795170.9</v>
      </c>
      <c r="I774" s="102">
        <v>470953.44</v>
      </c>
      <c r="J774" s="101">
        <v>164400.6</v>
      </c>
      <c r="K774" s="101">
        <v>470953.44</v>
      </c>
      <c r="L774" s="101"/>
      <c r="M774" s="207"/>
      <c r="N774" s="207"/>
      <c r="O774" s="212"/>
      <c r="P774" s="212"/>
    </row>
    <row r="775" spans="1:16" s="146" customFormat="1" ht="17.45" customHeight="1" x14ac:dyDescent="0.25">
      <c r="A775" s="169" t="s">
        <v>163</v>
      </c>
      <c r="B775" s="926" t="s">
        <v>1386</v>
      </c>
      <c r="C775" s="1602" t="s">
        <v>441</v>
      </c>
      <c r="D775" s="1603"/>
      <c r="E775" s="1603"/>
      <c r="F775" s="1603"/>
      <c r="G775" s="131"/>
      <c r="H775" s="101">
        <v>0</v>
      </c>
      <c r="I775" s="102">
        <v>50000</v>
      </c>
      <c r="J775" s="101"/>
      <c r="K775" s="101">
        <v>50000</v>
      </c>
      <c r="L775" s="101"/>
      <c r="M775" s="10"/>
      <c r="N775" s="10"/>
      <c r="O775"/>
      <c r="P775"/>
    </row>
    <row r="776" spans="1:16" s="146" customFormat="1" ht="17.45" customHeight="1" x14ac:dyDescent="0.25">
      <c r="A776" s="169" t="s">
        <v>163</v>
      </c>
      <c r="B776" s="926" t="s">
        <v>1386</v>
      </c>
      <c r="C776" s="1602" t="s">
        <v>443</v>
      </c>
      <c r="D776" s="1603"/>
      <c r="E776" s="1603"/>
      <c r="F776" s="1603"/>
      <c r="G776" s="131"/>
      <c r="H776" s="105">
        <v>362232.12</v>
      </c>
      <c r="I776" s="106">
        <v>1000000</v>
      </c>
      <c r="J776" s="105">
        <v>62550.92</v>
      </c>
      <c r="K776" s="105">
        <v>1000000</v>
      </c>
      <c r="L776" s="105"/>
      <c r="M776" s="10"/>
      <c r="N776" s="10"/>
      <c r="O776"/>
      <c r="P776"/>
    </row>
    <row r="777" spans="1:16" s="146" customFormat="1" ht="17.45" customHeight="1" x14ac:dyDescent="0.25">
      <c r="A777" s="169" t="s">
        <v>201</v>
      </c>
      <c r="B777" s="926" t="s">
        <v>1386</v>
      </c>
      <c r="C777" s="1612" t="s">
        <v>363</v>
      </c>
      <c r="D777" s="1612"/>
      <c r="E777" s="832"/>
      <c r="F777" s="832"/>
      <c r="G777" s="97"/>
      <c r="H777" s="101"/>
      <c r="I777" s="102"/>
      <c r="J777" s="101"/>
      <c r="K777" s="121">
        <v>345000</v>
      </c>
      <c r="L777" s="101"/>
      <c r="M777" s="10"/>
      <c r="N777" s="10">
        <f>115000*3</f>
        <v>345000</v>
      </c>
      <c r="O777"/>
      <c r="P777"/>
    </row>
    <row r="778" spans="1:16" s="146" customFormat="1" ht="17.45" customHeight="1" x14ac:dyDescent="0.25">
      <c r="A778" s="169" t="s">
        <v>201</v>
      </c>
      <c r="B778" s="926" t="s">
        <v>1386</v>
      </c>
      <c r="C778" s="824" t="s">
        <v>444</v>
      </c>
      <c r="D778" s="813"/>
      <c r="E778" s="832"/>
      <c r="F778" s="832"/>
      <c r="G778" s="97"/>
      <c r="H778" s="101"/>
      <c r="I778" s="102"/>
      <c r="J778" s="101"/>
      <c r="K778" s="101">
        <v>240000</v>
      </c>
      <c r="L778" s="101"/>
      <c r="M778" s="10"/>
      <c r="N778" s="10">
        <f>80000*3</f>
        <v>240000</v>
      </c>
      <c r="O778"/>
      <c r="P778"/>
    </row>
    <row r="779" spans="1:16" s="146" customFormat="1" ht="17.45" customHeight="1" x14ac:dyDescent="0.25">
      <c r="A779" s="169" t="s">
        <v>201</v>
      </c>
      <c r="B779" s="926" t="s">
        <v>1386</v>
      </c>
      <c r="C779" s="824" t="s">
        <v>445</v>
      </c>
      <c r="D779" s="813"/>
      <c r="E779" s="832"/>
      <c r="F779" s="832"/>
      <c r="G779" s="97"/>
      <c r="H779" s="101"/>
      <c r="I779" s="102"/>
      <c r="J779" s="101"/>
      <c r="K779" s="101">
        <v>20000</v>
      </c>
      <c r="L779" s="101"/>
      <c r="M779" s="10"/>
      <c r="N779" s="10"/>
      <c r="O779"/>
      <c r="P779"/>
    </row>
    <row r="780" spans="1:16" s="146" customFormat="1" ht="17.45" customHeight="1" x14ac:dyDescent="0.25">
      <c r="A780" s="169" t="s">
        <v>201</v>
      </c>
      <c r="B780" s="926" t="s">
        <v>1386</v>
      </c>
      <c r="C780" s="1611" t="s">
        <v>446</v>
      </c>
      <c r="D780" s="1611"/>
      <c r="E780" s="832"/>
      <c r="F780" s="832"/>
      <c r="G780" s="97"/>
      <c r="H780" s="101"/>
      <c r="I780" s="102"/>
      <c r="J780" s="101"/>
      <c r="K780" s="101">
        <v>70000</v>
      </c>
      <c r="L780" s="101"/>
      <c r="M780" s="10"/>
      <c r="N780" s="10"/>
      <c r="O780"/>
      <c r="P780"/>
    </row>
    <row r="781" spans="1:16" s="146" customFormat="1" ht="17.45" customHeight="1" x14ac:dyDescent="0.25">
      <c r="A781" s="169" t="s">
        <v>201</v>
      </c>
      <c r="B781" s="926" t="s">
        <v>1386</v>
      </c>
      <c r="C781" s="1611" t="s">
        <v>447</v>
      </c>
      <c r="D781" s="1611"/>
      <c r="E781" s="832"/>
      <c r="F781" s="832"/>
      <c r="G781" s="97"/>
      <c r="H781" s="101"/>
      <c r="I781" s="102"/>
      <c r="J781" s="101"/>
      <c r="K781" s="101">
        <v>145600</v>
      </c>
      <c r="L781" s="101"/>
      <c r="M781" s="10"/>
      <c r="N781" s="10"/>
      <c r="O781"/>
      <c r="P781"/>
    </row>
    <row r="782" spans="1:16" s="146" customFormat="1" ht="18" x14ac:dyDescent="0.25">
      <c r="A782" s="48" t="s">
        <v>123</v>
      </c>
      <c r="B782" s="926" t="s">
        <v>1386</v>
      </c>
      <c r="C782" s="1602" t="s">
        <v>124</v>
      </c>
      <c r="D782" s="1603"/>
      <c r="E782" s="1603"/>
      <c r="F782" s="1603"/>
      <c r="G782" s="131" t="s">
        <v>125</v>
      </c>
      <c r="H782" s="101">
        <v>1476000</v>
      </c>
      <c r="I782" s="102">
        <v>1476000</v>
      </c>
      <c r="J782" s="101">
        <v>886277.55</v>
      </c>
      <c r="K782" s="101">
        <v>1561524</v>
      </c>
      <c r="L782" s="101"/>
      <c r="M782" s="10"/>
      <c r="N782" s="10"/>
      <c r="O782"/>
      <c r="P782"/>
    </row>
    <row r="783" spans="1:16" s="146" customFormat="1" ht="18" x14ac:dyDescent="0.25">
      <c r="A783" s="48" t="s">
        <v>123</v>
      </c>
      <c r="B783" s="926" t="s">
        <v>1386</v>
      </c>
      <c r="C783" s="1602" t="s">
        <v>128</v>
      </c>
      <c r="D783" s="1603"/>
      <c r="E783" s="1603"/>
      <c r="F783" s="1603"/>
      <c r="G783" s="131" t="s">
        <v>127</v>
      </c>
      <c r="H783" s="101">
        <v>0</v>
      </c>
      <c r="I783" s="102">
        <v>1140</v>
      </c>
      <c r="J783" s="101"/>
      <c r="K783" s="101">
        <v>7193.13</v>
      </c>
      <c r="L783" s="101"/>
      <c r="M783" s="10"/>
      <c r="N783" s="10"/>
      <c r="O783"/>
      <c r="P783"/>
    </row>
    <row r="784" spans="1:16" s="146" customFormat="1" ht="18" x14ac:dyDescent="0.25">
      <c r="A784" s="48" t="s">
        <v>123</v>
      </c>
      <c r="B784" s="926" t="s">
        <v>1386</v>
      </c>
      <c r="C784" s="1602" t="s">
        <v>129</v>
      </c>
      <c r="D784" s="1603"/>
      <c r="E784" s="1603"/>
      <c r="F784" s="1603"/>
      <c r="G784" s="132" t="s">
        <v>130</v>
      </c>
      <c r="H784" s="101">
        <v>96000</v>
      </c>
      <c r="I784" s="102">
        <v>96000</v>
      </c>
      <c r="J784" s="101">
        <v>56000</v>
      </c>
      <c r="K784" s="101">
        <v>96000</v>
      </c>
      <c r="L784" s="101"/>
      <c r="M784" s="10"/>
      <c r="N784" s="10"/>
      <c r="O784"/>
      <c r="P784"/>
    </row>
    <row r="785" spans="1:16" s="146" customFormat="1" ht="18" x14ac:dyDescent="0.25">
      <c r="A785" s="48" t="s">
        <v>123</v>
      </c>
      <c r="B785" s="926" t="s">
        <v>1386</v>
      </c>
      <c r="C785" s="1602" t="s">
        <v>131</v>
      </c>
      <c r="D785" s="1603"/>
      <c r="E785" s="1603"/>
      <c r="F785" s="1603"/>
      <c r="G785" s="131" t="s">
        <v>132</v>
      </c>
      <c r="H785" s="101">
        <v>72000</v>
      </c>
      <c r="I785" s="102">
        <v>72000</v>
      </c>
      <c r="J785" s="101">
        <v>42000</v>
      </c>
      <c r="K785" s="101">
        <v>72000</v>
      </c>
      <c r="L785" s="101"/>
      <c r="M785" s="10"/>
      <c r="N785" s="10"/>
      <c r="O785"/>
      <c r="P785"/>
    </row>
    <row r="786" spans="1:16" s="146" customFormat="1" ht="18" x14ac:dyDescent="0.25">
      <c r="A786" s="48" t="s">
        <v>123</v>
      </c>
      <c r="B786" s="926" t="s">
        <v>1386</v>
      </c>
      <c r="C786" s="1602" t="s">
        <v>133</v>
      </c>
      <c r="D786" s="1603"/>
      <c r="E786" s="1603"/>
      <c r="F786" s="1603"/>
      <c r="G786" s="131" t="s">
        <v>134</v>
      </c>
      <c r="H786" s="101">
        <v>72000</v>
      </c>
      <c r="I786" s="102">
        <v>72000</v>
      </c>
      <c r="J786" s="101">
        <v>42000</v>
      </c>
      <c r="K786" s="101">
        <v>72000</v>
      </c>
      <c r="L786" s="101"/>
      <c r="M786" s="10"/>
      <c r="N786" s="10"/>
      <c r="O786"/>
      <c r="P786"/>
    </row>
    <row r="787" spans="1:16" s="146" customFormat="1" ht="18" x14ac:dyDescent="0.25">
      <c r="A787" s="48" t="s">
        <v>123</v>
      </c>
      <c r="B787" s="926" t="s">
        <v>1386</v>
      </c>
      <c r="C787" s="1602" t="s">
        <v>137</v>
      </c>
      <c r="D787" s="1603"/>
      <c r="E787" s="1603"/>
      <c r="F787" s="1603"/>
      <c r="G787" s="131" t="s">
        <v>138</v>
      </c>
      <c r="H787" s="101">
        <v>24000</v>
      </c>
      <c r="I787" s="102">
        <v>24000</v>
      </c>
      <c r="J787" s="101">
        <v>24000</v>
      </c>
      <c r="K787" s="101">
        <v>24000</v>
      </c>
      <c r="L787" s="101"/>
      <c r="M787" s="10"/>
      <c r="N787" s="10"/>
      <c r="O787"/>
      <c r="P787"/>
    </row>
    <row r="788" spans="1:16" s="146" customFormat="1" ht="18" customHeight="1" x14ac:dyDescent="0.25">
      <c r="A788" s="48" t="s">
        <v>123</v>
      </c>
      <c r="B788" s="926" t="s">
        <v>1386</v>
      </c>
      <c r="C788" s="1602" t="s">
        <v>139</v>
      </c>
      <c r="D788" s="1603"/>
      <c r="E788" s="1603"/>
      <c r="F788" s="1603"/>
      <c r="G788" s="131" t="s">
        <v>140</v>
      </c>
      <c r="H788" s="101">
        <v>123000</v>
      </c>
      <c r="I788" s="102">
        <v>123095</v>
      </c>
      <c r="J788" s="101">
        <v>126612</v>
      </c>
      <c r="K788" s="101">
        <v>130414</v>
      </c>
      <c r="L788" s="101"/>
      <c r="M788" s="10"/>
      <c r="N788" s="10"/>
      <c r="O788"/>
      <c r="P788"/>
    </row>
    <row r="789" spans="1:16" s="146" customFormat="1" ht="18" x14ac:dyDescent="0.25">
      <c r="A789" s="48" t="s">
        <v>123</v>
      </c>
      <c r="B789" s="926" t="s">
        <v>1386</v>
      </c>
      <c r="C789" s="1602" t="s">
        <v>141</v>
      </c>
      <c r="D789" s="1603"/>
      <c r="E789" s="1603"/>
      <c r="F789" s="1603"/>
      <c r="G789" s="131" t="s">
        <v>142</v>
      </c>
      <c r="H789" s="101">
        <v>123000</v>
      </c>
      <c r="I789" s="102">
        <v>123095</v>
      </c>
      <c r="J789" s="101"/>
      <c r="K789" s="101">
        <v>131773</v>
      </c>
      <c r="L789" s="101"/>
      <c r="M789" s="10"/>
      <c r="N789" s="10"/>
      <c r="O789"/>
      <c r="P789"/>
    </row>
    <row r="790" spans="1:16" s="146" customFormat="1" ht="18" x14ac:dyDescent="0.25">
      <c r="A790" s="48" t="s">
        <v>123</v>
      </c>
      <c r="B790" s="926" t="s">
        <v>1386</v>
      </c>
      <c r="C790" s="1602" t="s">
        <v>143</v>
      </c>
      <c r="D790" s="1603"/>
      <c r="E790" s="1603"/>
      <c r="F790" s="1603"/>
      <c r="G790" s="131" t="s">
        <v>144</v>
      </c>
      <c r="H790" s="101">
        <v>20000</v>
      </c>
      <c r="I790" s="102">
        <v>20000</v>
      </c>
      <c r="J790" s="101"/>
      <c r="K790" s="101">
        <v>20000</v>
      </c>
      <c r="L790" s="101"/>
      <c r="M790" s="10"/>
      <c r="N790" s="10"/>
      <c r="O790"/>
      <c r="P790"/>
    </row>
    <row r="791" spans="1:16" s="146" customFormat="1" ht="18" x14ac:dyDescent="0.25">
      <c r="A791" s="48" t="s">
        <v>123</v>
      </c>
      <c r="B791" s="926" t="s">
        <v>1386</v>
      </c>
      <c r="C791" s="1602" t="s">
        <v>145</v>
      </c>
      <c r="D791" s="1603"/>
      <c r="E791" s="1603"/>
      <c r="F791" s="1603"/>
      <c r="G791" s="131" t="s">
        <v>146</v>
      </c>
      <c r="H791" s="101">
        <v>20000</v>
      </c>
      <c r="I791" s="102">
        <v>20000</v>
      </c>
      <c r="J791" s="101"/>
      <c r="K791" s="101">
        <v>20000</v>
      </c>
      <c r="L791" s="101"/>
      <c r="M791" s="10"/>
      <c r="N791" s="10"/>
      <c r="O791"/>
      <c r="P791"/>
    </row>
    <row r="792" spans="1:16" s="146" customFormat="1" ht="18" x14ac:dyDescent="0.25">
      <c r="A792" s="48" t="s">
        <v>123</v>
      </c>
      <c r="B792" s="926" t="s">
        <v>1386</v>
      </c>
      <c r="C792" s="826" t="s">
        <v>231</v>
      </c>
      <c r="D792" s="811"/>
      <c r="E792" s="812"/>
      <c r="F792" s="812"/>
      <c r="G792" s="131" t="s">
        <v>232</v>
      </c>
      <c r="H792" s="101"/>
      <c r="I792" s="102"/>
      <c r="J792" s="101"/>
      <c r="K792" s="101">
        <v>5000</v>
      </c>
      <c r="L792" s="101"/>
      <c r="M792" s="10"/>
      <c r="N792" s="10"/>
      <c r="O792"/>
      <c r="P792"/>
    </row>
    <row r="793" spans="1:16" s="146" customFormat="1" ht="18" x14ac:dyDescent="0.25">
      <c r="A793" s="48" t="s">
        <v>123</v>
      </c>
      <c r="B793" s="926" t="s">
        <v>1386</v>
      </c>
      <c r="C793" s="826" t="s">
        <v>147</v>
      </c>
      <c r="D793" s="811"/>
      <c r="E793" s="812"/>
      <c r="F793" s="812"/>
      <c r="G793" s="131" t="s">
        <v>148</v>
      </c>
      <c r="H793" s="101"/>
      <c r="I793" s="102"/>
      <c r="J793" s="101"/>
      <c r="K793" s="101">
        <v>12000</v>
      </c>
      <c r="L793" s="101"/>
      <c r="M793" s="10"/>
      <c r="N793" s="10"/>
      <c r="O793"/>
      <c r="P793"/>
    </row>
    <row r="794" spans="1:16" s="146" customFormat="1" ht="18" x14ac:dyDescent="0.25">
      <c r="A794" s="48" t="s">
        <v>123</v>
      </c>
      <c r="B794" s="926" t="s">
        <v>1386</v>
      </c>
      <c r="C794" s="1602" t="s">
        <v>153</v>
      </c>
      <c r="D794" s="1603"/>
      <c r="E794" s="1603"/>
      <c r="F794" s="1603"/>
      <c r="G794" s="131" t="s">
        <v>154</v>
      </c>
      <c r="H794" s="101">
        <v>177120</v>
      </c>
      <c r="I794" s="102">
        <v>177256.8</v>
      </c>
      <c r="J794" s="101">
        <v>106349.12</v>
      </c>
      <c r="K794" s="101">
        <v>188246.06</v>
      </c>
      <c r="L794" s="101"/>
      <c r="M794" s="10"/>
      <c r="N794" s="10"/>
      <c r="O794"/>
      <c r="P794"/>
    </row>
    <row r="795" spans="1:16" s="146" customFormat="1" ht="18" x14ac:dyDescent="0.25">
      <c r="A795" s="48" t="s">
        <v>123</v>
      </c>
      <c r="B795" s="926" t="s">
        <v>1386</v>
      </c>
      <c r="C795" s="1602" t="s">
        <v>155</v>
      </c>
      <c r="D795" s="1603"/>
      <c r="E795" s="1603"/>
      <c r="F795" s="1603"/>
      <c r="G795" s="131" t="s">
        <v>156</v>
      </c>
      <c r="H795" s="101">
        <v>4800</v>
      </c>
      <c r="I795" s="102">
        <v>4800</v>
      </c>
      <c r="J795" s="101">
        <v>2800</v>
      </c>
      <c r="K795" s="101">
        <v>4800</v>
      </c>
      <c r="L795" s="101"/>
      <c r="M795" s="10"/>
      <c r="N795" s="10"/>
      <c r="O795"/>
      <c r="P795"/>
    </row>
    <row r="796" spans="1:16" s="146" customFormat="1" ht="18" x14ac:dyDescent="0.25">
      <c r="A796" s="48" t="s">
        <v>123</v>
      </c>
      <c r="B796" s="926" t="s">
        <v>1386</v>
      </c>
      <c r="C796" s="1602" t="s">
        <v>157</v>
      </c>
      <c r="D796" s="1603"/>
      <c r="E796" s="1603"/>
      <c r="F796" s="1603"/>
      <c r="G796" s="131" t="s">
        <v>158</v>
      </c>
      <c r="H796" s="101">
        <v>18514.7</v>
      </c>
      <c r="I796" s="102">
        <v>23720.34</v>
      </c>
      <c r="J796" s="101">
        <v>11014.5</v>
      </c>
      <c r="K796" s="101">
        <v>61199.73</v>
      </c>
      <c r="L796" s="101"/>
      <c r="M796" s="10"/>
      <c r="N796" s="10"/>
      <c r="O796"/>
      <c r="P796"/>
    </row>
    <row r="797" spans="1:16" s="146" customFormat="1" ht="18" x14ac:dyDescent="0.25">
      <c r="A797" s="48" t="s">
        <v>123</v>
      </c>
      <c r="B797" s="926" t="s">
        <v>1386</v>
      </c>
      <c r="C797" s="1602" t="s">
        <v>159</v>
      </c>
      <c r="D797" s="1603"/>
      <c r="E797" s="1603"/>
      <c r="F797" s="1603"/>
      <c r="G797" s="131" t="s">
        <v>160</v>
      </c>
      <c r="H797" s="101">
        <v>4800</v>
      </c>
      <c r="I797" s="102">
        <v>4800</v>
      </c>
      <c r="J797" s="101">
        <v>2800</v>
      </c>
      <c r="K797" s="101">
        <v>4800</v>
      </c>
      <c r="L797" s="101"/>
      <c r="M797" s="10"/>
      <c r="N797" s="10"/>
      <c r="O797"/>
      <c r="P797"/>
    </row>
    <row r="798" spans="1:16" s="229" customFormat="1" ht="18" customHeight="1" x14ac:dyDescent="0.25">
      <c r="A798" s="229" t="s">
        <v>163</v>
      </c>
      <c r="B798" s="926" t="s">
        <v>1386</v>
      </c>
      <c r="C798" s="44" t="s">
        <v>353</v>
      </c>
      <c r="D798" s="125"/>
      <c r="E798" s="125"/>
      <c r="F798" s="134"/>
      <c r="G798" s="131" t="s">
        <v>165</v>
      </c>
      <c r="H798" s="101">
        <v>750</v>
      </c>
      <c r="I798" s="102">
        <v>20000</v>
      </c>
      <c r="J798" s="101"/>
      <c r="K798" s="101">
        <v>15000</v>
      </c>
      <c r="L798" s="101"/>
      <c r="M798" s="207"/>
      <c r="N798" s="207"/>
      <c r="O798" s="212"/>
      <c r="P798" s="212"/>
    </row>
    <row r="799" spans="1:16" s="229" customFormat="1" ht="18" customHeight="1" x14ac:dyDescent="0.25">
      <c r="A799" s="229" t="s">
        <v>163</v>
      </c>
      <c r="B799" s="926" t="s">
        <v>1386</v>
      </c>
      <c r="C799" s="44" t="s">
        <v>168</v>
      </c>
      <c r="D799" s="125"/>
      <c r="E799" s="125"/>
      <c r="F799" s="134"/>
      <c r="G799" s="131" t="s">
        <v>169</v>
      </c>
      <c r="H799" s="101">
        <v>123140</v>
      </c>
      <c r="I799" s="102">
        <v>143239</v>
      </c>
      <c r="J799" s="101">
        <v>113528</v>
      </c>
      <c r="K799" s="101">
        <v>199035</v>
      </c>
      <c r="L799" s="101"/>
      <c r="M799" s="207"/>
      <c r="N799" s="207"/>
      <c r="O799" s="212"/>
      <c r="P799" s="212"/>
    </row>
    <row r="800" spans="1:16" s="229" customFormat="1" ht="18" customHeight="1" x14ac:dyDescent="0.25">
      <c r="A800" s="229" t="s">
        <v>163</v>
      </c>
      <c r="B800" s="926" t="s">
        <v>1386</v>
      </c>
      <c r="C800" s="44" t="s">
        <v>213</v>
      </c>
      <c r="D800" s="125"/>
      <c r="E800" s="125"/>
      <c r="F800" s="134"/>
      <c r="G800" s="131" t="s">
        <v>171</v>
      </c>
      <c r="H800" s="101"/>
      <c r="I800" s="102">
        <v>12000</v>
      </c>
      <c r="J800" s="101"/>
      <c r="K800" s="101">
        <v>110974</v>
      </c>
      <c r="L800" s="101"/>
      <c r="M800" s="207"/>
      <c r="N800" s="207"/>
      <c r="O800" s="212"/>
      <c r="P800" s="212"/>
    </row>
    <row r="801" spans="1:16" s="229" customFormat="1" ht="18" customHeight="1" x14ac:dyDescent="0.25">
      <c r="A801" s="229" t="s">
        <v>163</v>
      </c>
      <c r="B801" s="926" t="s">
        <v>1386</v>
      </c>
      <c r="C801" s="44" t="s">
        <v>176</v>
      </c>
      <c r="D801" s="125"/>
      <c r="E801" s="125"/>
      <c r="F801" s="125"/>
      <c r="G801" s="131" t="s">
        <v>177</v>
      </c>
      <c r="H801" s="101"/>
      <c r="I801" s="102">
        <v>10000</v>
      </c>
      <c r="J801" s="101"/>
      <c r="K801" s="101">
        <v>10000</v>
      </c>
      <c r="L801" s="101"/>
      <c r="M801" s="207"/>
      <c r="N801" s="207"/>
      <c r="O801" s="212"/>
      <c r="P801" s="212"/>
    </row>
    <row r="802" spans="1:16" s="229" customFormat="1" ht="18" customHeight="1" x14ac:dyDescent="0.25">
      <c r="A802" s="229" t="s">
        <v>163</v>
      </c>
      <c r="B802" s="926" t="s">
        <v>1386</v>
      </c>
      <c r="C802" s="44" t="s">
        <v>178</v>
      </c>
      <c r="D802" s="125"/>
      <c r="E802" s="125"/>
      <c r="F802" s="125"/>
      <c r="G802" s="131" t="s">
        <v>179</v>
      </c>
      <c r="H802" s="101"/>
      <c r="I802" s="102"/>
      <c r="J802" s="101"/>
      <c r="K802" s="101">
        <v>42000</v>
      </c>
      <c r="L802" s="101"/>
      <c r="M802" s="207"/>
      <c r="N802" s="207"/>
      <c r="O802" s="212"/>
      <c r="P802" s="212"/>
    </row>
    <row r="803" spans="1:16" s="229" customFormat="1" ht="18" customHeight="1" x14ac:dyDescent="0.25">
      <c r="A803" s="229" t="s">
        <v>163</v>
      </c>
      <c r="B803" s="926" t="s">
        <v>1386</v>
      </c>
      <c r="C803" s="44" t="s">
        <v>182</v>
      </c>
      <c r="D803" s="125"/>
      <c r="E803" s="125"/>
      <c r="F803" s="134"/>
      <c r="G803" s="131" t="s">
        <v>183</v>
      </c>
      <c r="H803" s="101">
        <v>24189</v>
      </c>
      <c r="I803" s="102">
        <v>27000</v>
      </c>
      <c r="J803" s="101">
        <v>15239.07</v>
      </c>
      <c r="K803" s="102">
        <v>54000</v>
      </c>
      <c r="L803" s="101"/>
      <c r="M803" s="207"/>
      <c r="N803" s="207"/>
      <c r="O803" s="212"/>
      <c r="P803" s="212"/>
    </row>
    <row r="804" spans="1:16" s="229" customFormat="1" ht="18" customHeight="1" x14ac:dyDescent="0.25">
      <c r="A804" s="229" t="s">
        <v>163</v>
      </c>
      <c r="B804" s="926" t="s">
        <v>1386</v>
      </c>
      <c r="C804" s="44" t="s">
        <v>186</v>
      </c>
      <c r="D804" s="125"/>
      <c r="E804" s="125"/>
      <c r="F804" s="134"/>
      <c r="G804" s="131" t="s">
        <v>187</v>
      </c>
      <c r="H804" s="101"/>
      <c r="I804" s="102">
        <v>10000</v>
      </c>
      <c r="J804" s="101"/>
      <c r="K804" s="101">
        <v>10000</v>
      </c>
      <c r="L804" s="101"/>
      <c r="M804" s="207"/>
      <c r="N804" s="207"/>
      <c r="O804" s="212"/>
      <c r="P804" s="212"/>
    </row>
    <row r="805" spans="1:16" s="229" customFormat="1" ht="18" customHeight="1" x14ac:dyDescent="0.25">
      <c r="A805" s="229" t="s">
        <v>163</v>
      </c>
      <c r="B805" s="926" t="s">
        <v>1386</v>
      </c>
      <c r="C805" s="44" t="s">
        <v>198</v>
      </c>
      <c r="D805" s="125"/>
      <c r="E805" s="125"/>
      <c r="F805" s="134"/>
      <c r="G805" s="131" t="s">
        <v>199</v>
      </c>
      <c r="H805" s="105">
        <v>125475.13</v>
      </c>
      <c r="I805" s="106">
        <v>313968.96000000002</v>
      </c>
      <c r="J805" s="105">
        <v>62236.942999999999</v>
      </c>
      <c r="K805" s="105">
        <v>319968.96000000002</v>
      </c>
      <c r="L805" s="105"/>
      <c r="M805" s="207"/>
      <c r="N805" s="207"/>
      <c r="O805" s="212"/>
      <c r="P805" s="212"/>
    </row>
    <row r="806" spans="1:16" s="146" customFormat="1" ht="18" customHeight="1" x14ac:dyDescent="0.25">
      <c r="A806" s="229" t="s">
        <v>201</v>
      </c>
      <c r="B806" s="926" t="s">
        <v>1386</v>
      </c>
      <c r="C806" s="826" t="s">
        <v>263</v>
      </c>
      <c r="D806" s="808"/>
      <c r="E806" s="808"/>
      <c r="F806" s="808"/>
      <c r="G806" s="168"/>
      <c r="H806" s="102"/>
      <c r="I806" s="102"/>
      <c r="J806" s="102"/>
      <c r="K806" s="145">
        <v>160000</v>
      </c>
      <c r="L806" s="102"/>
      <c r="M806" s="10"/>
      <c r="N806" s="10">
        <f>80000*2</f>
        <v>160000</v>
      </c>
      <c r="O806"/>
      <c r="P806"/>
    </row>
    <row r="807" spans="1:16" s="146" customFormat="1" ht="18" customHeight="1" x14ac:dyDescent="0.25">
      <c r="A807" s="229" t="s">
        <v>201</v>
      </c>
      <c r="B807" s="926" t="s">
        <v>1386</v>
      </c>
      <c r="C807" s="826" t="s">
        <v>458</v>
      </c>
      <c r="D807" s="808"/>
      <c r="E807" s="808"/>
      <c r="F807" s="808"/>
      <c r="G807" s="168"/>
      <c r="H807" s="102"/>
      <c r="I807" s="102"/>
      <c r="J807" s="102"/>
      <c r="K807" s="102">
        <v>40000</v>
      </c>
      <c r="L807" s="102"/>
      <c r="M807" s="10"/>
      <c r="N807" s="10"/>
      <c r="O807"/>
      <c r="P807"/>
    </row>
    <row r="808" spans="1:16" s="146" customFormat="1" ht="18" customHeight="1" x14ac:dyDescent="0.25">
      <c r="A808" s="229" t="s">
        <v>201</v>
      </c>
      <c r="B808" s="926" t="s">
        <v>1386</v>
      </c>
      <c r="C808" s="826" t="s">
        <v>459</v>
      </c>
      <c r="D808" s="808"/>
      <c r="E808" s="808"/>
      <c r="F808" s="808"/>
      <c r="G808" s="168"/>
      <c r="H808" s="102"/>
      <c r="I808" s="102"/>
      <c r="J808" s="102"/>
      <c r="K808" s="102">
        <v>80000</v>
      </c>
      <c r="L808" s="102"/>
      <c r="M808" s="10"/>
      <c r="N808" s="10"/>
      <c r="O808"/>
      <c r="P808"/>
    </row>
    <row r="809" spans="1:16" s="146" customFormat="1" ht="18" x14ac:dyDescent="0.25">
      <c r="A809" s="229" t="s">
        <v>123</v>
      </c>
      <c r="B809" s="926" t="s">
        <v>1387</v>
      </c>
      <c r="C809" s="1602" t="s">
        <v>124</v>
      </c>
      <c r="D809" s="1603"/>
      <c r="E809" s="1603"/>
      <c r="F809" s="1603"/>
      <c r="G809" s="131" t="s">
        <v>125</v>
      </c>
      <c r="H809" s="101">
        <v>8637059.4000000004</v>
      </c>
      <c r="I809" s="102">
        <v>11490024</v>
      </c>
      <c r="J809" s="101">
        <v>5343711.7699999996</v>
      </c>
      <c r="K809" s="101">
        <v>12579936</v>
      </c>
      <c r="L809" s="101"/>
      <c r="M809" s="10"/>
      <c r="N809" s="10"/>
      <c r="O809"/>
      <c r="P809"/>
    </row>
    <row r="810" spans="1:16" s="146" customFormat="1" ht="18" x14ac:dyDescent="0.25">
      <c r="A810" s="229" t="s">
        <v>123</v>
      </c>
      <c r="B810" s="926" t="s">
        <v>1387</v>
      </c>
      <c r="C810" s="1602" t="s">
        <v>126</v>
      </c>
      <c r="D810" s="1603"/>
      <c r="E810" s="1603"/>
      <c r="F810" s="1603"/>
      <c r="G810" s="131" t="s">
        <v>127</v>
      </c>
      <c r="H810" s="101"/>
      <c r="I810" s="102">
        <v>312456</v>
      </c>
      <c r="J810" s="101"/>
      <c r="K810" s="101">
        <v>339000</v>
      </c>
      <c r="L810" s="101"/>
      <c r="M810" s="10"/>
      <c r="N810" s="10"/>
      <c r="O810"/>
      <c r="P810"/>
    </row>
    <row r="811" spans="1:16" s="146" customFormat="1" ht="18" x14ac:dyDescent="0.25">
      <c r="A811" s="229" t="s">
        <v>123</v>
      </c>
      <c r="B811" s="926" t="s">
        <v>1387</v>
      </c>
      <c r="C811" s="1602" t="s">
        <v>128</v>
      </c>
      <c r="D811" s="1603"/>
      <c r="E811" s="1603"/>
      <c r="F811" s="1603"/>
      <c r="G811" s="132" t="s">
        <v>125</v>
      </c>
      <c r="H811" s="101">
        <v>0</v>
      </c>
      <c r="I811" s="102">
        <v>29481</v>
      </c>
      <c r="J811" s="101"/>
      <c r="K811" s="101">
        <v>24171.919999999998</v>
      </c>
      <c r="L811" s="101"/>
      <c r="M811" s="10"/>
      <c r="N811" s="10"/>
      <c r="O811"/>
      <c r="P811"/>
    </row>
    <row r="812" spans="1:16" s="146" customFormat="1" ht="18" x14ac:dyDescent="0.25">
      <c r="A812" s="229" t="s">
        <v>123</v>
      </c>
      <c r="B812" s="926" t="s">
        <v>1387</v>
      </c>
      <c r="C812" s="1602" t="s">
        <v>129</v>
      </c>
      <c r="D812" s="1603"/>
      <c r="E812" s="1603"/>
      <c r="F812" s="1603"/>
      <c r="G812" s="132" t="s">
        <v>130</v>
      </c>
      <c r="H812" s="101">
        <v>671817.99</v>
      </c>
      <c r="I812" s="102">
        <v>864000</v>
      </c>
      <c r="J812" s="101">
        <v>400909.09</v>
      </c>
      <c r="K812" s="101">
        <v>864000</v>
      </c>
      <c r="L812" s="101"/>
      <c r="M812" s="10"/>
      <c r="N812" s="10">
        <f>48000+816000</f>
        <v>864000</v>
      </c>
      <c r="O812"/>
      <c r="P812"/>
    </row>
    <row r="813" spans="1:16" s="146" customFormat="1" ht="18" x14ac:dyDescent="0.25">
      <c r="A813" s="229" t="s">
        <v>123</v>
      </c>
      <c r="B813" s="926" t="s">
        <v>1387</v>
      </c>
      <c r="C813" s="1602" t="s">
        <v>131</v>
      </c>
      <c r="D813" s="1603"/>
      <c r="E813" s="1603"/>
      <c r="F813" s="1603"/>
      <c r="G813" s="131" t="s">
        <v>132</v>
      </c>
      <c r="H813" s="101">
        <v>72000</v>
      </c>
      <c r="I813" s="102">
        <v>85200</v>
      </c>
      <c r="J813" s="101">
        <v>37500</v>
      </c>
      <c r="K813" s="101">
        <v>85200</v>
      </c>
      <c r="L813" s="101"/>
      <c r="M813" s="10"/>
      <c r="N813" s="10"/>
      <c r="O813"/>
      <c r="P813"/>
    </row>
    <row r="814" spans="1:16" s="146" customFormat="1" ht="18" x14ac:dyDescent="0.25">
      <c r="A814" s="229" t="s">
        <v>123</v>
      </c>
      <c r="B814" s="926" t="s">
        <v>1387</v>
      </c>
      <c r="C814" s="1602" t="s">
        <v>133</v>
      </c>
      <c r="D814" s="1603"/>
      <c r="E814" s="1603"/>
      <c r="F814" s="1603"/>
      <c r="G814" s="131" t="s">
        <v>134</v>
      </c>
      <c r="H814" s="101">
        <v>72000</v>
      </c>
      <c r="I814" s="102">
        <v>85200</v>
      </c>
      <c r="J814" s="101">
        <v>37500</v>
      </c>
      <c r="K814" s="101">
        <v>85200</v>
      </c>
      <c r="L814" s="101"/>
      <c r="M814" s="10"/>
      <c r="N814" s="10"/>
      <c r="O814"/>
      <c r="P814"/>
    </row>
    <row r="815" spans="1:16" s="146" customFormat="1" ht="18" x14ac:dyDescent="0.25">
      <c r="A815" s="229" t="s">
        <v>123</v>
      </c>
      <c r="B815" s="926" t="s">
        <v>1387</v>
      </c>
      <c r="C815" s="1602" t="s">
        <v>135</v>
      </c>
      <c r="D815" s="1603"/>
      <c r="E815" s="1603"/>
      <c r="F815" s="1603"/>
      <c r="G815" s="131" t="s">
        <v>136</v>
      </c>
      <c r="H815" s="101">
        <v>630991.15</v>
      </c>
      <c r="I815" s="102">
        <v>600000</v>
      </c>
      <c r="J815" s="101">
        <v>56896.5</v>
      </c>
      <c r="K815" s="101">
        <v>700000</v>
      </c>
      <c r="L815" s="101"/>
      <c r="M815" s="10"/>
      <c r="N815" s="10"/>
      <c r="O815"/>
      <c r="P815"/>
    </row>
    <row r="816" spans="1:16" s="146" customFormat="1" ht="18" x14ac:dyDescent="0.25">
      <c r="A816" s="229" t="s">
        <v>123</v>
      </c>
      <c r="B816" s="926" t="s">
        <v>1387</v>
      </c>
      <c r="C816" s="1602" t="s">
        <v>137</v>
      </c>
      <c r="D816" s="1603"/>
      <c r="E816" s="1603"/>
      <c r="F816" s="1603"/>
      <c r="G816" s="131" t="s">
        <v>138</v>
      </c>
      <c r="H816" s="101">
        <v>168000</v>
      </c>
      <c r="I816" s="102">
        <v>216000</v>
      </c>
      <c r="J816" s="101">
        <v>168000</v>
      </c>
      <c r="K816" s="101">
        <v>216000</v>
      </c>
      <c r="L816" s="101"/>
      <c r="M816" s="10"/>
      <c r="N816" s="10">
        <f>204000+12000</f>
        <v>216000</v>
      </c>
      <c r="O816"/>
      <c r="P816"/>
    </row>
    <row r="817" spans="1:16" s="146" customFormat="1" ht="18" customHeight="1" x14ac:dyDescent="0.25">
      <c r="A817" s="229" t="s">
        <v>123</v>
      </c>
      <c r="B817" s="926" t="s">
        <v>1387</v>
      </c>
      <c r="C817" s="1602" t="s">
        <v>139</v>
      </c>
      <c r="D817" s="1603"/>
      <c r="E817" s="1603"/>
      <c r="F817" s="1603"/>
      <c r="G817" s="131" t="s">
        <v>140</v>
      </c>
      <c r="H817" s="101">
        <v>719969</v>
      </c>
      <c r="I817" s="102">
        <v>985280</v>
      </c>
      <c r="J817" s="101">
        <v>768580</v>
      </c>
      <c r="K817" s="101">
        <v>1078936</v>
      </c>
      <c r="L817" s="101"/>
      <c r="M817" s="10"/>
      <c r="N817" s="10">
        <f>28250+1050686</f>
        <v>1078936</v>
      </c>
      <c r="O817"/>
      <c r="P817"/>
    </row>
    <row r="818" spans="1:16" s="146" customFormat="1" ht="18" x14ac:dyDescent="0.25">
      <c r="A818" s="229" t="s">
        <v>123</v>
      </c>
      <c r="B818" s="926" t="s">
        <v>1387</v>
      </c>
      <c r="C818" s="1602" t="s">
        <v>141</v>
      </c>
      <c r="D818" s="1603"/>
      <c r="E818" s="1603"/>
      <c r="F818" s="1603"/>
      <c r="G818" s="131" t="s">
        <v>142</v>
      </c>
      <c r="H818" s="101">
        <v>719969</v>
      </c>
      <c r="I818" s="102">
        <v>986788</v>
      </c>
      <c r="J818" s="101"/>
      <c r="K818" s="101">
        <v>1078936</v>
      </c>
      <c r="L818" s="101"/>
      <c r="M818" s="10"/>
      <c r="N818" s="10"/>
      <c r="O818"/>
      <c r="P818"/>
    </row>
    <row r="819" spans="1:16" s="146" customFormat="1" ht="18" x14ac:dyDescent="0.25">
      <c r="A819" s="229" t="s">
        <v>123</v>
      </c>
      <c r="B819" s="926" t="s">
        <v>1387</v>
      </c>
      <c r="C819" s="1602" t="s">
        <v>143</v>
      </c>
      <c r="D819" s="1603"/>
      <c r="E819" s="1603"/>
      <c r="F819" s="1603"/>
      <c r="G819" s="131" t="s">
        <v>144</v>
      </c>
      <c r="H819" s="101">
        <v>140000</v>
      </c>
      <c r="I819" s="102">
        <v>180000</v>
      </c>
      <c r="J819" s="101"/>
      <c r="K819" s="101">
        <v>180000</v>
      </c>
      <c r="L819" s="101"/>
      <c r="M819" s="10"/>
      <c r="N819" s="10">
        <f>10000+170000</f>
        <v>180000</v>
      </c>
      <c r="O819"/>
      <c r="P819"/>
    </row>
    <row r="820" spans="1:16" s="146" customFormat="1" ht="18" x14ac:dyDescent="0.25">
      <c r="A820" s="229" t="s">
        <v>123</v>
      </c>
      <c r="B820" s="926" t="s">
        <v>1387</v>
      </c>
      <c r="C820" s="1602" t="s">
        <v>145</v>
      </c>
      <c r="D820" s="1603"/>
      <c r="E820" s="1603"/>
      <c r="F820" s="1603"/>
      <c r="G820" s="131" t="s">
        <v>146</v>
      </c>
      <c r="H820" s="101">
        <v>140000</v>
      </c>
      <c r="I820" s="102">
        <v>180000</v>
      </c>
      <c r="J820" s="101"/>
      <c r="K820" s="101">
        <v>180000</v>
      </c>
      <c r="L820" s="101"/>
      <c r="M820" s="10"/>
      <c r="N820" s="10"/>
      <c r="O820"/>
      <c r="P820"/>
    </row>
    <row r="821" spans="1:16" s="146" customFormat="1" ht="18" x14ac:dyDescent="0.25">
      <c r="A821" s="229" t="s">
        <v>123</v>
      </c>
      <c r="B821" s="926" t="s">
        <v>1387</v>
      </c>
      <c r="C821" s="1602" t="s">
        <v>231</v>
      </c>
      <c r="D821" s="1603"/>
      <c r="E821" s="1603"/>
      <c r="F821" s="1603"/>
      <c r="G821" s="131" t="s">
        <v>232</v>
      </c>
      <c r="H821" s="101"/>
      <c r="I821" s="102">
        <v>20000</v>
      </c>
      <c r="J821" s="101"/>
      <c r="K821" s="101">
        <v>20000</v>
      </c>
      <c r="L821" s="101"/>
      <c r="M821" s="10"/>
      <c r="N821" s="10"/>
      <c r="O821"/>
      <c r="P821"/>
    </row>
    <row r="822" spans="1:16" s="146" customFormat="1" ht="18" x14ac:dyDescent="0.25">
      <c r="A822" s="229" t="s">
        <v>123</v>
      </c>
      <c r="B822" s="926" t="s">
        <v>1387</v>
      </c>
      <c r="C822" s="826" t="s">
        <v>147</v>
      </c>
      <c r="D822" s="811"/>
      <c r="E822" s="812"/>
      <c r="F822" s="812"/>
      <c r="G822" s="131" t="s">
        <v>148</v>
      </c>
      <c r="H822" s="101"/>
      <c r="I822" s="102"/>
      <c r="J822" s="101"/>
      <c r="K822" s="101">
        <v>108000</v>
      </c>
      <c r="L822" s="101"/>
      <c r="M822" s="10"/>
      <c r="N822" s="10">
        <f>6000+102000</f>
        <v>108000</v>
      </c>
      <c r="O822"/>
      <c r="P822"/>
    </row>
    <row r="823" spans="1:16" s="146" customFormat="1" ht="18" x14ac:dyDescent="0.25">
      <c r="A823" s="229" t="s">
        <v>123</v>
      </c>
      <c r="B823" s="926" t="s">
        <v>1387</v>
      </c>
      <c r="C823" s="1611" t="s">
        <v>210</v>
      </c>
      <c r="D823" s="1620"/>
      <c r="E823" s="1620"/>
      <c r="F823" s="1621"/>
      <c r="G823" s="131" t="s">
        <v>464</v>
      </c>
      <c r="H823" s="101">
        <v>335350</v>
      </c>
      <c r="I823" s="102">
        <v>612000</v>
      </c>
      <c r="J823" s="101">
        <v>118850</v>
      </c>
      <c r="K823" s="101">
        <v>612000</v>
      </c>
      <c r="L823" s="101"/>
      <c r="M823" s="10"/>
      <c r="N823" s="10"/>
      <c r="O823"/>
      <c r="P823"/>
    </row>
    <row r="824" spans="1:16" s="146" customFormat="1" ht="18" x14ac:dyDescent="0.25">
      <c r="A824" s="229" t="s">
        <v>123</v>
      </c>
      <c r="B824" s="926" t="s">
        <v>1387</v>
      </c>
      <c r="C824" s="1611" t="s">
        <v>211</v>
      </c>
      <c r="D824" s="1611"/>
      <c r="E824" s="1611"/>
      <c r="F824" s="1602"/>
      <c r="G824" s="131" t="s">
        <v>212</v>
      </c>
      <c r="H824" s="101">
        <v>46733.08</v>
      </c>
      <c r="I824" s="102">
        <v>61200</v>
      </c>
      <c r="J824" s="101">
        <v>16654.900000000001</v>
      </c>
      <c r="K824" s="101">
        <v>61200</v>
      </c>
      <c r="L824" s="101"/>
      <c r="M824" s="10"/>
      <c r="N824" s="10"/>
      <c r="O824"/>
      <c r="P824"/>
    </row>
    <row r="825" spans="1:16" s="146" customFormat="1" ht="18" x14ac:dyDescent="0.25">
      <c r="A825" s="229" t="s">
        <v>123</v>
      </c>
      <c r="B825" s="926" t="s">
        <v>1387</v>
      </c>
      <c r="C825" s="1611" t="s">
        <v>149</v>
      </c>
      <c r="D825" s="1611"/>
      <c r="E825" s="1611"/>
      <c r="F825" s="1602"/>
      <c r="G825" s="131" t="s">
        <v>150</v>
      </c>
      <c r="H825" s="101">
        <v>2069070.65</v>
      </c>
      <c r="I825" s="102">
        <v>2524277.9700000002</v>
      </c>
      <c r="J825" s="101">
        <v>871451.5</v>
      </c>
      <c r="K825" s="101">
        <v>2810470.58</v>
      </c>
      <c r="L825" s="101"/>
      <c r="M825" s="10"/>
      <c r="N825" s="10">
        <v>2790615.67</v>
      </c>
      <c r="O825"/>
      <c r="P825"/>
    </row>
    <row r="826" spans="1:16" s="146" customFormat="1" ht="18" x14ac:dyDescent="0.25">
      <c r="A826" s="229" t="s">
        <v>123</v>
      </c>
      <c r="B826" s="926" t="s">
        <v>1387</v>
      </c>
      <c r="C826" s="1602" t="s">
        <v>153</v>
      </c>
      <c r="D826" s="1603"/>
      <c r="E826" s="1603"/>
      <c r="F826" s="1603"/>
      <c r="G826" s="131" t="s">
        <v>154</v>
      </c>
      <c r="H826" s="101">
        <v>1036447.13</v>
      </c>
      <c r="I826" s="102">
        <v>976315.32</v>
      </c>
      <c r="J826" s="101">
        <v>640802.73</v>
      </c>
      <c r="K826" s="101">
        <v>1064012.96</v>
      </c>
      <c r="L826" s="101"/>
      <c r="M826" s="10"/>
      <c r="N826" s="10">
        <f>40680+1023332.96</f>
        <v>1064012.96</v>
      </c>
      <c r="O826"/>
      <c r="P826"/>
    </row>
    <row r="827" spans="1:16" s="146" customFormat="1" ht="18" x14ac:dyDescent="0.25">
      <c r="A827" s="229" t="s">
        <v>123</v>
      </c>
      <c r="B827" s="926" t="s">
        <v>1387</v>
      </c>
      <c r="C827" s="1602" t="s">
        <v>155</v>
      </c>
      <c r="D827" s="1603"/>
      <c r="E827" s="1603"/>
      <c r="F827" s="1603"/>
      <c r="G827" s="131" t="s">
        <v>156</v>
      </c>
      <c r="H827" s="101">
        <v>33600</v>
      </c>
      <c r="I827" s="102">
        <v>43200</v>
      </c>
      <c r="J827" s="101">
        <v>20000</v>
      </c>
      <c r="K827" s="101">
        <v>43200</v>
      </c>
      <c r="L827" s="101"/>
      <c r="M827" s="10"/>
      <c r="N827" s="10">
        <f>40800+2400</f>
        <v>43200</v>
      </c>
      <c r="O827"/>
      <c r="P827"/>
    </row>
    <row r="828" spans="1:16" s="146" customFormat="1" ht="18" x14ac:dyDescent="0.25">
      <c r="A828" s="229" t="s">
        <v>123</v>
      </c>
      <c r="B828" s="926" t="s">
        <v>1387</v>
      </c>
      <c r="C828" s="1602" t="s">
        <v>157</v>
      </c>
      <c r="D828" s="1603"/>
      <c r="E828" s="1603"/>
      <c r="F828" s="1603"/>
      <c r="G828" s="131" t="s">
        <v>158</v>
      </c>
      <c r="H828" s="101">
        <v>124832.06</v>
      </c>
      <c r="I828" s="102">
        <v>197948.85</v>
      </c>
      <c r="J828" s="101">
        <v>77183.490000000005</v>
      </c>
      <c r="K828" s="101">
        <v>503974.24</v>
      </c>
      <c r="L828" s="101"/>
      <c r="M828" s="10"/>
      <c r="N828" s="10">
        <f>13620+490354.24</f>
        <v>503974.24</v>
      </c>
      <c r="O828"/>
      <c r="P828"/>
    </row>
    <row r="829" spans="1:16" s="146" customFormat="1" ht="18" x14ac:dyDescent="0.25">
      <c r="A829" s="229" t="s">
        <v>123</v>
      </c>
      <c r="B829" s="926" t="s">
        <v>1387</v>
      </c>
      <c r="C829" s="1602" t="s">
        <v>159</v>
      </c>
      <c r="D829" s="1603"/>
      <c r="E829" s="1603"/>
      <c r="F829" s="1603"/>
      <c r="G829" s="131" t="s">
        <v>160</v>
      </c>
      <c r="H829" s="105">
        <v>33600</v>
      </c>
      <c r="I829" s="106">
        <v>43200</v>
      </c>
      <c r="J829" s="105">
        <v>20000</v>
      </c>
      <c r="K829" s="105">
        <v>43200</v>
      </c>
      <c r="L829" s="105"/>
      <c r="M829" s="10"/>
      <c r="N829" s="10">
        <f>40800+10800</f>
        <v>51600</v>
      </c>
      <c r="O829"/>
      <c r="P829"/>
    </row>
    <row r="830" spans="1:16" s="212" customFormat="1" ht="18" customHeight="1" x14ac:dyDescent="0.25">
      <c r="A830" s="229" t="s">
        <v>163</v>
      </c>
      <c r="B830" s="926" t="s">
        <v>1387</v>
      </c>
      <c r="C830" s="44" t="s">
        <v>353</v>
      </c>
      <c r="D830" s="125"/>
      <c r="E830" s="125"/>
      <c r="F830" s="134"/>
      <c r="G830" s="131" t="s">
        <v>165</v>
      </c>
      <c r="H830" s="101">
        <v>50079.32</v>
      </c>
      <c r="I830" s="102">
        <v>826000</v>
      </c>
      <c r="J830" s="101">
        <v>2380</v>
      </c>
      <c r="K830" s="101">
        <v>176000</v>
      </c>
      <c r="L830" s="101"/>
      <c r="M830" s="207"/>
      <c r="N830" s="207"/>
    </row>
    <row r="831" spans="1:16" s="212" customFormat="1" ht="18" customHeight="1" x14ac:dyDescent="0.25">
      <c r="A831" s="229" t="s">
        <v>163</v>
      </c>
      <c r="B831" s="926" t="s">
        <v>1387</v>
      </c>
      <c r="C831" s="44" t="s">
        <v>168</v>
      </c>
      <c r="D831" s="125"/>
      <c r="E831" s="125"/>
      <c r="F831" s="134"/>
      <c r="G831" s="131" t="s">
        <v>169</v>
      </c>
      <c r="H831" s="101">
        <v>564940.5</v>
      </c>
      <c r="I831" s="102">
        <v>763408</v>
      </c>
      <c r="J831" s="101">
        <v>377106.5</v>
      </c>
      <c r="K831" s="101">
        <v>1189083</v>
      </c>
      <c r="L831" s="101"/>
      <c r="M831" s="207"/>
      <c r="N831" s="207"/>
    </row>
    <row r="832" spans="1:16" s="212" customFormat="1" ht="18" customHeight="1" x14ac:dyDescent="0.25">
      <c r="A832" s="229" t="s">
        <v>163</v>
      </c>
      <c r="B832" s="926" t="s">
        <v>1387</v>
      </c>
      <c r="C832" s="44" t="s">
        <v>466</v>
      </c>
      <c r="D832" s="125"/>
      <c r="E832" s="125"/>
      <c r="F832" s="134"/>
      <c r="G832" s="131" t="s">
        <v>467</v>
      </c>
      <c r="H832" s="101"/>
      <c r="I832" s="102"/>
      <c r="J832" s="101"/>
      <c r="K832" s="101">
        <v>17571466</v>
      </c>
      <c r="L832" s="101"/>
      <c r="M832" s="207"/>
      <c r="N832" s="207"/>
    </row>
    <row r="833" spans="1:16" s="212" customFormat="1" ht="18" x14ac:dyDescent="0.25">
      <c r="A833" s="229" t="s">
        <v>163</v>
      </c>
      <c r="B833" s="926" t="s">
        <v>1387</v>
      </c>
      <c r="C833" s="44" t="s">
        <v>468</v>
      </c>
      <c r="D833" s="134"/>
      <c r="E833" s="97"/>
      <c r="F833" s="97"/>
      <c r="G833" s="131" t="s">
        <v>469</v>
      </c>
      <c r="H833" s="101">
        <v>4463519</v>
      </c>
      <c r="I833" s="102">
        <v>11378111</v>
      </c>
      <c r="J833" s="101"/>
      <c r="K833" s="101">
        <v>41354789</v>
      </c>
      <c r="L833" s="101"/>
      <c r="M833" s="207"/>
      <c r="N833" s="207"/>
    </row>
    <row r="834" spans="1:16" s="212" customFormat="1" ht="18" customHeight="1" x14ac:dyDescent="0.25">
      <c r="A834" s="229" t="s">
        <v>163</v>
      </c>
      <c r="B834" s="926" t="s">
        <v>1387</v>
      </c>
      <c r="C834" s="826" t="s">
        <v>170</v>
      </c>
      <c r="D834" s="824"/>
      <c r="E834" s="824"/>
      <c r="F834" s="825"/>
      <c r="G834" s="131" t="s">
        <v>171</v>
      </c>
      <c r="H834" s="101"/>
      <c r="I834" s="102">
        <v>367100</v>
      </c>
      <c r="J834" s="101"/>
      <c r="K834" s="101">
        <v>1679955</v>
      </c>
      <c r="L834" s="101"/>
      <c r="M834" s="207">
        <v>957749</v>
      </c>
      <c r="N834" s="207"/>
    </row>
    <row r="835" spans="1:16" s="212" customFormat="1" ht="18" customHeight="1" x14ac:dyDescent="0.25">
      <c r="A835" s="229" t="s">
        <v>163</v>
      </c>
      <c r="B835" s="926" t="s">
        <v>1387</v>
      </c>
      <c r="C835" s="44" t="s">
        <v>382</v>
      </c>
      <c r="D835" s="125"/>
      <c r="E835" s="125"/>
      <c r="F835" s="134"/>
      <c r="G835" s="131" t="s">
        <v>383</v>
      </c>
      <c r="H835" s="101">
        <v>4627.95</v>
      </c>
      <c r="I835" s="102">
        <v>10800</v>
      </c>
      <c r="J835" s="101">
        <v>1512</v>
      </c>
      <c r="K835" s="101">
        <v>10800</v>
      </c>
      <c r="L835" s="101"/>
      <c r="M835" s="207">
        <f>SUM(M834:M834)</f>
        <v>957749</v>
      </c>
      <c r="N835" s="207"/>
    </row>
    <row r="836" spans="1:16" s="212" customFormat="1" ht="18" customHeight="1" x14ac:dyDescent="0.25">
      <c r="A836" s="229" t="s">
        <v>163</v>
      </c>
      <c r="B836" s="926" t="s">
        <v>1387</v>
      </c>
      <c r="C836" s="44" t="s">
        <v>296</v>
      </c>
      <c r="D836" s="125"/>
      <c r="E836" s="125"/>
      <c r="F836" s="134"/>
      <c r="G836" s="131" t="s">
        <v>177</v>
      </c>
      <c r="H836" s="101">
        <v>0</v>
      </c>
      <c r="I836" s="102">
        <v>3000</v>
      </c>
      <c r="J836" s="101"/>
      <c r="K836" s="101">
        <v>8000</v>
      </c>
      <c r="L836" s="101"/>
      <c r="M836" s="207"/>
      <c r="N836" s="207"/>
    </row>
    <row r="837" spans="1:16" s="212" customFormat="1" ht="18" customHeight="1" x14ac:dyDescent="0.25">
      <c r="A837" s="229" t="s">
        <v>163</v>
      </c>
      <c r="B837" s="926" t="s">
        <v>1387</v>
      </c>
      <c r="C837" s="44" t="s">
        <v>178</v>
      </c>
      <c r="D837" s="125"/>
      <c r="E837" s="125"/>
      <c r="F837" s="134"/>
      <c r="G837" s="131" t="s">
        <v>179</v>
      </c>
      <c r="H837" s="101"/>
      <c r="I837" s="102"/>
      <c r="J837" s="101"/>
      <c r="K837" s="101">
        <v>109200</v>
      </c>
      <c r="L837" s="101"/>
      <c r="M837" s="207"/>
      <c r="N837" s="207"/>
    </row>
    <row r="838" spans="1:16" s="229" customFormat="1" ht="18" customHeight="1" x14ac:dyDescent="0.25">
      <c r="A838" s="229" t="s">
        <v>163</v>
      </c>
      <c r="B838" s="926" t="s">
        <v>1387</v>
      </c>
      <c r="C838" s="44" t="s">
        <v>182</v>
      </c>
      <c r="D838" s="125"/>
      <c r="E838" s="125"/>
      <c r="F838" s="134"/>
      <c r="G838" s="131" t="s">
        <v>183</v>
      </c>
      <c r="H838" s="101">
        <v>58770</v>
      </c>
      <c r="I838" s="102">
        <v>97200</v>
      </c>
      <c r="J838" s="101">
        <v>30786</v>
      </c>
      <c r="K838" s="101">
        <v>100000</v>
      </c>
      <c r="L838" s="101"/>
      <c r="M838" s="207"/>
      <c r="N838" s="207"/>
      <c r="O838" s="212"/>
      <c r="P838" s="212"/>
    </row>
    <row r="839" spans="1:16" s="229" customFormat="1" ht="18" customHeight="1" x14ac:dyDescent="0.25">
      <c r="A839" s="229" t="s">
        <v>163</v>
      </c>
      <c r="B839" s="926" t="s">
        <v>1387</v>
      </c>
      <c r="C839" s="44" t="s">
        <v>472</v>
      </c>
      <c r="D839" s="125"/>
      <c r="E839" s="125"/>
      <c r="F839" s="134"/>
      <c r="G839" s="131" t="s">
        <v>218</v>
      </c>
      <c r="H839" s="101">
        <v>6000</v>
      </c>
      <c r="I839" s="102">
        <v>9000</v>
      </c>
      <c r="J839" s="101">
        <v>2625</v>
      </c>
      <c r="K839" s="101">
        <v>9000</v>
      </c>
      <c r="L839" s="101"/>
      <c r="M839" s="207"/>
      <c r="N839" s="207"/>
      <c r="O839" s="212"/>
      <c r="P839" s="212"/>
    </row>
    <row r="840" spans="1:16" s="229" customFormat="1" ht="18" customHeight="1" x14ac:dyDescent="0.25">
      <c r="A840" s="229" t="s">
        <v>163</v>
      </c>
      <c r="B840" s="926" t="s">
        <v>1387</v>
      </c>
      <c r="C840" s="44" t="s">
        <v>186</v>
      </c>
      <c r="D840" s="125"/>
      <c r="E840" s="125"/>
      <c r="F840" s="134"/>
      <c r="G840" s="131" t="s">
        <v>356</v>
      </c>
      <c r="H840" s="101">
        <v>0</v>
      </c>
      <c r="I840" s="102">
        <v>215000</v>
      </c>
      <c r="J840" s="101">
        <v>771</v>
      </c>
      <c r="K840" s="101">
        <v>250000</v>
      </c>
      <c r="L840" s="101"/>
      <c r="M840" s="207"/>
      <c r="N840" s="207"/>
      <c r="O840" s="212"/>
      <c r="P840" s="212"/>
    </row>
    <row r="841" spans="1:16" s="229" customFormat="1" ht="18" customHeight="1" x14ac:dyDescent="0.25">
      <c r="A841" s="229" t="s">
        <v>163</v>
      </c>
      <c r="B841" s="926" t="s">
        <v>1387</v>
      </c>
      <c r="C841" s="44" t="s">
        <v>473</v>
      </c>
      <c r="D841" s="125"/>
      <c r="E841" s="125"/>
      <c r="F841" s="134"/>
      <c r="G841" s="131" t="s">
        <v>474</v>
      </c>
      <c r="H841" s="101">
        <v>0</v>
      </c>
      <c r="I841" s="102">
        <v>1000000</v>
      </c>
      <c r="J841" s="101"/>
      <c r="K841" s="101">
        <v>1000000</v>
      </c>
      <c r="L841" s="101"/>
      <c r="M841" s="207"/>
      <c r="N841" s="207"/>
      <c r="O841" s="212"/>
      <c r="P841" s="212"/>
    </row>
    <row r="842" spans="1:16" s="229" customFormat="1" ht="18" customHeight="1" x14ac:dyDescent="0.25">
      <c r="A842" s="229" t="s">
        <v>163</v>
      </c>
      <c r="B842" s="926" t="s">
        <v>1387</v>
      </c>
      <c r="C842" s="44" t="s">
        <v>188</v>
      </c>
      <c r="D842" s="125"/>
      <c r="E842" s="125"/>
      <c r="F842" s="134"/>
      <c r="G842" s="131" t="s">
        <v>189</v>
      </c>
      <c r="H842" s="101">
        <v>0</v>
      </c>
      <c r="I842" s="102">
        <v>105000</v>
      </c>
      <c r="J842" s="101"/>
      <c r="K842" s="101">
        <v>1000000</v>
      </c>
      <c r="L842" s="101"/>
      <c r="M842" s="207"/>
      <c r="N842" s="207"/>
      <c r="O842" s="212"/>
      <c r="P842" s="212"/>
    </row>
    <row r="843" spans="1:16" s="229" customFormat="1" ht="18" customHeight="1" x14ac:dyDescent="0.25">
      <c r="A843" s="229" t="s">
        <v>163</v>
      </c>
      <c r="B843" s="926" t="s">
        <v>1387</v>
      </c>
      <c r="C843" s="44" t="s">
        <v>439</v>
      </c>
      <c r="D843" s="125"/>
      <c r="E843" s="125"/>
      <c r="F843" s="134"/>
      <c r="G843" s="131" t="s">
        <v>237</v>
      </c>
      <c r="H843" s="101">
        <v>0</v>
      </c>
      <c r="I843" s="102">
        <v>10000</v>
      </c>
      <c r="J843" s="101"/>
      <c r="K843" s="101">
        <v>10000</v>
      </c>
      <c r="L843" s="101"/>
      <c r="M843" s="207"/>
      <c r="N843" s="207"/>
      <c r="O843" s="212"/>
      <c r="P843" s="212"/>
    </row>
    <row r="844" spans="1:16" s="229" customFormat="1" ht="18" customHeight="1" x14ac:dyDescent="0.25">
      <c r="A844" s="229" t="s">
        <v>163</v>
      </c>
      <c r="B844" s="926" t="s">
        <v>1387</v>
      </c>
      <c r="C844" s="44" t="s">
        <v>198</v>
      </c>
      <c r="D844" s="125"/>
      <c r="E844" s="125"/>
      <c r="F844" s="134"/>
      <c r="G844" s="131" t="s">
        <v>199</v>
      </c>
      <c r="H844" s="101">
        <v>1551312.8</v>
      </c>
      <c r="I844" s="102">
        <v>2303755</v>
      </c>
      <c r="J844" s="101">
        <v>1093411.57</v>
      </c>
      <c r="K844" s="101">
        <v>5608932.1600000001</v>
      </c>
      <c r="L844" s="101"/>
      <c r="M844" s="207">
        <v>5553932.1600000001</v>
      </c>
      <c r="N844" s="207"/>
      <c r="O844" s="212"/>
      <c r="P844" s="212"/>
    </row>
    <row r="845" spans="1:16" s="208" customFormat="1" ht="18" customHeight="1" x14ac:dyDescent="0.25">
      <c r="A845" s="388" t="s">
        <v>201</v>
      </c>
      <c r="B845" s="926" t="s">
        <v>1387</v>
      </c>
      <c r="C845" s="826" t="s">
        <v>476</v>
      </c>
      <c r="D845" s="826"/>
      <c r="E845" s="826"/>
      <c r="F845" s="827"/>
      <c r="G845" s="234"/>
      <c r="H845" s="102"/>
      <c r="I845" s="233"/>
      <c r="J845" s="102"/>
      <c r="K845" s="102">
        <v>80000</v>
      </c>
      <c r="L845" s="102"/>
      <c r="M845" s="207"/>
      <c r="N845" s="207">
        <f>16000*5</f>
        <v>80000</v>
      </c>
    </row>
    <row r="846" spans="1:16" s="208" customFormat="1" ht="18" customHeight="1" x14ac:dyDescent="0.25">
      <c r="A846" s="388" t="s">
        <v>201</v>
      </c>
      <c r="B846" s="926" t="s">
        <v>1387</v>
      </c>
      <c r="C846" s="826" t="s">
        <v>477</v>
      </c>
      <c r="D846" s="826"/>
      <c r="E846" s="826"/>
      <c r="F846" s="827"/>
      <c r="G846" s="234"/>
      <c r="H846" s="102"/>
      <c r="I846" s="233"/>
      <c r="J846" s="102"/>
      <c r="K846" s="102">
        <v>375000</v>
      </c>
      <c r="L846" s="102"/>
      <c r="M846" s="207"/>
      <c r="N846" s="207">
        <f>75000*5</f>
        <v>375000</v>
      </c>
    </row>
    <row r="847" spans="1:16" s="208" customFormat="1" ht="18" customHeight="1" x14ac:dyDescent="0.25">
      <c r="A847" s="388" t="s">
        <v>201</v>
      </c>
      <c r="B847" s="926" t="s">
        <v>1387</v>
      </c>
      <c r="C847" s="826" t="s">
        <v>478</v>
      </c>
      <c r="D847" s="826"/>
      <c r="E847" s="826"/>
      <c r="F847" s="827"/>
      <c r="G847" s="234"/>
      <c r="H847" s="102"/>
      <c r="I847" s="233"/>
      <c r="J847" s="102"/>
      <c r="K847" s="102">
        <v>480000</v>
      </c>
      <c r="L847" s="102"/>
      <c r="M847" s="207"/>
      <c r="N847" s="207">
        <f>80000*6</f>
        <v>480000</v>
      </c>
    </row>
    <row r="848" spans="1:16" s="208" customFormat="1" ht="18" customHeight="1" x14ac:dyDescent="0.25">
      <c r="A848" s="388" t="s">
        <v>201</v>
      </c>
      <c r="B848" s="926" t="s">
        <v>1387</v>
      </c>
      <c r="C848" s="824" t="s">
        <v>479</v>
      </c>
      <c r="D848" s="824"/>
      <c r="E848" s="824"/>
      <c r="F848" s="825"/>
      <c r="G848" s="232"/>
      <c r="H848" s="101"/>
      <c r="I848" s="233"/>
      <c r="J848" s="101"/>
      <c r="K848" s="102">
        <v>60000</v>
      </c>
      <c r="L848" s="101"/>
      <c r="M848" s="207"/>
      <c r="N848" s="207"/>
    </row>
    <row r="849" spans="1:14" s="208" customFormat="1" ht="18" customHeight="1" x14ac:dyDescent="0.25">
      <c r="A849" s="388" t="s">
        <v>201</v>
      </c>
      <c r="B849" s="926" t="s">
        <v>1387</v>
      </c>
      <c r="C849" s="824" t="s">
        <v>480</v>
      </c>
      <c r="D849" s="824"/>
      <c r="E849" s="824"/>
      <c r="F849" s="825"/>
      <c r="G849" s="232"/>
      <c r="H849" s="101"/>
      <c r="I849" s="233"/>
      <c r="J849" s="101"/>
      <c r="K849" s="102">
        <v>19000</v>
      </c>
      <c r="L849" s="101"/>
      <c r="M849" s="207"/>
      <c r="N849" s="207"/>
    </row>
    <row r="850" spans="1:14" s="208" customFormat="1" ht="18" customHeight="1" x14ac:dyDescent="0.25">
      <c r="A850" s="388" t="s">
        <v>201</v>
      </c>
      <c r="B850" s="926" t="s">
        <v>1387</v>
      </c>
      <c r="C850" s="824" t="s">
        <v>481</v>
      </c>
      <c r="D850" s="824"/>
      <c r="E850" s="824"/>
      <c r="F850" s="824"/>
      <c r="G850" s="232"/>
      <c r="H850" s="101"/>
      <c r="I850" s="233"/>
      <c r="J850" s="101"/>
      <c r="K850" s="102">
        <v>15300</v>
      </c>
      <c r="L850" s="101"/>
      <c r="M850" s="207"/>
      <c r="N850" s="207"/>
    </row>
    <row r="851" spans="1:14" s="208" customFormat="1" ht="18" customHeight="1" x14ac:dyDescent="0.25">
      <c r="A851" s="388" t="s">
        <v>201</v>
      </c>
      <c r="B851" s="926" t="s">
        <v>1387</v>
      </c>
      <c r="C851" s="824" t="s">
        <v>482</v>
      </c>
      <c r="D851" s="824"/>
      <c r="E851" s="824"/>
      <c r="F851" s="824"/>
      <c r="G851" s="232"/>
      <c r="H851" s="101"/>
      <c r="I851" s="233"/>
      <c r="J851" s="101"/>
      <c r="K851" s="102">
        <v>30000</v>
      </c>
      <c r="L851" s="101"/>
      <c r="M851" s="207"/>
      <c r="N851" s="207"/>
    </row>
    <row r="852" spans="1:14" s="208" customFormat="1" ht="18" customHeight="1" x14ac:dyDescent="0.25">
      <c r="A852" s="388" t="s">
        <v>201</v>
      </c>
      <c r="B852" s="926" t="s">
        <v>1387</v>
      </c>
      <c r="C852" s="824" t="s">
        <v>483</v>
      </c>
      <c r="D852" s="824"/>
      <c r="E852" s="824"/>
      <c r="F852" s="824"/>
      <c r="G852" s="232"/>
      <c r="H852" s="101"/>
      <c r="I852" s="233"/>
      <c r="J852" s="101"/>
      <c r="K852" s="102">
        <v>25000</v>
      </c>
      <c r="L852" s="101"/>
      <c r="M852" s="207"/>
      <c r="N852" s="207"/>
    </row>
    <row r="853" spans="1:14" s="208" customFormat="1" ht="18" customHeight="1" x14ac:dyDescent="0.25">
      <c r="A853" s="388" t="s">
        <v>201</v>
      </c>
      <c r="B853" s="926" t="s">
        <v>1387</v>
      </c>
      <c r="C853" s="824" t="s">
        <v>484</v>
      </c>
      <c r="D853" s="824"/>
      <c r="E853" s="824"/>
      <c r="F853" s="824"/>
      <c r="G853" s="232"/>
      <c r="H853" s="101"/>
      <c r="I853" s="233"/>
      <c r="J853" s="101"/>
      <c r="K853" s="102">
        <v>17850</v>
      </c>
      <c r="L853" s="101"/>
      <c r="M853" s="207"/>
      <c r="N853" s="207"/>
    </row>
    <row r="854" spans="1:14" s="208" customFormat="1" ht="18" customHeight="1" x14ac:dyDescent="0.25">
      <c r="A854" s="388" t="s">
        <v>201</v>
      </c>
      <c r="B854" s="926" t="s">
        <v>1387</v>
      </c>
      <c r="C854" s="824" t="s">
        <v>485</v>
      </c>
      <c r="D854" s="824"/>
      <c r="E854" s="824"/>
      <c r="F854" s="824"/>
      <c r="G854" s="232"/>
      <c r="H854" s="101"/>
      <c r="I854" s="233"/>
      <c r="J854" s="101"/>
      <c r="K854" s="102">
        <v>36000</v>
      </c>
      <c r="L854" s="101"/>
      <c r="M854" s="207"/>
      <c r="N854" s="207"/>
    </row>
    <row r="855" spans="1:14" ht="18" x14ac:dyDescent="0.25">
      <c r="A855" s="388" t="s">
        <v>123</v>
      </c>
      <c r="B855" s="926" t="s">
        <v>1387</v>
      </c>
      <c r="C855" s="1602" t="s">
        <v>124</v>
      </c>
      <c r="D855" s="1603"/>
      <c r="E855" s="1603"/>
      <c r="F855" s="1603"/>
      <c r="G855" s="131" t="s">
        <v>125</v>
      </c>
      <c r="H855" s="101">
        <v>1624248</v>
      </c>
      <c r="I855" s="102">
        <v>2100000</v>
      </c>
      <c r="J855" s="101">
        <v>1168016.51</v>
      </c>
      <c r="K855" s="101">
        <v>2269440</v>
      </c>
      <c r="L855" s="101"/>
    </row>
    <row r="856" spans="1:14" ht="18" x14ac:dyDescent="0.25">
      <c r="A856" s="388" t="s">
        <v>123</v>
      </c>
      <c r="B856" s="926" t="s">
        <v>1387</v>
      </c>
      <c r="C856" s="1602" t="s">
        <v>126</v>
      </c>
      <c r="D856" s="1603"/>
      <c r="E856" s="1603"/>
      <c r="F856" s="1603"/>
      <c r="G856" s="131" t="s">
        <v>127</v>
      </c>
      <c r="H856" s="101">
        <v>580029.81999999995</v>
      </c>
      <c r="I856" s="102">
        <v>680340</v>
      </c>
      <c r="J856" s="101">
        <v>286774.40000000002</v>
      </c>
      <c r="K856" s="102">
        <v>750636</v>
      </c>
      <c r="L856" s="101"/>
      <c r="N856" s="10">
        <v>757402.04</v>
      </c>
    </row>
    <row r="857" spans="1:14" ht="18" x14ac:dyDescent="0.25">
      <c r="A857" s="388" t="s">
        <v>123</v>
      </c>
      <c r="B857" s="926" t="s">
        <v>1387</v>
      </c>
      <c r="C857" s="1602" t="s">
        <v>128</v>
      </c>
      <c r="D857" s="1603"/>
      <c r="E857" s="1603"/>
      <c r="F857" s="1603"/>
      <c r="G857" s="131" t="s">
        <v>125</v>
      </c>
      <c r="H857" s="101"/>
      <c r="I857" s="102">
        <v>4395</v>
      </c>
      <c r="J857" s="101"/>
      <c r="K857" s="101">
        <v>3173.91</v>
      </c>
      <c r="L857" s="101"/>
    </row>
    <row r="858" spans="1:14" ht="18" x14ac:dyDescent="0.25">
      <c r="A858" s="388" t="s">
        <v>123</v>
      </c>
      <c r="B858" s="926" t="s">
        <v>1387</v>
      </c>
      <c r="C858" s="1602" t="s">
        <v>129</v>
      </c>
      <c r="D858" s="1603"/>
      <c r="E858" s="1603"/>
      <c r="F858" s="1603"/>
      <c r="G858" s="132" t="s">
        <v>130</v>
      </c>
      <c r="H858" s="101">
        <v>162453.68</v>
      </c>
      <c r="I858" s="102">
        <v>264000</v>
      </c>
      <c r="J858" s="101">
        <v>124727.25</v>
      </c>
      <c r="K858" s="101">
        <v>264000</v>
      </c>
      <c r="L858" s="101"/>
    </row>
    <row r="859" spans="1:14" ht="18" x14ac:dyDescent="0.25">
      <c r="A859" s="388" t="s">
        <v>123</v>
      </c>
      <c r="B859" s="926" t="s">
        <v>1387</v>
      </c>
      <c r="C859" s="1602" t="s">
        <v>131</v>
      </c>
      <c r="D859" s="1603"/>
      <c r="E859" s="1603"/>
      <c r="F859" s="1603"/>
      <c r="G859" s="131" t="s">
        <v>132</v>
      </c>
      <c r="H859" s="101">
        <v>72000</v>
      </c>
      <c r="I859" s="102">
        <v>72000</v>
      </c>
      <c r="J859" s="101">
        <v>39000</v>
      </c>
      <c r="K859" s="101">
        <v>72000</v>
      </c>
      <c r="L859" s="101"/>
    </row>
    <row r="860" spans="1:14" ht="18" x14ac:dyDescent="0.25">
      <c r="A860" s="388" t="s">
        <v>123</v>
      </c>
      <c r="B860" s="926" t="s">
        <v>1387</v>
      </c>
      <c r="C860" s="1602" t="s">
        <v>133</v>
      </c>
      <c r="D860" s="1603"/>
      <c r="E860" s="1603"/>
      <c r="F860" s="1603"/>
      <c r="G860" s="131" t="s">
        <v>134</v>
      </c>
      <c r="H860" s="101">
        <v>72000</v>
      </c>
      <c r="I860" s="102">
        <v>72000</v>
      </c>
      <c r="J860" s="101">
        <v>39000</v>
      </c>
      <c r="K860" s="101">
        <v>72000</v>
      </c>
      <c r="L860" s="101"/>
    </row>
    <row r="861" spans="1:14" ht="18" x14ac:dyDescent="0.25">
      <c r="A861" s="388" t="s">
        <v>123</v>
      </c>
      <c r="B861" s="926" t="s">
        <v>1387</v>
      </c>
      <c r="C861" s="1602" t="s">
        <v>135</v>
      </c>
      <c r="D861" s="1603"/>
      <c r="E861" s="1603"/>
      <c r="F861" s="1603"/>
      <c r="G861" s="131" t="s">
        <v>136</v>
      </c>
      <c r="H861" s="101">
        <v>56675.87</v>
      </c>
      <c r="I861" s="102">
        <v>320640</v>
      </c>
      <c r="J861" s="101">
        <v>2720.98</v>
      </c>
      <c r="K861" s="102">
        <v>320640</v>
      </c>
      <c r="L861" s="101"/>
    </row>
    <row r="862" spans="1:14" ht="18" x14ac:dyDescent="0.25">
      <c r="A862" s="388" t="s">
        <v>123</v>
      </c>
      <c r="B862" s="926" t="s">
        <v>1387</v>
      </c>
      <c r="C862" s="1602" t="s">
        <v>137</v>
      </c>
      <c r="D862" s="1603"/>
      <c r="E862" s="1603"/>
      <c r="F862" s="1603"/>
      <c r="G862" s="131" t="s">
        <v>138</v>
      </c>
      <c r="H862" s="101">
        <v>30000</v>
      </c>
      <c r="I862" s="102">
        <v>66000</v>
      </c>
      <c r="J862" s="101">
        <v>48000</v>
      </c>
      <c r="K862" s="101">
        <v>66000</v>
      </c>
      <c r="L862" s="101"/>
    </row>
    <row r="863" spans="1:14" ht="18" customHeight="1" x14ac:dyDescent="0.25">
      <c r="A863" s="388" t="s">
        <v>123</v>
      </c>
      <c r="B863" s="926" t="s">
        <v>1387</v>
      </c>
      <c r="C863" s="1602" t="s">
        <v>139</v>
      </c>
      <c r="D863" s="1603"/>
      <c r="E863" s="1603"/>
      <c r="F863" s="1603"/>
      <c r="G863" s="131" t="s">
        <v>140</v>
      </c>
      <c r="H863" s="101">
        <v>179630</v>
      </c>
      <c r="I863" s="102">
        <v>231821</v>
      </c>
      <c r="J863" s="101">
        <v>186601</v>
      </c>
      <c r="K863" s="101">
        <v>251998</v>
      </c>
      <c r="L863" s="101"/>
    </row>
    <row r="864" spans="1:14" ht="18" x14ac:dyDescent="0.25">
      <c r="A864" s="388" t="s">
        <v>123</v>
      </c>
      <c r="B864" s="926" t="s">
        <v>1387</v>
      </c>
      <c r="C864" s="1602" t="s">
        <v>141</v>
      </c>
      <c r="D864" s="1603"/>
      <c r="E864" s="1603"/>
      <c r="F864" s="1603"/>
      <c r="G864" s="131" t="s">
        <v>142</v>
      </c>
      <c r="H864" s="101">
        <v>179630</v>
      </c>
      <c r="I864" s="102">
        <v>231821</v>
      </c>
      <c r="J864" s="101"/>
      <c r="K864" s="101">
        <v>251998</v>
      </c>
      <c r="L864" s="101"/>
    </row>
    <row r="865" spans="1:16" ht="18" x14ac:dyDescent="0.25">
      <c r="A865" s="388" t="s">
        <v>123</v>
      </c>
      <c r="B865" s="926" t="s">
        <v>1387</v>
      </c>
      <c r="C865" s="1602" t="s">
        <v>143</v>
      </c>
      <c r="D865" s="1603"/>
      <c r="E865" s="1603"/>
      <c r="F865" s="1603"/>
      <c r="G865" s="131" t="s">
        <v>144</v>
      </c>
      <c r="H865" s="101">
        <v>40000</v>
      </c>
      <c r="I865" s="102">
        <v>55000</v>
      </c>
      <c r="J865" s="101"/>
      <c r="K865" s="101">
        <v>55000</v>
      </c>
      <c r="L865" s="101"/>
    </row>
    <row r="866" spans="1:16" s="146" customFormat="1" ht="18" x14ac:dyDescent="0.25">
      <c r="A866" s="388" t="s">
        <v>123</v>
      </c>
      <c r="B866" s="926" t="s">
        <v>1387</v>
      </c>
      <c r="C866" s="1602" t="s">
        <v>145</v>
      </c>
      <c r="D866" s="1603"/>
      <c r="E866" s="1603"/>
      <c r="F866" s="1603"/>
      <c r="G866" s="131" t="s">
        <v>146</v>
      </c>
      <c r="H866" s="101">
        <v>40000</v>
      </c>
      <c r="I866" s="102">
        <v>55000</v>
      </c>
      <c r="J866" s="101"/>
      <c r="K866" s="101">
        <v>55000</v>
      </c>
      <c r="L866" s="101"/>
      <c r="M866" s="10"/>
      <c r="N866" s="10"/>
      <c r="O866"/>
      <c r="P866"/>
    </row>
    <row r="867" spans="1:16" s="146" customFormat="1" ht="18" x14ac:dyDescent="0.25">
      <c r="A867" s="388" t="s">
        <v>123</v>
      </c>
      <c r="B867" s="926" t="s">
        <v>1387</v>
      </c>
      <c r="C867" s="1602" t="s">
        <v>231</v>
      </c>
      <c r="D867" s="1603"/>
      <c r="E867" s="1603"/>
      <c r="F867" s="1603"/>
      <c r="G867" s="131" t="s">
        <v>232</v>
      </c>
      <c r="H867" s="101">
        <v>0</v>
      </c>
      <c r="I867" s="102">
        <v>0</v>
      </c>
      <c r="J867" s="101"/>
      <c r="K867" s="101">
        <v>10000</v>
      </c>
      <c r="L867" s="101"/>
      <c r="M867" s="10"/>
      <c r="N867" s="10"/>
      <c r="O867"/>
      <c r="P867"/>
    </row>
    <row r="868" spans="1:16" s="146" customFormat="1" ht="18" x14ac:dyDescent="0.25">
      <c r="A868" s="388" t="s">
        <v>123</v>
      </c>
      <c r="B868" s="926" t="s">
        <v>1387</v>
      </c>
      <c r="C868" s="826" t="s">
        <v>147</v>
      </c>
      <c r="D868" s="813"/>
      <c r="E868" s="813"/>
      <c r="F868" s="811"/>
      <c r="G868" s="131" t="s">
        <v>148</v>
      </c>
      <c r="H868" s="101"/>
      <c r="I868" s="102"/>
      <c r="J868" s="101"/>
      <c r="K868" s="101">
        <v>33000</v>
      </c>
      <c r="L868" s="101"/>
      <c r="M868" s="10"/>
      <c r="N868" s="10"/>
      <c r="O868"/>
      <c r="P868"/>
    </row>
    <row r="869" spans="1:16" s="146" customFormat="1" ht="18" x14ac:dyDescent="0.25">
      <c r="A869" s="388" t="s">
        <v>123</v>
      </c>
      <c r="B869" s="926" t="s">
        <v>1387</v>
      </c>
      <c r="C869" s="1602" t="s">
        <v>210</v>
      </c>
      <c r="D869" s="1603"/>
      <c r="E869" s="1603"/>
      <c r="F869" s="1603"/>
      <c r="G869" s="131" t="s">
        <v>464</v>
      </c>
      <c r="H869" s="101">
        <v>21150</v>
      </c>
      <c r="I869" s="102">
        <v>54000</v>
      </c>
      <c r="J869" s="101">
        <v>8450</v>
      </c>
      <c r="K869" s="101">
        <v>54000</v>
      </c>
      <c r="L869" s="101"/>
      <c r="M869" s="10"/>
      <c r="N869" s="10"/>
      <c r="O869"/>
      <c r="P869"/>
    </row>
    <row r="870" spans="1:16" s="146" customFormat="1" ht="18" x14ac:dyDescent="0.25">
      <c r="A870" s="388" t="s">
        <v>123</v>
      </c>
      <c r="B870" s="926" t="s">
        <v>1387</v>
      </c>
      <c r="C870" s="1602" t="s">
        <v>153</v>
      </c>
      <c r="D870" s="1603"/>
      <c r="E870" s="1603"/>
      <c r="F870" s="1603"/>
      <c r="G870" s="131" t="s">
        <v>154</v>
      </c>
      <c r="H870" s="101">
        <v>235633.2</v>
      </c>
      <c r="I870" s="102">
        <v>334168.2</v>
      </c>
      <c r="J870" s="101">
        <v>175241.37</v>
      </c>
      <c r="K870" s="101">
        <v>362789.99</v>
      </c>
      <c r="L870" s="101"/>
      <c r="M870" s="10"/>
      <c r="N870" s="10"/>
      <c r="O870"/>
      <c r="P870"/>
    </row>
    <row r="871" spans="1:16" s="146" customFormat="1" ht="18" x14ac:dyDescent="0.25">
      <c r="A871" s="388" t="s">
        <v>123</v>
      </c>
      <c r="B871" s="926" t="s">
        <v>1387</v>
      </c>
      <c r="C871" s="1602" t="s">
        <v>155</v>
      </c>
      <c r="D871" s="1603"/>
      <c r="E871" s="1603"/>
      <c r="F871" s="1603"/>
      <c r="G871" s="131" t="s">
        <v>156</v>
      </c>
      <c r="H871" s="101">
        <v>8100</v>
      </c>
      <c r="I871" s="102">
        <v>13200</v>
      </c>
      <c r="J871" s="101">
        <v>6600</v>
      </c>
      <c r="K871" s="101">
        <v>13200</v>
      </c>
      <c r="L871" s="101"/>
      <c r="M871" s="10"/>
      <c r="N871" s="10"/>
      <c r="O871"/>
      <c r="P871"/>
    </row>
    <row r="872" spans="1:16" s="146" customFormat="1" ht="18" x14ac:dyDescent="0.25">
      <c r="A872" s="388" t="s">
        <v>123</v>
      </c>
      <c r="B872" s="926" t="s">
        <v>1387</v>
      </c>
      <c r="C872" s="1602" t="s">
        <v>157</v>
      </c>
      <c r="D872" s="1603"/>
      <c r="E872" s="1603"/>
      <c r="F872" s="1603"/>
      <c r="G872" s="131" t="s">
        <v>158</v>
      </c>
      <c r="H872" s="101">
        <v>25728.51</v>
      </c>
      <c r="I872" s="102">
        <v>46828.480000000003</v>
      </c>
      <c r="J872" s="101">
        <v>20560.78</v>
      </c>
      <c r="K872" s="101">
        <v>119430.96</v>
      </c>
      <c r="L872" s="101"/>
      <c r="M872" s="10"/>
      <c r="N872" s="10"/>
      <c r="O872"/>
      <c r="P872"/>
    </row>
    <row r="873" spans="1:16" s="146" customFormat="1" ht="18" x14ac:dyDescent="0.25">
      <c r="A873" s="388" t="s">
        <v>123</v>
      </c>
      <c r="B873" s="926" t="s">
        <v>1387</v>
      </c>
      <c r="C873" s="1602" t="s">
        <v>159</v>
      </c>
      <c r="D873" s="1603"/>
      <c r="E873" s="1603"/>
      <c r="F873" s="1603"/>
      <c r="G873" s="131" t="s">
        <v>160</v>
      </c>
      <c r="H873" s="101">
        <v>8100</v>
      </c>
      <c r="I873" s="102">
        <v>13200</v>
      </c>
      <c r="J873" s="101">
        <v>6600</v>
      </c>
      <c r="K873" s="101">
        <v>13200</v>
      </c>
      <c r="L873" s="101"/>
      <c r="M873" s="10"/>
      <c r="N873" s="10"/>
      <c r="O873"/>
      <c r="P873"/>
    </row>
    <row r="874" spans="1:16" s="146" customFormat="1" ht="18" customHeight="1" x14ac:dyDescent="0.25">
      <c r="A874" s="388" t="s">
        <v>163</v>
      </c>
      <c r="B874" s="926" t="s">
        <v>1387</v>
      </c>
      <c r="C874" s="44" t="s">
        <v>353</v>
      </c>
      <c r="D874" s="113"/>
      <c r="E874" s="113"/>
      <c r="F874" s="114"/>
      <c r="G874" s="131" t="s">
        <v>165</v>
      </c>
      <c r="H874" s="101">
        <v>20722</v>
      </c>
      <c r="I874" s="102">
        <v>50000</v>
      </c>
      <c r="J874" s="101">
        <v>24300</v>
      </c>
      <c r="K874" s="102">
        <v>100000</v>
      </c>
      <c r="L874" s="101"/>
      <c r="M874" s="10">
        <v>60000</v>
      </c>
      <c r="N874" s="10"/>
      <c r="O874"/>
      <c r="P874"/>
    </row>
    <row r="875" spans="1:16" s="146" customFormat="1" ht="18" customHeight="1" x14ac:dyDescent="0.25">
      <c r="A875" s="388" t="s">
        <v>163</v>
      </c>
      <c r="B875" s="926" t="s">
        <v>1387</v>
      </c>
      <c r="C875" s="44" t="s">
        <v>168</v>
      </c>
      <c r="D875" s="113"/>
      <c r="E875" s="113"/>
      <c r="F875" s="114"/>
      <c r="G875" s="131" t="s">
        <v>169</v>
      </c>
      <c r="H875" s="101">
        <v>84368.1</v>
      </c>
      <c r="I875" s="102">
        <v>120000</v>
      </c>
      <c r="J875" s="101">
        <v>111812.5</v>
      </c>
      <c r="K875" s="101">
        <v>138756</v>
      </c>
      <c r="L875" s="101"/>
      <c r="M875" s="10"/>
      <c r="N875" s="10"/>
      <c r="O875"/>
      <c r="P875"/>
    </row>
    <row r="876" spans="1:16" s="146" customFormat="1" ht="18" customHeight="1" x14ac:dyDescent="0.25">
      <c r="A876" s="388" t="s">
        <v>163</v>
      </c>
      <c r="B876" s="926" t="s">
        <v>1387</v>
      </c>
      <c r="C876" s="44" t="s">
        <v>213</v>
      </c>
      <c r="D876" s="113"/>
      <c r="E876" s="113"/>
      <c r="F876" s="114"/>
      <c r="G876" s="131" t="s">
        <v>171</v>
      </c>
      <c r="H876" s="101">
        <v>0</v>
      </c>
      <c r="I876" s="102"/>
      <c r="J876" s="101"/>
      <c r="K876" s="101">
        <v>19415</v>
      </c>
      <c r="L876" s="101"/>
      <c r="M876" s="10"/>
      <c r="N876" s="10"/>
      <c r="O876"/>
      <c r="P876"/>
    </row>
    <row r="877" spans="1:16" s="146" customFormat="1" ht="18" customHeight="1" x14ac:dyDescent="0.25">
      <c r="A877" s="388" t="s">
        <v>163</v>
      </c>
      <c r="B877" s="926" t="s">
        <v>1387</v>
      </c>
      <c r="C877" s="44" t="s">
        <v>176</v>
      </c>
      <c r="D877" s="113"/>
      <c r="E877" s="113"/>
      <c r="F877" s="114"/>
      <c r="G877" s="131" t="s">
        <v>177</v>
      </c>
      <c r="H877" s="101">
        <v>0</v>
      </c>
      <c r="I877" s="102">
        <v>1000</v>
      </c>
      <c r="J877" s="101">
        <v>200</v>
      </c>
      <c r="K877" s="101">
        <v>1000</v>
      </c>
      <c r="L877" s="101"/>
      <c r="M877" s="248"/>
      <c r="N877" s="10"/>
      <c r="O877"/>
      <c r="P877"/>
    </row>
    <row r="878" spans="1:16" s="146" customFormat="1" ht="18" customHeight="1" x14ac:dyDescent="0.25">
      <c r="A878" s="388" t="s">
        <v>163</v>
      </c>
      <c r="B878" s="926" t="s">
        <v>1387</v>
      </c>
      <c r="C878" s="44" t="s">
        <v>178</v>
      </c>
      <c r="D878" s="113"/>
      <c r="E878" s="113"/>
      <c r="F878" s="114"/>
      <c r="G878" s="131" t="s">
        <v>179</v>
      </c>
      <c r="H878" s="101"/>
      <c r="I878" s="102"/>
      <c r="J878" s="101"/>
      <c r="K878" s="101">
        <v>42000</v>
      </c>
      <c r="L878" s="101"/>
      <c r="M878" s="248"/>
      <c r="N878" s="10"/>
      <c r="O878"/>
      <c r="P878"/>
    </row>
    <row r="879" spans="1:16" s="146" customFormat="1" ht="18" customHeight="1" x14ac:dyDescent="0.25">
      <c r="A879" s="388" t="s">
        <v>163</v>
      </c>
      <c r="B879" s="926" t="s">
        <v>1387</v>
      </c>
      <c r="C879" s="44" t="s">
        <v>182</v>
      </c>
      <c r="D879" s="113"/>
      <c r="E879" s="113"/>
      <c r="F879" s="114"/>
      <c r="G879" s="131"/>
      <c r="H879" s="101"/>
      <c r="I879" s="102"/>
      <c r="J879" s="101"/>
      <c r="K879" s="101">
        <v>48000</v>
      </c>
      <c r="L879" s="101"/>
      <c r="M879" s="112"/>
      <c r="N879" s="10"/>
      <c r="O879"/>
      <c r="P879"/>
    </row>
    <row r="880" spans="1:16" s="146" customFormat="1" ht="18" customHeight="1" x14ac:dyDescent="0.25">
      <c r="A880" s="388" t="s">
        <v>163</v>
      </c>
      <c r="B880" s="926" t="s">
        <v>1387</v>
      </c>
      <c r="C880" s="44" t="s">
        <v>198</v>
      </c>
      <c r="D880" s="113"/>
      <c r="E880" s="113"/>
      <c r="F880" s="114"/>
      <c r="G880" s="131" t="s">
        <v>199</v>
      </c>
      <c r="H880" s="105">
        <v>1144445.42</v>
      </c>
      <c r="I880" s="106">
        <v>1051570.6399999999</v>
      </c>
      <c r="J880" s="105">
        <v>246959.51</v>
      </c>
      <c r="K880" s="105">
        <v>963526.56</v>
      </c>
      <c r="L880" s="105"/>
      <c r="M880" s="10"/>
      <c r="N880" s="10"/>
      <c r="O880"/>
      <c r="P880"/>
    </row>
    <row r="881" spans="1:14" ht="18" x14ac:dyDescent="0.25">
      <c r="A881" s="388" t="s">
        <v>201</v>
      </c>
      <c r="B881" s="926" t="s">
        <v>1387</v>
      </c>
      <c r="C881" s="1618" t="s">
        <v>515</v>
      </c>
      <c r="D881" s="1619"/>
      <c r="E881" s="1619"/>
      <c r="F881" s="1619"/>
      <c r="G881" s="168"/>
      <c r="H881" s="102"/>
      <c r="I881" s="102"/>
      <c r="J881" s="102"/>
      <c r="K881" s="102">
        <v>28000</v>
      </c>
      <c r="L881" s="102"/>
      <c r="N881" s="10">
        <f>14000*2</f>
        <v>28000</v>
      </c>
    </row>
    <row r="882" spans="1:14" ht="18" x14ac:dyDescent="0.25">
      <c r="A882" s="388" t="s">
        <v>201</v>
      </c>
      <c r="B882" s="926" t="s">
        <v>1387</v>
      </c>
      <c r="C882" s="1574" t="s">
        <v>516</v>
      </c>
      <c r="D882" s="1618"/>
      <c r="E882" s="831"/>
      <c r="F882" s="831"/>
      <c r="G882" s="168"/>
      <c r="H882" s="102"/>
      <c r="I882" s="102"/>
      <c r="J882" s="102"/>
      <c r="K882" s="102">
        <v>150000</v>
      </c>
      <c r="L882" s="102"/>
      <c r="N882" s="10">
        <f>75000*2</f>
        <v>150000</v>
      </c>
    </row>
    <row r="883" spans="1:14" s="48" customFormat="1" ht="0.75" customHeight="1" x14ac:dyDescent="0.25">
      <c r="B883" s="908" t="s">
        <v>1516</v>
      </c>
      <c r="C883" s="2"/>
      <c r="D883" s="3"/>
      <c r="E883" s="3"/>
      <c r="F883" s="3"/>
      <c r="G883" s="3"/>
      <c r="H883" s="4"/>
      <c r="I883" s="5"/>
      <c r="J883" s="4"/>
      <c r="K883" s="249"/>
      <c r="L883" s="4"/>
      <c r="M883" s="47"/>
      <c r="N883" s="47"/>
    </row>
    <row r="884" spans="1:14" s="48" customFormat="1" ht="18" customHeight="1" x14ac:dyDescent="0.25">
      <c r="A884" s="48" t="s">
        <v>123</v>
      </c>
      <c r="B884" s="926" t="s">
        <v>1388</v>
      </c>
      <c r="C884" s="1602" t="s">
        <v>124</v>
      </c>
      <c r="D884" s="1603"/>
      <c r="E884" s="1603"/>
      <c r="F884" s="1603"/>
      <c r="G884" s="131" t="s">
        <v>125</v>
      </c>
      <c r="H884" s="101">
        <v>3092279</v>
      </c>
      <c r="I884" s="102">
        <v>6378036</v>
      </c>
      <c r="J884" s="101">
        <v>2211426.2000000002</v>
      </c>
      <c r="K884" s="101">
        <v>6989580</v>
      </c>
      <c r="L884" s="101"/>
      <c r="M884" s="6"/>
      <c r="N884" s="6"/>
    </row>
    <row r="885" spans="1:14" s="48" customFormat="1" ht="18" customHeight="1" x14ac:dyDescent="0.25">
      <c r="A885" s="48" t="s">
        <v>123</v>
      </c>
      <c r="B885" s="926" t="s">
        <v>1388</v>
      </c>
      <c r="C885" s="1602" t="s">
        <v>126</v>
      </c>
      <c r="D885" s="1603"/>
      <c r="E885" s="1603"/>
      <c r="F885" s="1603"/>
      <c r="G885" s="131" t="s">
        <v>127</v>
      </c>
      <c r="H885" s="101">
        <v>150179.91</v>
      </c>
      <c r="I885" s="102">
        <v>265104</v>
      </c>
      <c r="J885" s="101">
        <v>70776.45</v>
      </c>
      <c r="K885" s="101">
        <v>287856</v>
      </c>
      <c r="L885" s="101"/>
      <c r="M885" s="6"/>
      <c r="N885" s="6"/>
    </row>
    <row r="886" spans="1:14" s="48" customFormat="1" ht="18" customHeight="1" x14ac:dyDescent="0.25">
      <c r="A886" s="48" t="s">
        <v>123</v>
      </c>
      <c r="B886" s="926" t="s">
        <v>1388</v>
      </c>
      <c r="C886" s="1611" t="s">
        <v>128</v>
      </c>
      <c r="D886" s="1611"/>
      <c r="E886" s="1611"/>
      <c r="F886" s="1602"/>
      <c r="G886" s="131" t="s">
        <v>125</v>
      </c>
      <c r="H886" s="101">
        <v>0</v>
      </c>
      <c r="I886" s="102">
        <v>9644</v>
      </c>
      <c r="J886" s="101"/>
      <c r="K886" s="101">
        <v>4031.63</v>
      </c>
      <c r="L886" s="101"/>
      <c r="M886" s="6"/>
      <c r="N886" s="6"/>
    </row>
    <row r="887" spans="1:14" s="48" customFormat="1" ht="18" customHeight="1" x14ac:dyDescent="0.25">
      <c r="A887" s="48" t="s">
        <v>123</v>
      </c>
      <c r="B887" s="926" t="s">
        <v>1388</v>
      </c>
      <c r="C887" s="1602" t="s">
        <v>129</v>
      </c>
      <c r="D887" s="1603"/>
      <c r="E887" s="1603"/>
      <c r="F887" s="1603"/>
      <c r="G887" s="132" t="s">
        <v>130</v>
      </c>
      <c r="H887" s="101">
        <v>422545.45</v>
      </c>
      <c r="I887" s="102">
        <v>720000</v>
      </c>
      <c r="J887" s="101">
        <v>268363.63</v>
      </c>
      <c r="K887" s="101">
        <v>720000</v>
      </c>
      <c r="L887" s="101"/>
      <c r="M887" s="6"/>
      <c r="N887" s="6"/>
    </row>
    <row r="888" spans="1:14" s="48" customFormat="1" ht="18" customHeight="1" x14ac:dyDescent="0.25">
      <c r="A888" s="48" t="s">
        <v>123</v>
      </c>
      <c r="B888" s="926" t="s">
        <v>1388</v>
      </c>
      <c r="C888" s="1602" t="s">
        <v>131</v>
      </c>
      <c r="D888" s="1603"/>
      <c r="E888" s="1603"/>
      <c r="F888" s="1603"/>
      <c r="G888" s="131" t="s">
        <v>132</v>
      </c>
      <c r="H888" s="101">
        <v>72000</v>
      </c>
      <c r="I888" s="102">
        <v>72000</v>
      </c>
      <c r="J888" s="101">
        <v>42000</v>
      </c>
      <c r="K888" s="101">
        <v>72000</v>
      </c>
      <c r="L888" s="101"/>
      <c r="M888" s="6"/>
      <c r="N888" s="6"/>
    </row>
    <row r="889" spans="1:14" s="48" customFormat="1" ht="18" customHeight="1" x14ac:dyDescent="0.25">
      <c r="A889" s="48" t="s">
        <v>123</v>
      </c>
      <c r="B889" s="926" t="s">
        <v>1388</v>
      </c>
      <c r="C889" s="1602" t="s">
        <v>133</v>
      </c>
      <c r="D889" s="1603"/>
      <c r="E889" s="1603"/>
      <c r="F889" s="1603"/>
      <c r="G889" s="131" t="s">
        <v>134</v>
      </c>
      <c r="H889" s="101">
        <v>72000</v>
      </c>
      <c r="I889" s="102">
        <v>72000</v>
      </c>
      <c r="J889" s="101">
        <v>42000</v>
      </c>
      <c r="K889" s="101">
        <v>72000</v>
      </c>
      <c r="L889" s="101"/>
      <c r="M889" s="6"/>
      <c r="N889" s="6"/>
    </row>
    <row r="890" spans="1:14" s="48" customFormat="1" ht="18" customHeight="1" x14ac:dyDescent="0.25">
      <c r="A890" s="48" t="s">
        <v>123</v>
      </c>
      <c r="B890" s="926" t="s">
        <v>1388</v>
      </c>
      <c r="C890" s="1602" t="s">
        <v>135</v>
      </c>
      <c r="D890" s="1603"/>
      <c r="E890" s="1603"/>
      <c r="F890" s="1603"/>
      <c r="G890" s="131" t="s">
        <v>136</v>
      </c>
      <c r="H890" s="101">
        <v>176983.09</v>
      </c>
      <c r="I890" s="102">
        <v>536811.72</v>
      </c>
      <c r="J890" s="101">
        <v>131318.94</v>
      </c>
      <c r="K890" s="102">
        <v>296799.95</v>
      </c>
      <c r="L890" s="101"/>
      <c r="M890" s="6"/>
      <c r="N890" s="6"/>
    </row>
    <row r="891" spans="1:14" s="48" customFormat="1" ht="18" customHeight="1" x14ac:dyDescent="0.25">
      <c r="A891" s="48" t="s">
        <v>123</v>
      </c>
      <c r="B891" s="926" t="s">
        <v>1388</v>
      </c>
      <c r="C891" s="1602" t="s">
        <v>137</v>
      </c>
      <c r="D891" s="1603"/>
      <c r="E891" s="1603"/>
      <c r="F891" s="1603"/>
      <c r="G891" s="131" t="s">
        <v>138</v>
      </c>
      <c r="H891" s="101">
        <v>102000</v>
      </c>
      <c r="I891" s="102">
        <v>180000</v>
      </c>
      <c r="J891" s="101">
        <v>108000</v>
      </c>
      <c r="K891" s="101">
        <v>180000</v>
      </c>
      <c r="L891" s="101"/>
      <c r="M891" s="6"/>
      <c r="N891" s="6"/>
    </row>
    <row r="892" spans="1:14" s="48" customFormat="1" ht="18" customHeight="1" x14ac:dyDescent="0.25">
      <c r="A892" s="48" t="s">
        <v>123</v>
      </c>
      <c r="B892" s="926" t="s">
        <v>1388</v>
      </c>
      <c r="C892" s="1602" t="s">
        <v>139</v>
      </c>
      <c r="D892" s="1603"/>
      <c r="E892" s="1603"/>
      <c r="F892" s="1603"/>
      <c r="G892" s="131" t="s">
        <v>140</v>
      </c>
      <c r="H892" s="101">
        <v>268619</v>
      </c>
      <c r="I892" s="102">
        <v>554137</v>
      </c>
      <c r="J892" s="101">
        <v>319500</v>
      </c>
      <c r="K892" s="101">
        <v>606885</v>
      </c>
      <c r="L892" s="101"/>
      <c r="M892" s="6"/>
      <c r="N892" s="6"/>
    </row>
    <row r="893" spans="1:14" s="48" customFormat="1" ht="18" customHeight="1" x14ac:dyDescent="0.25">
      <c r="A893" s="48" t="s">
        <v>123</v>
      </c>
      <c r="B893" s="926" t="s">
        <v>1388</v>
      </c>
      <c r="C893" s="1602" t="s">
        <v>141</v>
      </c>
      <c r="D893" s="1603"/>
      <c r="E893" s="1603"/>
      <c r="F893" s="1603"/>
      <c r="G893" s="131" t="s">
        <v>142</v>
      </c>
      <c r="H893" s="101">
        <v>268756</v>
      </c>
      <c r="I893" s="102">
        <v>554909</v>
      </c>
      <c r="J893" s="101"/>
      <c r="K893" s="101">
        <v>606885</v>
      </c>
      <c r="L893" s="101"/>
      <c r="M893" s="6"/>
      <c r="N893" s="6"/>
    </row>
    <row r="894" spans="1:14" s="48" customFormat="1" ht="18" customHeight="1" x14ac:dyDescent="0.25">
      <c r="A894" s="48" t="s">
        <v>123</v>
      </c>
      <c r="B894" s="926" t="s">
        <v>1388</v>
      </c>
      <c r="C894" s="1602" t="s">
        <v>143</v>
      </c>
      <c r="D894" s="1603"/>
      <c r="E894" s="1603"/>
      <c r="F894" s="1603"/>
      <c r="G894" s="131" t="s">
        <v>144</v>
      </c>
      <c r="H894" s="101">
        <v>90000</v>
      </c>
      <c r="I894" s="102">
        <v>150000</v>
      </c>
      <c r="J894" s="101"/>
      <c r="K894" s="101">
        <v>150000</v>
      </c>
      <c r="L894" s="101"/>
      <c r="M894" s="6"/>
      <c r="N894" s="6"/>
    </row>
    <row r="895" spans="1:14" s="48" customFormat="1" ht="18" customHeight="1" x14ac:dyDescent="0.25">
      <c r="A895" s="48" t="s">
        <v>123</v>
      </c>
      <c r="B895" s="926" t="s">
        <v>1388</v>
      </c>
      <c r="C895" s="1602" t="s">
        <v>145</v>
      </c>
      <c r="D895" s="1603"/>
      <c r="E895" s="1603"/>
      <c r="F895" s="1603"/>
      <c r="G895" s="131" t="s">
        <v>146</v>
      </c>
      <c r="H895" s="101">
        <v>90000</v>
      </c>
      <c r="I895" s="102">
        <v>150000</v>
      </c>
      <c r="J895" s="101"/>
      <c r="K895" s="101">
        <v>150000</v>
      </c>
      <c r="L895" s="101"/>
      <c r="M895" s="6"/>
      <c r="N895" s="6"/>
    </row>
    <row r="896" spans="1:14" s="48" customFormat="1" ht="18" customHeight="1" x14ac:dyDescent="0.25">
      <c r="A896" s="48" t="s">
        <v>123</v>
      </c>
      <c r="B896" s="926" t="s">
        <v>1388</v>
      </c>
      <c r="C896" s="1611" t="s">
        <v>231</v>
      </c>
      <c r="D896" s="1611"/>
      <c r="E896" s="1611"/>
      <c r="F896" s="1602"/>
      <c r="G896" s="131" t="s">
        <v>232</v>
      </c>
      <c r="H896" s="101"/>
      <c r="I896" s="102">
        <v>0</v>
      </c>
      <c r="J896" s="101"/>
      <c r="K896" s="101">
        <v>15000</v>
      </c>
      <c r="L896" s="101"/>
      <c r="M896" s="6"/>
      <c r="N896" s="6"/>
    </row>
    <row r="897" spans="1:14" s="48" customFormat="1" ht="18" customHeight="1" x14ac:dyDescent="0.25">
      <c r="A897" s="48" t="s">
        <v>123</v>
      </c>
      <c r="B897" s="926" t="s">
        <v>1388</v>
      </c>
      <c r="C897" s="826" t="s">
        <v>147</v>
      </c>
      <c r="D897" s="813"/>
      <c r="E897" s="813"/>
      <c r="F897" s="811"/>
      <c r="G897" s="131" t="s">
        <v>148</v>
      </c>
      <c r="H897" s="101"/>
      <c r="I897" s="102"/>
      <c r="J897" s="101"/>
      <c r="K897" s="101">
        <v>90000</v>
      </c>
      <c r="L897" s="101"/>
      <c r="M897" s="6"/>
      <c r="N897" s="6"/>
    </row>
    <row r="898" spans="1:14" s="48" customFormat="1" ht="18" customHeight="1" x14ac:dyDescent="0.25">
      <c r="A898" s="48" t="s">
        <v>123</v>
      </c>
      <c r="B898" s="926" t="s">
        <v>1388</v>
      </c>
      <c r="C898" s="1602" t="s">
        <v>153</v>
      </c>
      <c r="D898" s="1603"/>
      <c r="E898" s="1603"/>
      <c r="F898" s="1603"/>
      <c r="G898" s="131" t="s">
        <v>154</v>
      </c>
      <c r="H898" s="101">
        <v>381242.88</v>
      </c>
      <c r="I898" s="102">
        <v>798334.08</v>
      </c>
      <c r="J898" s="101">
        <v>272306.09000000003</v>
      </c>
      <c r="K898" s="101">
        <v>873776.12</v>
      </c>
      <c r="L898" s="101"/>
      <c r="M898" s="6"/>
      <c r="N898" s="6"/>
    </row>
    <row r="899" spans="1:14" s="48" customFormat="1" ht="18" customHeight="1" x14ac:dyDescent="0.25">
      <c r="A899" s="48" t="s">
        <v>123</v>
      </c>
      <c r="B899" s="926" t="s">
        <v>1388</v>
      </c>
      <c r="C899" s="1602" t="s">
        <v>155</v>
      </c>
      <c r="D899" s="1603"/>
      <c r="E899" s="1603"/>
      <c r="F899" s="1603"/>
      <c r="G899" s="131" t="s">
        <v>156</v>
      </c>
      <c r="H899" s="101">
        <v>21100</v>
      </c>
      <c r="I899" s="102">
        <v>36000</v>
      </c>
      <c r="J899" s="101">
        <v>13600</v>
      </c>
      <c r="K899" s="101">
        <v>36000</v>
      </c>
      <c r="L899" s="101"/>
      <c r="M899" s="6"/>
      <c r="N899" s="6"/>
    </row>
    <row r="900" spans="1:14" s="48" customFormat="1" ht="18" customHeight="1" x14ac:dyDescent="0.25">
      <c r="A900" s="48" t="s">
        <v>123</v>
      </c>
      <c r="B900" s="926" t="s">
        <v>1388</v>
      </c>
      <c r="C900" s="1602" t="s">
        <v>157</v>
      </c>
      <c r="D900" s="1603"/>
      <c r="E900" s="1603"/>
      <c r="F900" s="1603"/>
      <c r="G900" s="131" t="s">
        <v>158</v>
      </c>
      <c r="H900" s="101">
        <v>47573.06</v>
      </c>
      <c r="I900" s="102">
        <v>114830.24</v>
      </c>
      <c r="J900" s="101">
        <v>34804.33</v>
      </c>
      <c r="K900" s="101">
        <v>291221.27</v>
      </c>
      <c r="L900" s="101"/>
      <c r="M900" s="6"/>
      <c r="N900" s="6"/>
    </row>
    <row r="901" spans="1:14" s="48" customFormat="1" ht="18" customHeight="1" x14ac:dyDescent="0.25">
      <c r="A901" s="48" t="s">
        <v>123</v>
      </c>
      <c r="B901" s="926" t="s">
        <v>1388</v>
      </c>
      <c r="C901" s="1602" t="s">
        <v>159</v>
      </c>
      <c r="D901" s="1603"/>
      <c r="E901" s="1603"/>
      <c r="F901" s="1603"/>
      <c r="G901" s="131" t="s">
        <v>160</v>
      </c>
      <c r="H901" s="101">
        <v>21100</v>
      </c>
      <c r="I901" s="102">
        <v>36000</v>
      </c>
      <c r="J901" s="101">
        <v>13600</v>
      </c>
      <c r="K901" s="101">
        <v>36000</v>
      </c>
      <c r="L901" s="101"/>
      <c r="M901" s="6"/>
      <c r="N901" s="6"/>
    </row>
    <row r="902" spans="1:14" s="48" customFormat="1" ht="18" customHeight="1" x14ac:dyDescent="0.25">
      <c r="A902" s="48" t="s">
        <v>163</v>
      </c>
      <c r="B902" s="926" t="s">
        <v>1388</v>
      </c>
      <c r="C902" s="44" t="s">
        <v>164</v>
      </c>
      <c r="D902" s="125"/>
      <c r="E902" s="125"/>
      <c r="F902" s="134"/>
      <c r="G902" s="131" t="s">
        <v>165</v>
      </c>
      <c r="H902" s="101">
        <v>436061</v>
      </c>
      <c r="I902" s="102">
        <v>890000</v>
      </c>
      <c r="J902" s="101">
        <v>293615</v>
      </c>
      <c r="K902" s="101">
        <v>932000</v>
      </c>
      <c r="L902" s="101"/>
      <c r="M902" s="6"/>
      <c r="N902" s="6"/>
    </row>
    <row r="903" spans="1:14" s="48" customFormat="1" ht="18" customHeight="1" x14ac:dyDescent="0.25">
      <c r="A903" s="48" t="s">
        <v>163</v>
      </c>
      <c r="B903" s="926" t="s">
        <v>1388</v>
      </c>
      <c r="C903" s="44" t="s">
        <v>166</v>
      </c>
      <c r="D903" s="125"/>
      <c r="E903" s="125"/>
      <c r="F903" s="134"/>
      <c r="G903" s="131" t="s">
        <v>293</v>
      </c>
      <c r="H903" s="101"/>
      <c r="I903" s="102"/>
      <c r="J903" s="101"/>
      <c r="K903" s="101">
        <v>50000</v>
      </c>
      <c r="L903" s="101"/>
      <c r="M903" s="6"/>
      <c r="N903" s="6"/>
    </row>
    <row r="904" spans="1:14" s="48" customFormat="1" ht="18" customHeight="1" x14ac:dyDescent="0.25">
      <c r="A904" s="48" t="s">
        <v>163</v>
      </c>
      <c r="B904" s="926" t="s">
        <v>1388</v>
      </c>
      <c r="C904" s="44" t="s">
        <v>168</v>
      </c>
      <c r="D904" s="125"/>
      <c r="E904" s="125"/>
      <c r="F904" s="134"/>
      <c r="G904" s="131" t="s">
        <v>169</v>
      </c>
      <c r="H904" s="101">
        <v>320917.34999999998</v>
      </c>
      <c r="I904" s="102">
        <v>457586.25</v>
      </c>
      <c r="J904" s="101">
        <v>211691</v>
      </c>
      <c r="K904" s="102">
        <v>1087166.5</v>
      </c>
      <c r="L904" s="101"/>
      <c r="M904" s="6"/>
      <c r="N904" s="6"/>
    </row>
    <row r="905" spans="1:14" s="48" customFormat="1" ht="18" customHeight="1" x14ac:dyDescent="0.25">
      <c r="A905" s="48" t="s">
        <v>163</v>
      </c>
      <c r="B905" s="926" t="s">
        <v>1388</v>
      </c>
      <c r="C905" s="44" t="s">
        <v>170</v>
      </c>
      <c r="D905" s="125"/>
      <c r="E905" s="125"/>
      <c r="F905" s="134"/>
      <c r="G905" s="131" t="s">
        <v>171</v>
      </c>
      <c r="H905" s="101"/>
      <c r="I905" s="102"/>
      <c r="J905" s="101"/>
      <c r="K905" s="102">
        <v>417885</v>
      </c>
      <c r="L905" s="101"/>
      <c r="M905" s="6"/>
      <c r="N905" s="6"/>
    </row>
    <row r="906" spans="1:14" s="48" customFormat="1" ht="18" customHeight="1" x14ac:dyDescent="0.25">
      <c r="A906" s="48" t="s">
        <v>163</v>
      </c>
      <c r="B906" s="926" t="s">
        <v>1388</v>
      </c>
      <c r="C906" s="44" t="s">
        <v>176</v>
      </c>
      <c r="D906" s="125"/>
      <c r="E906" s="125"/>
      <c r="F906" s="134"/>
      <c r="G906" s="131" t="s">
        <v>177</v>
      </c>
      <c r="H906" s="101">
        <v>0</v>
      </c>
      <c r="I906" s="102">
        <v>4500</v>
      </c>
      <c r="J906" s="101"/>
      <c r="K906" s="101">
        <v>4500</v>
      </c>
      <c r="L906" s="101"/>
      <c r="M906" s="6"/>
      <c r="N906" s="6"/>
    </row>
    <row r="907" spans="1:14" s="48" customFormat="1" ht="18" customHeight="1" x14ac:dyDescent="0.25">
      <c r="A907" s="48" t="s">
        <v>163</v>
      </c>
      <c r="B907" s="926" t="s">
        <v>1388</v>
      </c>
      <c r="C907" s="44" t="s">
        <v>178</v>
      </c>
      <c r="D907" s="125"/>
      <c r="E907" s="125"/>
      <c r="F907" s="134"/>
      <c r="G907" s="131" t="s">
        <v>179</v>
      </c>
      <c r="H907" s="101"/>
      <c r="I907" s="102"/>
      <c r="J907" s="101"/>
      <c r="K907" s="102">
        <v>84000</v>
      </c>
      <c r="L907" s="101"/>
      <c r="M907" s="6"/>
      <c r="N907" s="6"/>
    </row>
    <row r="908" spans="1:14" s="48" customFormat="1" ht="18" customHeight="1" x14ac:dyDescent="0.25">
      <c r="A908" s="48" t="s">
        <v>163</v>
      </c>
      <c r="B908" s="926" t="s">
        <v>1388</v>
      </c>
      <c r="C908" s="44" t="s">
        <v>186</v>
      </c>
      <c r="D908" s="125"/>
      <c r="E908" s="125"/>
      <c r="F908" s="134"/>
      <c r="G908" s="131" t="s">
        <v>187</v>
      </c>
      <c r="H908" s="101">
        <v>13000</v>
      </c>
      <c r="I908" s="102">
        <v>155000</v>
      </c>
      <c r="J908" s="101"/>
      <c r="K908" s="101">
        <v>185000</v>
      </c>
      <c r="L908" s="101"/>
      <c r="M908" s="6"/>
      <c r="N908" s="6">
        <f>155000+30000</f>
        <v>185000</v>
      </c>
    </row>
    <row r="909" spans="1:14" s="48" customFormat="1" ht="18" customHeight="1" x14ac:dyDescent="0.25">
      <c r="A909" s="48" t="s">
        <v>163</v>
      </c>
      <c r="B909" s="926" t="s">
        <v>1388</v>
      </c>
      <c r="C909" s="44" t="s">
        <v>1518</v>
      </c>
      <c r="D909" s="125"/>
      <c r="E909" s="125"/>
      <c r="F909" s="134"/>
      <c r="G909" s="131" t="s">
        <v>189</v>
      </c>
      <c r="H909" s="101"/>
      <c r="I909" s="102">
        <v>0</v>
      </c>
      <c r="J909" s="101"/>
      <c r="K909" s="101">
        <v>100000</v>
      </c>
      <c r="L909" s="101"/>
      <c r="M909" s="6"/>
      <c r="N909" s="6"/>
    </row>
    <row r="910" spans="1:14" s="48" customFormat="1" ht="18" customHeight="1" x14ac:dyDescent="0.25">
      <c r="A910" s="48" t="s">
        <v>163</v>
      </c>
      <c r="B910" s="926" t="s">
        <v>1388</v>
      </c>
      <c r="C910" s="44" t="s">
        <v>198</v>
      </c>
      <c r="D910" s="125"/>
      <c r="E910" s="125"/>
      <c r="F910" s="134"/>
      <c r="G910" s="131" t="s">
        <v>199</v>
      </c>
      <c r="H910" s="101">
        <v>371478.43</v>
      </c>
      <c r="I910" s="102">
        <v>1343892.4</v>
      </c>
      <c r="J910" s="101">
        <v>271288.32000000001</v>
      </c>
      <c r="K910" s="105">
        <v>2056360.4</v>
      </c>
      <c r="L910" s="101"/>
      <c r="M910" s="6">
        <f>2106360.4-50000</f>
        <v>2056360.4</v>
      </c>
      <c r="N910" s="6"/>
    </row>
    <row r="911" spans="1:14" s="136" customFormat="1" ht="18" customHeight="1" x14ac:dyDescent="0.25">
      <c r="A911" s="136" t="s">
        <v>201</v>
      </c>
      <c r="B911" s="926" t="s">
        <v>1388</v>
      </c>
      <c r="C911" s="829" t="s">
        <v>529</v>
      </c>
      <c r="D911" s="822"/>
      <c r="E911" s="822"/>
      <c r="F911" s="822"/>
      <c r="G911" s="120"/>
      <c r="H911" s="121"/>
      <c r="I911" s="145"/>
      <c r="J911" s="121"/>
      <c r="K911" s="121">
        <v>183600</v>
      </c>
      <c r="L911" s="121"/>
      <c r="M911" s="6"/>
      <c r="N911" s="6"/>
    </row>
    <row r="912" spans="1:14" s="136" customFormat="1" ht="18" customHeight="1" x14ac:dyDescent="0.25">
      <c r="A912" s="136" t="s">
        <v>201</v>
      </c>
      <c r="B912" s="926" t="s">
        <v>1388</v>
      </c>
      <c r="C912" s="826" t="s">
        <v>530</v>
      </c>
      <c r="D912" s="813"/>
      <c r="E912" s="813"/>
      <c r="F912" s="813"/>
      <c r="G912" s="97"/>
      <c r="H912" s="101"/>
      <c r="I912" s="102"/>
      <c r="J912" s="101"/>
      <c r="K912" s="101">
        <v>56000</v>
      </c>
      <c r="L912" s="101"/>
      <c r="M912" s="6"/>
      <c r="N912" s="6"/>
    </row>
    <row r="913" spans="1:16" s="136" customFormat="1" ht="18" customHeight="1" x14ac:dyDescent="0.25">
      <c r="A913" s="136" t="s">
        <v>201</v>
      </c>
      <c r="B913" s="926" t="s">
        <v>1388</v>
      </c>
      <c r="C913" s="826" t="s">
        <v>531</v>
      </c>
      <c r="D913" s="813"/>
      <c r="E913" s="813"/>
      <c r="F913" s="813"/>
      <c r="G913" s="97"/>
      <c r="H913" s="101"/>
      <c r="I913" s="102"/>
      <c r="J913" s="101"/>
      <c r="K913" s="101">
        <v>40000</v>
      </c>
      <c r="L913" s="101"/>
      <c r="M913" s="6"/>
      <c r="N913" s="6"/>
    </row>
    <row r="914" spans="1:16" s="136" customFormat="1" ht="18" customHeight="1" x14ac:dyDescent="0.25">
      <c r="A914" s="136" t="s">
        <v>201</v>
      </c>
      <c r="B914" s="926" t="s">
        <v>1388</v>
      </c>
      <c r="C914" s="826" t="s">
        <v>532</v>
      </c>
      <c r="D914" s="813"/>
      <c r="E914" s="813"/>
      <c r="F914" s="813"/>
      <c r="G914" s="97"/>
      <c r="H914" s="101"/>
      <c r="I914" s="102"/>
      <c r="J914" s="101"/>
      <c r="K914" s="101">
        <v>58500</v>
      </c>
      <c r="L914" s="101"/>
      <c r="M914" s="6"/>
      <c r="N914" s="6"/>
    </row>
    <row r="915" spans="1:16" s="136" customFormat="1" ht="18" customHeight="1" x14ac:dyDescent="0.25">
      <c r="A915" s="136" t="s">
        <v>201</v>
      </c>
      <c r="B915" s="926" t="s">
        <v>1388</v>
      </c>
      <c r="C915" s="826" t="s">
        <v>203</v>
      </c>
      <c r="D915" s="813"/>
      <c r="E915" s="813"/>
      <c r="F915" s="813"/>
      <c r="G915" s="97"/>
      <c r="H915" s="101"/>
      <c r="I915" s="102"/>
      <c r="J915" s="101"/>
      <c r="K915" s="101">
        <v>115000</v>
      </c>
      <c r="L915" s="101"/>
      <c r="M915" s="6"/>
      <c r="N915" s="6"/>
    </row>
    <row r="916" spans="1:16" s="136" customFormat="1" ht="18" customHeight="1" x14ac:dyDescent="0.25">
      <c r="A916" s="136" t="s">
        <v>201</v>
      </c>
      <c r="B916" s="926" t="s">
        <v>1388</v>
      </c>
      <c r="C916" s="826" t="s">
        <v>533</v>
      </c>
      <c r="D916" s="808"/>
      <c r="E916" s="813"/>
      <c r="F916" s="813"/>
      <c r="G916" s="97"/>
      <c r="H916" s="101"/>
      <c r="I916" s="102"/>
      <c r="J916" s="101"/>
      <c r="K916" s="101">
        <v>90000</v>
      </c>
      <c r="L916" s="101"/>
      <c r="M916" s="6"/>
      <c r="N916" s="6"/>
    </row>
    <row r="917" spans="1:16" s="136" customFormat="1" ht="18" customHeight="1" x14ac:dyDescent="0.25">
      <c r="A917" s="136" t="s">
        <v>201</v>
      </c>
      <c r="B917" s="926" t="s">
        <v>1388</v>
      </c>
      <c r="C917" s="826" t="s">
        <v>534</v>
      </c>
      <c r="D917" s="808"/>
      <c r="E917" s="813"/>
      <c r="F917" s="813"/>
      <c r="G917" s="97"/>
      <c r="H917" s="101"/>
      <c r="I917" s="102"/>
      <c r="J917" s="101"/>
      <c r="K917" s="101">
        <v>600000</v>
      </c>
      <c r="L917" s="101"/>
      <c r="M917" s="6"/>
      <c r="N917" s="6"/>
    </row>
    <row r="918" spans="1:16" s="136" customFormat="1" ht="18" customHeight="1" x14ac:dyDescent="0.25">
      <c r="A918" s="136" t="s">
        <v>201</v>
      </c>
      <c r="B918" s="926" t="s">
        <v>1388</v>
      </c>
      <c r="C918" s="826" t="s">
        <v>535</v>
      </c>
      <c r="D918" s="808"/>
      <c r="E918" s="813"/>
      <c r="F918" s="813"/>
      <c r="G918" s="97"/>
      <c r="H918" s="101"/>
      <c r="I918" s="102"/>
      <c r="J918" s="112"/>
      <c r="K918" s="101">
        <v>4000000</v>
      </c>
      <c r="L918" s="112"/>
      <c r="M918" s="6"/>
      <c r="N918" s="6"/>
    </row>
    <row r="919" spans="1:16" ht="18" customHeight="1" x14ac:dyDescent="0.25">
      <c r="A919" s="136" t="s">
        <v>123</v>
      </c>
      <c r="B919" s="926" t="s">
        <v>1388</v>
      </c>
      <c r="C919" s="1602" t="s">
        <v>124</v>
      </c>
      <c r="D919" s="1603"/>
      <c r="E919" s="1603"/>
      <c r="F919" s="1603"/>
      <c r="G919" s="131" t="s">
        <v>125</v>
      </c>
      <c r="H919" s="101">
        <v>1262292</v>
      </c>
      <c r="I919" s="102">
        <v>1262292</v>
      </c>
      <c r="J919" s="101">
        <v>754831</v>
      </c>
      <c r="K919" s="101">
        <v>1325712</v>
      </c>
      <c r="L919" s="101"/>
    </row>
    <row r="920" spans="1:16" ht="18" customHeight="1" x14ac:dyDescent="0.25">
      <c r="A920" s="136" t="s">
        <v>123</v>
      </c>
      <c r="B920" s="926" t="s">
        <v>1388</v>
      </c>
      <c r="C920" s="1611" t="s">
        <v>128</v>
      </c>
      <c r="D920" s="1611"/>
      <c r="E920" s="1611"/>
      <c r="F920" s="1602"/>
      <c r="G920" s="131" t="s">
        <v>125</v>
      </c>
      <c r="H920" s="101">
        <v>0</v>
      </c>
      <c r="I920" s="102">
        <v>0</v>
      </c>
      <c r="J920" s="101"/>
      <c r="K920" s="101">
        <v>2634</v>
      </c>
      <c r="L920" s="101"/>
    </row>
    <row r="921" spans="1:16" ht="18" customHeight="1" x14ac:dyDescent="0.25">
      <c r="A921" s="136" t="s">
        <v>123</v>
      </c>
      <c r="B921" s="926" t="s">
        <v>1388</v>
      </c>
      <c r="C921" s="1602" t="s">
        <v>129</v>
      </c>
      <c r="D921" s="1603"/>
      <c r="E921" s="1603"/>
      <c r="F921" s="1603"/>
      <c r="G921" s="132" t="s">
        <v>130</v>
      </c>
      <c r="H921" s="101">
        <v>72000</v>
      </c>
      <c r="I921" s="102">
        <v>72000</v>
      </c>
      <c r="J921" s="101">
        <v>42000</v>
      </c>
      <c r="K921" s="101">
        <v>72000</v>
      </c>
      <c r="L921" s="101"/>
    </row>
    <row r="922" spans="1:16" s="146" customFormat="1" ht="18" customHeight="1" x14ac:dyDescent="0.25">
      <c r="A922" s="136" t="s">
        <v>123</v>
      </c>
      <c r="B922" s="926" t="s">
        <v>1388</v>
      </c>
      <c r="C922" s="1602" t="s">
        <v>131</v>
      </c>
      <c r="D922" s="1603"/>
      <c r="E922" s="1603"/>
      <c r="F922" s="1603"/>
      <c r="G922" s="131" t="s">
        <v>132</v>
      </c>
      <c r="H922" s="101">
        <v>70500</v>
      </c>
      <c r="I922" s="102">
        <v>72000</v>
      </c>
      <c r="J922" s="101">
        <v>40500</v>
      </c>
      <c r="K922" s="101">
        <v>72000</v>
      </c>
      <c r="L922" s="101"/>
      <c r="M922" s="10"/>
      <c r="N922" s="10"/>
      <c r="O922"/>
      <c r="P922"/>
    </row>
    <row r="923" spans="1:16" s="146" customFormat="1" ht="18" customHeight="1" x14ac:dyDescent="0.25">
      <c r="A923" s="136" t="s">
        <v>123</v>
      </c>
      <c r="B923" s="926" t="s">
        <v>1388</v>
      </c>
      <c r="C923" s="1602" t="s">
        <v>133</v>
      </c>
      <c r="D923" s="1603"/>
      <c r="E923" s="1603"/>
      <c r="F923" s="1603"/>
      <c r="G923" s="131" t="s">
        <v>134</v>
      </c>
      <c r="H923" s="101">
        <v>70500</v>
      </c>
      <c r="I923" s="102">
        <v>72000</v>
      </c>
      <c r="J923" s="101">
        <v>40500</v>
      </c>
      <c r="K923" s="101">
        <v>72000</v>
      </c>
      <c r="L923" s="101"/>
      <c r="M923" s="10"/>
      <c r="N923" s="10"/>
      <c r="O923"/>
      <c r="P923"/>
    </row>
    <row r="924" spans="1:16" s="146" customFormat="1" ht="18" customHeight="1" x14ac:dyDescent="0.25">
      <c r="A924" s="136" t="s">
        <v>123</v>
      </c>
      <c r="B924" s="926" t="s">
        <v>1388</v>
      </c>
      <c r="C924" s="1602" t="s">
        <v>135</v>
      </c>
      <c r="D924" s="1603"/>
      <c r="E924" s="1603"/>
      <c r="F924" s="1603"/>
      <c r="G924" s="131" t="s">
        <v>136</v>
      </c>
      <c r="H924" s="101">
        <v>11812.16</v>
      </c>
      <c r="I924" s="102">
        <v>97851.56</v>
      </c>
      <c r="J924" s="101"/>
      <c r="K924" s="101">
        <v>40812.5</v>
      </c>
      <c r="L924" s="101"/>
      <c r="M924" s="10"/>
      <c r="N924" s="10"/>
      <c r="O924"/>
      <c r="P924"/>
    </row>
    <row r="925" spans="1:16" s="146" customFormat="1" ht="18" customHeight="1" x14ac:dyDescent="0.25">
      <c r="A925" s="136" t="s">
        <v>123</v>
      </c>
      <c r="B925" s="926" t="s">
        <v>1388</v>
      </c>
      <c r="C925" s="1602" t="s">
        <v>137</v>
      </c>
      <c r="D925" s="1603"/>
      <c r="E925" s="1603"/>
      <c r="F925" s="1603"/>
      <c r="G925" s="131" t="s">
        <v>138</v>
      </c>
      <c r="H925" s="101">
        <v>18000</v>
      </c>
      <c r="I925" s="102">
        <v>18000</v>
      </c>
      <c r="J925" s="101">
        <v>18000</v>
      </c>
      <c r="K925" s="101">
        <v>18000</v>
      </c>
      <c r="L925" s="101"/>
      <c r="M925" s="10"/>
      <c r="N925" s="10"/>
      <c r="O925"/>
      <c r="P925"/>
    </row>
    <row r="926" spans="1:16" s="146" customFormat="1" ht="18" customHeight="1" x14ac:dyDescent="0.25">
      <c r="A926" s="136" t="s">
        <v>123</v>
      </c>
      <c r="B926" s="926" t="s">
        <v>1388</v>
      </c>
      <c r="C926" s="1602" t="s">
        <v>1370</v>
      </c>
      <c r="D926" s="1603"/>
      <c r="E926" s="1603"/>
      <c r="F926" s="1603"/>
      <c r="G926" s="131" t="s">
        <v>329</v>
      </c>
      <c r="H926" s="101"/>
      <c r="I926" s="102"/>
      <c r="J926" s="101"/>
      <c r="K926" s="101">
        <v>1801733.3</v>
      </c>
      <c r="L926" s="101"/>
      <c r="M926" s="10"/>
      <c r="N926" s="10"/>
      <c r="O926"/>
      <c r="P926"/>
    </row>
    <row r="927" spans="1:16" s="146" customFormat="1" ht="18" customHeight="1" x14ac:dyDescent="0.25">
      <c r="A927" s="136" t="s">
        <v>123</v>
      </c>
      <c r="B927" s="926" t="s">
        <v>1388</v>
      </c>
      <c r="C927" s="1602" t="s">
        <v>139</v>
      </c>
      <c r="D927" s="1603"/>
      <c r="E927" s="1603"/>
      <c r="F927" s="1603"/>
      <c r="G927" s="131" t="s">
        <v>140</v>
      </c>
      <c r="H927" s="101">
        <v>105191</v>
      </c>
      <c r="I927" s="102">
        <v>105191</v>
      </c>
      <c r="J927" s="101">
        <v>107833</v>
      </c>
      <c r="K927" s="101">
        <v>110707</v>
      </c>
      <c r="L927" s="101"/>
      <c r="M927" s="10"/>
      <c r="N927" s="10"/>
      <c r="O927"/>
      <c r="P927"/>
    </row>
    <row r="928" spans="1:16" s="146" customFormat="1" ht="18" customHeight="1" x14ac:dyDescent="0.25">
      <c r="A928" s="136" t="s">
        <v>123</v>
      </c>
      <c r="B928" s="926" t="s">
        <v>1388</v>
      </c>
      <c r="C928" s="1602" t="s">
        <v>141</v>
      </c>
      <c r="D928" s="1603"/>
      <c r="E928" s="1603"/>
      <c r="F928" s="1603"/>
      <c r="G928" s="131" t="s">
        <v>142</v>
      </c>
      <c r="H928" s="101">
        <v>105191</v>
      </c>
      <c r="I928" s="102">
        <v>105191</v>
      </c>
      <c r="J928" s="101"/>
      <c r="K928" s="101">
        <v>110707</v>
      </c>
      <c r="L928" s="101"/>
      <c r="M928" s="10"/>
      <c r="N928" s="10"/>
      <c r="O928"/>
      <c r="P928"/>
    </row>
    <row r="929" spans="1:16" s="146" customFormat="1" ht="18" customHeight="1" x14ac:dyDescent="0.25">
      <c r="A929" s="136" t="s">
        <v>123</v>
      </c>
      <c r="B929" s="926" t="s">
        <v>1388</v>
      </c>
      <c r="C929" s="1602" t="s">
        <v>143</v>
      </c>
      <c r="D929" s="1603"/>
      <c r="E929" s="1603"/>
      <c r="F929" s="1603"/>
      <c r="G929" s="131" t="s">
        <v>144</v>
      </c>
      <c r="H929" s="101">
        <v>15000</v>
      </c>
      <c r="I929" s="102">
        <v>15000</v>
      </c>
      <c r="J929" s="101"/>
      <c r="K929" s="101">
        <v>15000</v>
      </c>
      <c r="L929" s="101"/>
      <c r="M929" s="10"/>
      <c r="N929" s="10"/>
      <c r="O929"/>
      <c r="P929"/>
    </row>
    <row r="930" spans="1:16" s="146" customFormat="1" ht="18" customHeight="1" x14ac:dyDescent="0.25">
      <c r="A930" s="136" t="s">
        <v>123</v>
      </c>
      <c r="B930" s="926" t="s">
        <v>1388</v>
      </c>
      <c r="C930" s="1602" t="s">
        <v>145</v>
      </c>
      <c r="D930" s="1603"/>
      <c r="E930" s="1603"/>
      <c r="F930" s="1603"/>
      <c r="G930" s="131" t="s">
        <v>146</v>
      </c>
      <c r="H930" s="101">
        <v>15000</v>
      </c>
      <c r="I930" s="102">
        <v>15000</v>
      </c>
      <c r="J930" s="101"/>
      <c r="K930" s="101">
        <v>15000</v>
      </c>
      <c r="L930" s="101"/>
      <c r="M930" s="10"/>
      <c r="N930" s="10"/>
      <c r="O930"/>
      <c r="P930"/>
    </row>
    <row r="931" spans="1:16" s="146" customFormat="1" ht="18" customHeight="1" x14ac:dyDescent="0.25">
      <c r="A931" s="136" t="s">
        <v>123</v>
      </c>
      <c r="B931" s="926" t="s">
        <v>1388</v>
      </c>
      <c r="C931" s="826" t="s">
        <v>147</v>
      </c>
      <c r="D931" s="813"/>
      <c r="E931" s="813"/>
      <c r="F931" s="811"/>
      <c r="G931" s="131" t="s">
        <v>148</v>
      </c>
      <c r="H931" s="101"/>
      <c r="I931" s="102"/>
      <c r="J931" s="101"/>
      <c r="K931" s="101">
        <v>9000</v>
      </c>
      <c r="L931" s="101"/>
      <c r="M931" s="10"/>
      <c r="N931" s="10"/>
      <c r="O931"/>
      <c r="P931"/>
    </row>
    <row r="932" spans="1:16" s="146" customFormat="1" ht="18" customHeight="1" x14ac:dyDescent="0.25">
      <c r="A932" s="136" t="s">
        <v>123</v>
      </c>
      <c r="B932" s="926" t="s">
        <v>1388</v>
      </c>
      <c r="C932" s="1602" t="s">
        <v>153</v>
      </c>
      <c r="D932" s="1603"/>
      <c r="E932" s="1603"/>
      <c r="F932" s="1603"/>
      <c r="G932" s="131" t="s">
        <v>154</v>
      </c>
      <c r="H932" s="101">
        <v>151475.04</v>
      </c>
      <c r="I932" s="102">
        <v>151475.04</v>
      </c>
      <c r="J932" s="101">
        <v>90579.72</v>
      </c>
      <c r="K932" s="101">
        <v>159401.51999999999</v>
      </c>
      <c r="L932" s="101"/>
      <c r="M932" s="10"/>
      <c r="N932" s="10"/>
      <c r="O932"/>
      <c r="P932"/>
    </row>
    <row r="933" spans="1:16" s="146" customFormat="1" ht="18" customHeight="1" x14ac:dyDescent="0.25">
      <c r="A933" s="136" t="s">
        <v>123</v>
      </c>
      <c r="B933" s="926" t="s">
        <v>1388</v>
      </c>
      <c r="C933" s="1602" t="s">
        <v>155</v>
      </c>
      <c r="D933" s="1603"/>
      <c r="E933" s="1603"/>
      <c r="F933" s="1603"/>
      <c r="G933" s="131" t="s">
        <v>156</v>
      </c>
      <c r="H933" s="101">
        <v>3600</v>
      </c>
      <c r="I933" s="102">
        <v>3600</v>
      </c>
      <c r="J933" s="101">
        <v>2100</v>
      </c>
      <c r="K933" s="101">
        <v>3600</v>
      </c>
      <c r="L933" s="101"/>
      <c r="M933" s="10"/>
      <c r="N933" s="10"/>
      <c r="O933"/>
      <c r="P933"/>
    </row>
    <row r="934" spans="1:16" s="146" customFormat="1" ht="18" customHeight="1" x14ac:dyDescent="0.25">
      <c r="A934" s="136" t="s">
        <v>123</v>
      </c>
      <c r="B934" s="926" t="s">
        <v>1388</v>
      </c>
      <c r="C934" s="1602" t="s">
        <v>157</v>
      </c>
      <c r="D934" s="1603"/>
      <c r="E934" s="1603"/>
      <c r="F934" s="1603"/>
      <c r="G934" s="131" t="s">
        <v>158</v>
      </c>
      <c r="H934" s="101">
        <v>15309.02</v>
      </c>
      <c r="I934" s="102">
        <v>19960.5</v>
      </c>
      <c r="J934" s="101">
        <v>9042.73</v>
      </c>
      <c r="K934" s="101">
        <v>51561.36</v>
      </c>
      <c r="L934" s="101"/>
      <c r="M934" s="10"/>
      <c r="N934" s="10"/>
      <c r="O934"/>
      <c r="P934"/>
    </row>
    <row r="935" spans="1:16" ht="18" customHeight="1" x14ac:dyDescent="0.25">
      <c r="A935" s="136" t="s">
        <v>123</v>
      </c>
      <c r="B935" s="926" t="s">
        <v>1388</v>
      </c>
      <c r="C935" s="1602" t="s">
        <v>159</v>
      </c>
      <c r="D935" s="1603"/>
      <c r="E935" s="1603"/>
      <c r="F935" s="1603"/>
      <c r="G935" s="131" t="s">
        <v>160</v>
      </c>
      <c r="H935" s="101">
        <v>3600</v>
      </c>
      <c r="I935" s="102">
        <v>3600</v>
      </c>
      <c r="J935" s="101">
        <v>2100</v>
      </c>
      <c r="K935" s="101">
        <v>3600</v>
      </c>
      <c r="L935" s="101"/>
    </row>
    <row r="936" spans="1:16" ht="18" customHeight="1" x14ac:dyDescent="0.25">
      <c r="A936" s="136" t="s">
        <v>163</v>
      </c>
      <c r="B936" s="926" t="s">
        <v>1388</v>
      </c>
      <c r="C936" s="44" t="s">
        <v>164</v>
      </c>
      <c r="D936" s="113"/>
      <c r="E936" s="113"/>
      <c r="F936" s="114"/>
      <c r="G936" s="131" t="s">
        <v>165</v>
      </c>
      <c r="H936" s="101">
        <v>4030</v>
      </c>
      <c r="I936" s="102">
        <v>54000</v>
      </c>
      <c r="J936" s="101"/>
      <c r="K936" s="101">
        <v>30000</v>
      </c>
      <c r="L936" s="101"/>
    </row>
    <row r="937" spans="1:16" ht="18" customHeight="1" x14ac:dyDescent="0.25">
      <c r="A937" s="136" t="s">
        <v>163</v>
      </c>
      <c r="B937" s="926" t="s">
        <v>1388</v>
      </c>
      <c r="C937" s="44" t="s">
        <v>168</v>
      </c>
      <c r="D937" s="113"/>
      <c r="E937" s="113"/>
      <c r="F937" s="114"/>
      <c r="G937" s="131" t="s">
        <v>169</v>
      </c>
      <c r="H937" s="101">
        <v>57584</v>
      </c>
      <c r="I937" s="102">
        <v>144146</v>
      </c>
      <c r="J937" s="101">
        <v>52392</v>
      </c>
      <c r="K937" s="101">
        <v>99547</v>
      </c>
      <c r="L937" s="101"/>
      <c r="M937" s="10">
        <f>15008+79568+4971</f>
        <v>99547</v>
      </c>
      <c r="N937" s="10">
        <f>208576+52000</f>
        <v>260576</v>
      </c>
    </row>
    <row r="938" spans="1:16" ht="18" customHeight="1" x14ac:dyDescent="0.25">
      <c r="A938" s="136" t="s">
        <v>163</v>
      </c>
      <c r="B938" s="926" t="s">
        <v>1388</v>
      </c>
      <c r="C938" s="44" t="s">
        <v>248</v>
      </c>
      <c r="D938" s="113"/>
      <c r="E938" s="113"/>
      <c r="F938" s="114"/>
      <c r="G938" s="131" t="s">
        <v>171</v>
      </c>
      <c r="H938" s="101"/>
      <c r="I938" s="102"/>
      <c r="J938" s="101"/>
      <c r="K938" s="102">
        <v>574810</v>
      </c>
      <c r="L938" s="101"/>
      <c r="M938" s="10">
        <f>570060+4750</f>
        <v>574810</v>
      </c>
    </row>
    <row r="939" spans="1:16" ht="18" customHeight="1" x14ac:dyDescent="0.25">
      <c r="A939" s="136" t="s">
        <v>163</v>
      </c>
      <c r="B939" s="926" t="s">
        <v>1388</v>
      </c>
      <c r="C939" s="44" t="s">
        <v>178</v>
      </c>
      <c r="D939" s="113"/>
      <c r="E939" s="113"/>
      <c r="F939" s="114"/>
      <c r="G939" s="131" t="s">
        <v>179</v>
      </c>
      <c r="H939" s="101"/>
      <c r="I939" s="102"/>
      <c r="J939" s="101"/>
      <c r="K939" s="101">
        <v>42000</v>
      </c>
      <c r="L939" s="101"/>
    </row>
    <row r="940" spans="1:16" ht="18" customHeight="1" x14ac:dyDescent="0.25">
      <c r="A940" s="136" t="s">
        <v>163</v>
      </c>
      <c r="B940" s="926" t="s">
        <v>1388</v>
      </c>
      <c r="C940" s="44" t="s">
        <v>186</v>
      </c>
      <c r="D940" s="113"/>
      <c r="E940" s="113"/>
      <c r="F940" s="114"/>
      <c r="G940" s="131"/>
      <c r="H940" s="101"/>
      <c r="I940" s="102"/>
      <c r="J940" s="101"/>
      <c r="K940" s="101">
        <v>10000</v>
      </c>
      <c r="L940" s="101"/>
    </row>
    <row r="941" spans="1:16" ht="18" customHeight="1" x14ac:dyDescent="0.25">
      <c r="A941" s="136" t="s">
        <v>163</v>
      </c>
      <c r="B941" s="926" t="s">
        <v>1388</v>
      </c>
      <c r="C941" s="44" t="s">
        <v>393</v>
      </c>
      <c r="D941" s="113"/>
      <c r="E941" s="113"/>
      <c r="F941" s="114"/>
      <c r="G941" s="131" t="s">
        <v>189</v>
      </c>
      <c r="H941" s="101"/>
      <c r="I941" s="102">
        <v>10000</v>
      </c>
      <c r="J941" s="101"/>
      <c r="K941" s="101">
        <v>10000</v>
      </c>
      <c r="L941" s="101"/>
    </row>
    <row r="942" spans="1:16" ht="18" customHeight="1" x14ac:dyDescent="0.25">
      <c r="A942" s="136" t="s">
        <v>163</v>
      </c>
      <c r="B942" s="926" t="s">
        <v>1388</v>
      </c>
      <c r="C942" s="44" t="s">
        <v>198</v>
      </c>
      <c r="D942" s="170"/>
      <c r="E942" s="170"/>
      <c r="F942" s="171"/>
      <c r="G942" s="172" t="s">
        <v>199</v>
      </c>
      <c r="H942" s="102">
        <v>0</v>
      </c>
      <c r="I942" s="102">
        <v>160000</v>
      </c>
      <c r="J942" s="102"/>
      <c r="K942" s="106">
        <v>200000</v>
      </c>
      <c r="L942" s="102"/>
    </row>
    <row r="943" spans="1:16" s="194" customFormat="1" ht="18" customHeight="1" x14ac:dyDescent="0.25">
      <c r="A943" s="927" t="s">
        <v>201</v>
      </c>
      <c r="B943" s="926" t="s">
        <v>1388</v>
      </c>
      <c r="C943" s="826" t="s">
        <v>554</v>
      </c>
      <c r="D943" s="808"/>
      <c r="E943" s="808"/>
      <c r="F943" s="808"/>
      <c r="G943" s="168"/>
      <c r="H943" s="102"/>
      <c r="I943" s="102"/>
      <c r="J943" s="102"/>
      <c r="K943" s="102">
        <v>23900</v>
      </c>
      <c r="L943" s="102"/>
      <c r="M943" s="10"/>
      <c r="N943" s="10"/>
      <c r="O943" s="191"/>
      <c r="P943" s="191"/>
    </row>
    <row r="944" spans="1:16" s="146" customFormat="1" ht="18" x14ac:dyDescent="0.25">
      <c r="A944" s="927" t="s">
        <v>201</v>
      </c>
      <c r="B944" s="926" t="s">
        <v>1388</v>
      </c>
      <c r="C944" s="1574" t="s">
        <v>204</v>
      </c>
      <c r="D944" s="1574"/>
      <c r="E944" s="1574"/>
      <c r="F944" s="1618"/>
      <c r="G944" s="258"/>
      <c r="H944" s="106"/>
      <c r="I944" s="106"/>
      <c r="J944" s="106"/>
      <c r="K944" s="106">
        <v>80000</v>
      </c>
      <c r="L944" s="106"/>
      <c r="M944" s="10"/>
      <c r="N944" s="10"/>
      <c r="O944"/>
      <c r="P944"/>
    </row>
    <row r="945" spans="1:16" s="146" customFormat="1" ht="18" x14ac:dyDescent="0.25">
      <c r="A945" s="927" t="s">
        <v>123</v>
      </c>
      <c r="B945" s="926" t="s">
        <v>1388</v>
      </c>
      <c r="C945" s="1611" t="s">
        <v>124</v>
      </c>
      <c r="D945" s="1611"/>
      <c r="E945" s="1611"/>
      <c r="F945" s="1602"/>
      <c r="G945" s="131" t="s">
        <v>125</v>
      </c>
      <c r="H945" s="101">
        <v>6156284.6299999999</v>
      </c>
      <c r="I945" s="102">
        <v>8489460</v>
      </c>
      <c r="J945" s="101">
        <v>3723223.5</v>
      </c>
      <c r="K945" s="101">
        <v>9234504</v>
      </c>
      <c r="L945" s="101"/>
      <c r="M945" s="10"/>
      <c r="N945" s="10"/>
      <c r="O945"/>
      <c r="P945"/>
    </row>
    <row r="946" spans="1:16" s="146" customFormat="1" ht="18" x14ac:dyDescent="0.25">
      <c r="A946" s="927" t="s">
        <v>123</v>
      </c>
      <c r="B946" s="926" t="s">
        <v>1388</v>
      </c>
      <c r="C946" s="1611" t="s">
        <v>126</v>
      </c>
      <c r="D946" s="1611"/>
      <c r="E946" s="1611"/>
      <c r="F946" s="1602"/>
      <c r="G946" s="131" t="s">
        <v>127</v>
      </c>
      <c r="H946" s="101">
        <v>984154.85</v>
      </c>
      <c r="I946" s="102">
        <v>1139964</v>
      </c>
      <c r="J946" s="101">
        <v>409404.63</v>
      </c>
      <c r="K946" s="101">
        <v>1237056</v>
      </c>
      <c r="L946" s="101"/>
      <c r="M946" s="10"/>
      <c r="N946" s="10"/>
      <c r="O946"/>
      <c r="P946"/>
    </row>
    <row r="947" spans="1:16" s="146" customFormat="1" ht="18" x14ac:dyDescent="0.25">
      <c r="A947" s="927" t="s">
        <v>123</v>
      </c>
      <c r="B947" s="926" t="s">
        <v>1388</v>
      </c>
      <c r="C947" s="1611" t="s">
        <v>128</v>
      </c>
      <c r="D947" s="1611"/>
      <c r="E947" s="1611"/>
      <c r="F947" s="1602"/>
      <c r="G947" s="131" t="s">
        <v>127</v>
      </c>
      <c r="H947" s="101"/>
      <c r="I947" s="102">
        <v>18092.5</v>
      </c>
      <c r="J947" s="101"/>
      <c r="K947" s="101">
        <v>9942.7199999999993</v>
      </c>
      <c r="L947" s="101"/>
      <c r="M947" s="10"/>
      <c r="N947" s="10"/>
      <c r="O947"/>
      <c r="P947"/>
    </row>
    <row r="948" spans="1:16" s="146" customFormat="1" ht="18" x14ac:dyDescent="0.25">
      <c r="A948" s="927" t="s">
        <v>123</v>
      </c>
      <c r="B948" s="926" t="s">
        <v>1388</v>
      </c>
      <c r="C948" s="1611" t="s">
        <v>129</v>
      </c>
      <c r="D948" s="1611"/>
      <c r="E948" s="1611"/>
      <c r="F948" s="1602"/>
      <c r="G948" s="132" t="s">
        <v>130</v>
      </c>
      <c r="H948" s="101">
        <v>936090.38</v>
      </c>
      <c r="I948" s="102">
        <v>1296000</v>
      </c>
      <c r="J948" s="101">
        <v>550272.68000000005</v>
      </c>
      <c r="K948" s="101">
        <v>1296000</v>
      </c>
      <c r="L948" s="101"/>
      <c r="M948" s="10"/>
      <c r="N948" s="10"/>
      <c r="O948"/>
      <c r="P948"/>
    </row>
    <row r="949" spans="1:16" s="146" customFormat="1" ht="18" x14ac:dyDescent="0.25">
      <c r="A949" s="927" t="s">
        <v>123</v>
      </c>
      <c r="B949" s="926" t="s">
        <v>1388</v>
      </c>
      <c r="C949" s="1611" t="s">
        <v>131</v>
      </c>
      <c r="D949" s="1611"/>
      <c r="E949" s="1611"/>
      <c r="F949" s="1602"/>
      <c r="G949" s="131" t="s">
        <v>132</v>
      </c>
      <c r="H949" s="101">
        <v>70500</v>
      </c>
      <c r="I949" s="102">
        <v>72000</v>
      </c>
      <c r="J949" s="101">
        <v>40500</v>
      </c>
      <c r="K949" s="101">
        <v>72000</v>
      </c>
      <c r="L949" s="101"/>
      <c r="M949" s="10"/>
      <c r="N949" s="10"/>
      <c r="O949"/>
      <c r="P949"/>
    </row>
    <row r="950" spans="1:16" s="146" customFormat="1" ht="18" x14ac:dyDescent="0.25">
      <c r="A950" s="927" t="s">
        <v>123</v>
      </c>
      <c r="B950" s="926" t="s">
        <v>1388</v>
      </c>
      <c r="C950" s="1611" t="s">
        <v>133</v>
      </c>
      <c r="D950" s="1611"/>
      <c r="E950" s="1611"/>
      <c r="F950" s="1602"/>
      <c r="G950" s="131" t="s">
        <v>134</v>
      </c>
      <c r="H950" s="101">
        <v>70500</v>
      </c>
      <c r="I950" s="102">
        <v>72000</v>
      </c>
      <c r="J950" s="101">
        <v>40500</v>
      </c>
      <c r="K950" s="101">
        <v>72000</v>
      </c>
      <c r="L950" s="101"/>
      <c r="M950" s="10"/>
      <c r="N950" s="10"/>
      <c r="O950"/>
      <c r="P950"/>
    </row>
    <row r="951" spans="1:16" s="146" customFormat="1" ht="18" x14ac:dyDescent="0.25">
      <c r="A951" s="927" t="s">
        <v>123</v>
      </c>
      <c r="B951" s="926" t="s">
        <v>1388</v>
      </c>
      <c r="C951" s="1611" t="s">
        <v>135</v>
      </c>
      <c r="D951" s="1611"/>
      <c r="E951" s="1611"/>
      <c r="F951" s="1602"/>
      <c r="G951" s="131" t="s">
        <v>136</v>
      </c>
      <c r="H951" s="101">
        <v>105493.65</v>
      </c>
      <c r="I951" s="102">
        <v>372794.2</v>
      </c>
      <c r="J951" s="101"/>
      <c r="K951" s="102">
        <v>372794.2</v>
      </c>
      <c r="L951" s="101"/>
      <c r="M951" s="10"/>
      <c r="N951" s="10"/>
      <c r="O951"/>
      <c r="P951"/>
    </row>
    <row r="952" spans="1:16" s="146" customFormat="1" ht="18" x14ac:dyDescent="0.25">
      <c r="A952" s="927" t="s">
        <v>123</v>
      </c>
      <c r="B952" s="926" t="s">
        <v>1388</v>
      </c>
      <c r="C952" s="1611" t="s">
        <v>137</v>
      </c>
      <c r="D952" s="1611"/>
      <c r="E952" s="1611"/>
      <c r="F952" s="1602"/>
      <c r="G952" s="131" t="s">
        <v>138</v>
      </c>
      <c r="H952" s="101">
        <v>210000</v>
      </c>
      <c r="I952" s="102">
        <v>324000</v>
      </c>
      <c r="J952" s="101">
        <v>240000</v>
      </c>
      <c r="K952" s="101">
        <v>324000</v>
      </c>
      <c r="L952" s="101"/>
      <c r="M952" s="10"/>
      <c r="N952" s="10"/>
      <c r="O952"/>
      <c r="P952"/>
    </row>
    <row r="953" spans="1:16" s="146" customFormat="1" ht="18" x14ac:dyDescent="0.25">
      <c r="A953" s="927" t="s">
        <v>123</v>
      </c>
      <c r="B953" s="926" t="s">
        <v>1388</v>
      </c>
      <c r="C953" s="824" t="s">
        <v>1370</v>
      </c>
      <c r="D953" s="813"/>
      <c r="E953" s="813"/>
      <c r="F953" s="811"/>
      <c r="G953" s="131"/>
      <c r="H953" s="101"/>
      <c r="I953" s="102"/>
      <c r="J953" s="101"/>
      <c r="K953" s="101">
        <v>181975.71</v>
      </c>
      <c r="L953" s="101">
        <v>181975.71</v>
      </c>
      <c r="M953" s="10"/>
      <c r="N953" s="10"/>
      <c r="O953"/>
      <c r="P953"/>
    </row>
    <row r="954" spans="1:16" s="146" customFormat="1" ht="18" customHeight="1" x14ac:dyDescent="0.25">
      <c r="A954" s="927" t="s">
        <v>123</v>
      </c>
      <c r="B954" s="926" t="s">
        <v>1388</v>
      </c>
      <c r="C954" s="1602" t="s">
        <v>139</v>
      </c>
      <c r="D954" s="1603"/>
      <c r="E954" s="1603"/>
      <c r="F954" s="1603"/>
      <c r="G954" s="131" t="s">
        <v>140</v>
      </c>
      <c r="H954" s="101">
        <v>588978</v>
      </c>
      <c r="I954" s="102">
        <v>802578</v>
      </c>
      <c r="J954" s="101">
        <v>599071</v>
      </c>
      <c r="K954" s="101">
        <v>873602</v>
      </c>
      <c r="L954" s="101"/>
      <c r="M954" s="10"/>
      <c r="N954" s="10"/>
      <c r="O954"/>
      <c r="P954"/>
    </row>
    <row r="955" spans="1:16" s="146" customFormat="1" ht="18" x14ac:dyDescent="0.25">
      <c r="A955" s="927" t="s">
        <v>123</v>
      </c>
      <c r="B955" s="926" t="s">
        <v>1388</v>
      </c>
      <c r="C955" s="1611" t="s">
        <v>141</v>
      </c>
      <c r="D955" s="1611"/>
      <c r="E955" s="1611"/>
      <c r="F955" s="1602"/>
      <c r="G955" s="131" t="s">
        <v>142</v>
      </c>
      <c r="H955" s="101">
        <v>589332</v>
      </c>
      <c r="I955" s="102">
        <v>804553</v>
      </c>
      <c r="J955" s="101"/>
      <c r="K955" s="101">
        <v>873602</v>
      </c>
      <c r="L955" s="101"/>
      <c r="M955" s="10"/>
      <c r="N955" s="10"/>
      <c r="O955"/>
      <c r="P955"/>
    </row>
    <row r="956" spans="1:16" s="146" customFormat="1" ht="18" x14ac:dyDescent="0.25">
      <c r="A956" s="927" t="s">
        <v>123</v>
      </c>
      <c r="B956" s="926" t="s">
        <v>1388</v>
      </c>
      <c r="C956" s="1611" t="s">
        <v>143</v>
      </c>
      <c r="D956" s="1611"/>
      <c r="E956" s="1611"/>
      <c r="F956" s="1602"/>
      <c r="G956" s="131" t="s">
        <v>144</v>
      </c>
      <c r="H956" s="101">
        <v>210000</v>
      </c>
      <c r="I956" s="102">
        <v>270000</v>
      </c>
      <c r="J956" s="101"/>
      <c r="K956" s="101">
        <v>270000</v>
      </c>
      <c r="L956" s="101"/>
      <c r="M956" s="10"/>
      <c r="N956" s="10"/>
      <c r="O956"/>
      <c r="P956"/>
    </row>
    <row r="957" spans="1:16" s="146" customFormat="1" ht="18" x14ac:dyDescent="0.25">
      <c r="A957" s="927" t="s">
        <v>123</v>
      </c>
      <c r="B957" s="926" t="s">
        <v>1388</v>
      </c>
      <c r="C957" s="1611" t="s">
        <v>145</v>
      </c>
      <c r="D957" s="1611"/>
      <c r="E957" s="1611"/>
      <c r="F957" s="1602"/>
      <c r="G957" s="131" t="s">
        <v>146</v>
      </c>
      <c r="H957" s="101">
        <v>205000</v>
      </c>
      <c r="I957" s="102">
        <v>270000</v>
      </c>
      <c r="J957" s="101"/>
      <c r="K957" s="101">
        <v>270000</v>
      </c>
      <c r="L957" s="101"/>
      <c r="M957" s="10"/>
      <c r="N957" s="10"/>
      <c r="O957"/>
      <c r="P957"/>
    </row>
    <row r="958" spans="1:16" s="146" customFormat="1" ht="18" x14ac:dyDescent="0.25">
      <c r="A958" s="927" t="s">
        <v>123</v>
      </c>
      <c r="B958" s="926" t="s">
        <v>1388</v>
      </c>
      <c r="C958" s="1574" t="s">
        <v>231</v>
      </c>
      <c r="D958" s="1574"/>
      <c r="E958" s="1574"/>
      <c r="F958" s="1618"/>
      <c r="G958" s="131" t="s">
        <v>232</v>
      </c>
      <c r="H958" s="101">
        <v>35000</v>
      </c>
      <c r="I958" s="102">
        <v>20000</v>
      </c>
      <c r="J958" s="101"/>
      <c r="K958" s="101">
        <v>45000</v>
      </c>
      <c r="L958" s="101"/>
      <c r="M958" s="10"/>
      <c r="N958" s="10"/>
      <c r="O958"/>
      <c r="P958"/>
    </row>
    <row r="959" spans="1:16" s="146" customFormat="1" ht="18" x14ac:dyDescent="0.25">
      <c r="A959" s="927" t="s">
        <v>123</v>
      </c>
      <c r="B959" s="926" t="s">
        <v>1388</v>
      </c>
      <c r="C959" s="826" t="s">
        <v>147</v>
      </c>
      <c r="D959" s="813"/>
      <c r="E959" s="813"/>
      <c r="F959" s="811"/>
      <c r="G959" s="131" t="s">
        <v>148</v>
      </c>
      <c r="H959" s="101"/>
      <c r="I959" s="102"/>
      <c r="J959" s="101"/>
      <c r="K959" s="101">
        <v>162000</v>
      </c>
      <c r="L959" s="101"/>
      <c r="M959" s="10"/>
      <c r="N959" s="10"/>
      <c r="O959"/>
      <c r="P959"/>
    </row>
    <row r="960" spans="1:16" ht="18" x14ac:dyDescent="0.25">
      <c r="A960" s="927" t="s">
        <v>123</v>
      </c>
      <c r="B960" s="926" t="s">
        <v>1388</v>
      </c>
      <c r="C960" s="1611" t="s">
        <v>153</v>
      </c>
      <c r="D960" s="1611"/>
      <c r="E960" s="1611"/>
      <c r="F960" s="1602"/>
      <c r="G960" s="131" t="s">
        <v>154</v>
      </c>
      <c r="H960" s="101">
        <v>805487.75</v>
      </c>
      <c r="I960" s="102">
        <v>1157222.46</v>
      </c>
      <c r="J960" s="101">
        <v>497324.99</v>
      </c>
      <c r="K960" s="101">
        <v>1257780.33</v>
      </c>
      <c r="L960" s="101"/>
    </row>
    <row r="961" spans="1:16" ht="18" x14ac:dyDescent="0.25">
      <c r="A961" s="927" t="s">
        <v>123</v>
      </c>
      <c r="B961" s="926" t="s">
        <v>1388</v>
      </c>
      <c r="C961" s="1611" t="s">
        <v>155</v>
      </c>
      <c r="D961" s="1611"/>
      <c r="E961" s="1611"/>
      <c r="F961" s="1602"/>
      <c r="G961" s="131" t="s">
        <v>156</v>
      </c>
      <c r="H961" s="101">
        <v>46800</v>
      </c>
      <c r="I961" s="102">
        <v>64800</v>
      </c>
      <c r="J961" s="101">
        <v>27900</v>
      </c>
      <c r="K961" s="101">
        <v>64800</v>
      </c>
      <c r="L961" s="101"/>
    </row>
    <row r="962" spans="1:16" ht="18" x14ac:dyDescent="0.25">
      <c r="A962" s="927" t="s">
        <v>123</v>
      </c>
      <c r="B962" s="926" t="s">
        <v>1388</v>
      </c>
      <c r="C962" s="1611" t="s">
        <v>157</v>
      </c>
      <c r="D962" s="1611"/>
      <c r="E962" s="1611"/>
      <c r="F962" s="1602"/>
      <c r="G962" s="131" t="s">
        <v>158</v>
      </c>
      <c r="H962" s="101">
        <v>96143.34</v>
      </c>
      <c r="I962" s="102">
        <v>165626.12</v>
      </c>
      <c r="J962" s="101">
        <v>59987.040000000001</v>
      </c>
      <c r="K962" s="101">
        <v>415621.71</v>
      </c>
      <c r="L962" s="101"/>
    </row>
    <row r="963" spans="1:16" ht="18" x14ac:dyDescent="0.25">
      <c r="A963" s="927" t="s">
        <v>123</v>
      </c>
      <c r="B963" s="926" t="s">
        <v>1388</v>
      </c>
      <c r="C963" s="1611" t="s">
        <v>159</v>
      </c>
      <c r="D963" s="1611"/>
      <c r="E963" s="1611"/>
      <c r="F963" s="1602"/>
      <c r="G963" s="131" t="s">
        <v>160</v>
      </c>
      <c r="H963" s="105">
        <v>46806.48</v>
      </c>
      <c r="I963" s="106">
        <v>64800</v>
      </c>
      <c r="J963" s="105">
        <v>27900</v>
      </c>
      <c r="K963" s="105">
        <v>64800</v>
      </c>
      <c r="L963" s="105"/>
    </row>
    <row r="964" spans="1:16" ht="18" customHeight="1" x14ac:dyDescent="0.25">
      <c r="A964" s="927" t="s">
        <v>163</v>
      </c>
      <c r="B964" s="926" t="s">
        <v>1388</v>
      </c>
      <c r="C964" s="44" t="s">
        <v>164</v>
      </c>
      <c r="D964" s="113"/>
      <c r="E964" s="113"/>
      <c r="F964" s="114"/>
      <c r="G964" s="131" t="s">
        <v>165</v>
      </c>
      <c r="H964" s="101">
        <v>5900</v>
      </c>
      <c r="I964" s="102">
        <v>75000</v>
      </c>
      <c r="J964" s="101"/>
      <c r="K964" s="101">
        <v>75000</v>
      </c>
      <c r="L964" s="101"/>
    </row>
    <row r="965" spans="1:16" ht="18" customHeight="1" x14ac:dyDescent="0.25">
      <c r="A965" s="927" t="s">
        <v>163</v>
      </c>
      <c r="B965" s="926" t="s">
        <v>1388</v>
      </c>
      <c r="C965" s="44" t="s">
        <v>555</v>
      </c>
      <c r="D965" s="113"/>
      <c r="E965" s="113"/>
      <c r="F965" s="114"/>
      <c r="G965" s="131" t="s">
        <v>169</v>
      </c>
      <c r="H965" s="101">
        <v>126695.6</v>
      </c>
      <c r="I965" s="102">
        <v>233027</v>
      </c>
      <c r="J965" s="101">
        <v>161308</v>
      </c>
      <c r="K965" s="101">
        <v>270816</v>
      </c>
      <c r="L965" s="101"/>
    </row>
    <row r="966" spans="1:16" ht="18" customHeight="1" x14ac:dyDescent="0.25">
      <c r="A966" s="927" t="s">
        <v>163</v>
      </c>
      <c r="B966" s="926" t="s">
        <v>1388</v>
      </c>
      <c r="C966" s="44" t="s">
        <v>213</v>
      </c>
      <c r="D966" s="113"/>
      <c r="E966" s="113"/>
      <c r="F966" s="114"/>
      <c r="G966" s="131" t="s">
        <v>171</v>
      </c>
      <c r="H966" s="101"/>
      <c r="I966" s="102"/>
      <c r="J966" s="101"/>
      <c r="K966" s="101">
        <v>216240</v>
      </c>
      <c r="L966" s="101"/>
    </row>
    <row r="967" spans="1:16" ht="18" customHeight="1" x14ac:dyDescent="0.25">
      <c r="A967" s="927" t="s">
        <v>163</v>
      </c>
      <c r="B967" s="926" t="s">
        <v>1388</v>
      </c>
      <c r="C967" s="44" t="s">
        <v>382</v>
      </c>
      <c r="D967" s="113"/>
      <c r="E967" s="113"/>
      <c r="F967" s="114"/>
      <c r="G967" s="131" t="s">
        <v>383</v>
      </c>
      <c r="H967" s="101"/>
      <c r="I967" s="102">
        <v>60000</v>
      </c>
      <c r="J967" s="101"/>
      <c r="K967" s="101">
        <v>35000</v>
      </c>
      <c r="L967" s="101"/>
    </row>
    <row r="968" spans="1:16" s="146" customFormat="1" ht="18" customHeight="1" x14ac:dyDescent="0.25">
      <c r="A968" s="927" t="s">
        <v>163</v>
      </c>
      <c r="B968" s="926" t="s">
        <v>1388</v>
      </c>
      <c r="C968" s="44" t="s">
        <v>178</v>
      </c>
      <c r="D968" s="113"/>
      <c r="E968" s="113"/>
      <c r="F968" s="114"/>
      <c r="G968" s="131" t="s">
        <v>179</v>
      </c>
      <c r="H968" s="101"/>
      <c r="I968" s="102"/>
      <c r="J968" s="101"/>
      <c r="K968" s="101">
        <v>42000</v>
      </c>
      <c r="L968" s="101"/>
      <c r="M968" s="10"/>
      <c r="N968" s="10"/>
      <c r="O968"/>
      <c r="P968"/>
    </row>
    <row r="969" spans="1:16" s="146" customFormat="1" ht="18" customHeight="1" x14ac:dyDescent="0.25">
      <c r="A969" s="927" t="s">
        <v>163</v>
      </c>
      <c r="B969" s="926" t="s">
        <v>1388</v>
      </c>
      <c r="C969" s="44" t="s">
        <v>182</v>
      </c>
      <c r="D969" s="113"/>
      <c r="E969" s="113"/>
      <c r="F969" s="114"/>
      <c r="G969" s="131" t="s">
        <v>179</v>
      </c>
      <c r="H969" s="101">
        <v>36525.35</v>
      </c>
      <c r="I969" s="102">
        <v>54000</v>
      </c>
      <c r="J969" s="101"/>
      <c r="K969" s="101">
        <v>54000</v>
      </c>
      <c r="L969" s="101"/>
      <c r="M969" s="10"/>
      <c r="N969" s="10"/>
      <c r="O969"/>
      <c r="P969"/>
    </row>
    <row r="970" spans="1:16" s="146" customFormat="1" ht="18" customHeight="1" x14ac:dyDescent="0.25">
      <c r="A970" s="927" t="s">
        <v>163</v>
      </c>
      <c r="B970" s="926" t="s">
        <v>1388</v>
      </c>
      <c r="C970" s="44" t="s">
        <v>1519</v>
      </c>
      <c r="D970" s="113"/>
      <c r="E970" s="113"/>
      <c r="F970" s="114"/>
      <c r="G970" s="131"/>
      <c r="H970" s="101"/>
      <c r="I970" s="102"/>
      <c r="J970" s="101"/>
      <c r="K970" s="101">
        <v>50000</v>
      </c>
      <c r="L970" s="101"/>
      <c r="M970" s="10"/>
      <c r="N970" s="10"/>
      <c r="O970"/>
      <c r="P970"/>
    </row>
    <row r="971" spans="1:16" s="146" customFormat="1" ht="18" customHeight="1" x14ac:dyDescent="0.25">
      <c r="A971" s="927" t="s">
        <v>163</v>
      </c>
      <c r="B971" s="926" t="s">
        <v>1388</v>
      </c>
      <c r="C971" s="44" t="s">
        <v>557</v>
      </c>
      <c r="D971" s="113"/>
      <c r="E971" s="113"/>
      <c r="F971" s="114"/>
      <c r="G971" s="131" t="s">
        <v>189</v>
      </c>
      <c r="H971" s="101">
        <v>536047.02</v>
      </c>
      <c r="I971" s="102">
        <v>5315000</v>
      </c>
      <c r="J971" s="101">
        <v>168993</v>
      </c>
      <c r="K971" s="101">
        <v>5000000</v>
      </c>
      <c r="L971" s="101"/>
      <c r="M971" s="10"/>
      <c r="N971" s="10"/>
      <c r="O971"/>
      <c r="P971"/>
    </row>
    <row r="972" spans="1:16" s="146" customFormat="1" ht="18" customHeight="1" x14ac:dyDescent="0.25">
      <c r="A972" s="927" t="s">
        <v>163</v>
      </c>
      <c r="B972" s="926" t="s">
        <v>1388</v>
      </c>
      <c r="C972" s="44" t="s">
        <v>457</v>
      </c>
      <c r="D972" s="113"/>
      <c r="E972" s="113"/>
      <c r="F972" s="114"/>
      <c r="G972" s="131" t="s">
        <v>237</v>
      </c>
      <c r="H972" s="101">
        <v>0</v>
      </c>
      <c r="I972" s="102">
        <v>7000</v>
      </c>
      <c r="J972" s="101"/>
      <c r="K972" s="101">
        <v>7000</v>
      </c>
      <c r="L972" s="101"/>
      <c r="M972" s="10"/>
      <c r="N972" s="10"/>
      <c r="O972"/>
      <c r="P972"/>
    </row>
    <row r="973" spans="1:16" s="146" customFormat="1" ht="18" customHeight="1" x14ac:dyDescent="0.25">
      <c r="A973" s="927" t="s">
        <v>163</v>
      </c>
      <c r="B973" s="926" t="s">
        <v>1388</v>
      </c>
      <c r="C973" s="44" t="s">
        <v>198</v>
      </c>
      <c r="D973" s="113"/>
      <c r="E973" s="113"/>
      <c r="F973" s="114"/>
      <c r="G973" s="131" t="s">
        <v>199</v>
      </c>
      <c r="H973" s="101">
        <v>1613193.71</v>
      </c>
      <c r="I973" s="102">
        <v>2989610.88</v>
      </c>
      <c r="J973" s="101">
        <v>580328.39</v>
      </c>
      <c r="K973" s="101">
        <v>2372108.16</v>
      </c>
      <c r="L973" s="101"/>
      <c r="M973" s="10"/>
      <c r="N973" s="10"/>
      <c r="O973"/>
      <c r="P973"/>
    </row>
    <row r="974" spans="1:16" s="146" customFormat="1" ht="18" customHeight="1" x14ac:dyDescent="0.25">
      <c r="A974" s="927" t="s">
        <v>163</v>
      </c>
      <c r="B974" s="926" t="s">
        <v>1388</v>
      </c>
      <c r="C974" s="44" t="s">
        <v>558</v>
      </c>
      <c r="D974" s="170"/>
      <c r="E974" s="261"/>
      <c r="F974" s="262"/>
      <c r="G974" s="172"/>
      <c r="H974" s="101">
        <v>999700</v>
      </c>
      <c r="I974" s="102">
        <v>2500000</v>
      </c>
      <c r="J974" s="101"/>
      <c r="K974" s="105">
        <v>3500000</v>
      </c>
      <c r="L974" s="101"/>
      <c r="M974" s="10"/>
      <c r="N974" s="10"/>
      <c r="O974"/>
      <c r="P974"/>
    </row>
    <row r="975" spans="1:16" s="194" customFormat="1" ht="18" customHeight="1" x14ac:dyDescent="0.25">
      <c r="A975" s="927" t="s">
        <v>201</v>
      </c>
      <c r="B975" s="926" t="s">
        <v>1388</v>
      </c>
      <c r="C975" s="829" t="s">
        <v>559</v>
      </c>
      <c r="D975" s="822"/>
      <c r="E975" s="822"/>
      <c r="F975" s="822"/>
      <c r="G975" s="97"/>
      <c r="H975" s="101"/>
      <c r="I975" s="102"/>
      <c r="J975" s="112"/>
      <c r="K975" s="121">
        <v>76300</v>
      </c>
      <c r="L975" s="112"/>
      <c r="M975" s="10"/>
      <c r="N975" s="10"/>
      <c r="O975" s="191"/>
      <c r="P975" s="191"/>
    </row>
    <row r="976" spans="1:16" s="194" customFormat="1" ht="18" customHeight="1" x14ac:dyDescent="0.25">
      <c r="A976" s="927" t="s">
        <v>201</v>
      </c>
      <c r="B976" s="926" t="s">
        <v>1388</v>
      </c>
      <c r="C976" s="826" t="s">
        <v>560</v>
      </c>
      <c r="D976" s="813"/>
      <c r="E976" s="822"/>
      <c r="F976" s="822"/>
      <c r="G976" s="97"/>
      <c r="H976" s="101"/>
      <c r="I976" s="102"/>
      <c r="J976" s="112"/>
      <c r="K976" s="101">
        <v>62400</v>
      </c>
      <c r="L976" s="112"/>
      <c r="M976" s="10"/>
      <c r="N976" s="10"/>
      <c r="O976" s="191"/>
      <c r="P976" s="191"/>
    </row>
    <row r="977" spans="1:16" s="194" customFormat="1" ht="18" customHeight="1" x14ac:dyDescent="0.25">
      <c r="A977" s="927" t="s">
        <v>201</v>
      </c>
      <c r="B977" s="926" t="s">
        <v>1388</v>
      </c>
      <c r="C977" s="826" t="s">
        <v>516</v>
      </c>
      <c r="D977" s="813"/>
      <c r="E977" s="822"/>
      <c r="F977" s="822"/>
      <c r="G977" s="97"/>
      <c r="H977" s="101"/>
      <c r="I977" s="102"/>
      <c r="J977" s="112"/>
      <c r="K977" s="101">
        <v>230000</v>
      </c>
      <c r="L977" s="112"/>
      <c r="M977" s="10"/>
      <c r="N977" s="10">
        <f>115000*2</f>
        <v>230000</v>
      </c>
      <c r="O977" s="191"/>
      <c r="P977" s="191"/>
    </row>
    <row r="978" spans="1:16" s="194" customFormat="1" ht="18" customHeight="1" x14ac:dyDescent="0.25">
      <c r="A978" s="927" t="s">
        <v>201</v>
      </c>
      <c r="B978" s="926" t="s">
        <v>1388</v>
      </c>
      <c r="C978" s="826" t="s">
        <v>351</v>
      </c>
      <c r="D978" s="813"/>
      <c r="E978" s="822"/>
      <c r="F978" s="823"/>
      <c r="G978" s="97"/>
      <c r="H978" s="101"/>
      <c r="I978" s="102"/>
      <c r="J978" s="112"/>
      <c r="K978" s="101">
        <v>25000</v>
      </c>
      <c r="L978" s="112"/>
      <c r="M978" s="10"/>
      <c r="N978" s="10"/>
      <c r="O978" s="191"/>
      <c r="P978" s="191"/>
    </row>
    <row r="979" spans="1:16" s="194" customFormat="1" ht="18" customHeight="1" x14ac:dyDescent="0.25">
      <c r="A979" s="927" t="s">
        <v>201</v>
      </c>
      <c r="B979" s="926" t="s">
        <v>1388</v>
      </c>
      <c r="C979" s="826" t="s">
        <v>561</v>
      </c>
      <c r="D979" s="808"/>
      <c r="E979" s="808"/>
      <c r="F979" s="830"/>
      <c r="G979" s="168"/>
      <c r="H979" s="102"/>
      <c r="I979" s="102"/>
      <c r="J979" s="111"/>
      <c r="K979" s="102">
        <v>200000</v>
      </c>
      <c r="L979" s="111"/>
      <c r="M979" s="10"/>
      <c r="N979" s="10"/>
      <c r="O979" s="191"/>
      <c r="P979" s="191"/>
    </row>
    <row r="980" spans="1:16" s="194" customFormat="1" ht="18" customHeight="1" x14ac:dyDescent="0.25">
      <c r="A980" s="927" t="s">
        <v>201</v>
      </c>
      <c r="B980" s="926" t="s">
        <v>1388</v>
      </c>
      <c r="C980" s="826" t="s">
        <v>562</v>
      </c>
      <c r="D980" s="808"/>
      <c r="E980" s="808"/>
      <c r="F980" s="830"/>
      <c r="G980" s="168"/>
      <c r="H980" s="102"/>
      <c r="I980" s="102"/>
      <c r="J980" s="111"/>
      <c r="K980" s="102">
        <v>250000</v>
      </c>
      <c r="L980" s="111"/>
      <c r="M980" s="10"/>
      <c r="N980" s="10"/>
      <c r="O980" s="191"/>
      <c r="P980" s="191"/>
    </row>
    <row r="981" spans="1:16" s="194" customFormat="1" ht="18" customHeight="1" x14ac:dyDescent="0.25">
      <c r="A981" s="927" t="s">
        <v>201</v>
      </c>
      <c r="B981" s="926" t="s">
        <v>1388</v>
      </c>
      <c r="C981" s="826" t="s">
        <v>204</v>
      </c>
      <c r="D981" s="808"/>
      <c r="E981" s="808"/>
      <c r="F981" s="830"/>
      <c r="G981" s="168"/>
      <c r="H981" s="102"/>
      <c r="I981" s="102"/>
      <c r="J981" s="111"/>
      <c r="K981" s="102">
        <v>135000</v>
      </c>
      <c r="L981" s="111"/>
      <c r="M981" s="10"/>
      <c r="N981" s="10"/>
      <c r="O981" s="191"/>
      <c r="P981" s="191"/>
    </row>
    <row r="982" spans="1:16" s="146" customFormat="1" ht="18" x14ac:dyDescent="0.25">
      <c r="A982" s="927" t="s">
        <v>123</v>
      </c>
      <c r="B982" s="926" t="s">
        <v>1388</v>
      </c>
      <c r="C982" s="1602" t="s">
        <v>124</v>
      </c>
      <c r="D982" s="1603"/>
      <c r="E982" s="1603"/>
      <c r="F982" s="1603"/>
      <c r="G982" s="131" t="s">
        <v>125</v>
      </c>
      <c r="H982" s="101">
        <v>1497444</v>
      </c>
      <c r="I982" s="102">
        <v>1711680</v>
      </c>
      <c r="J982" s="101">
        <v>990049.04</v>
      </c>
      <c r="K982" s="101">
        <v>1855656</v>
      </c>
      <c r="L982" s="101"/>
      <c r="M982" s="10"/>
      <c r="N982" s="10"/>
      <c r="O982"/>
      <c r="P982"/>
    </row>
    <row r="983" spans="1:16" s="146" customFormat="1" ht="18" x14ac:dyDescent="0.25">
      <c r="A983" s="927" t="s">
        <v>123</v>
      </c>
      <c r="B983" s="926" t="s">
        <v>1388</v>
      </c>
      <c r="C983" s="1602" t="s">
        <v>126</v>
      </c>
      <c r="D983" s="1603"/>
      <c r="E983" s="1603"/>
      <c r="F983" s="1603"/>
      <c r="G983" s="131" t="s">
        <v>127</v>
      </c>
      <c r="H983" s="101">
        <v>147691.04999999999</v>
      </c>
      <c r="I983" s="102">
        <v>132552</v>
      </c>
      <c r="J983" s="101">
        <v>70776.45</v>
      </c>
      <c r="K983" s="101">
        <v>143928</v>
      </c>
      <c r="L983" s="101"/>
      <c r="M983" s="10"/>
      <c r="N983" s="10"/>
      <c r="O983"/>
      <c r="P983"/>
    </row>
    <row r="984" spans="1:16" s="146" customFormat="1" ht="18" x14ac:dyDescent="0.25">
      <c r="A984" s="927" t="s">
        <v>123</v>
      </c>
      <c r="B984" s="926" t="s">
        <v>1388</v>
      </c>
      <c r="C984" s="1602" t="s">
        <v>128</v>
      </c>
      <c r="D984" s="1603"/>
      <c r="E984" s="1603"/>
      <c r="F984" s="1603"/>
      <c r="G984" s="131" t="s">
        <v>125</v>
      </c>
      <c r="H984" s="101"/>
      <c r="I984" s="102">
        <v>8160</v>
      </c>
      <c r="J984" s="101"/>
      <c r="K984" s="101">
        <v>930</v>
      </c>
      <c r="L984" s="101"/>
      <c r="M984" s="10"/>
      <c r="N984" s="10"/>
      <c r="O984"/>
      <c r="P984"/>
    </row>
    <row r="985" spans="1:16" s="146" customFormat="1" ht="18" x14ac:dyDescent="0.25">
      <c r="A985" s="927" t="s">
        <v>123</v>
      </c>
      <c r="B985" s="926" t="s">
        <v>1388</v>
      </c>
      <c r="C985" s="1602" t="s">
        <v>129</v>
      </c>
      <c r="D985" s="1603"/>
      <c r="E985" s="1603"/>
      <c r="F985" s="1603"/>
      <c r="G985" s="132" t="s">
        <v>130</v>
      </c>
      <c r="H985" s="101">
        <v>110181.56</v>
      </c>
      <c r="I985" s="102">
        <v>144000</v>
      </c>
      <c r="J985" s="101">
        <v>77272.72</v>
      </c>
      <c r="K985" s="101">
        <v>144000</v>
      </c>
      <c r="L985" s="101"/>
      <c r="M985" s="10"/>
      <c r="N985" s="10"/>
      <c r="O985"/>
      <c r="P985"/>
    </row>
    <row r="986" spans="1:16" s="146" customFormat="1" ht="18" x14ac:dyDescent="0.25">
      <c r="A986" s="927" t="s">
        <v>123</v>
      </c>
      <c r="B986" s="926" t="s">
        <v>1388</v>
      </c>
      <c r="C986" s="1602" t="s">
        <v>131</v>
      </c>
      <c r="D986" s="1603"/>
      <c r="E986" s="1603"/>
      <c r="F986" s="1603"/>
      <c r="G986" s="131" t="s">
        <v>132</v>
      </c>
      <c r="H986" s="101">
        <v>72000</v>
      </c>
      <c r="I986" s="102">
        <v>72000</v>
      </c>
      <c r="J986" s="101">
        <v>40500</v>
      </c>
      <c r="K986" s="101">
        <v>72000</v>
      </c>
      <c r="L986" s="101"/>
      <c r="M986" s="10"/>
      <c r="N986" s="10"/>
      <c r="O986"/>
      <c r="P986"/>
    </row>
    <row r="987" spans="1:16" s="146" customFormat="1" ht="18" x14ac:dyDescent="0.25">
      <c r="A987" s="927" t="s">
        <v>123</v>
      </c>
      <c r="B987" s="926" t="s">
        <v>1388</v>
      </c>
      <c r="C987" s="1602" t="s">
        <v>133</v>
      </c>
      <c r="D987" s="1603"/>
      <c r="E987" s="1603"/>
      <c r="F987" s="1603"/>
      <c r="G987" s="131" t="s">
        <v>134</v>
      </c>
      <c r="H987" s="101">
        <v>72000</v>
      </c>
      <c r="I987" s="102">
        <v>72000</v>
      </c>
      <c r="J987" s="101">
        <v>40500</v>
      </c>
      <c r="K987" s="101">
        <v>72000</v>
      </c>
      <c r="L987" s="101"/>
      <c r="M987" s="10"/>
      <c r="N987" s="10"/>
      <c r="O987"/>
      <c r="P987"/>
    </row>
    <row r="988" spans="1:16" s="146" customFormat="1" ht="18" x14ac:dyDescent="0.25">
      <c r="A988" s="927" t="s">
        <v>123</v>
      </c>
      <c r="B988" s="926" t="s">
        <v>1388</v>
      </c>
      <c r="C988" s="1611" t="s">
        <v>135</v>
      </c>
      <c r="D988" s="1611"/>
      <c r="E988" s="1611"/>
      <c r="F988" s="1602"/>
      <c r="G988" s="131" t="s">
        <v>136</v>
      </c>
      <c r="H988" s="101">
        <v>15492.52</v>
      </c>
      <c r="I988" s="102">
        <v>37971.800000000003</v>
      </c>
      <c r="J988" s="101">
        <v>24999.96</v>
      </c>
      <c r="K988" s="102">
        <v>37971.800000000003</v>
      </c>
      <c r="L988" s="101"/>
      <c r="M988" s="10"/>
      <c r="N988" s="10"/>
      <c r="O988"/>
      <c r="P988"/>
    </row>
    <row r="989" spans="1:16" s="146" customFormat="1" ht="18" x14ac:dyDescent="0.25">
      <c r="A989" s="927" t="s">
        <v>123</v>
      </c>
      <c r="B989" s="926" t="s">
        <v>1388</v>
      </c>
      <c r="C989" s="1602" t="s">
        <v>137</v>
      </c>
      <c r="D989" s="1603"/>
      <c r="E989" s="1603"/>
      <c r="F989" s="1603"/>
      <c r="G989" s="131" t="s">
        <v>138</v>
      </c>
      <c r="H989" s="101">
        <v>24000</v>
      </c>
      <c r="I989" s="102">
        <v>36000</v>
      </c>
      <c r="J989" s="101">
        <v>30000</v>
      </c>
      <c r="K989" s="101">
        <v>36000</v>
      </c>
      <c r="L989" s="101"/>
      <c r="M989" s="10"/>
      <c r="N989" s="10"/>
      <c r="O989"/>
      <c r="P989"/>
    </row>
    <row r="990" spans="1:16" s="146" customFormat="1" ht="18" customHeight="1" x14ac:dyDescent="0.25">
      <c r="A990" s="927" t="s">
        <v>123</v>
      </c>
      <c r="B990" s="926" t="s">
        <v>1388</v>
      </c>
      <c r="C990" s="1602" t="s">
        <v>139</v>
      </c>
      <c r="D990" s="1603"/>
      <c r="E990" s="1603"/>
      <c r="F990" s="1603"/>
      <c r="G990" s="131" t="s">
        <v>140</v>
      </c>
      <c r="H990" s="101">
        <v>135833</v>
      </c>
      <c r="I990" s="102">
        <v>154039</v>
      </c>
      <c r="J990" s="101">
        <v>140555</v>
      </c>
      <c r="K990" s="101">
        <v>166725</v>
      </c>
      <c r="L990" s="101"/>
      <c r="M990" s="10"/>
      <c r="N990" s="10"/>
      <c r="O990"/>
      <c r="P990"/>
    </row>
    <row r="991" spans="1:16" s="146" customFormat="1" ht="18" x14ac:dyDescent="0.25">
      <c r="A991" s="927" t="s">
        <v>123</v>
      </c>
      <c r="B991" s="926" t="s">
        <v>1388</v>
      </c>
      <c r="C991" s="1602" t="s">
        <v>141</v>
      </c>
      <c r="D991" s="1603"/>
      <c r="E991" s="1603"/>
      <c r="F991" s="1603"/>
      <c r="G991" s="131" t="s">
        <v>142</v>
      </c>
      <c r="H991" s="101">
        <v>135833</v>
      </c>
      <c r="I991" s="102">
        <v>155347</v>
      </c>
      <c r="J991" s="101"/>
      <c r="K991" s="101">
        <v>166725</v>
      </c>
      <c r="L991" s="101"/>
      <c r="M991" s="10"/>
      <c r="N991" s="10"/>
      <c r="O991"/>
      <c r="P991"/>
    </row>
    <row r="992" spans="1:16" s="146" customFormat="1" ht="18" x14ac:dyDescent="0.25">
      <c r="A992" s="927" t="s">
        <v>123</v>
      </c>
      <c r="B992" s="926" t="s">
        <v>1388</v>
      </c>
      <c r="C992" s="1602" t="s">
        <v>143</v>
      </c>
      <c r="D992" s="1603"/>
      <c r="E992" s="1603"/>
      <c r="F992" s="1603"/>
      <c r="G992" s="131" t="s">
        <v>144</v>
      </c>
      <c r="H992" s="101">
        <v>25000</v>
      </c>
      <c r="I992" s="102">
        <v>30000</v>
      </c>
      <c r="J992" s="101"/>
      <c r="K992" s="101">
        <v>30000</v>
      </c>
      <c r="L992" s="101"/>
      <c r="M992" s="10"/>
      <c r="N992" s="10"/>
      <c r="O992"/>
      <c r="P992"/>
    </row>
    <row r="993" spans="1:16" s="146" customFormat="1" ht="18" x14ac:dyDescent="0.25">
      <c r="A993" s="927" t="s">
        <v>123</v>
      </c>
      <c r="B993" s="926" t="s">
        <v>1388</v>
      </c>
      <c r="C993" s="1602" t="s">
        <v>145</v>
      </c>
      <c r="D993" s="1603"/>
      <c r="E993" s="1603"/>
      <c r="F993" s="1603"/>
      <c r="G993" s="131" t="s">
        <v>146</v>
      </c>
      <c r="H993" s="101">
        <v>25000</v>
      </c>
      <c r="I993" s="102">
        <v>30000</v>
      </c>
      <c r="J993" s="101"/>
      <c r="K993" s="101">
        <v>30000</v>
      </c>
      <c r="L993" s="101"/>
      <c r="M993" s="10"/>
      <c r="N993" s="10"/>
      <c r="O993"/>
      <c r="P993"/>
    </row>
    <row r="994" spans="1:16" s="146" customFormat="1" ht="18" x14ac:dyDescent="0.25">
      <c r="A994" s="927" t="s">
        <v>123</v>
      </c>
      <c r="B994" s="926" t="s">
        <v>1388</v>
      </c>
      <c r="C994" s="826" t="s">
        <v>147</v>
      </c>
      <c r="D994" s="813"/>
      <c r="E994" s="813"/>
      <c r="F994" s="811"/>
      <c r="G994" s="131" t="s">
        <v>148</v>
      </c>
      <c r="H994" s="101"/>
      <c r="I994" s="102"/>
      <c r="J994" s="101"/>
      <c r="K994" s="101">
        <v>18000</v>
      </c>
      <c r="L994" s="101"/>
      <c r="M994" s="10"/>
      <c r="N994" s="10"/>
      <c r="O994"/>
      <c r="P994"/>
    </row>
    <row r="995" spans="1:16" s="146" customFormat="1" ht="18" x14ac:dyDescent="0.25">
      <c r="A995" s="927" t="s">
        <v>123</v>
      </c>
      <c r="B995" s="926" t="s">
        <v>1388</v>
      </c>
      <c r="C995" s="1602" t="s">
        <v>153</v>
      </c>
      <c r="D995" s="1603"/>
      <c r="E995" s="1603"/>
      <c r="F995" s="1603"/>
      <c r="G995" s="131" t="s">
        <v>154</v>
      </c>
      <c r="H995" s="101">
        <v>189862.68</v>
      </c>
      <c r="I995" s="102">
        <v>222287.04</v>
      </c>
      <c r="J995" s="101">
        <v>127172.23</v>
      </c>
      <c r="K995" s="101">
        <v>239379.12</v>
      </c>
      <c r="L995" s="101"/>
      <c r="M995" s="10"/>
      <c r="N995" s="10"/>
      <c r="O995"/>
      <c r="P995"/>
    </row>
    <row r="996" spans="1:16" s="146" customFormat="1" ht="18" x14ac:dyDescent="0.25">
      <c r="A996" s="927" t="s">
        <v>123</v>
      </c>
      <c r="B996" s="926" t="s">
        <v>1388</v>
      </c>
      <c r="C996" s="1602" t="s">
        <v>155</v>
      </c>
      <c r="D996" s="1603"/>
      <c r="E996" s="1603"/>
      <c r="F996" s="1603"/>
      <c r="G996" s="131" t="s">
        <v>156</v>
      </c>
      <c r="H996" s="101">
        <v>5500</v>
      </c>
      <c r="I996" s="102">
        <v>7200</v>
      </c>
      <c r="J996" s="101">
        <v>4000</v>
      </c>
      <c r="K996" s="101">
        <v>7200</v>
      </c>
      <c r="L996" s="101"/>
      <c r="M996" s="10"/>
      <c r="N996" s="10"/>
      <c r="O996"/>
      <c r="P996"/>
    </row>
    <row r="997" spans="1:16" s="146" customFormat="1" ht="18" x14ac:dyDescent="0.25">
      <c r="A997" s="927" t="s">
        <v>123</v>
      </c>
      <c r="B997" s="926" t="s">
        <v>1388</v>
      </c>
      <c r="C997" s="1602" t="s">
        <v>157</v>
      </c>
      <c r="D997" s="1603"/>
      <c r="E997" s="1603"/>
      <c r="F997" s="1603"/>
      <c r="G997" s="131" t="s">
        <v>158</v>
      </c>
      <c r="H997" s="101">
        <v>20024.650000000001</v>
      </c>
      <c r="I997" s="102">
        <v>30218.58</v>
      </c>
      <c r="J997" s="101">
        <v>13911.19</v>
      </c>
      <c r="K997" s="101">
        <v>77821.2</v>
      </c>
      <c r="L997" s="101"/>
      <c r="M997" s="10"/>
      <c r="N997" s="10"/>
      <c r="O997"/>
      <c r="P997"/>
    </row>
    <row r="998" spans="1:16" s="146" customFormat="1" ht="18" x14ac:dyDescent="0.25">
      <c r="A998" s="927" t="s">
        <v>123</v>
      </c>
      <c r="B998" s="926" t="s">
        <v>1388</v>
      </c>
      <c r="C998" s="1602" t="s">
        <v>159</v>
      </c>
      <c r="D998" s="1603"/>
      <c r="E998" s="1603"/>
      <c r="F998" s="1603"/>
      <c r="G998" s="131" t="s">
        <v>160</v>
      </c>
      <c r="H998" s="101">
        <v>5500</v>
      </c>
      <c r="I998" s="102">
        <v>7200</v>
      </c>
      <c r="J998" s="101">
        <v>4000</v>
      </c>
      <c r="K998" s="101">
        <v>7200</v>
      </c>
      <c r="L998" s="101"/>
      <c r="M998" s="10"/>
      <c r="N998" s="10"/>
      <c r="O998"/>
      <c r="P998"/>
    </row>
    <row r="999" spans="1:16" s="229" customFormat="1" ht="18" customHeight="1" x14ac:dyDescent="0.25">
      <c r="A999" s="927" t="s">
        <v>163</v>
      </c>
      <c r="B999" s="926" t="s">
        <v>1388</v>
      </c>
      <c r="C999" s="44" t="s">
        <v>164</v>
      </c>
      <c r="D999" s="125"/>
      <c r="E999" s="125"/>
      <c r="F999" s="134"/>
      <c r="G999" s="131" t="s">
        <v>165</v>
      </c>
      <c r="H999" s="101"/>
      <c r="I999" s="102">
        <v>35000</v>
      </c>
      <c r="J999" s="101"/>
      <c r="K999" s="101">
        <v>35000</v>
      </c>
      <c r="L999" s="101"/>
      <c r="M999" s="207"/>
      <c r="N999" s="207"/>
      <c r="O999" s="212"/>
      <c r="P999" s="212"/>
    </row>
    <row r="1000" spans="1:16" s="229" customFormat="1" ht="18" customHeight="1" x14ac:dyDescent="0.25">
      <c r="A1000" s="927" t="s">
        <v>163</v>
      </c>
      <c r="B1000" s="926" t="s">
        <v>1388</v>
      </c>
      <c r="C1000" s="44" t="s">
        <v>555</v>
      </c>
      <c r="D1000" s="125"/>
      <c r="E1000" s="125"/>
      <c r="F1000" s="134"/>
      <c r="G1000" s="131" t="s">
        <v>169</v>
      </c>
      <c r="H1000" s="101">
        <v>327395.45</v>
      </c>
      <c r="I1000" s="102">
        <v>397352</v>
      </c>
      <c r="J1000" s="101">
        <v>317462.5</v>
      </c>
      <c r="K1000" s="101">
        <v>255222.5</v>
      </c>
      <c r="L1000" s="101"/>
      <c r="M1000" s="207"/>
      <c r="N1000" s="207"/>
      <c r="O1000" s="212"/>
      <c r="P1000" s="212"/>
    </row>
    <row r="1001" spans="1:16" s="229" customFormat="1" ht="18" customHeight="1" x14ac:dyDescent="0.25">
      <c r="A1001" s="927" t="s">
        <v>163</v>
      </c>
      <c r="B1001" s="926" t="s">
        <v>1388</v>
      </c>
      <c r="C1001" s="44" t="s">
        <v>213</v>
      </c>
      <c r="D1001" s="125"/>
      <c r="E1001" s="125"/>
      <c r="F1001" s="134"/>
      <c r="G1001" s="131" t="s">
        <v>171</v>
      </c>
      <c r="H1001" s="101"/>
      <c r="I1001" s="102"/>
      <c r="J1001" s="101"/>
      <c r="K1001" s="101">
        <v>39017</v>
      </c>
      <c r="L1001" s="101"/>
      <c r="M1001" s="207"/>
      <c r="N1001" s="207"/>
      <c r="O1001" s="212"/>
      <c r="P1001" s="212"/>
    </row>
    <row r="1002" spans="1:16" s="229" customFormat="1" ht="18" customHeight="1" x14ac:dyDescent="0.25">
      <c r="A1002" s="927" t="s">
        <v>163</v>
      </c>
      <c r="B1002" s="926" t="s">
        <v>1388</v>
      </c>
      <c r="C1002" s="44" t="s">
        <v>176</v>
      </c>
      <c r="D1002" s="125"/>
      <c r="E1002" s="125"/>
      <c r="F1002" s="134"/>
      <c r="G1002" s="131" t="s">
        <v>177</v>
      </c>
      <c r="H1002" s="101">
        <v>5400</v>
      </c>
      <c r="I1002" s="102">
        <v>5900</v>
      </c>
      <c r="J1002" s="101">
        <v>5650</v>
      </c>
      <c r="K1002" s="101">
        <v>7800</v>
      </c>
      <c r="L1002" s="101"/>
      <c r="M1002" s="207"/>
      <c r="N1002" s="207"/>
      <c r="O1002" s="212"/>
      <c r="P1002" s="212"/>
    </row>
    <row r="1003" spans="1:16" s="229" customFormat="1" ht="18" customHeight="1" x14ac:dyDescent="0.25">
      <c r="A1003" s="927" t="s">
        <v>163</v>
      </c>
      <c r="B1003" s="926" t="s">
        <v>1388</v>
      </c>
      <c r="C1003" s="44" t="s">
        <v>567</v>
      </c>
      <c r="D1003" s="125"/>
      <c r="E1003" s="125"/>
      <c r="F1003" s="134"/>
      <c r="G1003" s="131" t="s">
        <v>179</v>
      </c>
      <c r="H1003" s="101"/>
      <c r="I1003" s="102">
        <v>30000</v>
      </c>
      <c r="J1003" s="101">
        <v>13194</v>
      </c>
      <c r="K1003" s="102">
        <v>60000</v>
      </c>
      <c r="L1003" s="101"/>
      <c r="M1003" s="207"/>
      <c r="N1003" s="207"/>
      <c r="O1003" s="212"/>
      <c r="P1003" s="212"/>
    </row>
    <row r="1004" spans="1:16" s="229" customFormat="1" ht="18" customHeight="1" x14ac:dyDescent="0.25">
      <c r="A1004" s="927" t="s">
        <v>163</v>
      </c>
      <c r="B1004" s="926" t="s">
        <v>1388</v>
      </c>
      <c r="C1004" s="44" t="s">
        <v>178</v>
      </c>
      <c r="D1004" s="125"/>
      <c r="E1004" s="125"/>
      <c r="F1004" s="134"/>
      <c r="G1004" s="131" t="s">
        <v>179</v>
      </c>
      <c r="H1004" s="101"/>
      <c r="I1004" s="102"/>
      <c r="J1004" s="101"/>
      <c r="K1004" s="101">
        <v>42000</v>
      </c>
      <c r="L1004" s="101"/>
      <c r="M1004" s="207"/>
      <c r="N1004" s="207"/>
      <c r="O1004" s="212"/>
      <c r="P1004" s="212"/>
    </row>
    <row r="1005" spans="1:16" s="229" customFormat="1" ht="18" customHeight="1" x14ac:dyDescent="0.25">
      <c r="A1005" s="927" t="s">
        <v>163</v>
      </c>
      <c r="B1005" s="926" t="s">
        <v>1388</v>
      </c>
      <c r="C1005" s="44" t="s">
        <v>186</v>
      </c>
      <c r="D1005" s="125"/>
      <c r="E1005" s="125"/>
      <c r="F1005" s="134"/>
      <c r="G1005" s="131"/>
      <c r="H1005" s="101"/>
      <c r="I1005" s="102"/>
      <c r="J1005" s="101"/>
      <c r="K1005" s="101">
        <v>80000</v>
      </c>
      <c r="L1005" s="101"/>
      <c r="M1005" s="207"/>
      <c r="N1005" s="207"/>
      <c r="O1005" s="212"/>
      <c r="P1005" s="212"/>
    </row>
    <row r="1006" spans="1:16" s="229" customFormat="1" ht="18" customHeight="1" x14ac:dyDescent="0.25">
      <c r="A1006" s="927" t="s">
        <v>163</v>
      </c>
      <c r="B1006" s="926" t="s">
        <v>1388</v>
      </c>
      <c r="C1006" s="44" t="s">
        <v>457</v>
      </c>
      <c r="D1006" s="125"/>
      <c r="E1006" s="125"/>
      <c r="F1006" s="134"/>
      <c r="G1006" s="131" t="s">
        <v>199</v>
      </c>
      <c r="H1006" s="101"/>
      <c r="I1006" s="102">
        <v>7000</v>
      </c>
      <c r="J1006" s="101"/>
      <c r="K1006" s="101">
        <v>7000</v>
      </c>
      <c r="L1006" s="101"/>
      <c r="M1006" s="207"/>
      <c r="N1006" s="207"/>
      <c r="O1006" s="212"/>
      <c r="P1006" s="212"/>
    </row>
    <row r="1007" spans="1:16" s="229" customFormat="1" ht="18" customHeight="1" x14ac:dyDescent="0.25">
      <c r="A1007" s="927" t="s">
        <v>163</v>
      </c>
      <c r="B1007" s="926" t="s">
        <v>1388</v>
      </c>
      <c r="C1007" s="44" t="s">
        <v>198</v>
      </c>
      <c r="D1007" s="125"/>
      <c r="E1007" s="125"/>
      <c r="F1007" s="134"/>
      <c r="G1007" s="131" t="s">
        <v>199</v>
      </c>
      <c r="H1007" s="101">
        <v>334924.61</v>
      </c>
      <c r="I1007" s="102">
        <v>1024539.44</v>
      </c>
      <c r="J1007" s="101">
        <v>117623.02</v>
      </c>
      <c r="K1007" s="105">
        <v>1151063.6000000001</v>
      </c>
      <c r="L1007" s="101"/>
      <c r="M1007" s="207"/>
      <c r="N1007" s="207"/>
      <c r="O1007" s="212"/>
      <c r="P1007" s="212"/>
    </row>
    <row r="1008" spans="1:16" s="146" customFormat="1" ht="18" x14ac:dyDescent="0.25">
      <c r="A1008" s="927" t="s">
        <v>201</v>
      </c>
      <c r="B1008" s="926" t="s">
        <v>1388</v>
      </c>
      <c r="C1008" s="1611" t="s">
        <v>569</v>
      </c>
      <c r="D1008" s="1611"/>
      <c r="E1008" s="1611"/>
      <c r="F1008" s="1602"/>
      <c r="G1008" s="97"/>
      <c r="H1008" s="101">
        <v>0</v>
      </c>
      <c r="I1008" s="102">
        <v>30000</v>
      </c>
      <c r="J1008" s="101"/>
      <c r="K1008" s="101">
        <v>32000</v>
      </c>
      <c r="L1008" s="101"/>
      <c r="M1008" s="10"/>
      <c r="N1008" s="10">
        <f>16000*2</f>
        <v>32000</v>
      </c>
      <c r="O1008"/>
      <c r="P1008"/>
    </row>
    <row r="1009" spans="1:16" s="146" customFormat="1" ht="18" x14ac:dyDescent="0.25">
      <c r="A1009" s="927" t="s">
        <v>201</v>
      </c>
      <c r="B1009" s="926" t="s">
        <v>1388</v>
      </c>
      <c r="C1009" s="826" t="s">
        <v>203</v>
      </c>
      <c r="D1009" s="813"/>
      <c r="E1009" s="813"/>
      <c r="F1009" s="811"/>
      <c r="G1009" s="97"/>
      <c r="H1009" s="101"/>
      <c r="I1009" s="102"/>
      <c r="J1009" s="101"/>
      <c r="K1009" s="101">
        <v>75000</v>
      </c>
      <c r="L1009" s="101"/>
      <c r="M1009" s="10"/>
      <c r="N1009" s="10"/>
      <c r="O1009"/>
      <c r="P1009"/>
    </row>
    <row r="1010" spans="1:16" ht="18" x14ac:dyDescent="0.25">
      <c r="A1010" s="927" t="s">
        <v>201</v>
      </c>
      <c r="B1010" s="926" t="s">
        <v>1388</v>
      </c>
      <c r="C1010" s="1611" t="s">
        <v>572</v>
      </c>
      <c r="D1010" s="1611"/>
      <c r="E1010" s="1611"/>
      <c r="F1010" s="1602"/>
      <c r="G1010" s="97"/>
      <c r="H1010" s="101">
        <v>0</v>
      </c>
      <c r="I1010" s="102">
        <v>100000</v>
      </c>
      <c r="J1010" s="101"/>
      <c r="K1010" s="101">
        <v>100000</v>
      </c>
      <c r="L1010" s="101"/>
    </row>
    <row r="1011" spans="1:16" s="146" customFormat="1" ht="18" x14ac:dyDescent="0.25">
      <c r="A1011" s="927" t="s">
        <v>123</v>
      </c>
      <c r="B1011" s="926" t="s">
        <v>1388</v>
      </c>
      <c r="C1011" s="1602" t="s">
        <v>124</v>
      </c>
      <c r="D1011" s="1603"/>
      <c r="E1011" s="1603"/>
      <c r="F1011" s="1603"/>
      <c r="G1011" s="100" t="s">
        <v>125</v>
      </c>
      <c r="H1011" s="101">
        <v>2065820.82</v>
      </c>
      <c r="I1011" s="102">
        <v>2925708</v>
      </c>
      <c r="J1011" s="101">
        <v>1282836.69</v>
      </c>
      <c r="K1011" s="101">
        <v>3171624</v>
      </c>
      <c r="L1011" s="101"/>
      <c r="M1011" s="10"/>
      <c r="N1011" s="10"/>
      <c r="O1011"/>
      <c r="P1011"/>
    </row>
    <row r="1012" spans="1:16" s="146" customFormat="1" ht="18" x14ac:dyDescent="0.25">
      <c r="A1012" s="927" t="s">
        <v>123</v>
      </c>
      <c r="B1012" s="926" t="s">
        <v>1388</v>
      </c>
      <c r="C1012" s="1602" t="s">
        <v>126</v>
      </c>
      <c r="D1012" s="1603"/>
      <c r="E1012" s="1603"/>
      <c r="F1012" s="1603"/>
      <c r="G1012" s="100" t="s">
        <v>127</v>
      </c>
      <c r="H1012" s="101">
        <v>587673.22</v>
      </c>
      <c r="I1012" s="102">
        <v>749880</v>
      </c>
      <c r="J1012" s="101">
        <v>273088.09999999998</v>
      </c>
      <c r="K1012" s="101">
        <v>813600</v>
      </c>
      <c r="L1012" s="101"/>
      <c r="M1012" s="10"/>
      <c r="N1012" s="10"/>
      <c r="O1012"/>
      <c r="P1012"/>
    </row>
    <row r="1013" spans="1:16" s="146" customFormat="1" ht="15" customHeight="1" x14ac:dyDescent="0.25">
      <c r="A1013" s="927" t="s">
        <v>123</v>
      </c>
      <c r="B1013" s="926" t="s">
        <v>1388</v>
      </c>
      <c r="C1013" s="808" t="s">
        <v>128</v>
      </c>
      <c r="D1013" s="813"/>
      <c r="E1013" s="813"/>
      <c r="F1013" s="811"/>
      <c r="G1013" s="100" t="s">
        <v>125</v>
      </c>
      <c r="H1013" s="101"/>
      <c r="I1013" s="102">
        <v>2009</v>
      </c>
      <c r="J1013" s="101"/>
      <c r="K1013" s="101">
        <v>2513.38</v>
      </c>
      <c r="L1013" s="101"/>
      <c r="M1013" s="10"/>
      <c r="N1013" s="10"/>
      <c r="O1013"/>
      <c r="P1013"/>
    </row>
    <row r="1014" spans="1:16" s="146" customFormat="1" ht="18" x14ac:dyDescent="0.25">
      <c r="A1014" s="927" t="s">
        <v>123</v>
      </c>
      <c r="B1014" s="926" t="s">
        <v>1388</v>
      </c>
      <c r="C1014" s="1602" t="s">
        <v>129</v>
      </c>
      <c r="D1014" s="1603"/>
      <c r="E1014" s="1603"/>
      <c r="F1014" s="1603"/>
      <c r="G1014" s="103" t="s">
        <v>130</v>
      </c>
      <c r="H1014" s="101">
        <v>395727.31</v>
      </c>
      <c r="I1014" s="102">
        <v>576000</v>
      </c>
      <c r="J1014" s="101">
        <v>241909.09</v>
      </c>
      <c r="K1014" s="101">
        <v>576000</v>
      </c>
      <c r="L1014" s="101"/>
      <c r="M1014" s="10"/>
      <c r="N1014" s="10"/>
      <c r="O1014"/>
      <c r="P1014"/>
    </row>
    <row r="1015" spans="1:16" s="146" customFormat="1" ht="18" x14ac:dyDescent="0.25">
      <c r="A1015" s="927" t="s">
        <v>123</v>
      </c>
      <c r="B1015" s="926" t="s">
        <v>1388</v>
      </c>
      <c r="C1015" s="1602" t="s">
        <v>135</v>
      </c>
      <c r="D1015" s="1603"/>
      <c r="E1015" s="1603"/>
      <c r="F1015" s="1603"/>
      <c r="G1015" s="100" t="s">
        <v>136</v>
      </c>
      <c r="H1015" s="101">
        <v>244412.07</v>
      </c>
      <c r="I1015" s="102">
        <v>606092.16</v>
      </c>
      <c r="J1015" s="101">
        <v>172549.97</v>
      </c>
      <c r="K1015" s="101">
        <v>1336195.2</v>
      </c>
      <c r="L1015" s="101"/>
      <c r="M1015" s="10"/>
      <c r="N1015" s="10"/>
      <c r="O1015"/>
      <c r="P1015"/>
    </row>
    <row r="1016" spans="1:16" s="146" customFormat="1" ht="18" x14ac:dyDescent="0.25">
      <c r="A1016" s="927" t="s">
        <v>123</v>
      </c>
      <c r="B1016" s="926" t="s">
        <v>1388</v>
      </c>
      <c r="C1016" s="1602" t="s">
        <v>137</v>
      </c>
      <c r="D1016" s="1603"/>
      <c r="E1016" s="1603"/>
      <c r="F1016" s="1603"/>
      <c r="G1016" s="100" t="s">
        <v>138</v>
      </c>
      <c r="H1016" s="101">
        <v>84000</v>
      </c>
      <c r="I1016" s="102">
        <v>144000</v>
      </c>
      <c r="J1016" s="101">
        <v>108000</v>
      </c>
      <c r="K1016" s="101">
        <v>144000</v>
      </c>
      <c r="L1016" s="101"/>
      <c r="M1016" s="10"/>
      <c r="N1016" s="10"/>
      <c r="O1016"/>
      <c r="P1016"/>
    </row>
    <row r="1017" spans="1:16" s="146" customFormat="1" ht="18" x14ac:dyDescent="0.25">
      <c r="A1017" s="927" t="s">
        <v>123</v>
      </c>
      <c r="B1017" s="926" t="s">
        <v>1388</v>
      </c>
      <c r="C1017" s="824" t="s">
        <v>1370</v>
      </c>
      <c r="D1017" s="811"/>
      <c r="E1017" s="812"/>
      <c r="F1017" s="812"/>
      <c r="G1017" s="100"/>
      <c r="H1017" s="101"/>
      <c r="I1017" s="102"/>
      <c r="J1017" s="101"/>
      <c r="K1017" s="101">
        <v>1216270.04</v>
      </c>
      <c r="L1017" s="101">
        <v>1216270.04</v>
      </c>
      <c r="M1017" s="10"/>
      <c r="N1017" s="10"/>
      <c r="O1017"/>
      <c r="P1017"/>
    </row>
    <row r="1018" spans="1:16" s="146" customFormat="1" ht="18" customHeight="1" x14ac:dyDescent="0.25">
      <c r="A1018" s="927" t="s">
        <v>123</v>
      </c>
      <c r="B1018" s="926" t="s">
        <v>1388</v>
      </c>
      <c r="C1018" s="1602" t="s">
        <v>139</v>
      </c>
      <c r="D1018" s="1603"/>
      <c r="E1018" s="1603"/>
      <c r="F1018" s="1603"/>
      <c r="G1018" s="100" t="s">
        <v>140</v>
      </c>
      <c r="H1018" s="101">
        <v>213863</v>
      </c>
      <c r="I1018" s="102">
        <v>306425</v>
      </c>
      <c r="J1018" s="101">
        <v>233314</v>
      </c>
      <c r="K1018" s="101">
        <v>332297</v>
      </c>
      <c r="L1018" s="101"/>
      <c r="M1018" s="10"/>
      <c r="N1018" s="10"/>
      <c r="O1018"/>
      <c r="P1018"/>
    </row>
    <row r="1019" spans="1:16" s="146" customFormat="1" ht="18" x14ac:dyDescent="0.25">
      <c r="A1019" s="927" t="s">
        <v>123</v>
      </c>
      <c r="B1019" s="926" t="s">
        <v>1388</v>
      </c>
      <c r="C1019" s="1602" t="s">
        <v>141</v>
      </c>
      <c r="D1019" s="1603"/>
      <c r="E1019" s="1603"/>
      <c r="F1019" s="1603"/>
      <c r="G1019" s="100" t="s">
        <v>142</v>
      </c>
      <c r="H1019" s="101">
        <v>214025</v>
      </c>
      <c r="I1019" s="102">
        <v>306425</v>
      </c>
      <c r="J1019" s="101"/>
      <c r="K1019" s="101">
        <v>332384</v>
      </c>
      <c r="L1019" s="101"/>
      <c r="M1019" s="10"/>
      <c r="N1019" s="10"/>
      <c r="O1019"/>
      <c r="P1019"/>
    </row>
    <row r="1020" spans="1:16" s="146" customFormat="1" ht="18" x14ac:dyDescent="0.25">
      <c r="A1020" s="927" t="s">
        <v>123</v>
      </c>
      <c r="B1020" s="926" t="s">
        <v>1388</v>
      </c>
      <c r="C1020" s="1602" t="s">
        <v>143</v>
      </c>
      <c r="D1020" s="1603"/>
      <c r="E1020" s="1603"/>
      <c r="F1020" s="1603"/>
      <c r="G1020" s="100" t="s">
        <v>144</v>
      </c>
      <c r="H1020" s="101">
        <v>90000</v>
      </c>
      <c r="I1020" s="102">
        <v>120000</v>
      </c>
      <c r="J1020" s="101"/>
      <c r="K1020" s="101">
        <v>120000</v>
      </c>
      <c r="L1020" s="101"/>
      <c r="M1020" s="10"/>
      <c r="N1020" s="10"/>
      <c r="O1020"/>
      <c r="P1020"/>
    </row>
    <row r="1021" spans="1:16" s="146" customFormat="1" ht="18" x14ac:dyDescent="0.25">
      <c r="A1021" s="927" t="s">
        <v>123</v>
      </c>
      <c r="B1021" s="926" t="s">
        <v>1388</v>
      </c>
      <c r="C1021" s="1602" t="s">
        <v>145</v>
      </c>
      <c r="D1021" s="1603"/>
      <c r="E1021" s="1603"/>
      <c r="F1021" s="1603"/>
      <c r="G1021" s="100" t="s">
        <v>146</v>
      </c>
      <c r="H1021" s="101">
        <v>90000</v>
      </c>
      <c r="I1021" s="102">
        <v>120000</v>
      </c>
      <c r="J1021" s="101"/>
      <c r="K1021" s="101">
        <v>120000</v>
      </c>
      <c r="L1021" s="101"/>
      <c r="M1021" s="10"/>
      <c r="N1021" s="10"/>
      <c r="O1021"/>
      <c r="P1021"/>
    </row>
    <row r="1022" spans="1:16" s="146" customFormat="1" ht="18" x14ac:dyDescent="0.25">
      <c r="A1022" s="927" t="s">
        <v>123</v>
      </c>
      <c r="B1022" s="926" t="s">
        <v>1388</v>
      </c>
      <c r="C1022" s="808" t="s">
        <v>231</v>
      </c>
      <c r="D1022" s="813"/>
      <c r="E1022" s="813"/>
      <c r="F1022" s="811"/>
      <c r="G1022" s="100" t="s">
        <v>232</v>
      </c>
      <c r="H1022" s="101"/>
      <c r="I1022" s="102">
        <v>10000</v>
      </c>
      <c r="J1022" s="101"/>
      <c r="K1022" s="101">
        <v>5000</v>
      </c>
      <c r="L1022" s="101"/>
      <c r="M1022" s="10"/>
      <c r="N1022" s="10"/>
      <c r="O1022"/>
      <c r="P1022"/>
    </row>
    <row r="1023" spans="1:16" s="146" customFormat="1" ht="18" x14ac:dyDescent="0.25">
      <c r="A1023" s="927" t="s">
        <v>123</v>
      </c>
      <c r="B1023" s="926" t="s">
        <v>1388</v>
      </c>
      <c r="C1023" s="826" t="s">
        <v>147</v>
      </c>
      <c r="D1023" s="813"/>
      <c r="E1023" s="813"/>
      <c r="F1023" s="811"/>
      <c r="G1023" s="100" t="s">
        <v>148</v>
      </c>
      <c r="H1023" s="101"/>
      <c r="I1023" s="102"/>
      <c r="J1023" s="101"/>
      <c r="K1023" s="101">
        <v>72000</v>
      </c>
      <c r="L1023" s="101"/>
      <c r="M1023" s="10"/>
      <c r="N1023" s="10"/>
      <c r="O1023"/>
      <c r="P1023"/>
    </row>
    <row r="1024" spans="1:16" s="146" customFormat="1" ht="18" x14ac:dyDescent="0.25">
      <c r="A1024" s="927" t="s">
        <v>123</v>
      </c>
      <c r="B1024" s="926" t="s">
        <v>1388</v>
      </c>
      <c r="C1024" s="1602" t="s">
        <v>153</v>
      </c>
      <c r="D1024" s="1603"/>
      <c r="E1024" s="1603"/>
      <c r="F1024" s="1603"/>
      <c r="G1024" s="100" t="s">
        <v>154</v>
      </c>
      <c r="H1024" s="101">
        <v>286241.37</v>
      </c>
      <c r="I1024" s="102">
        <v>441311.64</v>
      </c>
      <c r="J1024" s="101">
        <v>184897.96</v>
      </c>
      <c r="K1024" s="101">
        <v>478528.48</v>
      </c>
      <c r="L1024" s="101"/>
      <c r="M1024" s="10"/>
      <c r="N1024" s="10"/>
      <c r="O1024"/>
      <c r="P1024"/>
    </row>
    <row r="1025" spans="1:16" s="146" customFormat="1" ht="18" x14ac:dyDescent="0.25">
      <c r="A1025" s="927" t="s">
        <v>123</v>
      </c>
      <c r="B1025" s="926" t="s">
        <v>1388</v>
      </c>
      <c r="C1025" s="1602" t="s">
        <v>155</v>
      </c>
      <c r="D1025" s="1603"/>
      <c r="E1025" s="1603"/>
      <c r="F1025" s="1603"/>
      <c r="G1025" s="100" t="s">
        <v>156</v>
      </c>
      <c r="H1025" s="101">
        <v>19600</v>
      </c>
      <c r="I1025" s="102">
        <v>28800</v>
      </c>
      <c r="J1025" s="101">
        <v>15005.92</v>
      </c>
      <c r="K1025" s="101">
        <v>28800</v>
      </c>
      <c r="L1025" s="101"/>
      <c r="M1025" s="10"/>
      <c r="N1025" s="10"/>
      <c r="O1025"/>
      <c r="P1025"/>
    </row>
    <row r="1026" spans="1:16" s="146" customFormat="1" ht="18" x14ac:dyDescent="0.25">
      <c r="A1026" s="927" t="s">
        <v>123</v>
      </c>
      <c r="B1026" s="926" t="s">
        <v>1388</v>
      </c>
      <c r="C1026" s="1602" t="s">
        <v>157</v>
      </c>
      <c r="D1026" s="1603"/>
      <c r="E1026" s="1603"/>
      <c r="F1026" s="1603"/>
      <c r="G1026" s="100" t="s">
        <v>158</v>
      </c>
      <c r="H1026" s="101">
        <v>35484.800000000003</v>
      </c>
      <c r="I1026" s="102">
        <v>64357.95</v>
      </c>
      <c r="J1026" s="101">
        <v>23869.67</v>
      </c>
      <c r="K1026" s="101">
        <v>159880.53</v>
      </c>
      <c r="L1026" s="101"/>
      <c r="M1026" s="10"/>
      <c r="N1026" s="10"/>
      <c r="O1026"/>
      <c r="P1026"/>
    </row>
    <row r="1027" spans="1:16" s="146" customFormat="1" ht="18" x14ac:dyDescent="0.25">
      <c r="A1027" s="927" t="s">
        <v>123</v>
      </c>
      <c r="B1027" s="926" t="s">
        <v>1388</v>
      </c>
      <c r="C1027" s="1602" t="s">
        <v>159</v>
      </c>
      <c r="D1027" s="1603"/>
      <c r="E1027" s="1603"/>
      <c r="F1027" s="1603"/>
      <c r="G1027" s="100" t="s">
        <v>160</v>
      </c>
      <c r="H1027" s="105">
        <v>19604.32</v>
      </c>
      <c r="I1027" s="106">
        <v>28800</v>
      </c>
      <c r="J1027" s="105">
        <v>12400</v>
      </c>
      <c r="K1027" s="105">
        <v>28800</v>
      </c>
      <c r="L1027" s="105"/>
      <c r="M1027" s="10"/>
      <c r="N1027" s="10"/>
      <c r="O1027"/>
      <c r="P1027"/>
    </row>
    <row r="1028" spans="1:16" s="229" customFormat="1" ht="18" customHeight="1" x14ac:dyDescent="0.25">
      <c r="A1028" s="229" t="s">
        <v>163</v>
      </c>
      <c r="B1028" s="926" t="s">
        <v>1388</v>
      </c>
      <c r="C1028" s="44" t="s">
        <v>168</v>
      </c>
      <c r="D1028" s="125"/>
      <c r="E1028" s="125"/>
      <c r="F1028" s="134"/>
      <c r="G1028" s="100" t="s">
        <v>169</v>
      </c>
      <c r="H1028" s="101">
        <v>73940</v>
      </c>
      <c r="I1028" s="102">
        <v>92706</v>
      </c>
      <c r="J1028" s="101">
        <v>48916.5</v>
      </c>
      <c r="K1028" s="101">
        <v>96656</v>
      </c>
      <c r="L1028" s="101"/>
      <c r="M1028" s="207"/>
      <c r="N1028" s="207"/>
      <c r="O1028" s="212"/>
      <c r="P1028" s="212"/>
    </row>
    <row r="1029" spans="1:16" s="229" customFormat="1" ht="18" customHeight="1" x14ac:dyDescent="0.25">
      <c r="A1029" s="229" t="s">
        <v>163</v>
      </c>
      <c r="B1029" s="926" t="s">
        <v>1388</v>
      </c>
      <c r="C1029" s="44" t="s">
        <v>172</v>
      </c>
      <c r="D1029" s="125"/>
      <c r="E1029" s="125"/>
      <c r="F1029" s="134"/>
      <c r="G1029" s="100" t="s">
        <v>173</v>
      </c>
      <c r="H1029" s="101">
        <v>781124.36</v>
      </c>
      <c r="I1029" s="102">
        <v>1525050</v>
      </c>
      <c r="J1029" s="101">
        <v>312132.07</v>
      </c>
      <c r="K1029" s="101">
        <v>1503330</v>
      </c>
      <c r="L1029" s="101"/>
      <c r="M1029" s="207"/>
      <c r="N1029" s="207"/>
      <c r="O1029" s="212"/>
      <c r="P1029" s="212"/>
    </row>
    <row r="1030" spans="1:16" s="229" customFormat="1" ht="18" customHeight="1" x14ac:dyDescent="0.25">
      <c r="A1030" s="229" t="s">
        <v>163</v>
      </c>
      <c r="B1030" s="926" t="s">
        <v>1388</v>
      </c>
      <c r="C1030" s="44" t="s">
        <v>170</v>
      </c>
      <c r="D1030" s="125"/>
      <c r="E1030" s="125"/>
      <c r="F1030" s="825"/>
      <c r="G1030" s="100" t="s">
        <v>171</v>
      </c>
      <c r="H1030" s="101"/>
      <c r="I1030" s="102"/>
      <c r="J1030" s="101"/>
      <c r="K1030" s="101">
        <f>1962843+852559.16</f>
        <v>2815402.16</v>
      </c>
      <c r="L1030" s="101"/>
      <c r="M1030" s="207">
        <f>2119431.45+10097.76</f>
        <v>2129529.21</v>
      </c>
      <c r="N1030" s="207"/>
      <c r="O1030" s="212"/>
      <c r="P1030" s="212"/>
    </row>
    <row r="1031" spans="1:16" s="229" customFormat="1" ht="18" customHeight="1" x14ac:dyDescent="0.25">
      <c r="A1031" s="229" t="s">
        <v>163</v>
      </c>
      <c r="B1031" s="926" t="s">
        <v>1388</v>
      </c>
      <c r="C1031" s="44" t="s">
        <v>384</v>
      </c>
      <c r="D1031" s="125"/>
      <c r="E1031" s="125"/>
      <c r="F1031" s="134"/>
      <c r="G1031" s="100" t="s">
        <v>385</v>
      </c>
      <c r="H1031" s="101">
        <v>1246510.8</v>
      </c>
      <c r="I1031" s="102">
        <v>1500000</v>
      </c>
      <c r="J1031" s="101">
        <v>700334.34</v>
      </c>
      <c r="K1031" s="101">
        <v>1500000</v>
      </c>
      <c r="L1031" s="101"/>
      <c r="M1031" s="207"/>
      <c r="N1031" s="207"/>
      <c r="O1031" s="212"/>
      <c r="P1031" s="212"/>
    </row>
    <row r="1032" spans="1:16" s="229" customFormat="1" ht="18" customHeight="1" x14ac:dyDescent="0.25">
      <c r="A1032" s="229" t="s">
        <v>163</v>
      </c>
      <c r="B1032" s="926" t="s">
        <v>1388</v>
      </c>
      <c r="C1032" s="44" t="s">
        <v>178</v>
      </c>
      <c r="D1032" s="125"/>
      <c r="E1032" s="125"/>
      <c r="F1032" s="134"/>
      <c r="G1032" s="100"/>
      <c r="H1032" s="101"/>
      <c r="I1032" s="102"/>
      <c r="J1032" s="101"/>
      <c r="K1032" s="101">
        <v>30000</v>
      </c>
      <c r="L1032" s="101"/>
      <c r="M1032" s="207"/>
      <c r="N1032" s="207"/>
      <c r="O1032" s="212"/>
      <c r="P1032" s="212"/>
    </row>
    <row r="1033" spans="1:16" s="229" customFormat="1" ht="18" customHeight="1" x14ac:dyDescent="0.25">
      <c r="A1033" s="229" t="s">
        <v>163</v>
      </c>
      <c r="B1033" s="926" t="s">
        <v>1388</v>
      </c>
      <c r="C1033" s="44" t="s">
        <v>1266</v>
      </c>
      <c r="D1033" s="125"/>
      <c r="E1033" s="125"/>
      <c r="F1033" s="134"/>
      <c r="G1033" s="100" t="s">
        <v>308</v>
      </c>
      <c r="H1033" s="101">
        <v>337991</v>
      </c>
      <c r="I1033" s="102">
        <v>2000000</v>
      </c>
      <c r="J1033" s="101">
        <v>231060</v>
      </c>
      <c r="K1033" s="101">
        <v>1000000</v>
      </c>
      <c r="L1033" s="101"/>
      <c r="M1033" s="207"/>
      <c r="N1033" s="207"/>
      <c r="O1033" s="212"/>
      <c r="P1033" s="212"/>
    </row>
    <row r="1034" spans="1:16" s="229" customFormat="1" ht="18" customHeight="1" x14ac:dyDescent="0.25">
      <c r="A1034" s="229" t="s">
        <v>163</v>
      </c>
      <c r="B1034" s="926" t="s">
        <v>1388</v>
      </c>
      <c r="C1034" s="44" t="s">
        <v>186</v>
      </c>
      <c r="D1034" s="125"/>
      <c r="E1034" s="125"/>
      <c r="F1034" s="125"/>
      <c r="G1034" s="100" t="s">
        <v>187</v>
      </c>
      <c r="H1034" s="101">
        <v>84240</v>
      </c>
      <c r="I1034" s="102">
        <v>100000</v>
      </c>
      <c r="J1034" s="101"/>
      <c r="K1034" s="101">
        <v>200000</v>
      </c>
      <c r="L1034" s="101"/>
      <c r="M1034" s="207"/>
      <c r="N1034" s="207"/>
      <c r="O1034" s="212"/>
      <c r="P1034" s="212"/>
    </row>
    <row r="1035" spans="1:16" s="229" customFormat="1" ht="18" customHeight="1" x14ac:dyDescent="0.25">
      <c r="A1035" s="229" t="s">
        <v>163</v>
      </c>
      <c r="B1035" s="926" t="s">
        <v>1388</v>
      </c>
      <c r="C1035" s="44" t="s">
        <v>1518</v>
      </c>
      <c r="D1035" s="125"/>
      <c r="E1035" s="824"/>
      <c r="F1035" s="825"/>
      <c r="G1035" s="100" t="s">
        <v>189</v>
      </c>
      <c r="H1035" s="101"/>
      <c r="I1035" s="102">
        <v>234000</v>
      </c>
      <c r="J1035" s="101"/>
      <c r="K1035" s="101">
        <v>200000</v>
      </c>
      <c r="L1035" s="101"/>
      <c r="M1035" s="207"/>
      <c r="N1035" s="207"/>
      <c r="O1035" s="212"/>
      <c r="P1035" s="212"/>
    </row>
    <row r="1036" spans="1:16" s="229" customFormat="1" ht="18" customHeight="1" x14ac:dyDescent="0.25">
      <c r="A1036" s="229" t="s">
        <v>163</v>
      </c>
      <c r="B1036" s="926" t="s">
        <v>1388</v>
      </c>
      <c r="C1036" s="44" t="s">
        <v>198</v>
      </c>
      <c r="D1036" s="125"/>
      <c r="E1036" s="125"/>
      <c r="F1036" s="134"/>
      <c r="G1036" s="100" t="s">
        <v>199</v>
      </c>
      <c r="H1036" s="105">
        <v>1302470.25</v>
      </c>
      <c r="I1036" s="106">
        <v>1607030</v>
      </c>
      <c r="J1036" s="105">
        <v>587500.54</v>
      </c>
      <c r="K1036" s="105">
        <v>1768634.16</v>
      </c>
      <c r="L1036" s="105"/>
      <c r="M1036" s="207"/>
      <c r="N1036" s="207"/>
      <c r="O1036" s="212"/>
      <c r="P1036" s="212"/>
    </row>
    <row r="1037" spans="1:16" s="146" customFormat="1" ht="18" customHeight="1" x14ac:dyDescent="0.25">
      <c r="A1037" s="146" t="s">
        <v>201</v>
      </c>
      <c r="B1037" s="926" t="s">
        <v>1388</v>
      </c>
      <c r="C1037" s="826" t="s">
        <v>203</v>
      </c>
      <c r="D1037" s="813"/>
      <c r="E1037" s="813"/>
      <c r="F1037" s="813"/>
      <c r="G1037" s="376"/>
      <c r="H1037" s="101"/>
      <c r="I1037" s="102"/>
      <c r="J1037" s="101"/>
      <c r="K1037" s="101">
        <v>75000</v>
      </c>
      <c r="L1037" s="101"/>
      <c r="M1037" s="10"/>
      <c r="N1037" s="10"/>
      <c r="O1037"/>
      <c r="P1037"/>
    </row>
    <row r="1038" spans="1:16" s="313" customFormat="1" ht="47.25" customHeight="1" x14ac:dyDescent="0.25">
      <c r="A1038" s="146" t="s">
        <v>201</v>
      </c>
      <c r="B1038" s="926" t="s">
        <v>1388</v>
      </c>
      <c r="C1038" s="1622" t="s">
        <v>1269</v>
      </c>
      <c r="D1038" s="1622"/>
      <c r="E1038" s="828"/>
      <c r="F1038" s="828"/>
      <c r="G1038" s="238"/>
      <c r="H1038" s="101"/>
      <c r="I1038" s="102"/>
      <c r="J1038" s="101"/>
      <c r="K1038" s="101">
        <v>160000</v>
      </c>
      <c r="L1038" s="101"/>
      <c r="M1038" s="193"/>
      <c r="N1038" s="193"/>
      <c r="O1038" s="179"/>
      <c r="P1038" s="179"/>
    </row>
    <row r="1039" spans="1:16" s="313" customFormat="1" ht="18" customHeight="1" x14ac:dyDescent="0.25">
      <c r="A1039" s="146" t="s">
        <v>201</v>
      </c>
      <c r="B1039" s="926" t="s">
        <v>1388</v>
      </c>
      <c r="C1039" s="833" t="s">
        <v>1270</v>
      </c>
      <c r="D1039" s="828"/>
      <c r="E1039" s="828"/>
      <c r="F1039" s="828"/>
      <c r="G1039" s="238"/>
      <c r="H1039" s="101"/>
      <c r="I1039" s="102"/>
      <c r="J1039" s="101"/>
      <c r="K1039" s="101">
        <v>35000</v>
      </c>
      <c r="L1039" s="101"/>
      <c r="M1039" s="193"/>
      <c r="N1039" s="193"/>
      <c r="O1039" s="179"/>
      <c r="P1039" s="179"/>
    </row>
    <row r="1040" spans="1:16" s="313" customFormat="1" ht="18" customHeight="1" x14ac:dyDescent="0.25">
      <c r="A1040" s="146" t="s">
        <v>201</v>
      </c>
      <c r="B1040" s="926" t="s">
        <v>1388</v>
      </c>
      <c r="C1040" s="833" t="s">
        <v>1271</v>
      </c>
      <c r="D1040" s="828"/>
      <c r="E1040" s="828"/>
      <c r="F1040" s="828"/>
      <c r="G1040" s="238"/>
      <c r="H1040" s="101"/>
      <c r="I1040" s="102"/>
      <c r="J1040" s="101"/>
      <c r="K1040" s="101">
        <v>14000</v>
      </c>
      <c r="L1040" s="101"/>
      <c r="M1040" s="193"/>
      <c r="N1040" s="193"/>
      <c r="O1040" s="179"/>
      <c r="P1040" s="179"/>
    </row>
    <row r="1041" spans="1:16" s="313" customFormat="1" ht="18" customHeight="1" x14ac:dyDescent="0.25">
      <c r="A1041" s="146" t="s">
        <v>201</v>
      </c>
      <c r="B1041" s="926" t="s">
        <v>1388</v>
      </c>
      <c r="C1041" s="833" t="s">
        <v>1272</v>
      </c>
      <c r="D1041" s="828"/>
      <c r="E1041" s="828"/>
      <c r="F1041" s="828"/>
      <c r="G1041" s="238"/>
      <c r="H1041" s="101"/>
      <c r="I1041" s="102"/>
      <c r="J1041" s="101"/>
      <c r="K1041" s="101">
        <v>75000</v>
      </c>
      <c r="L1041" s="101"/>
      <c r="M1041" s="193"/>
      <c r="N1041" s="193"/>
      <c r="O1041" s="179"/>
      <c r="P1041" s="179"/>
    </row>
    <row r="1042" spans="1:16" s="313" customFormat="1" ht="63.75" customHeight="1" x14ac:dyDescent="0.25">
      <c r="A1042" s="146" t="s">
        <v>201</v>
      </c>
      <c r="B1042" s="926" t="s">
        <v>1388</v>
      </c>
      <c r="C1042" s="1622" t="s">
        <v>1273</v>
      </c>
      <c r="D1042" s="1622"/>
      <c r="E1042" s="828"/>
      <c r="F1042" s="828"/>
      <c r="G1042" s="238"/>
      <c r="H1042" s="101"/>
      <c r="I1042" s="102"/>
      <c r="J1042" s="101"/>
      <c r="K1042" s="101">
        <v>26000</v>
      </c>
      <c r="L1042" s="101"/>
      <c r="M1042" s="193"/>
      <c r="N1042" s="193"/>
      <c r="O1042" s="179"/>
      <c r="P1042" s="179"/>
    </row>
    <row r="1043" spans="1:16" s="146" customFormat="1" ht="18" x14ac:dyDescent="0.25">
      <c r="A1043" s="146" t="s">
        <v>123</v>
      </c>
      <c r="B1043" s="926" t="s">
        <v>1388</v>
      </c>
      <c r="C1043" s="1602" t="s">
        <v>124</v>
      </c>
      <c r="D1043" s="1603"/>
      <c r="E1043" s="1603"/>
      <c r="F1043" s="1603"/>
      <c r="G1043" s="100" t="s">
        <v>125</v>
      </c>
      <c r="H1043" s="101">
        <v>1068489.1399999999</v>
      </c>
      <c r="I1043" s="102">
        <v>1192644</v>
      </c>
      <c r="J1043" s="101">
        <v>594210.67000000004</v>
      </c>
      <c r="K1043" s="101">
        <v>1296300</v>
      </c>
      <c r="L1043" s="101"/>
      <c r="M1043" s="10"/>
      <c r="N1043" s="10"/>
      <c r="O1043"/>
      <c r="P1043"/>
    </row>
    <row r="1044" spans="1:16" s="146" customFormat="1" ht="18" x14ac:dyDescent="0.25">
      <c r="A1044" s="146" t="s">
        <v>123</v>
      </c>
      <c r="B1044" s="926" t="s">
        <v>1388</v>
      </c>
      <c r="C1044" s="1602" t="s">
        <v>126</v>
      </c>
      <c r="D1044" s="1603"/>
      <c r="E1044" s="1603"/>
      <c r="F1044" s="1603"/>
      <c r="G1044" s="100" t="s">
        <v>127</v>
      </c>
      <c r="H1044" s="101">
        <v>444155.57</v>
      </c>
      <c r="I1044" s="102">
        <v>499920</v>
      </c>
      <c r="J1044" s="101">
        <v>201978.22</v>
      </c>
      <c r="K1044" s="101">
        <v>542400</v>
      </c>
      <c r="L1044" s="101"/>
      <c r="M1044" s="10"/>
      <c r="N1044" s="10"/>
      <c r="O1044"/>
      <c r="P1044"/>
    </row>
    <row r="1045" spans="1:16" s="146" customFormat="1" ht="18" x14ac:dyDescent="0.25">
      <c r="A1045" s="146" t="s">
        <v>123</v>
      </c>
      <c r="B1045" s="926" t="s">
        <v>1388</v>
      </c>
      <c r="C1045" s="1614" t="s">
        <v>128</v>
      </c>
      <c r="D1045" s="1615"/>
      <c r="E1045" s="812"/>
      <c r="F1045" s="812"/>
      <c r="G1045" s="100" t="s">
        <v>125</v>
      </c>
      <c r="H1045" s="101"/>
      <c r="I1045" s="102"/>
      <c r="J1045" s="101"/>
      <c r="K1045" s="101">
        <v>6453.63</v>
      </c>
      <c r="L1045" s="101"/>
      <c r="M1045" s="10"/>
      <c r="N1045" s="10"/>
      <c r="O1045"/>
      <c r="P1045"/>
    </row>
    <row r="1046" spans="1:16" s="146" customFormat="1" ht="18" customHeight="1" x14ac:dyDescent="0.25">
      <c r="A1046" s="146" t="s">
        <v>123</v>
      </c>
      <c r="B1046" s="926" t="s">
        <v>1388</v>
      </c>
      <c r="C1046" s="1602" t="s">
        <v>129</v>
      </c>
      <c r="D1046" s="1603"/>
      <c r="E1046" s="1603"/>
      <c r="F1046" s="1603"/>
      <c r="G1046" s="103" t="s">
        <v>130</v>
      </c>
      <c r="H1046" s="101">
        <v>213181.73</v>
      </c>
      <c r="I1046" s="102">
        <v>288000</v>
      </c>
      <c r="J1046" s="101">
        <v>126272.71</v>
      </c>
      <c r="K1046" s="101">
        <v>288000</v>
      </c>
      <c r="L1046" s="101"/>
      <c r="M1046" s="10"/>
      <c r="N1046" s="10"/>
      <c r="O1046"/>
      <c r="P1046"/>
    </row>
    <row r="1047" spans="1:16" s="146" customFormat="1" ht="18" x14ac:dyDescent="0.25">
      <c r="A1047" s="146" t="s">
        <v>123</v>
      </c>
      <c r="B1047" s="926" t="s">
        <v>1388</v>
      </c>
      <c r="C1047" s="1602" t="s">
        <v>135</v>
      </c>
      <c r="D1047" s="1603"/>
      <c r="E1047" s="1603"/>
      <c r="F1047" s="1603"/>
      <c r="G1047" s="100" t="s">
        <v>136</v>
      </c>
      <c r="H1047" s="101">
        <v>209605.68</v>
      </c>
      <c r="I1047" s="102">
        <v>289431.96000000002</v>
      </c>
      <c r="J1047" s="101">
        <v>95244.65</v>
      </c>
      <c r="K1047" s="101">
        <v>486384.24</v>
      </c>
      <c r="L1047" s="101"/>
      <c r="M1047" s="10"/>
      <c r="N1047" s="10"/>
      <c r="O1047"/>
      <c r="P1047"/>
    </row>
    <row r="1048" spans="1:16" s="146" customFormat="1" ht="18" x14ac:dyDescent="0.25">
      <c r="A1048" s="146" t="s">
        <v>123</v>
      </c>
      <c r="B1048" s="926" t="s">
        <v>1388</v>
      </c>
      <c r="C1048" s="1602" t="s">
        <v>137</v>
      </c>
      <c r="D1048" s="1603"/>
      <c r="E1048" s="1603"/>
      <c r="F1048" s="1603"/>
      <c r="G1048" s="100" t="s">
        <v>138</v>
      </c>
      <c r="H1048" s="101">
        <v>42000</v>
      </c>
      <c r="I1048" s="102">
        <v>72000</v>
      </c>
      <c r="J1048" s="101">
        <v>60000</v>
      </c>
      <c r="K1048" s="101">
        <v>72000</v>
      </c>
      <c r="L1048" s="101"/>
      <c r="M1048" s="10"/>
      <c r="N1048" s="10"/>
      <c r="O1048"/>
      <c r="P1048"/>
    </row>
    <row r="1049" spans="1:16" s="146" customFormat="1" ht="18" customHeight="1" x14ac:dyDescent="0.25">
      <c r="A1049" s="146" t="s">
        <v>123</v>
      </c>
      <c r="B1049" s="926" t="s">
        <v>1388</v>
      </c>
      <c r="C1049" s="1602" t="s">
        <v>139</v>
      </c>
      <c r="D1049" s="1603"/>
      <c r="E1049" s="1603"/>
      <c r="F1049" s="1603"/>
      <c r="G1049" s="100" t="s">
        <v>140</v>
      </c>
      <c r="H1049" s="101">
        <v>120217</v>
      </c>
      <c r="I1049" s="102">
        <v>141047</v>
      </c>
      <c r="J1049" s="101">
        <v>112418</v>
      </c>
      <c r="K1049" s="101">
        <v>153894</v>
      </c>
      <c r="L1049" s="101"/>
      <c r="M1049" s="10"/>
      <c r="N1049" s="10"/>
      <c r="O1049"/>
      <c r="P1049"/>
    </row>
    <row r="1050" spans="1:16" ht="18" x14ac:dyDescent="0.25">
      <c r="A1050" s="146" t="s">
        <v>123</v>
      </c>
      <c r="B1050" s="926" t="s">
        <v>1388</v>
      </c>
      <c r="C1050" s="1602" t="s">
        <v>141</v>
      </c>
      <c r="D1050" s="1603"/>
      <c r="E1050" s="1603"/>
      <c r="F1050" s="1603"/>
      <c r="G1050" s="100" t="s">
        <v>142</v>
      </c>
      <c r="H1050" s="101">
        <v>120217</v>
      </c>
      <c r="I1050" s="102">
        <v>141047</v>
      </c>
      <c r="J1050" s="101"/>
      <c r="K1050" s="101">
        <v>153894</v>
      </c>
      <c r="L1050" s="101"/>
    </row>
    <row r="1051" spans="1:16" ht="18" x14ac:dyDescent="0.25">
      <c r="A1051" s="146" t="s">
        <v>123</v>
      </c>
      <c r="B1051" s="926" t="s">
        <v>1388</v>
      </c>
      <c r="C1051" s="1602" t="s">
        <v>143</v>
      </c>
      <c r="D1051" s="1603"/>
      <c r="E1051" s="1603"/>
      <c r="F1051" s="1603"/>
      <c r="G1051" s="100" t="s">
        <v>144</v>
      </c>
      <c r="H1051" s="101">
        <v>50000</v>
      </c>
      <c r="I1051" s="102">
        <v>60000</v>
      </c>
      <c r="J1051" s="101"/>
      <c r="K1051" s="101">
        <v>60000</v>
      </c>
      <c r="L1051" s="101"/>
    </row>
    <row r="1052" spans="1:16" ht="18" x14ac:dyDescent="0.25">
      <c r="A1052" s="146" t="s">
        <v>123</v>
      </c>
      <c r="B1052" s="926" t="s">
        <v>1388</v>
      </c>
      <c r="C1052" s="1602" t="s">
        <v>145</v>
      </c>
      <c r="D1052" s="1603"/>
      <c r="E1052" s="1603"/>
      <c r="F1052" s="1603"/>
      <c r="G1052" s="100" t="s">
        <v>146</v>
      </c>
      <c r="H1052" s="101">
        <v>50000</v>
      </c>
      <c r="I1052" s="102">
        <v>60000</v>
      </c>
      <c r="J1052" s="101"/>
      <c r="K1052" s="101">
        <v>60000</v>
      </c>
      <c r="L1052" s="101"/>
    </row>
    <row r="1053" spans="1:16" ht="18" x14ac:dyDescent="0.25">
      <c r="A1053" s="146" t="s">
        <v>123</v>
      </c>
      <c r="B1053" s="926" t="s">
        <v>1388</v>
      </c>
      <c r="C1053" s="808" t="s">
        <v>231</v>
      </c>
      <c r="D1053" s="813"/>
      <c r="E1053" s="813"/>
      <c r="F1053" s="813"/>
      <c r="G1053" s="100" t="s">
        <v>232</v>
      </c>
      <c r="H1053" s="101">
        <v>0</v>
      </c>
      <c r="I1053" s="102">
        <v>0</v>
      </c>
      <c r="J1053" s="101"/>
      <c r="K1053" s="101">
        <v>5000</v>
      </c>
      <c r="L1053" s="101"/>
    </row>
    <row r="1054" spans="1:16" ht="18" x14ac:dyDescent="0.25">
      <c r="A1054" s="146" t="s">
        <v>123</v>
      </c>
      <c r="B1054" s="926" t="s">
        <v>1388</v>
      </c>
      <c r="C1054" s="826" t="s">
        <v>147</v>
      </c>
      <c r="D1054" s="813"/>
      <c r="E1054" s="813"/>
      <c r="F1054" s="813"/>
      <c r="G1054" s="100" t="s">
        <v>148</v>
      </c>
      <c r="H1054" s="101"/>
      <c r="I1054" s="102"/>
      <c r="J1054" s="101"/>
      <c r="K1054" s="101">
        <v>36000</v>
      </c>
      <c r="L1054" s="101"/>
    </row>
    <row r="1055" spans="1:16" s="146" customFormat="1" ht="18" x14ac:dyDescent="0.25">
      <c r="A1055" s="146" t="s">
        <v>123</v>
      </c>
      <c r="B1055" s="926" t="s">
        <v>1388</v>
      </c>
      <c r="C1055" s="1611" t="s">
        <v>210</v>
      </c>
      <c r="D1055" s="1611"/>
      <c r="E1055" s="1611"/>
      <c r="F1055" s="811"/>
      <c r="G1055" s="100" t="s">
        <v>464</v>
      </c>
      <c r="H1055" s="101">
        <v>36400</v>
      </c>
      <c r="I1055" s="102">
        <v>54000</v>
      </c>
      <c r="J1055" s="101">
        <v>5850</v>
      </c>
      <c r="K1055" s="101">
        <v>54000</v>
      </c>
      <c r="L1055" s="101"/>
      <c r="M1055" s="10"/>
      <c r="N1055" s="10"/>
      <c r="O1055"/>
      <c r="P1055"/>
    </row>
    <row r="1056" spans="1:16" s="146" customFormat="1" ht="18" x14ac:dyDescent="0.25">
      <c r="A1056" s="146" t="s">
        <v>123</v>
      </c>
      <c r="B1056" s="926" t="s">
        <v>1388</v>
      </c>
      <c r="C1056" s="1611" t="s">
        <v>211</v>
      </c>
      <c r="D1056" s="1611"/>
      <c r="E1056" s="813"/>
      <c r="F1056" s="811"/>
      <c r="G1056" s="100" t="s">
        <v>212</v>
      </c>
      <c r="H1056" s="101">
        <v>5195.84</v>
      </c>
      <c r="I1056" s="102">
        <v>5400</v>
      </c>
      <c r="J1056" s="101">
        <v>866.02</v>
      </c>
      <c r="K1056" s="101">
        <v>5400</v>
      </c>
      <c r="L1056" s="101"/>
      <c r="M1056" s="10"/>
      <c r="N1056" s="10"/>
      <c r="O1056"/>
      <c r="P1056"/>
    </row>
    <row r="1057" spans="1:16" s="146" customFormat="1" ht="18" x14ac:dyDescent="0.25">
      <c r="A1057" s="146" t="s">
        <v>123</v>
      </c>
      <c r="B1057" s="926" t="s">
        <v>1388</v>
      </c>
      <c r="C1057" s="808" t="s">
        <v>149</v>
      </c>
      <c r="D1057" s="813"/>
      <c r="E1057" s="813"/>
      <c r="F1057" s="811"/>
      <c r="G1057" s="100" t="s">
        <v>150</v>
      </c>
      <c r="H1057" s="101">
        <v>273885</v>
      </c>
      <c r="I1057" s="102">
        <v>128862</v>
      </c>
      <c r="J1057" s="101">
        <v>22450</v>
      </c>
      <c r="K1057" s="101">
        <v>140918.82</v>
      </c>
      <c r="L1057" s="101"/>
      <c r="M1057" s="10"/>
      <c r="N1057" s="10"/>
      <c r="O1057"/>
      <c r="P1057"/>
    </row>
    <row r="1058" spans="1:16" s="146" customFormat="1" ht="18" x14ac:dyDescent="0.25">
      <c r="A1058" s="146" t="s">
        <v>123</v>
      </c>
      <c r="B1058" s="926" t="s">
        <v>1388</v>
      </c>
      <c r="C1058" s="1611" t="s">
        <v>1284</v>
      </c>
      <c r="D1058" s="1611"/>
      <c r="E1058" s="1611"/>
      <c r="F1058" s="811"/>
      <c r="G1058" s="100" t="s">
        <v>136</v>
      </c>
      <c r="H1058" s="101">
        <v>0</v>
      </c>
      <c r="I1058" s="102">
        <v>137324.85</v>
      </c>
      <c r="J1058" s="101"/>
      <c r="K1058" s="101">
        <v>154854.26</v>
      </c>
      <c r="L1058" s="101"/>
      <c r="M1058" s="10"/>
      <c r="N1058" s="10"/>
      <c r="O1058"/>
      <c r="P1058"/>
    </row>
    <row r="1059" spans="1:16" ht="18" x14ac:dyDescent="0.25">
      <c r="A1059" s="146" t="s">
        <v>123</v>
      </c>
      <c r="B1059" s="926" t="s">
        <v>1388</v>
      </c>
      <c r="C1059" s="1602" t="s">
        <v>153</v>
      </c>
      <c r="D1059" s="1603"/>
      <c r="E1059" s="1603"/>
      <c r="F1059" s="1603"/>
      <c r="G1059" s="100" t="s">
        <v>154</v>
      </c>
      <c r="H1059" s="101">
        <v>156975.67000000001</v>
      </c>
      <c r="I1059" s="102">
        <v>203107.68</v>
      </c>
      <c r="J1059" s="101">
        <v>96713</v>
      </c>
      <c r="K1059" s="101">
        <v>221418.44</v>
      </c>
      <c r="L1059" s="101"/>
    </row>
    <row r="1060" spans="1:16" ht="18" x14ac:dyDescent="0.25">
      <c r="A1060" s="146" t="s">
        <v>123</v>
      </c>
      <c r="B1060" s="926" t="s">
        <v>1388</v>
      </c>
      <c r="C1060" s="1602" t="s">
        <v>155</v>
      </c>
      <c r="D1060" s="1603"/>
      <c r="E1060" s="1603"/>
      <c r="F1060" s="1603"/>
      <c r="G1060" s="100" t="s">
        <v>156</v>
      </c>
      <c r="H1060" s="101">
        <v>10600</v>
      </c>
      <c r="I1060" s="102">
        <v>14400</v>
      </c>
      <c r="J1060" s="101">
        <v>6600</v>
      </c>
      <c r="K1060" s="101">
        <v>14400</v>
      </c>
      <c r="L1060" s="101"/>
    </row>
    <row r="1061" spans="1:16" ht="18" x14ac:dyDescent="0.25">
      <c r="A1061" s="146" t="s">
        <v>123</v>
      </c>
      <c r="B1061" s="926" t="s">
        <v>1388</v>
      </c>
      <c r="C1061" s="1602" t="s">
        <v>157</v>
      </c>
      <c r="D1061" s="1603"/>
      <c r="E1061" s="1603"/>
      <c r="F1061" s="1603"/>
      <c r="G1061" s="100" t="s">
        <v>158</v>
      </c>
      <c r="H1061" s="101">
        <v>19528.5</v>
      </c>
      <c r="I1061" s="102">
        <v>29619.81</v>
      </c>
      <c r="J1061" s="101">
        <v>12391.59</v>
      </c>
      <c r="K1061" s="101">
        <v>73926.149999999994</v>
      </c>
      <c r="L1061" s="101"/>
    </row>
    <row r="1062" spans="1:16" ht="18" x14ac:dyDescent="0.25">
      <c r="A1062" s="146" t="s">
        <v>123</v>
      </c>
      <c r="B1062" s="926" t="s">
        <v>1388</v>
      </c>
      <c r="C1062" s="1602" t="s">
        <v>159</v>
      </c>
      <c r="D1062" s="1603"/>
      <c r="E1062" s="1603"/>
      <c r="F1062" s="1603"/>
      <c r="G1062" s="100" t="s">
        <v>160</v>
      </c>
      <c r="H1062" s="101">
        <v>10603.24</v>
      </c>
      <c r="I1062" s="102">
        <v>14400</v>
      </c>
      <c r="J1062" s="101">
        <v>6600</v>
      </c>
      <c r="K1062" s="105">
        <v>14400</v>
      </c>
      <c r="L1062" s="101"/>
    </row>
    <row r="1063" spans="1:16" s="212" customFormat="1" ht="18" customHeight="1" x14ac:dyDescent="0.25">
      <c r="A1063" s="212" t="s">
        <v>163</v>
      </c>
      <c r="B1063" s="926" t="s">
        <v>1388</v>
      </c>
      <c r="C1063" s="44" t="s">
        <v>164</v>
      </c>
      <c r="D1063" s="125"/>
      <c r="E1063" s="125"/>
      <c r="F1063" s="134"/>
      <c r="G1063" s="100" t="s">
        <v>165</v>
      </c>
      <c r="H1063" s="101">
        <v>1950</v>
      </c>
      <c r="I1063" s="102">
        <v>30000</v>
      </c>
      <c r="J1063" s="101"/>
      <c r="K1063" s="101">
        <v>30000</v>
      </c>
      <c r="L1063" s="101"/>
      <c r="M1063" s="207"/>
      <c r="N1063" s="207"/>
    </row>
    <row r="1064" spans="1:16" s="212" customFormat="1" ht="18" customHeight="1" x14ac:dyDescent="0.25">
      <c r="A1064" s="212" t="s">
        <v>163</v>
      </c>
      <c r="B1064" s="926" t="s">
        <v>1388</v>
      </c>
      <c r="C1064" s="44" t="s">
        <v>384</v>
      </c>
      <c r="D1064" s="125"/>
      <c r="E1064" s="125"/>
      <c r="F1064" s="134"/>
      <c r="G1064" s="100" t="s">
        <v>1285</v>
      </c>
      <c r="H1064" s="101">
        <v>65429.38</v>
      </c>
      <c r="I1064" s="102">
        <v>50000</v>
      </c>
      <c r="J1064" s="101">
        <v>24794.44</v>
      </c>
      <c r="K1064" s="101">
        <v>50000</v>
      </c>
      <c r="L1064" s="101"/>
      <c r="M1064" s="207"/>
      <c r="N1064" s="207"/>
    </row>
    <row r="1065" spans="1:16" s="212" customFormat="1" ht="18" customHeight="1" x14ac:dyDescent="0.25">
      <c r="A1065" s="212" t="s">
        <v>163</v>
      </c>
      <c r="B1065" s="926" t="s">
        <v>1388</v>
      </c>
      <c r="C1065" s="44" t="s">
        <v>168</v>
      </c>
      <c r="D1065" s="125"/>
      <c r="E1065" s="125"/>
      <c r="F1065" s="134"/>
      <c r="G1065" s="100" t="s">
        <v>169</v>
      </c>
      <c r="H1065" s="101">
        <v>41492</v>
      </c>
      <c r="I1065" s="102">
        <v>55000.5</v>
      </c>
      <c r="J1065" s="101">
        <v>32996</v>
      </c>
      <c r="K1065" s="101">
        <v>55000</v>
      </c>
      <c r="L1065" s="101"/>
      <c r="M1065" s="207"/>
      <c r="N1065" s="207"/>
    </row>
    <row r="1066" spans="1:16" s="212" customFormat="1" ht="18" customHeight="1" x14ac:dyDescent="0.25">
      <c r="A1066" s="212" t="s">
        <v>163</v>
      </c>
      <c r="B1066" s="926" t="s">
        <v>1388</v>
      </c>
      <c r="C1066" s="44" t="s">
        <v>172</v>
      </c>
      <c r="D1066" s="125"/>
      <c r="E1066" s="125"/>
      <c r="F1066" s="134"/>
      <c r="G1066" s="100" t="s">
        <v>173</v>
      </c>
      <c r="H1066" s="101">
        <v>62762.55</v>
      </c>
      <c r="I1066" s="102">
        <v>280010</v>
      </c>
      <c r="J1066" s="101">
        <v>76160.5</v>
      </c>
      <c r="K1066" s="101">
        <v>280010</v>
      </c>
      <c r="L1066" s="101"/>
      <c r="M1066" s="207"/>
      <c r="N1066" s="207"/>
    </row>
    <row r="1067" spans="1:16" s="212" customFormat="1" ht="18" customHeight="1" x14ac:dyDescent="0.25">
      <c r="A1067" s="212" t="s">
        <v>163</v>
      </c>
      <c r="B1067" s="926" t="s">
        <v>1388</v>
      </c>
      <c r="C1067" s="44" t="s">
        <v>213</v>
      </c>
      <c r="D1067" s="125"/>
      <c r="E1067" s="125"/>
      <c r="F1067" s="825"/>
      <c r="G1067" s="100" t="s">
        <v>171</v>
      </c>
      <c r="H1067" s="101"/>
      <c r="I1067" s="102"/>
      <c r="J1067" s="101"/>
      <c r="K1067" s="101">
        <f>200100+300000</f>
        <v>500100</v>
      </c>
      <c r="L1067" s="101"/>
      <c r="M1067" s="207"/>
      <c r="N1067" s="207"/>
    </row>
    <row r="1068" spans="1:16" s="212" customFormat="1" ht="18" customHeight="1" x14ac:dyDescent="0.25">
      <c r="A1068" s="212" t="s">
        <v>163</v>
      </c>
      <c r="B1068" s="926" t="s">
        <v>1388</v>
      </c>
      <c r="C1068" s="44" t="s">
        <v>182</v>
      </c>
      <c r="D1068" s="125"/>
      <c r="E1068" s="125"/>
      <c r="F1068" s="134"/>
      <c r="G1068" s="100" t="s">
        <v>183</v>
      </c>
      <c r="H1068" s="101"/>
      <c r="I1068" s="102">
        <v>42000</v>
      </c>
      <c r="J1068" s="101"/>
      <c r="K1068" s="101">
        <v>42000</v>
      </c>
      <c r="L1068" s="101"/>
      <c r="M1068" s="207"/>
      <c r="N1068" s="207"/>
    </row>
    <row r="1069" spans="1:16" s="212" customFormat="1" ht="18" customHeight="1" x14ac:dyDescent="0.25">
      <c r="A1069" s="212" t="s">
        <v>163</v>
      </c>
      <c r="B1069" s="926" t="s">
        <v>1388</v>
      </c>
      <c r="C1069" s="44" t="s">
        <v>1287</v>
      </c>
      <c r="D1069" s="125"/>
      <c r="E1069" s="125"/>
      <c r="F1069" s="134"/>
      <c r="G1069" s="100" t="s">
        <v>308</v>
      </c>
      <c r="H1069" s="101">
        <v>0</v>
      </c>
      <c r="I1069" s="102">
        <v>150000</v>
      </c>
      <c r="J1069" s="101"/>
      <c r="K1069" s="101">
        <v>800000</v>
      </c>
      <c r="L1069" s="101"/>
      <c r="M1069" s="207"/>
      <c r="N1069" s="207"/>
    </row>
    <row r="1070" spans="1:16" s="212" customFormat="1" ht="18" customHeight="1" x14ac:dyDescent="0.25">
      <c r="A1070" s="212" t="s">
        <v>163</v>
      </c>
      <c r="B1070" s="926" t="s">
        <v>1388</v>
      </c>
      <c r="C1070" s="44" t="s">
        <v>1519</v>
      </c>
      <c r="D1070" s="125"/>
      <c r="E1070" s="125"/>
      <c r="F1070" s="134"/>
      <c r="G1070" s="100"/>
      <c r="H1070" s="101"/>
      <c r="I1070" s="102"/>
      <c r="J1070" s="101"/>
      <c r="K1070" s="101">
        <v>90000</v>
      </c>
      <c r="L1070" s="101"/>
      <c r="M1070" s="207"/>
      <c r="N1070" s="207"/>
    </row>
    <row r="1071" spans="1:16" s="212" customFormat="1" ht="18" customHeight="1" x14ac:dyDescent="0.25">
      <c r="A1071" s="212" t="s">
        <v>163</v>
      </c>
      <c r="B1071" s="926" t="s">
        <v>1388</v>
      </c>
      <c r="C1071" s="44" t="s">
        <v>1518</v>
      </c>
      <c r="D1071" s="125"/>
      <c r="E1071" s="125"/>
      <c r="F1071" s="134"/>
      <c r="G1071" s="100"/>
      <c r="H1071" s="101"/>
      <c r="I1071" s="102"/>
      <c r="J1071" s="101"/>
      <c r="K1071" s="101">
        <v>40000</v>
      </c>
      <c r="L1071" s="101"/>
      <c r="M1071" s="207"/>
      <c r="N1071" s="207"/>
    </row>
    <row r="1072" spans="1:16" s="212" customFormat="1" ht="18" customHeight="1" x14ac:dyDescent="0.25">
      <c r="A1072" s="212" t="s">
        <v>163</v>
      </c>
      <c r="B1072" s="926" t="s">
        <v>1388</v>
      </c>
      <c r="C1072" s="44" t="s">
        <v>198</v>
      </c>
      <c r="D1072" s="125"/>
      <c r="E1072" s="125"/>
      <c r="F1072" s="134"/>
      <c r="G1072" s="100" t="s">
        <v>199</v>
      </c>
      <c r="H1072" s="101">
        <v>0</v>
      </c>
      <c r="I1072" s="102"/>
      <c r="J1072" s="101"/>
      <c r="K1072" s="105">
        <v>442040.64</v>
      </c>
      <c r="L1072" s="101"/>
      <c r="M1072" s="207"/>
      <c r="N1072" s="207"/>
    </row>
    <row r="1073" spans="1:16" s="191" customFormat="1" ht="18" customHeight="1" x14ac:dyDescent="0.25">
      <c r="A1073" s="191" t="s">
        <v>201</v>
      </c>
      <c r="B1073" s="926" t="s">
        <v>1388</v>
      </c>
      <c r="C1073" s="826" t="s">
        <v>1289</v>
      </c>
      <c r="D1073" s="813"/>
      <c r="E1073" s="813"/>
      <c r="F1073" s="811"/>
      <c r="G1073" s="97"/>
      <c r="H1073" s="101"/>
      <c r="I1073" s="102"/>
      <c r="J1073" s="101"/>
      <c r="K1073" s="250">
        <v>28000</v>
      </c>
      <c r="L1073" s="250"/>
      <c r="M1073" s="10"/>
      <c r="N1073" s="10"/>
    </row>
    <row r="1074" spans="1:16" s="191" customFormat="1" ht="18" customHeight="1" x14ac:dyDescent="0.25">
      <c r="A1074" s="191" t="s">
        <v>201</v>
      </c>
      <c r="B1074" s="926" t="s">
        <v>1388</v>
      </c>
      <c r="C1074" s="826" t="s">
        <v>1290</v>
      </c>
      <c r="D1074" s="813"/>
      <c r="E1074" s="813"/>
      <c r="F1074" s="811"/>
      <c r="G1074" s="97"/>
      <c r="H1074" s="101"/>
      <c r="I1074" s="102"/>
      <c r="J1074" s="101"/>
      <c r="K1074" s="250">
        <v>23900</v>
      </c>
      <c r="L1074" s="250"/>
      <c r="M1074" s="10"/>
      <c r="N1074" s="10"/>
    </row>
    <row r="1075" spans="1:16" s="208" customFormat="1" ht="18" x14ac:dyDescent="0.25">
      <c r="A1075" s="191" t="s">
        <v>201</v>
      </c>
      <c r="B1075" s="926" t="s">
        <v>1388</v>
      </c>
      <c r="C1075" s="826" t="s">
        <v>1296</v>
      </c>
      <c r="D1075" s="824"/>
      <c r="E1075" s="824"/>
      <c r="F1075" s="825"/>
      <c r="G1075" s="97"/>
      <c r="H1075" s="101">
        <v>0</v>
      </c>
      <c r="I1075" s="102">
        <v>20000</v>
      </c>
      <c r="J1075" s="101"/>
      <c r="K1075" s="250">
        <v>26000</v>
      </c>
      <c r="L1075" s="250"/>
      <c r="M1075" s="207"/>
      <c r="N1075" s="207"/>
    </row>
    <row r="1076" spans="1:16" s="146" customFormat="1" ht="18" x14ac:dyDescent="0.25">
      <c r="A1076" s="146" t="s">
        <v>123</v>
      </c>
      <c r="B1076" s="926" t="s">
        <v>1388</v>
      </c>
      <c r="C1076" s="1602" t="s">
        <v>124</v>
      </c>
      <c r="D1076" s="1603"/>
      <c r="E1076" s="1603"/>
      <c r="F1076" s="1603"/>
      <c r="G1076" s="100" t="s">
        <v>125</v>
      </c>
      <c r="H1076" s="101">
        <v>2300526</v>
      </c>
      <c r="I1076" s="102">
        <v>2887656</v>
      </c>
      <c r="J1076" s="112">
        <v>1409227.54</v>
      </c>
      <c r="K1076" s="101">
        <v>3160164</v>
      </c>
      <c r="L1076" s="112"/>
      <c r="M1076" s="10"/>
      <c r="N1076" s="10"/>
      <c r="O1076"/>
      <c r="P1076"/>
    </row>
    <row r="1077" spans="1:16" s="146" customFormat="1" ht="18" x14ac:dyDescent="0.25">
      <c r="A1077" s="146" t="s">
        <v>123</v>
      </c>
      <c r="B1077" s="926" t="s">
        <v>1388</v>
      </c>
      <c r="C1077" s="1602" t="s">
        <v>128</v>
      </c>
      <c r="D1077" s="1603"/>
      <c r="E1077" s="1603"/>
      <c r="F1077" s="1603"/>
      <c r="G1077" s="100" t="s">
        <v>125</v>
      </c>
      <c r="H1077" s="101"/>
      <c r="I1077" s="102">
        <v>5832</v>
      </c>
      <c r="J1077" s="101"/>
      <c r="K1077" s="101">
        <v>6038.72</v>
      </c>
      <c r="L1077" s="101"/>
      <c r="M1077" s="10"/>
      <c r="N1077" s="10"/>
      <c r="O1077"/>
      <c r="P1077"/>
    </row>
    <row r="1078" spans="1:16" s="146" customFormat="1" ht="18" x14ac:dyDescent="0.25">
      <c r="A1078" s="146" t="s">
        <v>123</v>
      </c>
      <c r="B1078" s="926" t="s">
        <v>1388</v>
      </c>
      <c r="C1078" s="1602" t="s">
        <v>129</v>
      </c>
      <c r="D1078" s="1603"/>
      <c r="E1078" s="1603"/>
      <c r="F1078" s="1603"/>
      <c r="G1078" s="103" t="s">
        <v>130</v>
      </c>
      <c r="H1078" s="101">
        <v>335000</v>
      </c>
      <c r="I1078" s="102">
        <v>432000</v>
      </c>
      <c r="J1078" s="101">
        <v>195909.09</v>
      </c>
      <c r="K1078" s="101">
        <v>432000</v>
      </c>
      <c r="L1078" s="101"/>
      <c r="M1078" s="10"/>
      <c r="N1078" s="10"/>
      <c r="O1078"/>
      <c r="P1078"/>
    </row>
    <row r="1079" spans="1:16" s="146" customFormat="1" ht="18" x14ac:dyDescent="0.25">
      <c r="A1079" s="146" t="s">
        <v>123</v>
      </c>
      <c r="B1079" s="926" t="s">
        <v>1388</v>
      </c>
      <c r="C1079" s="1602" t="s">
        <v>135</v>
      </c>
      <c r="D1079" s="1603"/>
      <c r="E1079" s="1603"/>
      <c r="F1079" s="1603"/>
      <c r="G1079" s="100" t="s">
        <v>136</v>
      </c>
      <c r="H1079" s="101">
        <v>405422.89</v>
      </c>
      <c r="I1079" s="102">
        <v>527266.36</v>
      </c>
      <c r="J1079" s="101">
        <v>204511.31</v>
      </c>
      <c r="K1079" s="102">
        <v>552447.27</v>
      </c>
      <c r="L1079" s="101"/>
      <c r="M1079" s="10"/>
      <c r="N1079" s="10"/>
      <c r="O1079"/>
      <c r="P1079"/>
    </row>
    <row r="1080" spans="1:16" s="146" customFormat="1" ht="18" x14ac:dyDescent="0.25">
      <c r="A1080" s="146" t="s">
        <v>123</v>
      </c>
      <c r="B1080" s="926" t="s">
        <v>1388</v>
      </c>
      <c r="C1080" s="1602" t="s">
        <v>137</v>
      </c>
      <c r="D1080" s="1603"/>
      <c r="E1080" s="1603"/>
      <c r="F1080" s="1603"/>
      <c r="G1080" s="100" t="s">
        <v>138</v>
      </c>
      <c r="H1080" s="101">
        <v>84000</v>
      </c>
      <c r="I1080" s="102">
        <v>108000</v>
      </c>
      <c r="J1080" s="101">
        <v>84000</v>
      </c>
      <c r="K1080" s="101">
        <v>108000</v>
      </c>
      <c r="L1080" s="101"/>
      <c r="M1080" s="10"/>
      <c r="N1080" s="10"/>
      <c r="O1080"/>
      <c r="P1080"/>
    </row>
    <row r="1081" spans="1:16" s="146" customFormat="1" ht="18" customHeight="1" x14ac:dyDescent="0.25">
      <c r="A1081" s="146" t="s">
        <v>123</v>
      </c>
      <c r="B1081" s="926" t="s">
        <v>1388</v>
      </c>
      <c r="C1081" s="1602" t="s">
        <v>139</v>
      </c>
      <c r="D1081" s="1603"/>
      <c r="E1081" s="1603"/>
      <c r="F1081" s="1603"/>
      <c r="G1081" s="100" t="s">
        <v>140</v>
      </c>
      <c r="H1081" s="101">
        <v>192228</v>
      </c>
      <c r="I1081" s="102">
        <v>240175</v>
      </c>
      <c r="J1081" s="101">
        <v>201336</v>
      </c>
      <c r="K1081" s="101">
        <v>263980</v>
      </c>
      <c r="L1081" s="101"/>
      <c r="M1081" s="10"/>
      <c r="N1081" s="10"/>
      <c r="O1081"/>
      <c r="P1081"/>
    </row>
    <row r="1082" spans="1:16" s="146" customFormat="1" ht="18" x14ac:dyDescent="0.25">
      <c r="A1082" s="146" t="s">
        <v>123</v>
      </c>
      <c r="B1082" s="926" t="s">
        <v>1388</v>
      </c>
      <c r="C1082" s="1602" t="s">
        <v>141</v>
      </c>
      <c r="D1082" s="1603"/>
      <c r="E1082" s="1603"/>
      <c r="F1082" s="1603"/>
      <c r="G1082" s="100" t="s">
        <v>142</v>
      </c>
      <c r="H1082" s="101">
        <v>179065</v>
      </c>
      <c r="I1082" s="102">
        <v>241071</v>
      </c>
      <c r="J1082" s="101"/>
      <c r="K1082" s="101">
        <v>263980</v>
      </c>
      <c r="L1082" s="101"/>
      <c r="M1082" s="10"/>
      <c r="N1082" s="10"/>
      <c r="O1082"/>
      <c r="P1082"/>
    </row>
    <row r="1083" spans="1:16" s="146" customFormat="1" ht="18" x14ac:dyDescent="0.25">
      <c r="A1083" s="146" t="s">
        <v>123</v>
      </c>
      <c r="B1083" s="926" t="s">
        <v>1388</v>
      </c>
      <c r="C1083" s="1602" t="s">
        <v>143</v>
      </c>
      <c r="D1083" s="1603"/>
      <c r="E1083" s="1603"/>
      <c r="F1083" s="1603"/>
      <c r="G1083" s="100" t="s">
        <v>144</v>
      </c>
      <c r="H1083" s="101">
        <v>65000</v>
      </c>
      <c r="I1083" s="102">
        <v>90000</v>
      </c>
      <c r="J1083" s="101"/>
      <c r="K1083" s="101">
        <v>90000</v>
      </c>
      <c r="L1083" s="101"/>
      <c r="M1083" s="10"/>
      <c r="N1083" s="10"/>
      <c r="O1083"/>
      <c r="P1083"/>
    </row>
    <row r="1084" spans="1:16" s="146" customFormat="1" ht="18" x14ac:dyDescent="0.25">
      <c r="A1084" s="146" t="s">
        <v>123</v>
      </c>
      <c r="B1084" s="926" t="s">
        <v>1388</v>
      </c>
      <c r="C1084" s="1602" t="s">
        <v>145</v>
      </c>
      <c r="D1084" s="1603"/>
      <c r="E1084" s="1603"/>
      <c r="F1084" s="1603"/>
      <c r="G1084" s="100" t="s">
        <v>146</v>
      </c>
      <c r="H1084" s="101">
        <v>70000</v>
      </c>
      <c r="I1084" s="102">
        <v>90000</v>
      </c>
      <c r="J1084" s="101"/>
      <c r="K1084" s="101">
        <v>90000</v>
      </c>
      <c r="L1084" s="101"/>
      <c r="M1084" s="10"/>
      <c r="N1084" s="10"/>
      <c r="O1084"/>
      <c r="P1084"/>
    </row>
    <row r="1085" spans="1:16" s="146" customFormat="1" ht="18" x14ac:dyDescent="0.25">
      <c r="A1085" s="146" t="s">
        <v>123</v>
      </c>
      <c r="B1085" s="926" t="s">
        <v>1388</v>
      </c>
      <c r="C1085" s="827" t="s">
        <v>147</v>
      </c>
      <c r="D1085" s="812"/>
      <c r="E1085" s="812"/>
      <c r="F1085" s="812"/>
      <c r="G1085" s="100" t="s">
        <v>148</v>
      </c>
      <c r="H1085" s="101"/>
      <c r="I1085" s="102"/>
      <c r="J1085" s="101"/>
      <c r="K1085" s="101">
        <v>54000</v>
      </c>
      <c r="L1085" s="101"/>
      <c r="M1085" s="10"/>
      <c r="N1085" s="10"/>
      <c r="O1085"/>
      <c r="P1085"/>
    </row>
    <row r="1086" spans="1:16" s="146" customFormat="1" ht="18" x14ac:dyDescent="0.25">
      <c r="A1086" s="146" t="s">
        <v>123</v>
      </c>
      <c r="B1086" s="926" t="s">
        <v>1388</v>
      </c>
      <c r="C1086" s="1602" t="s">
        <v>153</v>
      </c>
      <c r="D1086" s="1603"/>
      <c r="E1086" s="1603"/>
      <c r="F1086" s="1603"/>
      <c r="G1086" s="100" t="s">
        <v>154</v>
      </c>
      <c r="H1086" s="101">
        <v>276063.12</v>
      </c>
      <c r="I1086" s="102">
        <v>347218.56</v>
      </c>
      <c r="J1086" s="101">
        <v>169104.26</v>
      </c>
      <c r="K1086" s="101">
        <v>379944.33</v>
      </c>
      <c r="L1086" s="101"/>
      <c r="M1086" s="10"/>
      <c r="N1086" s="10"/>
      <c r="O1086"/>
      <c r="P1086"/>
    </row>
    <row r="1087" spans="1:16" s="146" customFormat="1" ht="18" x14ac:dyDescent="0.25">
      <c r="A1087" s="146" t="s">
        <v>123</v>
      </c>
      <c r="B1087" s="926" t="s">
        <v>1388</v>
      </c>
      <c r="C1087" s="1602" t="s">
        <v>155</v>
      </c>
      <c r="D1087" s="1603"/>
      <c r="E1087" s="1603"/>
      <c r="F1087" s="1603"/>
      <c r="G1087" s="100" t="s">
        <v>156</v>
      </c>
      <c r="H1087" s="101">
        <v>16800</v>
      </c>
      <c r="I1087" s="102">
        <v>21600</v>
      </c>
      <c r="J1087" s="101">
        <v>9800</v>
      </c>
      <c r="K1087" s="101">
        <v>21600</v>
      </c>
      <c r="L1087" s="101"/>
      <c r="M1087" s="10"/>
      <c r="N1087" s="10"/>
      <c r="O1087"/>
      <c r="P1087"/>
    </row>
    <row r="1088" spans="1:16" s="146" customFormat="1" ht="18" x14ac:dyDescent="0.25">
      <c r="A1088" s="146" t="s">
        <v>123</v>
      </c>
      <c r="B1088" s="926" t="s">
        <v>1388</v>
      </c>
      <c r="C1088" s="1602" t="s">
        <v>157</v>
      </c>
      <c r="D1088" s="1603"/>
      <c r="E1088" s="1603"/>
      <c r="F1088" s="1603"/>
      <c r="G1088" s="100" t="s">
        <v>158</v>
      </c>
      <c r="H1088" s="101">
        <v>34607.74</v>
      </c>
      <c r="I1088" s="102">
        <v>50639.61</v>
      </c>
      <c r="J1088" s="101">
        <v>21148.86</v>
      </c>
      <c r="K1088" s="101">
        <v>126949.55</v>
      </c>
      <c r="L1088" s="101"/>
      <c r="M1088" s="10"/>
      <c r="N1088" s="10"/>
      <c r="O1088"/>
      <c r="P1088"/>
    </row>
    <row r="1089" spans="1:16" s="146" customFormat="1" ht="18" x14ac:dyDescent="0.25">
      <c r="A1089" s="146" t="s">
        <v>123</v>
      </c>
      <c r="B1089" s="926" t="s">
        <v>1388</v>
      </c>
      <c r="C1089" s="1602" t="s">
        <v>159</v>
      </c>
      <c r="D1089" s="1603"/>
      <c r="E1089" s="1603"/>
      <c r="F1089" s="1603"/>
      <c r="G1089" s="100" t="s">
        <v>160</v>
      </c>
      <c r="H1089" s="105">
        <v>16800</v>
      </c>
      <c r="I1089" s="106">
        <v>21600</v>
      </c>
      <c r="J1089" s="105">
        <v>9800</v>
      </c>
      <c r="K1089" s="105">
        <v>21600</v>
      </c>
      <c r="L1089" s="105"/>
      <c r="M1089" s="10"/>
      <c r="N1089" s="10"/>
      <c r="O1089"/>
      <c r="P1089"/>
    </row>
    <row r="1090" spans="1:16" s="229" customFormat="1" ht="18" customHeight="1" x14ac:dyDescent="0.25">
      <c r="A1090" s="229" t="s">
        <v>163</v>
      </c>
      <c r="B1090" s="926" t="s">
        <v>1388</v>
      </c>
      <c r="C1090" s="44" t="s">
        <v>164</v>
      </c>
      <c r="D1090" s="125"/>
      <c r="E1090" s="125"/>
      <c r="F1090" s="134"/>
      <c r="G1090" s="100" t="s">
        <v>165</v>
      </c>
      <c r="H1090" s="101">
        <v>7260</v>
      </c>
      <c r="I1090" s="102">
        <v>30000</v>
      </c>
      <c r="J1090" s="101"/>
      <c r="K1090" s="101">
        <v>30000</v>
      </c>
      <c r="L1090" s="101"/>
      <c r="M1090" s="207"/>
      <c r="N1090" s="207"/>
      <c r="O1090" s="212"/>
      <c r="P1090" s="212"/>
    </row>
    <row r="1091" spans="1:16" s="229" customFormat="1" ht="18" customHeight="1" x14ac:dyDescent="0.25">
      <c r="A1091" s="229" t="s">
        <v>163</v>
      </c>
      <c r="B1091" s="926" t="s">
        <v>1388</v>
      </c>
      <c r="C1091" s="44" t="s">
        <v>168</v>
      </c>
      <c r="D1091" s="125"/>
      <c r="E1091" s="125"/>
      <c r="F1091" s="134"/>
      <c r="G1091" s="100" t="s">
        <v>169</v>
      </c>
      <c r="H1091" s="101">
        <v>184687</v>
      </c>
      <c r="I1091" s="102">
        <v>226890</v>
      </c>
      <c r="J1091" s="101">
        <v>103305</v>
      </c>
      <c r="K1091" s="101">
        <v>91953</v>
      </c>
      <c r="L1091" s="101"/>
      <c r="M1091" s="207"/>
      <c r="N1091" s="207"/>
      <c r="O1091" s="212"/>
      <c r="P1091" s="212"/>
    </row>
    <row r="1092" spans="1:16" s="229" customFormat="1" ht="18" customHeight="1" x14ac:dyDescent="0.25">
      <c r="A1092" s="229" t="s">
        <v>163</v>
      </c>
      <c r="B1092" s="926" t="s">
        <v>1388</v>
      </c>
      <c r="C1092" s="44" t="s">
        <v>1299</v>
      </c>
      <c r="D1092" s="125"/>
      <c r="E1092" s="125"/>
      <c r="F1092" s="825"/>
      <c r="G1092" s="100" t="s">
        <v>427</v>
      </c>
      <c r="H1092" s="101">
        <v>640450</v>
      </c>
      <c r="I1092" s="102">
        <v>850500</v>
      </c>
      <c r="J1092" s="101"/>
      <c r="K1092" s="101">
        <v>1342000</v>
      </c>
      <c r="L1092" s="101"/>
      <c r="M1092" s="207"/>
      <c r="N1092" s="207"/>
      <c r="O1092" s="212"/>
      <c r="P1092" s="212"/>
    </row>
    <row r="1093" spans="1:16" s="229" customFormat="1" ht="18" customHeight="1" x14ac:dyDescent="0.25">
      <c r="A1093" s="229" t="s">
        <v>163</v>
      </c>
      <c r="B1093" s="926" t="s">
        <v>1388</v>
      </c>
      <c r="C1093" s="44" t="s">
        <v>172</v>
      </c>
      <c r="D1093" s="125"/>
      <c r="E1093" s="125"/>
      <c r="F1093" s="134"/>
      <c r="G1093" s="100" t="s">
        <v>173</v>
      </c>
      <c r="H1093" s="101">
        <v>8662.25</v>
      </c>
      <c r="I1093" s="102">
        <v>20000</v>
      </c>
      <c r="J1093" s="101">
        <v>5685.05</v>
      </c>
      <c r="K1093" s="101">
        <v>20000</v>
      </c>
      <c r="L1093" s="101"/>
      <c r="M1093" s="207"/>
      <c r="N1093" s="207"/>
      <c r="O1093" s="212"/>
      <c r="P1093" s="212"/>
    </row>
    <row r="1094" spans="1:16" s="229" customFormat="1" ht="18" customHeight="1" x14ac:dyDescent="0.25">
      <c r="A1094" s="229" t="s">
        <v>163</v>
      </c>
      <c r="B1094" s="926" t="s">
        <v>1388</v>
      </c>
      <c r="C1094" s="826" t="s">
        <v>170</v>
      </c>
      <c r="D1094" s="824"/>
      <c r="E1094" s="824"/>
      <c r="F1094" s="825"/>
      <c r="G1094" s="100" t="s">
        <v>171</v>
      </c>
      <c r="H1094" s="101"/>
      <c r="I1094" s="102"/>
      <c r="J1094" s="101"/>
      <c r="K1094" s="101">
        <f>103264+500000</f>
        <v>603264</v>
      </c>
      <c r="L1094" s="101"/>
      <c r="M1094" s="207"/>
      <c r="N1094" s="207"/>
      <c r="O1094" s="212"/>
      <c r="P1094" s="212"/>
    </row>
    <row r="1095" spans="1:16" s="229" customFormat="1" ht="18" customHeight="1" x14ac:dyDescent="0.25">
      <c r="A1095" s="229" t="s">
        <v>163</v>
      </c>
      <c r="B1095" s="926" t="s">
        <v>1388</v>
      </c>
      <c r="C1095" s="44" t="s">
        <v>182</v>
      </c>
      <c r="D1095" s="125"/>
      <c r="E1095" s="125"/>
      <c r="F1095" s="134"/>
      <c r="G1095" s="100" t="s">
        <v>183</v>
      </c>
      <c r="H1095" s="101">
        <v>0</v>
      </c>
      <c r="I1095" s="102">
        <v>42000</v>
      </c>
      <c r="J1095" s="101"/>
      <c r="K1095" s="101">
        <v>42000</v>
      </c>
      <c r="L1095" s="101"/>
      <c r="M1095" s="207"/>
      <c r="N1095" s="207"/>
      <c r="O1095" s="212"/>
      <c r="P1095" s="212"/>
    </row>
    <row r="1096" spans="1:16" s="229" customFormat="1" ht="18" customHeight="1" x14ac:dyDescent="0.25">
      <c r="A1096" s="229" t="s">
        <v>163</v>
      </c>
      <c r="B1096" s="926" t="s">
        <v>1388</v>
      </c>
      <c r="C1096" s="44" t="s">
        <v>186</v>
      </c>
      <c r="D1096" s="125"/>
      <c r="E1096" s="125"/>
      <c r="F1096" s="134"/>
      <c r="G1096" s="100"/>
      <c r="H1096" s="101"/>
      <c r="I1096" s="102"/>
      <c r="J1096" s="101"/>
      <c r="K1096" s="101">
        <v>20000</v>
      </c>
      <c r="L1096" s="101"/>
      <c r="M1096" s="207"/>
      <c r="N1096" s="207"/>
      <c r="O1096" s="212"/>
      <c r="P1096" s="212"/>
    </row>
    <row r="1097" spans="1:16" s="146" customFormat="1" ht="18" x14ac:dyDescent="0.25">
      <c r="A1097" t="s">
        <v>201</v>
      </c>
      <c r="B1097" s="926" t="s">
        <v>1388</v>
      </c>
      <c r="C1097" s="38" t="s">
        <v>1301</v>
      </c>
      <c r="D1097" s="235"/>
      <c r="E1097" s="235"/>
      <c r="F1097" s="235"/>
      <c r="G1097" s="394" t="s">
        <v>1302</v>
      </c>
      <c r="H1097" s="101">
        <v>0</v>
      </c>
      <c r="I1097" s="102">
        <v>0</v>
      </c>
      <c r="J1097" s="101"/>
      <c r="K1097" s="101">
        <v>30600</v>
      </c>
      <c r="L1097" s="101"/>
      <c r="M1097" s="10"/>
      <c r="N1097" s="10"/>
      <c r="O1097"/>
      <c r="P1097"/>
    </row>
    <row r="1098" spans="1:16" ht="18" x14ac:dyDescent="0.25">
      <c r="A1098" t="s">
        <v>201</v>
      </c>
      <c r="B1098" s="926" t="s">
        <v>1388</v>
      </c>
      <c r="C1098" s="38" t="s">
        <v>204</v>
      </c>
      <c r="D1098" s="235"/>
      <c r="E1098" s="235"/>
      <c r="F1098" s="235"/>
      <c r="G1098" s="394"/>
      <c r="H1098" s="101">
        <v>0</v>
      </c>
      <c r="I1098" s="102">
        <v>80000</v>
      </c>
      <c r="J1098" s="101">
        <v>0</v>
      </c>
      <c r="K1098" s="101">
        <v>80000</v>
      </c>
      <c r="L1098" s="101"/>
    </row>
    <row r="1099" spans="1:16" s="146" customFormat="1" x14ac:dyDescent="0.25">
      <c r="B1099" s="8"/>
      <c r="C1099" s="9"/>
      <c r="D1099" s="8"/>
      <c r="E1099" s="8"/>
      <c r="F1099" s="8"/>
      <c r="G1099" s="8"/>
      <c r="H1099" s="481"/>
      <c r="I1099" s="482" t="s">
        <v>1319</v>
      </c>
      <c r="J1099" s="483"/>
      <c r="K1099" s="480" t="e">
        <f>SUM(#REF!)</f>
        <v>#REF!</v>
      </c>
      <c r="L1099" s="483"/>
      <c r="M1099" s="10"/>
      <c r="N1099" s="10">
        <v>750428822.36000001</v>
      </c>
      <c r="O1099"/>
      <c r="P1099"/>
    </row>
    <row r="1100" spans="1:16" s="146" customFormat="1" x14ac:dyDescent="0.25">
      <c r="B1100" s="8"/>
      <c r="C1100" s="9"/>
      <c r="D1100" s="8"/>
      <c r="E1100" s="8"/>
      <c r="F1100" s="8"/>
      <c r="G1100" s="8"/>
      <c r="H1100" s="4"/>
      <c r="I1100" s="177"/>
      <c r="J1100" s="265"/>
      <c r="K1100" s="4"/>
      <c r="L1100" s="265"/>
      <c r="M1100" s="10"/>
      <c r="N1100" s="10"/>
      <c r="O1100"/>
      <c r="P1100"/>
    </row>
    <row r="1101" spans="1:16" s="146" customFormat="1" x14ac:dyDescent="0.25">
      <c r="B1101" s="8"/>
      <c r="C1101" s="9"/>
      <c r="D1101" s="8"/>
      <c r="E1101" s="8"/>
      <c r="F1101" s="8"/>
      <c r="G1101" s="8"/>
      <c r="H1101" s="4"/>
      <c r="I1101" s="177"/>
      <c r="J1101" s="265"/>
      <c r="K1101" s="4"/>
      <c r="L1101" s="265"/>
      <c r="M1101" s="10"/>
      <c r="N1101" s="10"/>
      <c r="O1101"/>
      <c r="P1101"/>
    </row>
    <row r="1102" spans="1:16" s="146" customFormat="1" x14ac:dyDescent="0.25">
      <c r="B1102" s="8"/>
      <c r="C1102" s="9"/>
      <c r="D1102" s="8"/>
      <c r="E1102" s="8"/>
      <c r="F1102" s="8"/>
      <c r="G1102" s="8"/>
      <c r="H1102" s="4"/>
      <c r="I1102" s="177"/>
      <c r="J1102" s="265"/>
      <c r="K1102" s="4"/>
      <c r="L1102" s="265"/>
      <c r="M1102" s="10"/>
      <c r="N1102" s="10"/>
      <c r="O1102"/>
      <c r="P1102"/>
    </row>
    <row r="1103" spans="1:16" s="146" customFormat="1" x14ac:dyDescent="0.25">
      <c r="B1103" s="8"/>
      <c r="C1103" s="9"/>
      <c r="D1103" s="8"/>
      <c r="E1103" s="8"/>
      <c r="F1103" s="8"/>
      <c r="G1103" s="8"/>
      <c r="H1103" s="4"/>
      <c r="I1103" s="177"/>
      <c r="J1103" s="265"/>
      <c r="K1103" s="4"/>
      <c r="L1103" s="265"/>
      <c r="M1103" s="10"/>
      <c r="N1103" s="10"/>
      <c r="O1103"/>
      <c r="P1103"/>
    </row>
    <row r="1104" spans="1:16" s="146" customFormat="1" x14ac:dyDescent="0.25">
      <c r="B1104" s="8"/>
      <c r="C1104" s="9"/>
      <c r="D1104" s="8"/>
      <c r="E1104" s="8"/>
      <c r="F1104" s="8"/>
      <c r="G1104" s="8"/>
      <c r="H1104" s="4"/>
      <c r="I1104" s="5"/>
      <c r="J1104" s="265"/>
      <c r="K1104" s="4"/>
      <c r="L1104" s="265"/>
      <c r="M1104" s="10"/>
      <c r="N1104" s="10"/>
      <c r="O1104"/>
      <c r="P1104"/>
    </row>
  </sheetData>
  <mergeCells count="533">
    <mergeCell ref="C1088:F1088"/>
    <mergeCell ref="C1089:F1089"/>
    <mergeCell ref="C1083:F1083"/>
    <mergeCell ref="C1084:F1084"/>
    <mergeCell ref="C1086:F1086"/>
    <mergeCell ref="C1087:F1087"/>
    <mergeCell ref="C1077:F1077"/>
    <mergeCell ref="C1078:F1078"/>
    <mergeCell ref="C1079:F1079"/>
    <mergeCell ref="C1080:F1080"/>
    <mergeCell ref="C1081:F1081"/>
    <mergeCell ref="C1082:F1082"/>
    <mergeCell ref="C1076:F1076"/>
    <mergeCell ref="C1061:F1061"/>
    <mergeCell ref="C1062:F1062"/>
    <mergeCell ref="C1056:D1056"/>
    <mergeCell ref="C1058:E1058"/>
    <mergeCell ref="C1059:F1059"/>
    <mergeCell ref="C1060:F1060"/>
    <mergeCell ref="C1048:F1048"/>
    <mergeCell ref="C1049:F1049"/>
    <mergeCell ref="C1050:F1050"/>
    <mergeCell ref="C1051:F1051"/>
    <mergeCell ref="C1052:F1052"/>
    <mergeCell ref="C1055:E1055"/>
    <mergeCell ref="C1043:F1043"/>
    <mergeCell ref="C1044:F1044"/>
    <mergeCell ref="C1045:D1045"/>
    <mergeCell ref="C1046:F1046"/>
    <mergeCell ref="C1047:F1047"/>
    <mergeCell ref="C1038:D1038"/>
    <mergeCell ref="C1042:D1042"/>
    <mergeCell ref="C1026:F1026"/>
    <mergeCell ref="C1027:F1027"/>
    <mergeCell ref="C1020:F1020"/>
    <mergeCell ref="C1021:F1021"/>
    <mergeCell ref="C1024:F1024"/>
    <mergeCell ref="C1025:F1025"/>
    <mergeCell ref="C1012:F1012"/>
    <mergeCell ref="C1014:F1014"/>
    <mergeCell ref="C1015:F1015"/>
    <mergeCell ref="C1016:F1016"/>
    <mergeCell ref="C1018:F1018"/>
    <mergeCell ref="C1019:F1019"/>
    <mergeCell ref="C1011:F1011"/>
    <mergeCell ref="C1010:F1010"/>
    <mergeCell ref="C1008:F1008"/>
    <mergeCell ref="C996:F996"/>
    <mergeCell ref="C997:F997"/>
    <mergeCell ref="C998:F998"/>
    <mergeCell ref="C991:F991"/>
    <mergeCell ref="C992:F992"/>
    <mergeCell ref="C993:F993"/>
    <mergeCell ref="C995:F995"/>
    <mergeCell ref="C985:F985"/>
    <mergeCell ref="C986:F986"/>
    <mergeCell ref="C987:F987"/>
    <mergeCell ref="C988:F988"/>
    <mergeCell ref="C989:F989"/>
    <mergeCell ref="C990:F990"/>
    <mergeCell ref="C982:F982"/>
    <mergeCell ref="C983:F983"/>
    <mergeCell ref="C984:F984"/>
    <mergeCell ref="C962:F962"/>
    <mergeCell ref="C963:F963"/>
    <mergeCell ref="C957:F957"/>
    <mergeCell ref="C958:F958"/>
    <mergeCell ref="C960:F960"/>
    <mergeCell ref="C961:F961"/>
    <mergeCell ref="C950:F950"/>
    <mergeCell ref="C951:F951"/>
    <mergeCell ref="C952:F952"/>
    <mergeCell ref="C954:F954"/>
    <mergeCell ref="C955:F955"/>
    <mergeCell ref="C956:F956"/>
    <mergeCell ref="C945:F945"/>
    <mergeCell ref="C946:F946"/>
    <mergeCell ref="C947:F947"/>
    <mergeCell ref="C948:F948"/>
    <mergeCell ref="C949:F949"/>
    <mergeCell ref="C944:F944"/>
    <mergeCell ref="C932:F932"/>
    <mergeCell ref="C933:F933"/>
    <mergeCell ref="C934:F934"/>
    <mergeCell ref="C935:F935"/>
    <mergeCell ref="C926:F926"/>
    <mergeCell ref="C927:F927"/>
    <mergeCell ref="C928:F928"/>
    <mergeCell ref="C929:F929"/>
    <mergeCell ref="C930:F930"/>
    <mergeCell ref="C920:F920"/>
    <mergeCell ref="C921:F921"/>
    <mergeCell ref="C922:F922"/>
    <mergeCell ref="C923:F923"/>
    <mergeCell ref="C924:F924"/>
    <mergeCell ref="C925:F925"/>
    <mergeCell ref="C919:F919"/>
    <mergeCell ref="C898:F898"/>
    <mergeCell ref="C899:F899"/>
    <mergeCell ref="C900:F900"/>
    <mergeCell ref="C901:F901"/>
    <mergeCell ref="C893:F893"/>
    <mergeCell ref="C894:F894"/>
    <mergeCell ref="C895:F895"/>
    <mergeCell ref="C896:F896"/>
    <mergeCell ref="C887:F887"/>
    <mergeCell ref="C888:F888"/>
    <mergeCell ref="C889:F889"/>
    <mergeCell ref="C890:F890"/>
    <mergeCell ref="C891:F891"/>
    <mergeCell ref="C892:F892"/>
    <mergeCell ref="C884:F884"/>
    <mergeCell ref="C885:F885"/>
    <mergeCell ref="C886:F886"/>
    <mergeCell ref="C881:F881"/>
    <mergeCell ref="C882:D882"/>
    <mergeCell ref="C873:F873"/>
    <mergeCell ref="C869:F869"/>
    <mergeCell ref="C870:F870"/>
    <mergeCell ref="C871:F871"/>
    <mergeCell ref="C872:F872"/>
    <mergeCell ref="C862:F862"/>
    <mergeCell ref="C863:F863"/>
    <mergeCell ref="C864:F864"/>
    <mergeCell ref="C865:F865"/>
    <mergeCell ref="C866:F866"/>
    <mergeCell ref="C867:F867"/>
    <mergeCell ref="C856:F856"/>
    <mergeCell ref="C857:F857"/>
    <mergeCell ref="C858:F858"/>
    <mergeCell ref="C859:F859"/>
    <mergeCell ref="C860:F860"/>
    <mergeCell ref="C861:F861"/>
    <mergeCell ref="C855:F855"/>
    <mergeCell ref="C827:F827"/>
    <mergeCell ref="C828:F828"/>
    <mergeCell ref="C829:F829"/>
    <mergeCell ref="C823:F823"/>
    <mergeCell ref="C824:F824"/>
    <mergeCell ref="C825:F825"/>
    <mergeCell ref="C826:F826"/>
    <mergeCell ref="C816:F816"/>
    <mergeCell ref="C817:F817"/>
    <mergeCell ref="C818:F818"/>
    <mergeCell ref="C819:F819"/>
    <mergeCell ref="C820:F820"/>
    <mergeCell ref="C821:F821"/>
    <mergeCell ref="C810:F810"/>
    <mergeCell ref="C811:F811"/>
    <mergeCell ref="C812:F812"/>
    <mergeCell ref="C813:F813"/>
    <mergeCell ref="C814:F814"/>
    <mergeCell ref="C815:F815"/>
    <mergeCell ref="C809:F809"/>
    <mergeCell ref="C797:F797"/>
    <mergeCell ref="C794:F794"/>
    <mergeCell ref="C795:F795"/>
    <mergeCell ref="C796:F796"/>
    <mergeCell ref="C786:F786"/>
    <mergeCell ref="C787:F787"/>
    <mergeCell ref="C788:F788"/>
    <mergeCell ref="C789:F789"/>
    <mergeCell ref="C790:F790"/>
    <mergeCell ref="C791:F791"/>
    <mergeCell ref="C782:F782"/>
    <mergeCell ref="C783:F783"/>
    <mergeCell ref="C784:F784"/>
    <mergeCell ref="C785:F785"/>
    <mergeCell ref="C777:D777"/>
    <mergeCell ref="C780:D780"/>
    <mergeCell ref="C781:D781"/>
    <mergeCell ref="C775:F775"/>
    <mergeCell ref="C776:F776"/>
    <mergeCell ref="C763:F763"/>
    <mergeCell ref="C764:F764"/>
    <mergeCell ref="C765:F765"/>
    <mergeCell ref="C766:F766"/>
    <mergeCell ref="C759:F759"/>
    <mergeCell ref="C760:F760"/>
    <mergeCell ref="C761:F761"/>
    <mergeCell ref="C752:F752"/>
    <mergeCell ref="C753:F753"/>
    <mergeCell ref="C754:F754"/>
    <mergeCell ref="C755:F755"/>
    <mergeCell ref="C757:F757"/>
    <mergeCell ref="C758:F758"/>
    <mergeCell ref="C751:F751"/>
    <mergeCell ref="C733:F733"/>
    <mergeCell ref="C734:F734"/>
    <mergeCell ref="C735:F735"/>
    <mergeCell ref="C736:F736"/>
    <mergeCell ref="C728:F728"/>
    <mergeCell ref="C729:F729"/>
    <mergeCell ref="C730:F730"/>
    <mergeCell ref="C731:F731"/>
    <mergeCell ref="C721:F721"/>
    <mergeCell ref="C722:F722"/>
    <mergeCell ref="C723:F723"/>
    <mergeCell ref="C724:F724"/>
    <mergeCell ref="C725:F725"/>
    <mergeCell ref="C727:F727"/>
    <mergeCell ref="C719:F719"/>
    <mergeCell ref="C720:F720"/>
    <mergeCell ref="C712:D712"/>
    <mergeCell ref="C713:D713"/>
    <mergeCell ref="C714:D714"/>
    <mergeCell ref="C715:D715"/>
    <mergeCell ref="C716:D716"/>
    <mergeCell ref="C717:D717"/>
    <mergeCell ref="C711:D711"/>
    <mergeCell ref="C685:F685"/>
    <mergeCell ref="C682:F682"/>
    <mergeCell ref="C683:F683"/>
    <mergeCell ref="C684:F684"/>
    <mergeCell ref="C675:F675"/>
    <mergeCell ref="C676:F676"/>
    <mergeCell ref="C677:F677"/>
    <mergeCell ref="C678:F678"/>
    <mergeCell ref="C679:F679"/>
    <mergeCell ref="C680:F680"/>
    <mergeCell ref="C669:F669"/>
    <mergeCell ref="C670:F670"/>
    <mergeCell ref="C671:F671"/>
    <mergeCell ref="C672:F672"/>
    <mergeCell ref="C673:F673"/>
    <mergeCell ref="C674:F674"/>
    <mergeCell ref="C668:F668"/>
    <mergeCell ref="C650:F650"/>
    <mergeCell ref="C651:F651"/>
    <mergeCell ref="C652:F652"/>
    <mergeCell ref="C653:F653"/>
    <mergeCell ref="C644:F644"/>
    <mergeCell ref="C645:F645"/>
    <mergeCell ref="C646:F646"/>
    <mergeCell ref="C647:F647"/>
    <mergeCell ref="C637:F637"/>
    <mergeCell ref="C638:F638"/>
    <mergeCell ref="C639:F639"/>
    <mergeCell ref="C640:F640"/>
    <mergeCell ref="C641:F641"/>
    <mergeCell ref="C642:F642"/>
    <mergeCell ref="C636:F636"/>
    <mergeCell ref="C635:F635"/>
    <mergeCell ref="C622:F622"/>
    <mergeCell ref="C623:F623"/>
    <mergeCell ref="C624:F624"/>
    <mergeCell ref="C625:F625"/>
    <mergeCell ref="C615:F615"/>
    <mergeCell ref="C616:F616"/>
    <mergeCell ref="C617:F617"/>
    <mergeCell ref="C618:F618"/>
    <mergeCell ref="C619:F619"/>
    <mergeCell ref="C609:F609"/>
    <mergeCell ref="C610:F610"/>
    <mergeCell ref="C611:F611"/>
    <mergeCell ref="C612:F612"/>
    <mergeCell ref="C613:F613"/>
    <mergeCell ref="C614:F614"/>
    <mergeCell ref="C608:F608"/>
    <mergeCell ref="C607:D607"/>
    <mergeCell ref="C592:F592"/>
    <mergeCell ref="C593:F593"/>
    <mergeCell ref="C588:F588"/>
    <mergeCell ref="C590:F590"/>
    <mergeCell ref="C591:F591"/>
    <mergeCell ref="C582:F582"/>
    <mergeCell ref="C583:F583"/>
    <mergeCell ref="C584:F584"/>
    <mergeCell ref="C585:F585"/>
    <mergeCell ref="C586:F586"/>
    <mergeCell ref="C587:F587"/>
    <mergeCell ref="C577:F577"/>
    <mergeCell ref="C578:F578"/>
    <mergeCell ref="C579:F579"/>
    <mergeCell ref="C580:F580"/>
    <mergeCell ref="C581:F581"/>
    <mergeCell ref="C562:F562"/>
    <mergeCell ref="C563:F563"/>
    <mergeCell ref="C564:F564"/>
    <mergeCell ref="C565:F565"/>
    <mergeCell ref="L557:L558"/>
    <mergeCell ref="C557:F557"/>
    <mergeCell ref="C558:F558"/>
    <mergeCell ref="C559:F559"/>
    <mergeCell ref="C560:F560"/>
    <mergeCell ref="C552:F552"/>
    <mergeCell ref="C553:F553"/>
    <mergeCell ref="C554:F554"/>
    <mergeCell ref="C555:F555"/>
    <mergeCell ref="C556:F556"/>
    <mergeCell ref="C550:F550"/>
    <mergeCell ref="C551:F551"/>
    <mergeCell ref="C542:F542"/>
    <mergeCell ref="C543:F543"/>
    <mergeCell ref="C544:F544"/>
    <mergeCell ref="C545:F545"/>
    <mergeCell ref="C535:F535"/>
    <mergeCell ref="C536:F536"/>
    <mergeCell ref="C537:F537"/>
    <mergeCell ref="C538:F538"/>
    <mergeCell ref="C539:F539"/>
    <mergeCell ref="C540:F540"/>
    <mergeCell ref="C532:F532"/>
    <mergeCell ref="C533:F533"/>
    <mergeCell ref="C534:F534"/>
    <mergeCell ref="C522:F522"/>
    <mergeCell ref="C523:F523"/>
    <mergeCell ref="C524:F524"/>
    <mergeCell ref="C517:F517"/>
    <mergeCell ref="C518:F518"/>
    <mergeCell ref="C519:F519"/>
    <mergeCell ref="C520:D520"/>
    <mergeCell ref="C521:F521"/>
    <mergeCell ref="C511:F511"/>
    <mergeCell ref="C512:F512"/>
    <mergeCell ref="C513:F513"/>
    <mergeCell ref="C514:F514"/>
    <mergeCell ref="C515:F515"/>
    <mergeCell ref="C516:F516"/>
    <mergeCell ref="C510:F510"/>
    <mergeCell ref="C499:F499"/>
    <mergeCell ref="C500:F500"/>
    <mergeCell ref="C501:F501"/>
    <mergeCell ref="C502:F502"/>
    <mergeCell ref="C495:F495"/>
    <mergeCell ref="C496:F496"/>
    <mergeCell ref="C497:F497"/>
    <mergeCell ref="C491:F491"/>
    <mergeCell ref="C492:F492"/>
    <mergeCell ref="C493:F493"/>
    <mergeCell ref="C494:F494"/>
    <mergeCell ref="C475:F475"/>
    <mergeCell ref="C476:F476"/>
    <mergeCell ref="C477:F477"/>
    <mergeCell ref="C478:F478"/>
    <mergeCell ref="C468:F468"/>
    <mergeCell ref="C469:F469"/>
    <mergeCell ref="C470:F470"/>
    <mergeCell ref="C471:F471"/>
    <mergeCell ref="C472:F472"/>
    <mergeCell ref="C462:F462"/>
    <mergeCell ref="C463:F463"/>
    <mergeCell ref="C464:F464"/>
    <mergeCell ref="C465:F465"/>
    <mergeCell ref="C466:F466"/>
    <mergeCell ref="C467:F467"/>
    <mergeCell ref="C461:F461"/>
    <mergeCell ref="C442:F442"/>
    <mergeCell ref="C443:F443"/>
    <mergeCell ref="C444:F444"/>
    <mergeCell ref="C445:F445"/>
    <mergeCell ref="C437:F437"/>
    <mergeCell ref="C438:F438"/>
    <mergeCell ref="C439:F439"/>
    <mergeCell ref="C440:F440"/>
    <mergeCell ref="C430:F430"/>
    <mergeCell ref="C431:F431"/>
    <mergeCell ref="C432:F432"/>
    <mergeCell ref="C433:F433"/>
    <mergeCell ref="C434:F434"/>
    <mergeCell ref="C435:F435"/>
    <mergeCell ref="C428:F428"/>
    <mergeCell ref="C429:F429"/>
    <mergeCell ref="C410:F410"/>
    <mergeCell ref="C411:F411"/>
    <mergeCell ref="C412:F412"/>
    <mergeCell ref="C406:F406"/>
    <mergeCell ref="C407:F407"/>
    <mergeCell ref="C409:F409"/>
    <mergeCell ref="C400:F400"/>
    <mergeCell ref="C401:F401"/>
    <mergeCell ref="C402:F402"/>
    <mergeCell ref="C403:F403"/>
    <mergeCell ref="C404:F404"/>
    <mergeCell ref="C405:F405"/>
    <mergeCell ref="C397:F397"/>
    <mergeCell ref="C398:F398"/>
    <mergeCell ref="C399:D399"/>
    <mergeCell ref="C390:F390"/>
    <mergeCell ref="C387:F387"/>
    <mergeCell ref="C388:F388"/>
    <mergeCell ref="C389:F389"/>
    <mergeCell ref="C379:F379"/>
    <mergeCell ref="C380:F380"/>
    <mergeCell ref="C382:F382"/>
    <mergeCell ref="C383:F383"/>
    <mergeCell ref="C384:F384"/>
    <mergeCell ref="C385:F385"/>
    <mergeCell ref="C376:F376"/>
    <mergeCell ref="C377:F377"/>
    <mergeCell ref="C378:F378"/>
    <mergeCell ref="C365:F365"/>
    <mergeCell ref="C366:F366"/>
    <mergeCell ref="C367:F367"/>
    <mergeCell ref="C368:F368"/>
    <mergeCell ref="C359:F359"/>
    <mergeCell ref="C360:F360"/>
    <mergeCell ref="C361:F361"/>
    <mergeCell ref="C362:F362"/>
    <mergeCell ref="C363:F363"/>
    <mergeCell ref="C356:F356"/>
    <mergeCell ref="C357:F357"/>
    <mergeCell ref="C358:F358"/>
    <mergeCell ref="C344:F344"/>
    <mergeCell ref="C345:F345"/>
    <mergeCell ref="C346:F346"/>
    <mergeCell ref="C347:F347"/>
    <mergeCell ref="C338:F338"/>
    <mergeCell ref="C339:F339"/>
    <mergeCell ref="C340:F340"/>
    <mergeCell ref="C341:F341"/>
    <mergeCell ref="C342:F342"/>
    <mergeCell ref="C334:F334"/>
    <mergeCell ref="C335:D335"/>
    <mergeCell ref="C336:F336"/>
    <mergeCell ref="C316:F316"/>
    <mergeCell ref="C317:F317"/>
    <mergeCell ref="C318:F318"/>
    <mergeCell ref="C319:F319"/>
    <mergeCell ref="C311:F311"/>
    <mergeCell ref="C312:F312"/>
    <mergeCell ref="C313:F313"/>
    <mergeCell ref="C314:F314"/>
    <mergeCell ref="C307:F307"/>
    <mergeCell ref="C308:F308"/>
    <mergeCell ref="C309:F309"/>
    <mergeCell ref="C310:F310"/>
    <mergeCell ref="C303:D303"/>
    <mergeCell ref="C291:F291"/>
    <mergeCell ref="C292:F292"/>
    <mergeCell ref="C293:F293"/>
    <mergeCell ref="C294:F294"/>
    <mergeCell ref="C285:F285"/>
    <mergeCell ref="C286:F286"/>
    <mergeCell ref="C287:F287"/>
    <mergeCell ref="C288:F288"/>
    <mergeCell ref="C289:F289"/>
    <mergeCell ref="C281:F281"/>
    <mergeCell ref="C282:D282"/>
    <mergeCell ref="C283:F283"/>
    <mergeCell ref="C284:F284"/>
    <mergeCell ref="C270:F270"/>
    <mergeCell ref="C271:F271"/>
    <mergeCell ref="C272:F272"/>
    <mergeCell ref="C273:F273"/>
    <mergeCell ref="C266:F266"/>
    <mergeCell ref="C267:F267"/>
    <mergeCell ref="C268:F268"/>
    <mergeCell ref="C259:F259"/>
    <mergeCell ref="C260:F260"/>
    <mergeCell ref="C261:F261"/>
    <mergeCell ref="C262:F262"/>
    <mergeCell ref="C264:F264"/>
    <mergeCell ref="C265:F265"/>
    <mergeCell ref="C243:F243"/>
    <mergeCell ref="C244:F244"/>
    <mergeCell ref="C245:F245"/>
    <mergeCell ref="C246:F246"/>
    <mergeCell ref="C235:F235"/>
    <mergeCell ref="C236:F236"/>
    <mergeCell ref="C237:F237"/>
    <mergeCell ref="C238:F238"/>
    <mergeCell ref="C239:F239"/>
    <mergeCell ref="C240:F240"/>
    <mergeCell ref="C231:F231"/>
    <mergeCell ref="C232:F232"/>
    <mergeCell ref="C233:D233"/>
    <mergeCell ref="C234:F234"/>
    <mergeCell ref="C221:F221"/>
    <mergeCell ref="C215:F215"/>
    <mergeCell ref="C216:F216"/>
    <mergeCell ref="C218:F218"/>
    <mergeCell ref="C219:F219"/>
    <mergeCell ref="C220:F220"/>
    <mergeCell ref="C208:F208"/>
    <mergeCell ref="C210:F210"/>
    <mergeCell ref="C211:F211"/>
    <mergeCell ref="C212:F212"/>
    <mergeCell ref="C214:F214"/>
    <mergeCell ref="C207:F207"/>
    <mergeCell ref="C194:F194"/>
    <mergeCell ref="C195:F195"/>
    <mergeCell ref="C196:F196"/>
    <mergeCell ref="C197:F197"/>
    <mergeCell ref="C198:F198"/>
    <mergeCell ref="C185:F185"/>
    <mergeCell ref="C186:F186"/>
    <mergeCell ref="C187:F187"/>
    <mergeCell ref="C188:F188"/>
    <mergeCell ref="C189:F189"/>
    <mergeCell ref="C190:F190"/>
    <mergeCell ref="C182:F182"/>
    <mergeCell ref="C183:F183"/>
    <mergeCell ref="C184:F184"/>
    <mergeCell ref="C159:F159"/>
    <mergeCell ref="C160:F160"/>
    <mergeCell ref="C161:F161"/>
    <mergeCell ref="C162:F162"/>
    <mergeCell ref="C154:F154"/>
    <mergeCell ref="C155:F155"/>
    <mergeCell ref="C156:F156"/>
    <mergeCell ref="C157:F157"/>
    <mergeCell ref="C149:F149"/>
    <mergeCell ref="C150:F150"/>
    <mergeCell ref="C151:F151"/>
    <mergeCell ref="C152:F152"/>
    <mergeCell ref="C153:F153"/>
    <mergeCell ref="C147:F147"/>
    <mergeCell ref="C148:F148"/>
    <mergeCell ref="G69:G73"/>
    <mergeCell ref="H69:H73"/>
    <mergeCell ref="I69:I73"/>
    <mergeCell ref="K69:K73"/>
    <mergeCell ref="C75:F75"/>
    <mergeCell ref="D49:F49"/>
    <mergeCell ref="D51:F51"/>
    <mergeCell ref="D52:F52"/>
    <mergeCell ref="D55:F55"/>
    <mergeCell ref="D57:F57"/>
    <mergeCell ref="B69:F73"/>
    <mergeCell ref="B11:F11"/>
    <mergeCell ref="C12:F12"/>
    <mergeCell ref="C13:F13"/>
    <mergeCell ref="C14:F14"/>
    <mergeCell ref="B15:F15"/>
    <mergeCell ref="B16:F16"/>
    <mergeCell ref="B3:K3"/>
    <mergeCell ref="B4:K4"/>
    <mergeCell ref="B6:F10"/>
    <mergeCell ref="G6:G10"/>
    <mergeCell ref="H6:H10"/>
    <mergeCell ref="I6:I10"/>
    <mergeCell ref="K6:K10"/>
  </mergeCells>
  <pageMargins left="0.43307086614173229" right="0.15748031496062992" top="0.70866141732283472" bottom="1.5748031496062993" header="0.31496062992125984" footer="0.31496062992125984"/>
  <pageSetup paperSize="5" scale="70" orientation="portrait" horizont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117"/>
  <sheetViews>
    <sheetView view="pageBreakPreview" zoomScale="120" zoomScaleNormal="100" zoomScaleSheetLayoutView="120" workbookViewId="0">
      <selection activeCell="F111" sqref="F111"/>
    </sheetView>
  </sheetViews>
  <sheetFormatPr defaultRowHeight="15.75" x14ac:dyDescent="0.25"/>
  <cols>
    <col min="1" max="1" width="2.85546875" style="720" customWidth="1"/>
    <col min="2" max="2" width="48.85546875" style="720" customWidth="1"/>
    <col min="3" max="3" width="12.7109375" style="720" customWidth="1"/>
    <col min="4" max="4" width="19.140625" style="490" customWidth="1"/>
    <col min="5" max="5" width="18.42578125" style="490" customWidth="1"/>
    <col min="6" max="6" width="17.7109375" style="490" customWidth="1"/>
    <col min="7" max="7" width="8.7109375" style="490" customWidth="1"/>
    <col min="8" max="8" width="19.28515625" style="490" customWidth="1"/>
    <col min="9" max="9" width="16.42578125" style="484" customWidth="1"/>
    <col min="10" max="10" width="15.7109375" style="484" customWidth="1"/>
    <col min="11" max="11" width="21.5703125" customWidth="1"/>
  </cols>
  <sheetData>
    <row r="1" spans="1:10" ht="18" x14ac:dyDescent="0.25">
      <c r="A1" s="721" t="s">
        <v>2060</v>
      </c>
    </row>
    <row r="2" spans="1:10" ht="8.25" customHeight="1" x14ac:dyDescent="0.25"/>
    <row r="3" spans="1:10" ht="9.75" customHeight="1" x14ac:dyDescent="0.25"/>
    <row r="4" spans="1:10" ht="18" x14ac:dyDescent="0.25">
      <c r="A4" s="721" t="s">
        <v>2045</v>
      </c>
    </row>
    <row r="5" spans="1:10" ht="18.75" thickBot="1" x14ac:dyDescent="0.3">
      <c r="A5" s="721" t="s">
        <v>1429</v>
      </c>
    </row>
    <row r="6" spans="1:10" ht="46.5" customHeight="1" thickBot="1" x14ac:dyDescent="0.3">
      <c r="A6" s="1688" t="s">
        <v>1427</v>
      </c>
      <c r="B6" s="1688"/>
      <c r="C6" s="1320" t="s">
        <v>1426</v>
      </c>
      <c r="D6" s="731" t="s">
        <v>1360</v>
      </c>
      <c r="E6" s="731" t="s">
        <v>1335</v>
      </c>
      <c r="F6" s="731" t="s">
        <v>1425</v>
      </c>
      <c r="G6" s="1537" t="s">
        <v>1424</v>
      </c>
      <c r="H6" s="731" t="s">
        <v>208</v>
      </c>
    </row>
    <row r="7" spans="1:10" ht="15.75" customHeight="1" x14ac:dyDescent="0.25">
      <c r="A7" s="728" t="s">
        <v>1331</v>
      </c>
      <c r="B7" s="722"/>
      <c r="C7" s="1543"/>
      <c r="D7" s="1017"/>
      <c r="E7" s="1538"/>
      <c r="F7" s="732"/>
      <c r="G7" s="732"/>
      <c r="H7" s="732"/>
    </row>
    <row r="8" spans="1:10" ht="18" x14ac:dyDescent="0.25">
      <c r="A8" s="568"/>
      <c r="B8" s="175" t="s">
        <v>124</v>
      </c>
      <c r="C8" s="986" t="s">
        <v>125</v>
      </c>
      <c r="D8" s="1541">
        <f>59059272+19657.5</f>
        <v>59078929.5</v>
      </c>
      <c r="E8" s="340">
        <v>15900180</v>
      </c>
      <c r="F8" s="340">
        <f>28752816+2002</f>
        <v>28754818</v>
      </c>
      <c r="G8" s="747"/>
      <c r="H8" s="747">
        <f>SUM(D8:G8)</f>
        <v>103733927.5</v>
      </c>
      <c r="J8" s="484">
        <v>59078929.5</v>
      </c>
    </row>
    <row r="9" spans="1:10" ht="18" x14ac:dyDescent="0.25">
      <c r="A9" s="568"/>
      <c r="B9" s="175" t="s">
        <v>126</v>
      </c>
      <c r="C9" s="986" t="s">
        <v>127</v>
      </c>
      <c r="D9" s="1541">
        <v>8554596</v>
      </c>
      <c r="E9" s="340">
        <v>1233564</v>
      </c>
      <c r="F9" s="340">
        <v>3168768</v>
      </c>
      <c r="G9" s="747"/>
      <c r="H9" s="747">
        <f t="shared" ref="H9:H28" si="0">SUM(D9:G9)</f>
        <v>12956928</v>
      </c>
    </row>
    <row r="10" spans="1:10" ht="18" x14ac:dyDescent="0.25">
      <c r="A10" s="697"/>
      <c r="B10" s="175" t="s">
        <v>2129</v>
      </c>
      <c r="C10" s="1342" t="s">
        <v>130</v>
      </c>
      <c r="D10" s="1541">
        <v>5736000</v>
      </c>
      <c r="E10" s="340">
        <v>1248000</v>
      </c>
      <c r="F10" s="340">
        <v>3720000</v>
      </c>
      <c r="G10" s="747"/>
      <c r="H10" s="747">
        <f t="shared" si="0"/>
        <v>10704000</v>
      </c>
    </row>
    <row r="11" spans="1:10" ht="18" x14ac:dyDescent="0.25">
      <c r="A11" s="568"/>
      <c r="B11" s="175" t="s">
        <v>131</v>
      </c>
      <c r="C11" s="986" t="s">
        <v>132</v>
      </c>
      <c r="D11" s="1541">
        <v>1934400</v>
      </c>
      <c r="E11" s="340">
        <v>157200</v>
      </c>
      <c r="F11" s="340">
        <v>288000</v>
      </c>
      <c r="G11" s="747"/>
      <c r="H11" s="747">
        <f t="shared" si="0"/>
        <v>2379600</v>
      </c>
      <c r="J11" s="484">
        <v>28754818</v>
      </c>
    </row>
    <row r="12" spans="1:10" ht="18" x14ac:dyDescent="0.25">
      <c r="A12" s="568"/>
      <c r="B12" s="175" t="s">
        <v>133</v>
      </c>
      <c r="C12" s="986" t="s">
        <v>134</v>
      </c>
      <c r="D12" s="1541">
        <v>1752000</v>
      </c>
      <c r="E12" s="340">
        <v>157200</v>
      </c>
      <c r="F12" s="340">
        <v>288000</v>
      </c>
      <c r="G12" s="747"/>
      <c r="H12" s="747">
        <f t="shared" si="0"/>
        <v>2197200</v>
      </c>
      <c r="J12" s="484">
        <f>28752816+2002</f>
        <v>28754818</v>
      </c>
    </row>
    <row r="13" spans="1:10" ht="18" x14ac:dyDescent="0.25">
      <c r="A13" s="568"/>
      <c r="B13" s="175" t="s">
        <v>2061</v>
      </c>
      <c r="C13" s="986" t="s">
        <v>138</v>
      </c>
      <c r="D13" s="1541">
        <v>1434000</v>
      </c>
      <c r="E13" s="340">
        <v>312000</v>
      </c>
      <c r="F13" s="340">
        <v>930000</v>
      </c>
      <c r="G13" s="747"/>
      <c r="H13" s="747">
        <f t="shared" si="0"/>
        <v>2676000</v>
      </c>
    </row>
    <row r="14" spans="1:10" ht="18" x14ac:dyDescent="0.25">
      <c r="A14" s="568"/>
      <c r="B14" s="175" t="s">
        <v>210</v>
      </c>
      <c r="C14" s="986" t="s">
        <v>464</v>
      </c>
      <c r="D14" s="1541"/>
      <c r="E14" s="340">
        <v>666000</v>
      </c>
      <c r="F14" s="340">
        <v>54000</v>
      </c>
      <c r="G14" s="747"/>
      <c r="H14" s="747">
        <f t="shared" si="0"/>
        <v>720000</v>
      </c>
    </row>
    <row r="15" spans="1:10" ht="18" x14ac:dyDescent="0.25">
      <c r="A15" s="568"/>
      <c r="B15" s="175" t="s">
        <v>211</v>
      </c>
      <c r="C15" s="986" t="s">
        <v>212</v>
      </c>
      <c r="D15" s="1541"/>
      <c r="E15" s="340">
        <v>61200</v>
      </c>
      <c r="F15" s="340">
        <v>5400</v>
      </c>
      <c r="G15" s="747"/>
      <c r="H15" s="747">
        <f t="shared" si="0"/>
        <v>66600</v>
      </c>
    </row>
    <row r="16" spans="1:10" ht="18" x14ac:dyDescent="0.25">
      <c r="A16" s="568"/>
      <c r="B16" s="175" t="s">
        <v>149</v>
      </c>
      <c r="C16" s="986" t="s">
        <v>150</v>
      </c>
      <c r="D16" s="1541"/>
      <c r="E16" s="340">
        <v>2721980.04</v>
      </c>
      <c r="F16" s="340">
        <v>141078</v>
      </c>
      <c r="G16" s="747"/>
      <c r="H16" s="747">
        <f t="shared" si="0"/>
        <v>2863058.04</v>
      </c>
    </row>
    <row r="17" spans="1:11" ht="18" x14ac:dyDescent="0.25">
      <c r="A17" s="568"/>
      <c r="B17" s="175" t="s">
        <v>1568</v>
      </c>
      <c r="C17" s="986" t="s">
        <v>232</v>
      </c>
      <c r="D17" s="1541">
        <v>30000</v>
      </c>
      <c r="E17" s="340">
        <v>40000</v>
      </c>
      <c r="F17" s="340">
        <v>50000</v>
      </c>
      <c r="G17" s="747"/>
      <c r="H17" s="747">
        <f t="shared" si="0"/>
        <v>120000</v>
      </c>
    </row>
    <row r="18" spans="1:11" ht="18" x14ac:dyDescent="0.25">
      <c r="A18" s="568"/>
      <c r="B18" s="175" t="s">
        <v>135</v>
      </c>
      <c r="C18" s="986" t="s">
        <v>136</v>
      </c>
      <c r="D18" s="1541">
        <v>3722614.71</v>
      </c>
      <c r="E18" s="340">
        <v>852767.28</v>
      </c>
      <c r="F18" s="340">
        <v>2892425.37</v>
      </c>
      <c r="G18" s="747"/>
      <c r="H18" s="747">
        <f t="shared" si="0"/>
        <v>7467807.3600000003</v>
      </c>
    </row>
    <row r="19" spans="1:11" ht="18" x14ac:dyDescent="0.25">
      <c r="A19" s="568"/>
      <c r="B19" s="175" t="s">
        <v>1284</v>
      </c>
      <c r="C19" s="986" t="s">
        <v>136</v>
      </c>
      <c r="D19" s="1541"/>
      <c r="E19" s="340"/>
      <c r="F19" s="340">
        <v>154923.6</v>
      </c>
      <c r="G19" s="747"/>
      <c r="H19" s="747">
        <f t="shared" si="0"/>
        <v>154923.6</v>
      </c>
    </row>
    <row r="20" spans="1:11" ht="18" x14ac:dyDescent="0.25">
      <c r="A20" s="568"/>
      <c r="B20" s="175" t="s">
        <v>141</v>
      </c>
      <c r="C20" s="986" t="s">
        <v>142</v>
      </c>
      <c r="D20" s="1541">
        <v>5638553</v>
      </c>
      <c r="E20" s="340">
        <v>1427812</v>
      </c>
      <c r="F20" s="340">
        <v>2660630</v>
      </c>
      <c r="G20" s="747"/>
      <c r="H20" s="747">
        <f t="shared" si="0"/>
        <v>9726995</v>
      </c>
    </row>
    <row r="21" spans="1:11" ht="18" x14ac:dyDescent="0.25">
      <c r="A21" s="568"/>
      <c r="B21" s="175" t="s">
        <v>143</v>
      </c>
      <c r="C21" s="986" t="s">
        <v>144</v>
      </c>
      <c r="D21" s="1541">
        <v>1195000</v>
      </c>
      <c r="E21" s="340">
        <v>260000</v>
      </c>
      <c r="F21" s="340">
        <v>775000</v>
      </c>
      <c r="G21" s="747"/>
      <c r="H21" s="747">
        <f t="shared" si="0"/>
        <v>2230000</v>
      </c>
    </row>
    <row r="22" spans="1:11" ht="18" customHeight="1" x14ac:dyDescent="0.25">
      <c r="A22" s="568"/>
      <c r="B22" s="226" t="s">
        <v>2130</v>
      </c>
      <c r="C22" s="986" t="s">
        <v>154</v>
      </c>
      <c r="D22" s="1541">
        <v>8116023.0599999996</v>
      </c>
      <c r="E22" s="340">
        <v>2056049.28</v>
      </c>
      <c r="F22" s="340">
        <v>3830147.76</v>
      </c>
      <c r="G22" s="747"/>
      <c r="H22" s="747">
        <f t="shared" si="0"/>
        <v>14002220.1</v>
      </c>
    </row>
    <row r="23" spans="1:11" ht="18" x14ac:dyDescent="0.25">
      <c r="A23" s="568"/>
      <c r="B23" s="114" t="s">
        <v>155</v>
      </c>
      <c r="C23" s="774" t="s">
        <v>156</v>
      </c>
      <c r="D23" s="1542">
        <v>286800</v>
      </c>
      <c r="E23" s="1473">
        <v>62400</v>
      </c>
      <c r="F23" s="1473">
        <v>186000</v>
      </c>
      <c r="G23" s="732"/>
      <c r="H23" s="747">
        <f t="shared" si="0"/>
        <v>535200</v>
      </c>
    </row>
    <row r="24" spans="1:11" ht="18" x14ac:dyDescent="0.25">
      <c r="A24" s="568"/>
      <c r="B24" s="114" t="s">
        <v>157</v>
      </c>
      <c r="C24" s="774" t="s">
        <v>158</v>
      </c>
      <c r="D24" s="1542">
        <v>1503757.2</v>
      </c>
      <c r="E24" s="1473">
        <v>382596.48</v>
      </c>
      <c r="F24" s="1473">
        <v>718280.69</v>
      </c>
      <c r="G24" s="732"/>
      <c r="H24" s="747">
        <f t="shared" si="0"/>
        <v>2604634.37</v>
      </c>
    </row>
    <row r="25" spans="1:11" ht="36" x14ac:dyDescent="0.25">
      <c r="A25" s="568"/>
      <c r="B25" s="175" t="s">
        <v>1546</v>
      </c>
      <c r="C25" s="986" t="s">
        <v>160</v>
      </c>
      <c r="D25" s="1541">
        <v>286800</v>
      </c>
      <c r="E25" s="340">
        <v>62400</v>
      </c>
      <c r="F25" s="340">
        <v>186000</v>
      </c>
      <c r="G25" s="747"/>
      <c r="H25" s="747">
        <f t="shared" si="0"/>
        <v>535200</v>
      </c>
    </row>
    <row r="26" spans="1:11" ht="18" x14ac:dyDescent="0.25">
      <c r="A26" s="568"/>
      <c r="B26" s="175" t="s">
        <v>1370</v>
      </c>
      <c r="C26" s="986" t="s">
        <v>329</v>
      </c>
      <c r="D26" s="1541">
        <v>3135622.27</v>
      </c>
      <c r="E26" s="340">
        <v>1358962.07</v>
      </c>
      <c r="F26" s="340">
        <v>658221.56000000006</v>
      </c>
      <c r="G26" s="747"/>
      <c r="H26" s="747">
        <f>SUM(D26:G26)</f>
        <v>5152805.9000000004</v>
      </c>
    </row>
    <row r="27" spans="1:11" ht="36" x14ac:dyDescent="0.25">
      <c r="A27" s="568"/>
      <c r="B27" s="175" t="s">
        <v>2044</v>
      </c>
      <c r="C27" s="1553" t="s">
        <v>140</v>
      </c>
      <c r="D27" s="1541">
        <v>1195000</v>
      </c>
      <c r="E27" s="340">
        <v>260000</v>
      </c>
      <c r="F27" s="340">
        <v>775000</v>
      </c>
      <c r="G27" s="747"/>
      <c r="H27" s="747">
        <f>SUM(D27:G27)</f>
        <v>2230000</v>
      </c>
    </row>
    <row r="28" spans="1:11" s="179" customFormat="1" ht="34.5" customHeight="1" thickBot="1" x14ac:dyDescent="0.3">
      <c r="A28" s="985"/>
      <c r="B28" s="175" t="s">
        <v>2119</v>
      </c>
      <c r="C28" s="986" t="s">
        <v>148</v>
      </c>
      <c r="D28" s="1541">
        <v>5634579</v>
      </c>
      <c r="E28" s="340">
        <v>1427812</v>
      </c>
      <c r="F28" s="340">
        <v>2660132</v>
      </c>
      <c r="G28" s="747"/>
      <c r="H28" s="747">
        <f t="shared" si="0"/>
        <v>9722523</v>
      </c>
      <c r="I28" s="754"/>
      <c r="J28" s="754"/>
    </row>
    <row r="29" spans="1:11" s="48" customFormat="1" ht="15.75" customHeight="1" thickBot="1" x14ac:dyDescent="0.3">
      <c r="A29" s="1554" t="s">
        <v>1430</v>
      </c>
      <c r="B29" s="1555"/>
      <c r="C29" s="1556"/>
      <c r="D29" s="1557">
        <f>SUM(D8:D28)</f>
        <v>109234674.73999999</v>
      </c>
      <c r="E29" s="1558">
        <f>SUM(E8:E28)</f>
        <v>30648123.150000002</v>
      </c>
      <c r="F29" s="1558">
        <f>SUM(F8:F28)</f>
        <v>52896824.979999997</v>
      </c>
      <c r="G29" s="1559">
        <f>SUM(G8:G28)</f>
        <v>0</v>
      </c>
      <c r="H29" s="1559">
        <f>SUM(H8:H28)</f>
        <v>192779622.87</v>
      </c>
      <c r="I29" s="746"/>
      <c r="J29" s="746">
        <v>192777824.31</v>
      </c>
    </row>
    <row r="30" spans="1:11" ht="18" x14ac:dyDescent="0.25">
      <c r="A30" s="742" t="s">
        <v>1431</v>
      </c>
      <c r="B30" s="725"/>
      <c r="C30" s="775"/>
      <c r="D30" s="1542"/>
      <c r="E30" s="1473"/>
      <c r="F30" s="1473"/>
      <c r="G30" s="732"/>
      <c r="H30" s="732"/>
    </row>
    <row r="31" spans="1:11" s="179" customFormat="1" ht="18" x14ac:dyDescent="0.25">
      <c r="A31" s="736"/>
      <c r="B31" s="180" t="s">
        <v>353</v>
      </c>
      <c r="C31" s="986" t="s">
        <v>165</v>
      </c>
      <c r="D31" s="265">
        <v>4109500</v>
      </c>
      <c r="E31" s="340">
        <v>890000</v>
      </c>
      <c r="F31" s="340">
        <v>1635800</v>
      </c>
      <c r="G31" s="747"/>
      <c r="H31" s="747">
        <f>SUM(D31:G31)</f>
        <v>6635300</v>
      </c>
      <c r="I31" s="754">
        <v>6525300</v>
      </c>
      <c r="J31" s="754">
        <v>110000</v>
      </c>
      <c r="K31" s="1528">
        <f>SUM(I31:J31)</f>
        <v>6635300</v>
      </c>
    </row>
    <row r="32" spans="1:11" s="179" customFormat="1" ht="18" x14ac:dyDescent="0.25">
      <c r="A32" s="736"/>
      <c r="B32" s="180" t="s">
        <v>166</v>
      </c>
      <c r="C32" s="986" t="s">
        <v>167</v>
      </c>
      <c r="D32" s="265">
        <v>4055000</v>
      </c>
      <c r="E32" s="340">
        <v>200000</v>
      </c>
      <c r="F32" s="340">
        <v>420000</v>
      </c>
      <c r="G32" s="747"/>
      <c r="H32" s="747">
        <f t="shared" ref="H32:H66" si="1">SUM(D32:G32)</f>
        <v>4675000</v>
      </c>
      <c r="I32" s="754">
        <v>4525000</v>
      </c>
      <c r="J32" s="754">
        <v>150000</v>
      </c>
      <c r="K32" s="1528">
        <f t="shared" ref="K32:K56" si="2">SUM(I32:J32)</f>
        <v>4675000</v>
      </c>
    </row>
    <row r="33" spans="1:11" s="179" customFormat="1" ht="18" x14ac:dyDescent="0.25">
      <c r="A33" s="736"/>
      <c r="B33" s="180" t="s">
        <v>1548</v>
      </c>
      <c r="C33" s="986" t="s">
        <v>293</v>
      </c>
      <c r="D33" s="265">
        <v>15000000</v>
      </c>
      <c r="E33" s="340"/>
      <c r="F33" s="340"/>
      <c r="G33" s="747"/>
      <c r="H33" s="747">
        <f t="shared" si="1"/>
        <v>15000000</v>
      </c>
      <c r="I33" s="754">
        <v>15000000</v>
      </c>
      <c r="J33" s="754"/>
      <c r="K33" s="1528">
        <f t="shared" si="2"/>
        <v>15000000</v>
      </c>
    </row>
    <row r="34" spans="1:11" s="179" customFormat="1" ht="18" x14ac:dyDescent="0.25">
      <c r="A34" s="736"/>
      <c r="B34" s="180" t="s">
        <v>168</v>
      </c>
      <c r="C34" s="986" t="s">
        <v>169</v>
      </c>
      <c r="D34" s="1470">
        <v>12183888.4</v>
      </c>
      <c r="E34" s="340">
        <v>2178405</v>
      </c>
      <c r="F34" s="340">
        <v>2546927.5</v>
      </c>
      <c r="G34" s="747"/>
      <c r="H34" s="747">
        <f t="shared" si="1"/>
        <v>16909220.899999999</v>
      </c>
      <c r="I34" s="754">
        <v>16616198.4</v>
      </c>
      <c r="J34" s="754">
        <v>293022.5</v>
      </c>
      <c r="K34" s="1528">
        <f t="shared" si="2"/>
        <v>16909220.899999999</v>
      </c>
    </row>
    <row r="35" spans="1:11" s="179" customFormat="1" ht="18" x14ac:dyDescent="0.25">
      <c r="A35" s="736"/>
      <c r="B35" s="180" t="s">
        <v>426</v>
      </c>
      <c r="C35" s="986" t="s">
        <v>427</v>
      </c>
      <c r="D35" s="265">
        <v>956025</v>
      </c>
      <c r="E35" s="340"/>
      <c r="F35" s="340">
        <v>401800</v>
      </c>
      <c r="G35" s="747"/>
      <c r="H35" s="747">
        <f t="shared" si="1"/>
        <v>1357825</v>
      </c>
      <c r="I35" s="754">
        <v>956025</v>
      </c>
      <c r="J35" s="754">
        <v>401800</v>
      </c>
      <c r="K35" s="1528">
        <f t="shared" si="2"/>
        <v>1357825</v>
      </c>
    </row>
    <row r="36" spans="1:11" s="179" customFormat="1" ht="18" x14ac:dyDescent="0.25">
      <c r="A36" s="736"/>
      <c r="B36" s="180" t="s">
        <v>466</v>
      </c>
      <c r="C36" s="986" t="s">
        <v>467</v>
      </c>
      <c r="D36" s="265"/>
      <c r="E36" s="340">
        <v>21259768</v>
      </c>
      <c r="F36" s="340"/>
      <c r="G36" s="747"/>
      <c r="H36" s="747">
        <f t="shared" si="1"/>
        <v>21259768</v>
      </c>
      <c r="I36" s="754"/>
      <c r="J36" s="754"/>
      <c r="K36" s="1528">
        <f t="shared" si="2"/>
        <v>0</v>
      </c>
    </row>
    <row r="37" spans="1:11" s="179" customFormat="1" ht="18" x14ac:dyDescent="0.25">
      <c r="A37" s="736"/>
      <c r="B37" s="180" t="s">
        <v>468</v>
      </c>
      <c r="C37" s="986" t="s">
        <v>469</v>
      </c>
      <c r="D37" s="265"/>
      <c r="E37" s="340">
        <v>16267693.5</v>
      </c>
      <c r="F37" s="340"/>
      <c r="G37" s="747"/>
      <c r="H37" s="747">
        <f t="shared" si="1"/>
        <v>16267693.5</v>
      </c>
      <c r="I37" s="754"/>
      <c r="J37" s="754"/>
      <c r="K37" s="1528">
        <f t="shared" si="2"/>
        <v>0</v>
      </c>
    </row>
    <row r="38" spans="1:11" s="179" customFormat="1" ht="18" x14ac:dyDescent="0.25">
      <c r="A38" s="736"/>
      <c r="B38" s="180" t="s">
        <v>1432</v>
      </c>
      <c r="C38" s="986" t="s">
        <v>173</v>
      </c>
      <c r="D38" s="265">
        <v>6392880</v>
      </c>
      <c r="E38" s="340">
        <v>367200</v>
      </c>
      <c r="F38" s="340">
        <v>4916871.4400000004</v>
      </c>
      <c r="G38" s="747"/>
      <c r="H38" s="747">
        <f t="shared" si="1"/>
        <v>11676951.440000001</v>
      </c>
      <c r="I38" s="754">
        <v>8543431.4399999995</v>
      </c>
      <c r="J38" s="754">
        <v>3133520</v>
      </c>
      <c r="K38" s="1528">
        <f t="shared" si="2"/>
        <v>11676951.439999999</v>
      </c>
    </row>
    <row r="39" spans="1:11" s="179" customFormat="1" ht="18" x14ac:dyDescent="0.25">
      <c r="A39" s="736"/>
      <c r="B39" s="180" t="s">
        <v>2030</v>
      </c>
      <c r="C39" s="986" t="s">
        <v>2029</v>
      </c>
      <c r="D39" s="265"/>
      <c r="E39" s="340"/>
      <c r="F39" s="340">
        <v>500000</v>
      </c>
      <c r="G39" s="747"/>
      <c r="H39" s="747">
        <f t="shared" si="1"/>
        <v>500000</v>
      </c>
      <c r="I39" s="754"/>
      <c r="J39" s="754"/>
      <c r="K39" s="1528">
        <f t="shared" si="2"/>
        <v>0</v>
      </c>
    </row>
    <row r="40" spans="1:11" s="179" customFormat="1" ht="18" x14ac:dyDescent="0.25">
      <c r="A40" s="736"/>
      <c r="B40" s="180" t="s">
        <v>1675</v>
      </c>
      <c r="C40" s="986" t="s">
        <v>2043</v>
      </c>
      <c r="D40" s="265"/>
      <c r="E40" s="340">
        <v>2350000</v>
      </c>
      <c r="F40" s="340"/>
      <c r="G40" s="747"/>
      <c r="H40" s="747">
        <f t="shared" si="1"/>
        <v>2350000</v>
      </c>
      <c r="I40" s="754"/>
      <c r="J40" s="754"/>
      <c r="K40" s="1528">
        <f t="shared" si="2"/>
        <v>0</v>
      </c>
    </row>
    <row r="41" spans="1:11" s="179" customFormat="1" ht="18" x14ac:dyDescent="0.25">
      <c r="A41" s="736"/>
      <c r="B41" s="1313" t="s">
        <v>170</v>
      </c>
      <c r="C41" s="986" t="s">
        <v>171</v>
      </c>
      <c r="D41" s="265">
        <v>15910266.5</v>
      </c>
      <c r="E41" s="340">
        <v>2573287.2999999998</v>
      </c>
      <c r="F41" s="340">
        <f>8775297+500000</f>
        <v>9275297</v>
      </c>
      <c r="G41" s="747"/>
      <c r="H41" s="747">
        <f t="shared" si="1"/>
        <v>27758850.800000001</v>
      </c>
      <c r="I41" s="754">
        <v>23522068.800000001</v>
      </c>
      <c r="J41" s="754">
        <v>3736782</v>
      </c>
      <c r="K41" s="1528">
        <f t="shared" si="2"/>
        <v>27258850.800000001</v>
      </c>
    </row>
    <row r="42" spans="1:11" s="179" customFormat="1" ht="18" x14ac:dyDescent="0.25">
      <c r="A42" s="736"/>
      <c r="B42" s="180" t="s">
        <v>382</v>
      </c>
      <c r="C42" s="986" t="s">
        <v>383</v>
      </c>
      <c r="D42" s="265">
        <v>40000</v>
      </c>
      <c r="E42" s="340">
        <v>60800</v>
      </c>
      <c r="F42" s="340">
        <v>35000</v>
      </c>
      <c r="G42" s="747"/>
      <c r="H42" s="747">
        <f t="shared" si="1"/>
        <v>135800</v>
      </c>
      <c r="I42" s="754"/>
      <c r="J42" s="754"/>
      <c r="K42" s="1528">
        <f t="shared" si="2"/>
        <v>0</v>
      </c>
    </row>
    <row r="43" spans="1:11" s="179" customFormat="1" ht="18" x14ac:dyDescent="0.25">
      <c r="A43" s="736"/>
      <c r="B43" s="180" t="s">
        <v>384</v>
      </c>
      <c r="C43" s="986" t="s">
        <v>385</v>
      </c>
      <c r="D43" s="265">
        <v>10000000</v>
      </c>
      <c r="E43" s="340"/>
      <c r="F43" s="340">
        <v>3050000</v>
      </c>
      <c r="G43" s="747"/>
      <c r="H43" s="747">
        <f>SUM(D43:G43)</f>
        <v>13050000</v>
      </c>
      <c r="I43" s="754"/>
      <c r="J43" s="754"/>
      <c r="K43" s="1528">
        <f t="shared" si="2"/>
        <v>0</v>
      </c>
    </row>
    <row r="44" spans="1:11" s="179" customFormat="1" ht="18" x14ac:dyDescent="0.25">
      <c r="A44" s="736"/>
      <c r="B44" s="180" t="s">
        <v>296</v>
      </c>
      <c r="C44" s="986" t="s">
        <v>177</v>
      </c>
      <c r="D44" s="265">
        <v>112000</v>
      </c>
      <c r="E44" s="340">
        <v>12000</v>
      </c>
      <c r="F44" s="340">
        <v>12300</v>
      </c>
      <c r="G44" s="747"/>
      <c r="H44" s="747">
        <f t="shared" si="1"/>
        <v>136300</v>
      </c>
      <c r="I44" s="754"/>
      <c r="J44" s="754"/>
      <c r="K44" s="1528">
        <f t="shared" si="2"/>
        <v>0</v>
      </c>
    </row>
    <row r="45" spans="1:11" s="179" customFormat="1" ht="18" x14ac:dyDescent="0.25">
      <c r="A45" s="736"/>
      <c r="B45" s="180" t="s">
        <v>178</v>
      </c>
      <c r="C45" s="986" t="s">
        <v>179</v>
      </c>
      <c r="D45" s="265">
        <v>2088188</v>
      </c>
      <c r="E45" s="340">
        <v>354000</v>
      </c>
      <c r="F45" s="340">
        <v>330000</v>
      </c>
      <c r="G45" s="747"/>
      <c r="H45" s="747">
        <f t="shared" si="1"/>
        <v>2772188</v>
      </c>
      <c r="I45" s="754">
        <v>2742188</v>
      </c>
      <c r="J45" s="754">
        <v>30000</v>
      </c>
      <c r="K45" s="1528">
        <f t="shared" si="2"/>
        <v>2772188</v>
      </c>
    </row>
    <row r="46" spans="1:11" s="179" customFormat="1" ht="18" x14ac:dyDescent="0.25">
      <c r="A46" s="736"/>
      <c r="B46" s="180" t="s">
        <v>182</v>
      </c>
      <c r="C46" s="986" t="s">
        <v>183</v>
      </c>
      <c r="D46" s="265">
        <v>645000</v>
      </c>
      <c r="E46" s="340">
        <v>215040</v>
      </c>
      <c r="F46" s="340">
        <v>174000</v>
      </c>
      <c r="G46" s="747"/>
      <c r="H46" s="747">
        <f t="shared" si="1"/>
        <v>1034040</v>
      </c>
      <c r="I46" s="754">
        <v>950040</v>
      </c>
      <c r="J46" s="754">
        <v>84000</v>
      </c>
      <c r="K46" s="1528">
        <f t="shared" si="2"/>
        <v>1034040</v>
      </c>
    </row>
    <row r="47" spans="1:11" s="179" customFormat="1" ht="18" x14ac:dyDescent="0.25">
      <c r="A47" s="736"/>
      <c r="B47" s="180" t="s">
        <v>2036</v>
      </c>
      <c r="C47" s="986" t="s">
        <v>218</v>
      </c>
      <c r="D47" s="265">
        <v>12900</v>
      </c>
      <c r="E47" s="340">
        <v>9000</v>
      </c>
      <c r="F47" s="340"/>
      <c r="G47" s="747"/>
      <c r="H47" s="747">
        <f t="shared" si="1"/>
        <v>21900</v>
      </c>
      <c r="I47" s="754"/>
      <c r="J47" s="754"/>
      <c r="K47" s="1528">
        <f t="shared" si="2"/>
        <v>0</v>
      </c>
    </row>
    <row r="48" spans="1:11" s="179" customFormat="1" ht="18" x14ac:dyDescent="0.25">
      <c r="A48" s="736"/>
      <c r="B48" s="180" t="s">
        <v>2035</v>
      </c>
      <c r="C48" s="986" t="s">
        <v>2034</v>
      </c>
      <c r="D48" s="265">
        <v>350000</v>
      </c>
      <c r="E48" s="340"/>
      <c r="F48" s="340"/>
      <c r="G48" s="747"/>
      <c r="H48" s="747">
        <f t="shared" si="1"/>
        <v>350000</v>
      </c>
      <c r="I48" s="754"/>
      <c r="J48" s="754"/>
      <c r="K48" s="1528">
        <f>SUM(I48:J48)</f>
        <v>0</v>
      </c>
    </row>
    <row r="49" spans="1:11" s="179" customFormat="1" ht="18" x14ac:dyDescent="0.25">
      <c r="A49" s="736"/>
      <c r="B49" s="180" t="s">
        <v>1630</v>
      </c>
      <c r="C49" s="986" t="s">
        <v>2042</v>
      </c>
      <c r="D49" s="265">
        <v>70000</v>
      </c>
      <c r="E49" s="340"/>
      <c r="F49" s="340"/>
      <c r="G49" s="747"/>
      <c r="H49" s="747">
        <f t="shared" si="1"/>
        <v>70000</v>
      </c>
      <c r="I49" s="754"/>
      <c r="J49" s="754"/>
      <c r="K49" s="1528">
        <f t="shared" si="2"/>
        <v>0</v>
      </c>
    </row>
    <row r="50" spans="1:11" s="179" customFormat="1" ht="18.75" customHeight="1" x14ac:dyDescent="0.25">
      <c r="A50" s="736"/>
      <c r="B50" s="1317" t="s">
        <v>1434</v>
      </c>
      <c r="C50" s="986" t="s">
        <v>185</v>
      </c>
      <c r="D50" s="265">
        <v>251928</v>
      </c>
      <c r="E50" s="340"/>
      <c r="F50" s="340"/>
      <c r="G50" s="747"/>
      <c r="H50" s="747">
        <f t="shared" si="1"/>
        <v>251928</v>
      </c>
      <c r="I50" s="754"/>
      <c r="J50" s="754"/>
      <c r="K50" s="1528">
        <f t="shared" si="2"/>
        <v>0</v>
      </c>
    </row>
    <row r="51" spans="1:11" s="179" customFormat="1" ht="18" x14ac:dyDescent="0.25">
      <c r="A51" s="736"/>
      <c r="B51" s="1317" t="s">
        <v>2039</v>
      </c>
      <c r="C51" s="986" t="s">
        <v>2038</v>
      </c>
      <c r="D51" s="265">
        <v>3000000</v>
      </c>
      <c r="E51" s="340"/>
      <c r="F51" s="340"/>
      <c r="G51" s="747"/>
      <c r="H51" s="747">
        <f t="shared" si="1"/>
        <v>3000000</v>
      </c>
      <c r="I51" s="754"/>
      <c r="J51" s="754"/>
      <c r="K51" s="1528">
        <f t="shared" si="2"/>
        <v>0</v>
      </c>
    </row>
    <row r="52" spans="1:11" s="179" customFormat="1" ht="19.5" customHeight="1" x14ac:dyDescent="0.25">
      <c r="A52" s="736"/>
      <c r="B52" s="1317" t="s">
        <v>2040</v>
      </c>
      <c r="C52" s="986" t="s">
        <v>2093</v>
      </c>
      <c r="D52" s="265">
        <v>1350000</v>
      </c>
      <c r="E52" s="340"/>
      <c r="F52" s="340"/>
      <c r="G52" s="747"/>
      <c r="H52" s="747">
        <f t="shared" si="1"/>
        <v>1350000</v>
      </c>
      <c r="I52" s="754"/>
      <c r="J52" s="754"/>
      <c r="K52" s="1528">
        <f t="shared" si="2"/>
        <v>0</v>
      </c>
    </row>
    <row r="53" spans="1:11" s="179" customFormat="1" ht="36" x14ac:dyDescent="0.25">
      <c r="A53" s="736"/>
      <c r="B53" s="1317" t="s">
        <v>2041</v>
      </c>
      <c r="C53" s="986" t="s">
        <v>308</v>
      </c>
      <c r="D53" s="265">
        <v>3920000</v>
      </c>
      <c r="E53" s="340">
        <v>1000000</v>
      </c>
      <c r="F53" s="340">
        <v>2195165.7000000002</v>
      </c>
      <c r="G53" s="747"/>
      <c r="H53" s="747">
        <f>SUM(D53:G53)</f>
        <v>7115165.7000000002</v>
      </c>
      <c r="I53" s="754">
        <v>5220000</v>
      </c>
      <c r="J53" s="754">
        <v>1895165.7</v>
      </c>
      <c r="K53" s="1528">
        <f t="shared" si="2"/>
        <v>7115165.7000000002</v>
      </c>
    </row>
    <row r="54" spans="1:11" s="179" customFormat="1" ht="36" x14ac:dyDescent="0.25">
      <c r="A54" s="736"/>
      <c r="B54" s="1317" t="s">
        <v>186</v>
      </c>
      <c r="C54" s="986" t="s">
        <v>187</v>
      </c>
      <c r="D54" s="265">
        <f>2495000-50000</f>
        <v>2445000</v>
      </c>
      <c r="E54" s="340">
        <v>310000</v>
      </c>
      <c r="F54" s="340">
        <v>9275000</v>
      </c>
      <c r="G54" s="747"/>
      <c r="H54" s="747">
        <f t="shared" si="1"/>
        <v>12030000</v>
      </c>
      <c r="I54" s="754">
        <v>11920000</v>
      </c>
      <c r="J54" s="754">
        <v>160000</v>
      </c>
      <c r="K54" s="1528">
        <f>SUM(I54:J54)</f>
        <v>12080000</v>
      </c>
    </row>
    <row r="55" spans="1:11" s="179" customFormat="1" ht="18" x14ac:dyDescent="0.25">
      <c r="A55" s="736"/>
      <c r="B55" s="1531" t="s">
        <v>2118</v>
      </c>
      <c r="C55" s="986" t="s">
        <v>189</v>
      </c>
      <c r="D55" s="757">
        <f>8122796+500000</f>
        <v>8622796</v>
      </c>
      <c r="E55" s="340">
        <v>1000000</v>
      </c>
      <c r="F55" s="340">
        <v>410000</v>
      </c>
      <c r="G55" s="747"/>
      <c r="H55" s="747">
        <f t="shared" si="1"/>
        <v>10032796</v>
      </c>
      <c r="I55" s="754">
        <v>9732796</v>
      </c>
      <c r="J55" s="754">
        <v>300000</v>
      </c>
      <c r="K55" s="1528">
        <f t="shared" si="2"/>
        <v>10032796</v>
      </c>
    </row>
    <row r="56" spans="1:11" s="179" customFormat="1" ht="18" x14ac:dyDescent="0.25">
      <c r="A56" s="736"/>
      <c r="B56" s="1531" t="s">
        <v>2032</v>
      </c>
      <c r="C56" s="986" t="s">
        <v>2031</v>
      </c>
      <c r="D56" s="757">
        <v>550600</v>
      </c>
      <c r="E56" s="340"/>
      <c r="F56" s="340">
        <v>200000</v>
      </c>
      <c r="G56" s="747"/>
      <c r="H56" s="747">
        <f t="shared" si="1"/>
        <v>750600</v>
      </c>
      <c r="I56" s="754"/>
      <c r="J56" s="754"/>
      <c r="K56" s="1528">
        <f t="shared" si="2"/>
        <v>0</v>
      </c>
    </row>
    <row r="57" spans="1:11" s="179" customFormat="1" ht="18" x14ac:dyDescent="0.25">
      <c r="A57" s="736"/>
      <c r="B57" s="180" t="s">
        <v>430</v>
      </c>
      <c r="C57" s="986" t="s">
        <v>431</v>
      </c>
      <c r="D57" s="757">
        <v>475000</v>
      </c>
      <c r="E57" s="340"/>
      <c r="F57" s="340"/>
      <c r="G57" s="747"/>
      <c r="H57" s="747">
        <f>SUM(D57:G57)</f>
        <v>475000</v>
      </c>
      <c r="I57" s="754"/>
      <c r="J57" s="754"/>
    </row>
    <row r="58" spans="1:11" s="179" customFormat="1" ht="18" x14ac:dyDescent="0.25">
      <c r="A58" s="736"/>
      <c r="B58" s="180" t="s">
        <v>394</v>
      </c>
      <c r="C58" s="986"/>
      <c r="D58" s="757"/>
      <c r="E58" s="340"/>
      <c r="F58" s="340"/>
      <c r="G58" s="747"/>
      <c r="H58" s="747">
        <f t="shared" si="1"/>
        <v>0</v>
      </c>
      <c r="I58" s="754"/>
      <c r="J58" s="754"/>
    </row>
    <row r="59" spans="1:11" s="179" customFormat="1" ht="18" x14ac:dyDescent="0.25">
      <c r="A59" s="736"/>
      <c r="B59" s="180" t="s">
        <v>1437</v>
      </c>
      <c r="C59" s="986" t="s">
        <v>395</v>
      </c>
      <c r="D59" s="757">
        <v>339000</v>
      </c>
      <c r="E59" s="340"/>
      <c r="F59" s="340"/>
      <c r="G59" s="747"/>
      <c r="H59" s="747">
        <f t="shared" si="1"/>
        <v>339000</v>
      </c>
      <c r="I59" s="754"/>
      <c r="J59" s="754"/>
    </row>
    <row r="60" spans="1:11" s="179" customFormat="1" ht="18" x14ac:dyDescent="0.25">
      <c r="A60" s="736"/>
      <c r="B60" s="180" t="s">
        <v>1438</v>
      </c>
      <c r="C60" s="986" t="s">
        <v>395</v>
      </c>
      <c r="D60" s="757">
        <v>1465000</v>
      </c>
      <c r="E60" s="340"/>
      <c r="F60" s="340"/>
      <c r="G60" s="747"/>
      <c r="H60" s="747">
        <f t="shared" si="1"/>
        <v>1465000</v>
      </c>
      <c r="I60" s="754"/>
      <c r="J60" s="754"/>
    </row>
    <row r="61" spans="1:11" s="179" customFormat="1" ht="18" x14ac:dyDescent="0.25">
      <c r="A61" s="736"/>
      <c r="B61" s="180" t="s">
        <v>1439</v>
      </c>
      <c r="C61" s="986" t="s">
        <v>395</v>
      </c>
      <c r="D61" s="757">
        <v>55900</v>
      </c>
      <c r="E61" s="340"/>
      <c r="F61" s="340"/>
      <c r="G61" s="747"/>
      <c r="H61" s="747">
        <f t="shared" si="1"/>
        <v>55900</v>
      </c>
      <c r="I61" s="754"/>
      <c r="J61" s="754"/>
    </row>
    <row r="62" spans="1:11" s="179" customFormat="1" ht="18.75" thickBot="1" x14ac:dyDescent="0.3">
      <c r="A62" s="736"/>
      <c r="B62" s="180" t="s">
        <v>399</v>
      </c>
      <c r="C62" s="991" t="s">
        <v>395</v>
      </c>
      <c r="D62" s="757">
        <v>760000</v>
      </c>
      <c r="E62" s="340"/>
      <c r="F62" s="340"/>
      <c r="G62" s="747"/>
      <c r="H62" s="747">
        <f t="shared" si="1"/>
        <v>760000</v>
      </c>
      <c r="I62" s="754"/>
      <c r="J62" s="754"/>
    </row>
    <row r="63" spans="1:11" s="179" customFormat="1" ht="21" customHeight="1" x14ac:dyDescent="0.25">
      <c r="A63" s="1501"/>
      <c r="B63" s="1502"/>
      <c r="C63" s="1503"/>
      <c r="D63" s="1552"/>
      <c r="E63" s="1474"/>
      <c r="F63" s="1474"/>
      <c r="G63" s="1504"/>
      <c r="H63" s="1504"/>
      <c r="I63" s="754"/>
      <c r="J63" s="754"/>
    </row>
    <row r="64" spans="1:11" s="179" customFormat="1" ht="21" customHeight="1" x14ac:dyDescent="0.25">
      <c r="A64" s="1550"/>
      <c r="B64" s="1540"/>
      <c r="C64" s="1551"/>
      <c r="D64" s="1564">
        <v>68</v>
      </c>
      <c r="E64" s="757"/>
      <c r="F64" s="757"/>
      <c r="G64" s="988"/>
      <c r="H64" s="988"/>
      <c r="I64" s="754"/>
      <c r="J64" s="754"/>
    </row>
    <row r="65" spans="1:11" s="179" customFormat="1" ht="18" x14ac:dyDescent="0.25">
      <c r="A65" s="736"/>
      <c r="B65" s="180" t="s">
        <v>190</v>
      </c>
      <c r="C65" s="986" t="s">
        <v>191</v>
      </c>
      <c r="D65" s="757">
        <v>170000</v>
      </c>
      <c r="E65" s="340"/>
      <c r="F65" s="340"/>
      <c r="G65" s="747"/>
      <c r="H65" s="747">
        <f>SUM(D65:G65)</f>
        <v>170000</v>
      </c>
      <c r="I65" s="754"/>
      <c r="J65" s="754"/>
    </row>
    <row r="66" spans="1:11" s="179" customFormat="1" ht="18" x14ac:dyDescent="0.25">
      <c r="A66" s="736"/>
      <c r="B66" s="180" t="s">
        <v>331</v>
      </c>
      <c r="C66" s="986" t="s">
        <v>282</v>
      </c>
      <c r="D66" s="757">
        <v>450000</v>
      </c>
      <c r="E66" s="340"/>
      <c r="F66" s="340">
        <v>15000</v>
      </c>
      <c r="G66" s="747"/>
      <c r="H66" s="747">
        <f t="shared" si="1"/>
        <v>465000</v>
      </c>
      <c r="I66" s="754"/>
      <c r="J66" s="754"/>
    </row>
    <row r="67" spans="1:11" s="179" customFormat="1" ht="18" x14ac:dyDescent="0.25">
      <c r="A67" s="736"/>
      <c r="B67" s="180" t="s">
        <v>192</v>
      </c>
      <c r="C67" s="986" t="s">
        <v>193</v>
      </c>
      <c r="D67" s="757">
        <v>2350000</v>
      </c>
      <c r="E67" s="340"/>
      <c r="F67" s="340"/>
      <c r="G67" s="747"/>
      <c r="H67" s="747">
        <f>SUM(D67:G67)</f>
        <v>2350000</v>
      </c>
      <c r="I67" s="754"/>
      <c r="J67" s="754"/>
    </row>
    <row r="68" spans="1:11" s="179" customFormat="1" ht="36" x14ac:dyDescent="0.25">
      <c r="A68" s="736"/>
      <c r="B68" s="1317" t="s">
        <v>439</v>
      </c>
      <c r="C68" s="986" t="s">
        <v>237</v>
      </c>
      <c r="D68" s="757">
        <v>500000</v>
      </c>
      <c r="E68" s="340"/>
      <c r="F68" s="340"/>
      <c r="G68" s="747"/>
      <c r="H68" s="747">
        <f>SUM(D68:G68)</f>
        <v>500000</v>
      </c>
      <c r="I68" s="754"/>
      <c r="J68" s="754"/>
    </row>
    <row r="69" spans="1:11" s="179" customFormat="1" ht="18" x14ac:dyDescent="0.25">
      <c r="A69" s="736"/>
      <c r="B69" s="180" t="s">
        <v>194</v>
      </c>
      <c r="C69" s="986" t="s">
        <v>195</v>
      </c>
      <c r="D69" s="757">
        <v>650000</v>
      </c>
      <c r="E69" s="340"/>
      <c r="F69" s="340"/>
      <c r="G69" s="747"/>
      <c r="H69" s="747">
        <f t="shared" ref="H69:H72" si="3">SUM(D69:G69)</f>
        <v>650000</v>
      </c>
      <c r="I69" s="754"/>
      <c r="J69" s="754"/>
    </row>
    <row r="70" spans="1:11" s="179" customFormat="1" ht="18" x14ac:dyDescent="0.25">
      <c r="A70" s="736"/>
      <c r="B70" s="180" t="s">
        <v>1550</v>
      </c>
      <c r="C70" s="986" t="s">
        <v>2037</v>
      </c>
      <c r="D70" s="757">
        <v>1000000</v>
      </c>
      <c r="E70" s="340"/>
      <c r="F70" s="340"/>
      <c r="G70" s="747"/>
      <c r="H70" s="747">
        <f t="shared" si="3"/>
        <v>1000000</v>
      </c>
      <c r="I70" s="754"/>
      <c r="J70" s="754"/>
    </row>
    <row r="71" spans="1:11" s="179" customFormat="1" ht="20.25" customHeight="1" x14ac:dyDescent="0.25">
      <c r="A71" s="736"/>
      <c r="B71" s="1312" t="s">
        <v>198</v>
      </c>
      <c r="C71" s="986" t="s">
        <v>199</v>
      </c>
      <c r="D71" s="265">
        <v>17149213.920000002</v>
      </c>
      <c r="E71" s="340">
        <v>8986716.3200000003</v>
      </c>
      <c r="F71" s="340">
        <f>11708875.71</f>
        <v>11708875.710000001</v>
      </c>
      <c r="G71" s="747"/>
      <c r="H71" s="747">
        <f t="shared" si="3"/>
        <v>37844805.950000003</v>
      </c>
      <c r="I71" s="754">
        <v>35349550.829999998</v>
      </c>
      <c r="J71" s="754">
        <v>2495255.12</v>
      </c>
      <c r="K71" s="1528">
        <f>SUM(I71:J71)</f>
        <v>37844805.949999996</v>
      </c>
    </row>
    <row r="72" spans="1:11" s="179" customFormat="1" ht="36.75" thickBot="1" x14ac:dyDescent="0.3">
      <c r="A72" s="736"/>
      <c r="B72" s="1312" t="s">
        <v>2033</v>
      </c>
      <c r="C72" s="986" t="s">
        <v>199</v>
      </c>
      <c r="D72" s="265">
        <f>49490000+103400+50000</f>
        <v>49643400</v>
      </c>
      <c r="E72" s="340">
        <v>39223505.189999998</v>
      </c>
      <c r="F72" s="340">
        <f>34712000-500000</f>
        <v>34212000</v>
      </c>
      <c r="G72" s="747"/>
      <c r="H72" s="747">
        <f t="shared" si="3"/>
        <v>123078905.19</v>
      </c>
      <c r="I72" s="754"/>
      <c r="J72" s="754">
        <v>123528905.19</v>
      </c>
      <c r="K72" s="1528">
        <f t="shared" ref="K72" si="4">SUM(I72:J72)</f>
        <v>123528905.19</v>
      </c>
    </row>
    <row r="73" spans="1:11" s="740" customFormat="1" ht="15.75" customHeight="1" thickBot="1" x14ac:dyDescent="0.3">
      <c r="A73" s="1560" t="s">
        <v>1440</v>
      </c>
      <c r="B73" s="1561"/>
      <c r="C73" s="1562"/>
      <c r="D73" s="1558">
        <f>SUM(D31:D72)</f>
        <v>167073553.81999999</v>
      </c>
      <c r="E73" s="1558">
        <f>SUM(E31:E72)</f>
        <v>97257415.310000002</v>
      </c>
      <c r="F73" s="1558">
        <f>SUM(F31:F72)</f>
        <v>81314037.349999994</v>
      </c>
      <c r="G73" s="1559">
        <f>SUM(G31:G72)</f>
        <v>0</v>
      </c>
      <c r="H73" s="1559">
        <f>SUM(H31:H72)</f>
        <v>345644938.47999996</v>
      </c>
      <c r="I73" s="752"/>
      <c r="J73" s="752"/>
      <c r="K73" s="1528"/>
    </row>
    <row r="74" spans="1:11" s="142" customFormat="1" ht="18.75" x14ac:dyDescent="0.3">
      <c r="A74" s="742" t="s">
        <v>1484</v>
      </c>
      <c r="B74" s="734"/>
      <c r="C74" s="775"/>
      <c r="D74" s="1469"/>
      <c r="E74" s="1469"/>
      <c r="F74" s="1469"/>
      <c r="G74" s="743"/>
      <c r="H74" s="743"/>
      <c r="I74" s="753"/>
      <c r="J74" s="753"/>
    </row>
    <row r="75" spans="1:11" s="142" customFormat="1" ht="18.75" x14ac:dyDescent="0.3">
      <c r="A75" s="742"/>
      <c r="B75" s="1532" t="s">
        <v>2105</v>
      </c>
      <c r="C75" s="775" t="s">
        <v>2114</v>
      </c>
      <c r="D75" s="1469"/>
      <c r="E75" s="1469"/>
      <c r="F75" s="1469"/>
      <c r="G75" s="743"/>
      <c r="H75" s="743"/>
      <c r="I75" s="753"/>
      <c r="J75" s="753"/>
    </row>
    <row r="76" spans="1:11" s="179" customFormat="1" ht="36" x14ac:dyDescent="0.25">
      <c r="A76" s="736"/>
      <c r="B76" s="1323" t="s">
        <v>1617</v>
      </c>
      <c r="C76" s="777"/>
      <c r="D76" s="102">
        <v>1000000</v>
      </c>
      <c r="E76" s="340"/>
      <c r="F76" s="102"/>
      <c r="G76" s="747"/>
      <c r="H76" s="747">
        <f>SUM(D76:G76)</f>
        <v>1000000</v>
      </c>
      <c r="I76" s="754"/>
      <c r="J76" s="754"/>
    </row>
    <row r="77" spans="1:11" s="179" customFormat="1" ht="36" x14ac:dyDescent="0.25">
      <c r="A77" s="736"/>
      <c r="B77" s="1323" t="s">
        <v>2115</v>
      </c>
      <c r="C77" s="777"/>
      <c r="D77" s="102">
        <v>100000</v>
      </c>
      <c r="E77" s="340"/>
      <c r="F77" s="102"/>
      <c r="G77" s="747"/>
      <c r="H77" s="747">
        <f t="shared" ref="H77:H100" si="5">SUM(D77:G77)</f>
        <v>100000</v>
      </c>
      <c r="I77" s="754"/>
      <c r="J77" s="754"/>
    </row>
    <row r="78" spans="1:11" s="179" customFormat="1" ht="36" x14ac:dyDescent="0.25">
      <c r="A78" s="736"/>
      <c r="B78" s="1530" t="s">
        <v>2106</v>
      </c>
      <c r="C78" s="777" t="s">
        <v>2094</v>
      </c>
      <c r="D78" s="102"/>
      <c r="E78" s="340"/>
      <c r="F78" s="102"/>
      <c r="G78" s="747"/>
      <c r="H78" s="747"/>
      <c r="I78" s="754"/>
      <c r="J78" s="754"/>
    </row>
    <row r="79" spans="1:11" s="179" customFormat="1" ht="18" x14ac:dyDescent="0.25">
      <c r="A79" s="736"/>
      <c r="B79" s="1326" t="s">
        <v>1632</v>
      </c>
      <c r="C79" s="777"/>
      <c r="D79" s="102">
        <v>300000</v>
      </c>
      <c r="E79" s="340"/>
      <c r="F79" s="102"/>
      <c r="G79" s="747"/>
      <c r="H79" s="747">
        <f t="shared" si="5"/>
        <v>300000</v>
      </c>
      <c r="I79" s="754"/>
      <c r="J79" s="754">
        <f>332231191.72+15839545.32</f>
        <v>348070737.04000002</v>
      </c>
    </row>
    <row r="80" spans="1:11" s="179" customFormat="1" ht="18" x14ac:dyDescent="0.25">
      <c r="A80" s="736"/>
      <c r="B80" s="1350" t="s">
        <v>2079</v>
      </c>
      <c r="C80" s="777"/>
      <c r="D80" s="102">
        <v>1060000</v>
      </c>
      <c r="E80" s="340"/>
      <c r="F80" s="101"/>
      <c r="G80" s="747"/>
      <c r="H80" s="747">
        <f>SUM(D80:G80)</f>
        <v>1060000</v>
      </c>
      <c r="I80" s="754"/>
      <c r="J80" s="754"/>
    </row>
    <row r="81" spans="1:10" s="179" customFormat="1" ht="18" x14ac:dyDescent="0.25">
      <c r="A81" s="736"/>
      <c r="B81" s="1350" t="s">
        <v>477</v>
      </c>
      <c r="C81" s="777"/>
      <c r="D81" s="102">
        <v>375000</v>
      </c>
      <c r="E81" s="340"/>
      <c r="F81" s="101"/>
      <c r="G81" s="747"/>
      <c r="H81" s="747">
        <f>SUM(D81:G81)</f>
        <v>375000</v>
      </c>
      <c r="I81" s="754"/>
      <c r="J81" s="754">
        <f>150000+150000+75000</f>
        <v>375000</v>
      </c>
    </row>
    <row r="82" spans="1:10" s="179" customFormat="1" ht="18" x14ac:dyDescent="0.25">
      <c r="A82" s="736"/>
      <c r="B82" s="1306" t="s">
        <v>2027</v>
      </c>
      <c r="C82" s="777"/>
      <c r="D82" s="340"/>
      <c r="E82" s="340"/>
      <c r="F82" s="102">
        <v>380000</v>
      </c>
      <c r="G82" s="747"/>
      <c r="H82" s="747">
        <f>SUM(D82:G82)</f>
        <v>380000</v>
      </c>
      <c r="I82" s="754"/>
      <c r="J82" s="754"/>
    </row>
    <row r="83" spans="1:10" s="179" customFormat="1" ht="18" x14ac:dyDescent="0.25">
      <c r="A83" s="736"/>
      <c r="B83" s="1533" t="s">
        <v>2104</v>
      </c>
      <c r="C83" s="777" t="s">
        <v>2095</v>
      </c>
      <c r="D83" s="102"/>
      <c r="E83" s="340"/>
      <c r="F83" s="102"/>
      <c r="G83" s="747"/>
      <c r="H83" s="747"/>
      <c r="I83" s="754"/>
      <c r="J83" s="754"/>
    </row>
    <row r="84" spans="1:10" s="179" customFormat="1" ht="36" x14ac:dyDescent="0.25">
      <c r="A84" s="736"/>
      <c r="B84" s="1322" t="s">
        <v>1643</v>
      </c>
      <c r="C84" s="777"/>
      <c r="D84" s="102">
        <v>40000000</v>
      </c>
      <c r="E84" s="340"/>
      <c r="F84" s="101"/>
      <c r="G84" s="747"/>
      <c r="H84" s="747">
        <f t="shared" si="5"/>
        <v>40000000</v>
      </c>
      <c r="I84" s="754"/>
      <c r="J84" s="754" t="e">
        <f>#REF!-J79</f>
        <v>#REF!</v>
      </c>
    </row>
    <row r="85" spans="1:10" s="179" customFormat="1" ht="18" x14ac:dyDescent="0.25">
      <c r="A85" s="736"/>
      <c r="B85" s="1529" t="s">
        <v>2107</v>
      </c>
      <c r="C85" s="777" t="s">
        <v>2097</v>
      </c>
      <c r="D85" s="102"/>
      <c r="E85" s="340"/>
      <c r="F85" s="101"/>
      <c r="G85" s="747"/>
      <c r="H85" s="747"/>
      <c r="I85" s="754"/>
      <c r="J85" s="754"/>
    </row>
    <row r="86" spans="1:10" s="179" customFormat="1" ht="36" x14ac:dyDescent="0.25">
      <c r="A86" s="736"/>
      <c r="B86" s="1323" t="s">
        <v>1639</v>
      </c>
      <c r="C86" s="777"/>
      <c r="D86" s="102">
        <v>800000</v>
      </c>
      <c r="E86" s="340"/>
      <c r="F86" s="101"/>
      <c r="G86" s="747"/>
      <c r="H86" s="747">
        <f t="shared" si="5"/>
        <v>800000</v>
      </c>
      <c r="I86" s="754"/>
      <c r="J86" s="754">
        <f>192777824.31-J73</f>
        <v>192777824.31</v>
      </c>
    </row>
    <row r="87" spans="1:10" s="179" customFormat="1" ht="36" x14ac:dyDescent="0.25">
      <c r="A87" s="736"/>
      <c r="B87" s="1323" t="s">
        <v>1986</v>
      </c>
      <c r="C87" s="777"/>
      <c r="D87" s="340"/>
      <c r="E87" s="340"/>
      <c r="F87" s="102">
        <v>50000</v>
      </c>
      <c r="G87" s="747"/>
      <c r="H87" s="747">
        <f>SUM(D87:G87)</f>
        <v>50000</v>
      </c>
      <c r="I87" s="754"/>
      <c r="J87" s="754"/>
    </row>
    <row r="88" spans="1:10" s="179" customFormat="1" ht="30" customHeight="1" x14ac:dyDescent="0.25">
      <c r="A88" s="736"/>
      <c r="B88" s="1323" t="s">
        <v>1984</v>
      </c>
      <c r="C88" s="777"/>
      <c r="D88" s="340"/>
      <c r="E88" s="340"/>
      <c r="F88" s="102">
        <v>60000</v>
      </c>
      <c r="G88" s="747"/>
      <c r="H88" s="747">
        <f>SUM(D88:G88)</f>
        <v>60000</v>
      </c>
      <c r="I88" s="754"/>
      <c r="J88" s="754"/>
    </row>
    <row r="89" spans="1:10" s="179" customFormat="1" ht="43.5" customHeight="1" x14ac:dyDescent="0.25">
      <c r="A89" s="736"/>
      <c r="B89" s="113" t="s">
        <v>1982</v>
      </c>
      <c r="C89" s="777"/>
      <c r="D89" s="340"/>
      <c r="E89" s="340"/>
      <c r="F89" s="102">
        <v>176000</v>
      </c>
      <c r="G89" s="747"/>
      <c r="H89" s="747">
        <f>SUM(D89:G89)</f>
        <v>176000</v>
      </c>
      <c r="I89" s="754"/>
      <c r="J89" s="754"/>
    </row>
    <row r="90" spans="1:10" s="179" customFormat="1" ht="36" x14ac:dyDescent="0.25">
      <c r="A90" s="736"/>
      <c r="B90" s="1323" t="s">
        <v>1983</v>
      </c>
      <c r="C90" s="777"/>
      <c r="D90" s="340"/>
      <c r="E90" s="340"/>
      <c r="F90" s="102">
        <v>86000</v>
      </c>
      <c r="G90" s="747"/>
      <c r="H90" s="747">
        <f>SUM(D90:G90)</f>
        <v>86000</v>
      </c>
      <c r="I90" s="754"/>
      <c r="J90" s="754"/>
    </row>
    <row r="91" spans="1:10" s="179" customFormat="1" ht="18" x14ac:dyDescent="0.25">
      <c r="A91" s="736"/>
      <c r="B91" s="1534" t="s">
        <v>2108</v>
      </c>
      <c r="C91" s="777" t="s">
        <v>2116</v>
      </c>
      <c r="D91" s="340"/>
      <c r="E91" s="340"/>
      <c r="F91" s="102"/>
      <c r="G91" s="747"/>
      <c r="H91" s="747"/>
      <c r="I91" s="754"/>
      <c r="J91" s="754"/>
    </row>
    <row r="92" spans="1:10" s="179" customFormat="1" ht="18" x14ac:dyDescent="0.25">
      <c r="A92" s="736"/>
      <c r="B92" s="1306" t="s">
        <v>1988</v>
      </c>
      <c r="C92" s="777"/>
      <c r="D92" s="340"/>
      <c r="E92" s="340"/>
      <c r="F92" s="102">
        <v>170000</v>
      </c>
      <c r="G92" s="747"/>
      <c r="H92" s="747">
        <f>SUM(D92:G92)</f>
        <v>170000</v>
      </c>
      <c r="I92" s="754"/>
      <c r="J92" s="754"/>
    </row>
    <row r="93" spans="1:10" s="179" customFormat="1" ht="18" x14ac:dyDescent="0.25">
      <c r="A93" s="736"/>
      <c r="B93" s="153" t="s">
        <v>2109</v>
      </c>
      <c r="C93" s="777" t="s">
        <v>2096</v>
      </c>
      <c r="D93" s="340"/>
      <c r="E93" s="340"/>
      <c r="F93" s="102"/>
      <c r="G93" s="747"/>
      <c r="H93" s="747"/>
      <c r="I93" s="754"/>
      <c r="J93" s="754"/>
    </row>
    <row r="94" spans="1:10" s="179" customFormat="1" ht="36" x14ac:dyDescent="0.25">
      <c r="A94" s="736"/>
      <c r="B94" s="1325" t="s">
        <v>1638</v>
      </c>
      <c r="C94" s="777"/>
      <c r="D94" s="102">
        <v>2200000</v>
      </c>
      <c r="E94" s="340"/>
      <c r="F94" s="101"/>
      <c r="G94" s="747"/>
      <c r="H94" s="747">
        <f t="shared" si="5"/>
        <v>2200000</v>
      </c>
      <c r="I94" s="754"/>
      <c r="J94" s="754"/>
    </row>
    <row r="95" spans="1:10" s="179" customFormat="1" ht="18" x14ac:dyDescent="0.25">
      <c r="A95" s="736"/>
      <c r="B95" s="1535" t="s">
        <v>2110</v>
      </c>
      <c r="C95" s="777" t="s">
        <v>2112</v>
      </c>
      <c r="D95" s="102"/>
      <c r="E95" s="340"/>
      <c r="F95" s="101"/>
      <c r="G95" s="747"/>
      <c r="H95" s="747"/>
      <c r="I95" s="754"/>
      <c r="J95" s="754"/>
    </row>
    <row r="96" spans="1:10" s="179" customFormat="1" ht="36" x14ac:dyDescent="0.25">
      <c r="A96" s="736"/>
      <c r="B96" s="174" t="s">
        <v>1607</v>
      </c>
      <c r="C96" s="777"/>
      <c r="D96" s="340"/>
      <c r="E96" s="340"/>
      <c r="F96" s="102">
        <v>777600</v>
      </c>
      <c r="G96" s="747"/>
      <c r="H96" s="747">
        <f>SUM(D96:G96)</f>
        <v>777600</v>
      </c>
      <c r="I96" s="754"/>
      <c r="J96" s="754"/>
    </row>
    <row r="97" spans="1:10" s="179" customFormat="1" ht="18" x14ac:dyDescent="0.25">
      <c r="A97" s="736"/>
      <c r="B97" s="1536" t="s">
        <v>2111</v>
      </c>
      <c r="C97" s="777" t="s">
        <v>2113</v>
      </c>
      <c r="D97" s="340"/>
      <c r="E97" s="340"/>
      <c r="F97" s="102"/>
      <c r="G97" s="747"/>
      <c r="H97" s="747"/>
      <c r="I97" s="754"/>
      <c r="J97" s="754"/>
    </row>
    <row r="98" spans="1:10" s="179" customFormat="1" ht="22.5" customHeight="1" x14ac:dyDescent="0.25">
      <c r="A98" s="736"/>
      <c r="B98" s="1324" t="s">
        <v>1608</v>
      </c>
      <c r="C98" s="777"/>
      <c r="D98" s="340"/>
      <c r="E98" s="340"/>
      <c r="F98" s="102">
        <v>600000</v>
      </c>
      <c r="G98" s="747"/>
      <c r="H98" s="747">
        <f t="shared" si="5"/>
        <v>600000</v>
      </c>
      <c r="I98" s="754"/>
      <c r="J98" s="754"/>
    </row>
    <row r="99" spans="1:10" s="179" customFormat="1" ht="18" x14ac:dyDescent="0.25">
      <c r="A99" s="736"/>
      <c r="B99" s="1534" t="s">
        <v>2103</v>
      </c>
      <c r="C99" s="777" t="s">
        <v>2117</v>
      </c>
      <c r="D99" s="340"/>
      <c r="E99" s="340"/>
      <c r="F99" s="102"/>
      <c r="G99" s="747"/>
      <c r="H99" s="747"/>
      <c r="I99" s="754"/>
      <c r="J99" s="754"/>
    </row>
    <row r="100" spans="1:10" s="179" customFormat="1" ht="54" x14ac:dyDescent="0.25">
      <c r="A100" s="736"/>
      <c r="B100" s="1325" t="s">
        <v>1719</v>
      </c>
      <c r="C100" s="777"/>
      <c r="D100" s="340"/>
      <c r="E100" s="340"/>
      <c r="F100" s="102">
        <v>400000</v>
      </c>
      <c r="G100" s="747"/>
      <c r="H100" s="747">
        <f t="shared" si="5"/>
        <v>400000</v>
      </c>
      <c r="I100" s="754"/>
      <c r="J100" s="754"/>
    </row>
    <row r="101" spans="1:10" s="281" customFormat="1" x14ac:dyDescent="0.25">
      <c r="A101" s="1544" t="s">
        <v>2028</v>
      </c>
      <c r="B101" s="1545"/>
      <c r="C101" s="1546"/>
      <c r="D101" s="735">
        <f>SUM(D76:D100)</f>
        <v>45835000</v>
      </c>
      <c r="E101" s="735">
        <f>SUM(E76:E100)</f>
        <v>0</v>
      </c>
      <c r="F101" s="735">
        <f>SUM(F76:F100)</f>
        <v>2699600</v>
      </c>
      <c r="G101" s="735">
        <f>SUM(G76:G100)</f>
        <v>0</v>
      </c>
      <c r="H101" s="735">
        <f>SUM(H76:H100)</f>
        <v>48534600</v>
      </c>
      <c r="I101" s="485">
        <f>H101+H73</f>
        <v>394179538.47999996</v>
      </c>
      <c r="J101" s="485">
        <f>H101-47692600</f>
        <v>842000</v>
      </c>
    </row>
    <row r="102" spans="1:10" ht="9" customHeight="1" x14ac:dyDescent="0.25">
      <c r="A102" s="723"/>
      <c r="B102" s="725"/>
      <c r="C102" s="775"/>
      <c r="D102" s="732"/>
      <c r="E102" s="732"/>
      <c r="F102" s="732"/>
      <c r="G102" s="732"/>
      <c r="H102" s="732"/>
    </row>
    <row r="103" spans="1:10" x14ac:dyDescent="0.25">
      <c r="A103" s="729"/>
      <c r="B103" s="730" t="s">
        <v>1453</v>
      </c>
      <c r="C103" s="778"/>
      <c r="D103" s="748"/>
      <c r="E103" s="748"/>
      <c r="F103" s="748"/>
      <c r="G103" s="748"/>
      <c r="H103" s="748"/>
    </row>
    <row r="104" spans="1:10" s="281" customFormat="1" ht="18" x14ac:dyDescent="0.25">
      <c r="A104" s="723"/>
      <c r="B104" s="984" t="s">
        <v>13</v>
      </c>
      <c r="C104" s="775"/>
      <c r="D104" s="732"/>
      <c r="E104" s="732">
        <v>1157843.8</v>
      </c>
      <c r="F104" s="732">
        <v>125650000</v>
      </c>
      <c r="G104" s="732"/>
      <c r="H104" s="732">
        <f>SUM(D104:G104)</f>
        <v>126807843.8</v>
      </c>
      <c r="I104" s="485"/>
      <c r="J104" s="485">
        <f>104650000+21000000</f>
        <v>125650000</v>
      </c>
    </row>
    <row r="105" spans="1:10" ht="36" x14ac:dyDescent="0.25">
      <c r="A105" s="723"/>
      <c r="B105" s="984" t="s">
        <v>1454</v>
      </c>
      <c r="C105" s="775"/>
      <c r="D105" s="732">
        <v>37703949.079999998</v>
      </c>
      <c r="E105" s="732"/>
      <c r="F105" s="732"/>
      <c r="G105" s="732"/>
      <c r="H105" s="732">
        <f>SUM(D105:G105)</f>
        <v>37703949.079999998</v>
      </c>
    </row>
    <row r="106" spans="1:10" ht="18" x14ac:dyDescent="0.25">
      <c r="A106" s="723"/>
      <c r="B106" s="984" t="s">
        <v>1455</v>
      </c>
      <c r="C106" s="775"/>
      <c r="D106" s="732"/>
      <c r="E106" s="732">
        <v>215000</v>
      </c>
      <c r="F106" s="732"/>
      <c r="G106" s="732"/>
      <c r="H106" s="732">
        <f>SUM(D106:G106)</f>
        <v>215000</v>
      </c>
    </row>
    <row r="107" spans="1:10" x14ac:dyDescent="0.25">
      <c r="A107" s="1544" t="s">
        <v>1458</v>
      </c>
      <c r="B107" s="1545"/>
      <c r="C107" s="1546"/>
      <c r="D107" s="735">
        <f>SUM(D104:D106)</f>
        <v>37703949.079999998</v>
      </c>
      <c r="E107" s="735">
        <f>SUM(E104:E106)</f>
        <v>1372843.8</v>
      </c>
      <c r="F107" s="755">
        <f>SUM(F104:F106)</f>
        <v>125650000</v>
      </c>
      <c r="G107" s="735">
        <f>SUM(G104:G106)</f>
        <v>0</v>
      </c>
      <c r="H107" s="735">
        <f>SUM(H104:H106)</f>
        <v>164726792.88</v>
      </c>
    </row>
    <row r="108" spans="1:10" ht="6" customHeight="1" x14ac:dyDescent="0.25">
      <c r="A108" s="729"/>
      <c r="B108" s="730"/>
      <c r="C108" s="778"/>
      <c r="D108" s="748"/>
      <c r="E108" s="748"/>
      <c r="F108" s="897"/>
      <c r="G108" s="748"/>
      <c r="H108" s="748"/>
    </row>
    <row r="109" spans="1:10" s="281" customFormat="1" x14ac:dyDescent="0.25">
      <c r="A109" s="729"/>
      <c r="B109" s="730" t="s">
        <v>1453</v>
      </c>
      <c r="C109" s="778"/>
      <c r="D109" s="748"/>
      <c r="E109" s="748"/>
      <c r="F109" s="748"/>
      <c r="G109" s="748"/>
      <c r="H109" s="732">
        <f t="shared" ref="H109" si="6">SUM(D109:G109)</f>
        <v>0</v>
      </c>
      <c r="I109" s="485"/>
      <c r="J109" s="485"/>
    </row>
    <row r="110" spans="1:10" ht="18" x14ac:dyDescent="0.25">
      <c r="A110" s="723"/>
      <c r="B110" s="734" t="s">
        <v>1456</v>
      </c>
      <c r="C110" s="775"/>
      <c r="D110" s="732">
        <v>20477881.850000001</v>
      </c>
      <c r="E110" s="732"/>
      <c r="F110" s="732"/>
      <c r="G110" s="732"/>
      <c r="H110" s="732">
        <f>SUM(D110:G110)</f>
        <v>20477881.850000001</v>
      </c>
      <c r="J110" s="484">
        <f>11877279.85+8600602</f>
        <v>20477881.850000001</v>
      </c>
    </row>
    <row r="111" spans="1:10" s="281" customFormat="1" ht="18" x14ac:dyDescent="0.25">
      <c r="A111" s="723"/>
      <c r="B111" s="734" t="s">
        <v>654</v>
      </c>
      <c r="C111" s="775"/>
      <c r="D111" s="732"/>
      <c r="E111" s="732">
        <v>51990000</v>
      </c>
      <c r="F111" s="732"/>
      <c r="G111" s="732"/>
      <c r="H111" s="732">
        <f>SUM(D111:G111)</f>
        <v>51990000</v>
      </c>
      <c r="I111" s="485"/>
      <c r="J111" s="485">
        <f>21550000+16962000+12389000</f>
        <v>50901000</v>
      </c>
    </row>
    <row r="112" spans="1:10" ht="18" x14ac:dyDescent="0.25">
      <c r="A112" s="723"/>
      <c r="B112" s="734" t="s">
        <v>1457</v>
      </c>
      <c r="C112" s="775"/>
      <c r="D112" s="732"/>
      <c r="E112" s="732"/>
      <c r="F112" s="732">
        <v>9320000</v>
      </c>
      <c r="G112" s="732"/>
      <c r="H112" s="732">
        <f>SUM(D112:G112)</f>
        <v>9320000</v>
      </c>
      <c r="J112" s="484">
        <v>9320000</v>
      </c>
    </row>
    <row r="113" spans="1:10" x14ac:dyDescent="0.25">
      <c r="A113" s="1544" t="s">
        <v>1480</v>
      </c>
      <c r="B113" s="1545"/>
      <c r="C113" s="1546"/>
      <c r="D113" s="735">
        <f>SUM(D110:D112)</f>
        <v>20477881.850000001</v>
      </c>
      <c r="E113" s="735">
        <f>SUM(E110:E112)</f>
        <v>51990000</v>
      </c>
      <c r="F113" s="755">
        <f>SUM(F110:F112)</f>
        <v>9320000</v>
      </c>
      <c r="G113" s="735">
        <f>SUM(G110:G112)</f>
        <v>0</v>
      </c>
      <c r="H113" s="735">
        <f>SUM(H109:H112)</f>
        <v>81787881.849999994</v>
      </c>
    </row>
    <row r="114" spans="1:10" s="281" customFormat="1" ht="16.5" thickBot="1" x14ac:dyDescent="0.3">
      <c r="A114" s="1548" t="s">
        <v>1459</v>
      </c>
      <c r="B114" s="1549"/>
      <c r="C114" s="1547"/>
      <c r="D114" s="751">
        <f>D113+D107+D101+D73+D29</f>
        <v>380325059.49000001</v>
      </c>
      <c r="E114" s="751">
        <f>E113+E107+E101+E73+E29</f>
        <v>181268382.26000002</v>
      </c>
      <c r="F114" s="768">
        <f>F113+F107+F101+F73+F29</f>
        <v>271880462.32999998</v>
      </c>
      <c r="G114" s="751">
        <f>G113+G107+G101+G73+G29</f>
        <v>0</v>
      </c>
      <c r="H114" s="751">
        <f>H113+H107+H101+H73+H29</f>
        <v>833473836.08000004</v>
      </c>
      <c r="I114" s="485"/>
      <c r="J114" s="485"/>
    </row>
    <row r="115" spans="1:10" s="281" customFormat="1" x14ac:dyDescent="0.25">
      <c r="A115" s="1565"/>
      <c r="B115" s="1565"/>
      <c r="C115" s="1566"/>
      <c r="D115" s="801"/>
      <c r="E115" s="801"/>
      <c r="F115" s="1567"/>
      <c r="G115" s="801"/>
      <c r="H115" s="801"/>
      <c r="I115" s="485"/>
      <c r="J115" s="485"/>
    </row>
    <row r="116" spans="1:10" ht="25.5" x14ac:dyDescent="0.25">
      <c r="B116" s="726"/>
      <c r="D116" s="1563" t="s">
        <v>2098</v>
      </c>
    </row>
    <row r="117" spans="1:10" s="281" customFormat="1" x14ac:dyDescent="0.25">
      <c r="A117" s="720"/>
      <c r="B117" s="720"/>
      <c r="C117" s="720"/>
      <c r="D117" s="490"/>
      <c r="E117" s="490"/>
      <c r="F117" s="490"/>
      <c r="G117" s="490"/>
      <c r="H117" s="490"/>
      <c r="I117" s="485"/>
      <c r="J117" s="485"/>
    </row>
  </sheetData>
  <mergeCells count="1">
    <mergeCell ref="A6:B6"/>
  </mergeCells>
  <pageMargins left="0.31496062992125984" right="0.11811023622047245" top="0.7" bottom="1.49" header="0.31496062992125984" footer="1.4960629921259843"/>
  <pageSetup paperSize="5" scale="70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20"/>
  <sheetViews>
    <sheetView tabSelected="1" view="pageBreakPreview" zoomScale="90" zoomScaleNormal="100" zoomScaleSheetLayoutView="90" workbookViewId="0">
      <pane xSplit="1" ySplit="3" topLeftCell="B43" activePane="bottomRight" state="frozen"/>
      <selection pane="topRight" activeCell="B1" sqref="B1"/>
      <selection pane="bottomLeft" activeCell="A4" sqref="A4"/>
      <selection pane="bottomRight" activeCell="D51" sqref="D51"/>
    </sheetView>
  </sheetViews>
  <sheetFormatPr defaultRowHeight="15.75" x14ac:dyDescent="0.25"/>
  <cols>
    <col min="1" max="1" width="57.5703125" style="490" customWidth="1"/>
    <col min="2" max="2" width="20.85546875" style="490" customWidth="1"/>
    <col min="3" max="3" width="20.42578125" style="490" customWidth="1"/>
    <col min="4" max="4" width="20.28515625" style="490" customWidth="1"/>
    <col min="5" max="5" width="19.85546875" style="490" customWidth="1"/>
    <col min="6" max="6" width="9.7109375" style="484" hidden="1" customWidth="1"/>
    <col min="7" max="7" width="24.5703125" style="484" hidden="1" customWidth="1"/>
    <col min="8" max="8" width="9.140625" hidden="1" customWidth="1"/>
    <col min="10" max="10" width="28.5703125" style="484" customWidth="1"/>
    <col min="11" max="11" width="22.28515625" style="484" hidden="1" customWidth="1"/>
    <col min="12" max="14" width="22.28515625" hidden="1" customWidth="1"/>
    <col min="15" max="17" width="19.5703125" style="1025" customWidth="1"/>
    <col min="18" max="18" width="23.28515625" style="1026" customWidth="1"/>
    <col min="19" max="19" width="9.140625" customWidth="1"/>
  </cols>
  <sheetData>
    <row r="1" spans="1:18" ht="18" x14ac:dyDescent="0.25">
      <c r="A1" s="772" t="s">
        <v>1460</v>
      </c>
    </row>
    <row r="2" spans="1:18" ht="16.5" thickBot="1" x14ac:dyDescent="0.3"/>
    <row r="3" spans="1:18" ht="48" thickBot="1" x14ac:dyDescent="0.3">
      <c r="A3" s="791" t="s">
        <v>1320</v>
      </c>
      <c r="B3" s="731" t="s">
        <v>1331</v>
      </c>
      <c r="C3" s="1015" t="s">
        <v>163</v>
      </c>
      <c r="D3" s="731" t="s">
        <v>1484</v>
      </c>
      <c r="E3" s="773" t="s">
        <v>208</v>
      </c>
      <c r="F3" s="731" t="s">
        <v>1497</v>
      </c>
      <c r="G3" s="773" t="s">
        <v>208</v>
      </c>
      <c r="H3" s="773" t="s">
        <v>208</v>
      </c>
      <c r="J3" s="1003" t="s">
        <v>1320</v>
      </c>
      <c r="K3" s="1020" t="s">
        <v>1331</v>
      </c>
      <c r="L3" s="1376" t="s">
        <v>163</v>
      </c>
      <c r="M3" s="1376" t="s">
        <v>201</v>
      </c>
      <c r="N3" s="1376" t="s">
        <v>208</v>
      </c>
      <c r="O3" s="1022" t="s">
        <v>1317</v>
      </c>
      <c r="P3" s="1022" t="s">
        <v>1515</v>
      </c>
      <c r="Q3" s="1022" t="s">
        <v>1318</v>
      </c>
      <c r="R3" s="1022" t="s">
        <v>208</v>
      </c>
    </row>
    <row r="4" spans="1:18" s="179" customFormat="1" ht="18" x14ac:dyDescent="0.25">
      <c r="A4" s="1506" t="s">
        <v>1461</v>
      </c>
      <c r="B4" s="1507">
        <v>6685453.6699999999</v>
      </c>
      <c r="C4" s="1507">
        <v>71521830.260000005</v>
      </c>
      <c r="D4" s="1508">
        <v>0</v>
      </c>
      <c r="E4" s="1509">
        <f t="shared" ref="E4:E33" si="0">SUM(B4:D4)</f>
        <v>78207283.930000007</v>
      </c>
      <c r="F4" s="974">
        <f t="shared" ref="F4:F34" si="1">E4/G4</f>
        <v>8.5767969095448773E-2</v>
      </c>
      <c r="G4" s="754">
        <v>911847217.02999997</v>
      </c>
      <c r="H4" s="975">
        <f t="shared" ref="H4:H33" si="2">B4/G4</f>
        <v>7.3317695608869169E-3</v>
      </c>
      <c r="J4" s="1018" t="s">
        <v>3</v>
      </c>
      <c r="K4" s="1036">
        <v>6685453.6699999999</v>
      </c>
      <c r="L4" s="1036">
        <v>71521830.260000005</v>
      </c>
      <c r="M4" s="1097">
        <v>0</v>
      </c>
      <c r="N4" s="1036">
        <f t="shared" ref="N4:N23" si="3">SUM(K4:M4)</f>
        <v>78207283.930000007</v>
      </c>
      <c r="O4" s="1373">
        <f>N4</f>
        <v>78207283.930000007</v>
      </c>
      <c r="P4" s="1028"/>
      <c r="Q4" s="1028"/>
      <c r="R4" s="1029">
        <f>SUM(O4:Q4)</f>
        <v>78207283.930000007</v>
      </c>
    </row>
    <row r="5" spans="1:18" s="179" customFormat="1" ht="36" x14ac:dyDescent="0.25">
      <c r="A5" s="1510" t="s">
        <v>209</v>
      </c>
      <c r="B5" s="1511">
        <v>7920529.6500000004</v>
      </c>
      <c r="C5" s="1511">
        <v>4186877.14</v>
      </c>
      <c r="D5" s="1512">
        <v>0</v>
      </c>
      <c r="E5" s="1509">
        <f t="shared" si="0"/>
        <v>12107406.790000001</v>
      </c>
      <c r="F5" s="977">
        <f t="shared" si="1"/>
        <v>1.3277889720862815E-2</v>
      </c>
      <c r="G5" s="754">
        <v>911847217.02999997</v>
      </c>
      <c r="H5" s="975">
        <f t="shared" si="2"/>
        <v>8.686246447950078E-3</v>
      </c>
      <c r="J5" s="1018" t="s">
        <v>1499</v>
      </c>
      <c r="K5" s="1036">
        <v>7920529.6500000004</v>
      </c>
      <c r="L5" s="1036">
        <v>3984797.14</v>
      </c>
      <c r="M5" s="1097">
        <v>0</v>
      </c>
      <c r="N5" s="1036">
        <f t="shared" si="3"/>
        <v>11905326.790000001</v>
      </c>
      <c r="O5" s="1373">
        <f>N5</f>
        <v>11905326.790000001</v>
      </c>
      <c r="P5" s="1028"/>
      <c r="Q5" s="1028"/>
      <c r="R5" s="1029">
        <f t="shared" ref="R5:R33" si="4">SUM(O5:Q5)</f>
        <v>11905326.790000001</v>
      </c>
    </row>
    <row r="6" spans="1:18" s="179" customFormat="1" ht="38.25" customHeight="1" x14ac:dyDescent="0.25">
      <c r="A6" s="1510" t="s">
        <v>1462</v>
      </c>
      <c r="B6" s="1511">
        <v>647720.72</v>
      </c>
      <c r="C6" s="1511">
        <v>2620931.2999999998</v>
      </c>
      <c r="D6" s="1512">
        <v>0</v>
      </c>
      <c r="E6" s="1509">
        <f t="shared" si="0"/>
        <v>3268652.0199999996</v>
      </c>
      <c r="F6" s="977">
        <f t="shared" si="1"/>
        <v>3.584648786500009E-3</v>
      </c>
      <c r="G6" s="754">
        <v>911847217.02999997</v>
      </c>
      <c r="H6" s="975">
        <f t="shared" si="2"/>
        <v>7.1033908740732589E-4</v>
      </c>
      <c r="J6" s="1018" t="s">
        <v>1500</v>
      </c>
      <c r="K6" s="1036">
        <v>647720.72</v>
      </c>
      <c r="L6" s="1036">
        <v>2577731.2999999998</v>
      </c>
      <c r="M6" s="1097">
        <v>0</v>
      </c>
      <c r="N6" s="1036">
        <f t="shared" si="3"/>
        <v>3225452.0199999996</v>
      </c>
      <c r="O6" s="1373"/>
      <c r="P6" s="1027">
        <f>N6</f>
        <v>3225452.0199999996</v>
      </c>
      <c r="Q6" s="1028"/>
      <c r="R6" s="1029">
        <f t="shared" si="4"/>
        <v>3225452.0199999996</v>
      </c>
    </row>
    <row r="7" spans="1:18" s="179" customFormat="1" ht="36" x14ac:dyDescent="0.25">
      <c r="A7" s="1510" t="s">
        <v>1463</v>
      </c>
      <c r="B7" s="1511">
        <v>2485379.73</v>
      </c>
      <c r="C7" s="1511">
        <v>15982000</v>
      </c>
      <c r="D7" s="1512">
        <v>0</v>
      </c>
      <c r="E7" s="1509">
        <f t="shared" si="0"/>
        <v>18467379.73</v>
      </c>
      <c r="F7" s="977">
        <f t="shared" si="1"/>
        <v>2.025271271885937E-2</v>
      </c>
      <c r="G7" s="754">
        <v>911847217.02999997</v>
      </c>
      <c r="H7" s="975">
        <f t="shared" si="2"/>
        <v>2.7256536880105767E-3</v>
      </c>
      <c r="J7" s="1018" t="s">
        <v>1501</v>
      </c>
      <c r="K7" s="1036">
        <v>2485379.73</v>
      </c>
      <c r="L7" s="1036">
        <v>15732000</v>
      </c>
      <c r="M7" s="1097">
        <v>0</v>
      </c>
      <c r="N7" s="1036">
        <f t="shared" si="3"/>
        <v>18217379.73</v>
      </c>
      <c r="O7" s="1374"/>
      <c r="P7" s="1028"/>
      <c r="Q7" s="1027">
        <f>N7</f>
        <v>18217379.73</v>
      </c>
      <c r="R7" s="1029">
        <f t="shared" si="4"/>
        <v>18217379.73</v>
      </c>
    </row>
    <row r="8" spans="1:18" s="179" customFormat="1" ht="35.25" customHeight="1" x14ac:dyDescent="0.25">
      <c r="A8" s="1510" t="s">
        <v>1464</v>
      </c>
      <c r="B8" s="1511">
        <v>1360036.89</v>
      </c>
      <c r="C8" s="1511">
        <v>214557.5</v>
      </c>
      <c r="D8" s="1512">
        <v>0</v>
      </c>
      <c r="E8" s="1509">
        <f t="shared" si="0"/>
        <v>1574594.39</v>
      </c>
      <c r="F8" s="977">
        <f t="shared" si="1"/>
        <v>1.7268182219480255E-3</v>
      </c>
      <c r="G8" s="754">
        <v>911847217.02999997</v>
      </c>
      <c r="H8" s="975">
        <f t="shared" si="2"/>
        <v>1.4915183866325869E-3</v>
      </c>
      <c r="J8" s="1018" t="s">
        <v>1502</v>
      </c>
      <c r="K8" s="1036">
        <v>1360036.89</v>
      </c>
      <c r="L8" s="1036">
        <v>214557.5</v>
      </c>
      <c r="M8" s="1097">
        <v>0</v>
      </c>
      <c r="N8" s="1036">
        <f t="shared" si="3"/>
        <v>1574594.39</v>
      </c>
      <c r="O8" s="1373">
        <f>N8</f>
        <v>1574594.39</v>
      </c>
      <c r="P8" s="1028"/>
      <c r="Q8" s="1028"/>
      <c r="R8" s="1029">
        <f t="shared" si="4"/>
        <v>1574594.39</v>
      </c>
    </row>
    <row r="9" spans="1:18" s="179" customFormat="1" ht="36" x14ac:dyDescent="0.25">
      <c r="A9" s="1510" t="s">
        <v>1465</v>
      </c>
      <c r="B9" s="1511">
        <v>1431243.2</v>
      </c>
      <c r="C9" s="1511">
        <v>1075680.18</v>
      </c>
      <c r="D9" s="1512">
        <v>0</v>
      </c>
      <c r="E9" s="1509">
        <f t="shared" si="0"/>
        <v>2506923.38</v>
      </c>
      <c r="F9" s="977">
        <f t="shared" si="1"/>
        <v>2.749280069270115E-3</v>
      </c>
      <c r="G9" s="754">
        <v>911847217.02999997</v>
      </c>
      <c r="H9" s="975">
        <f t="shared" si="2"/>
        <v>1.5696085630021851E-3</v>
      </c>
      <c r="J9" s="1018" t="s">
        <v>1503</v>
      </c>
      <c r="K9" s="1036">
        <v>1431243.2</v>
      </c>
      <c r="L9" s="1036">
        <v>950880.18</v>
      </c>
      <c r="M9" s="1097">
        <v>0</v>
      </c>
      <c r="N9" s="1036">
        <f t="shared" si="3"/>
        <v>2382123.38</v>
      </c>
      <c r="O9" s="1373">
        <f>N9</f>
        <v>2382123.38</v>
      </c>
      <c r="P9" s="1028"/>
      <c r="Q9" s="1028"/>
      <c r="R9" s="1029">
        <f t="shared" si="4"/>
        <v>2382123.38</v>
      </c>
    </row>
    <row r="10" spans="1:18" s="179" customFormat="1" ht="36" x14ac:dyDescent="0.25">
      <c r="A10" s="1510" t="s">
        <v>1466</v>
      </c>
      <c r="B10" s="1511">
        <v>1150933.6299999999</v>
      </c>
      <c r="C10" s="1511">
        <v>1928543.9</v>
      </c>
      <c r="D10" s="1512">
        <v>0</v>
      </c>
      <c r="E10" s="1509">
        <f t="shared" si="0"/>
        <v>3079477.53</v>
      </c>
      <c r="F10" s="977">
        <f t="shared" si="1"/>
        <v>3.3771858623753239E-3</v>
      </c>
      <c r="G10" s="754">
        <v>911847217.02999997</v>
      </c>
      <c r="H10" s="975">
        <f t="shared" si="2"/>
        <v>1.2622000796895932E-3</v>
      </c>
      <c r="J10" s="1018" t="s">
        <v>1024</v>
      </c>
      <c r="K10" s="1036">
        <v>1150933.6299999999</v>
      </c>
      <c r="L10" s="1036">
        <v>1883543.9</v>
      </c>
      <c r="M10" s="1097">
        <v>0</v>
      </c>
      <c r="N10" s="1036">
        <f t="shared" si="3"/>
        <v>3034477.53</v>
      </c>
      <c r="O10" s="1373">
        <f>N10</f>
        <v>3034477.53</v>
      </c>
      <c r="P10" s="1028"/>
      <c r="Q10" s="1028"/>
      <c r="R10" s="1029">
        <f t="shared" si="4"/>
        <v>3034477.53</v>
      </c>
    </row>
    <row r="11" spans="1:18" s="179" customFormat="1" ht="36" x14ac:dyDescent="0.25">
      <c r="A11" s="1510" t="s">
        <v>1467</v>
      </c>
      <c r="B11" s="1511">
        <v>1100011.5</v>
      </c>
      <c r="C11" s="1511">
        <v>4874225.0999999996</v>
      </c>
      <c r="D11" s="1511">
        <v>1377600</v>
      </c>
      <c r="E11" s="1509">
        <f t="shared" si="0"/>
        <v>7351836.5999999996</v>
      </c>
      <c r="F11" s="977">
        <f t="shared" si="1"/>
        <v>8.0625750264894675E-3</v>
      </c>
      <c r="G11" s="754">
        <v>911847217.02999997</v>
      </c>
      <c r="H11" s="975">
        <f t="shared" si="2"/>
        <v>1.2063550553818375E-3</v>
      </c>
      <c r="J11" s="1018" t="s">
        <v>1028</v>
      </c>
      <c r="K11" s="1036">
        <v>1100011.5</v>
      </c>
      <c r="L11" s="1036">
        <v>4509873.66</v>
      </c>
      <c r="M11" s="1036">
        <v>1377600</v>
      </c>
      <c r="N11" s="1036">
        <f t="shared" si="3"/>
        <v>6987485.1600000001</v>
      </c>
      <c r="O11" s="1374"/>
      <c r="P11" s="1028"/>
      <c r="Q11" s="1027">
        <f>N11</f>
        <v>6987485.1600000001</v>
      </c>
      <c r="R11" s="1029">
        <f t="shared" si="4"/>
        <v>6987485.1600000001</v>
      </c>
    </row>
    <row r="12" spans="1:18" s="179" customFormat="1" ht="36" x14ac:dyDescent="0.25">
      <c r="A12" s="1510" t="s">
        <v>1468</v>
      </c>
      <c r="B12" s="1511">
        <v>703129.89</v>
      </c>
      <c r="C12" s="1511">
        <v>2538912</v>
      </c>
      <c r="D12" s="1512">
        <v>0</v>
      </c>
      <c r="E12" s="1509">
        <f t="shared" si="0"/>
        <v>3242041.89</v>
      </c>
      <c r="F12" s="977">
        <f t="shared" si="1"/>
        <v>3.5554661235461514E-3</v>
      </c>
      <c r="G12" s="754">
        <v>911847217.02999997</v>
      </c>
      <c r="H12" s="975">
        <f t="shared" si="2"/>
        <v>7.7110493607710038E-4</v>
      </c>
      <c r="J12" s="1018" t="s">
        <v>1321</v>
      </c>
      <c r="K12" s="1036">
        <v>703129.89</v>
      </c>
      <c r="L12" s="1036">
        <v>2508912</v>
      </c>
      <c r="M12" s="1097">
        <v>0</v>
      </c>
      <c r="N12" s="1036">
        <f t="shared" si="3"/>
        <v>3212041.89</v>
      </c>
      <c r="O12" s="1374"/>
      <c r="P12" s="1027">
        <f>N12</f>
        <v>3212041.89</v>
      </c>
      <c r="Q12" s="1028"/>
      <c r="R12" s="1029">
        <f t="shared" si="4"/>
        <v>3212041.89</v>
      </c>
    </row>
    <row r="13" spans="1:18" s="179" customFormat="1" ht="36" x14ac:dyDescent="0.25">
      <c r="A13" s="1510" t="s">
        <v>1469</v>
      </c>
      <c r="B13" s="1511">
        <v>2235776.7000000002</v>
      </c>
      <c r="C13" s="1511">
        <v>3454226.52</v>
      </c>
      <c r="D13" s="1512">
        <v>0</v>
      </c>
      <c r="E13" s="1509">
        <f t="shared" si="0"/>
        <v>5690003.2200000007</v>
      </c>
      <c r="F13" s="977">
        <f t="shared" si="1"/>
        <v>6.240083989654594E-3</v>
      </c>
      <c r="G13" s="754">
        <v>911847217.02999997</v>
      </c>
      <c r="H13" s="975">
        <f t="shared" si="2"/>
        <v>2.451920297878633E-3</v>
      </c>
      <c r="J13" s="1018" t="s">
        <v>1504</v>
      </c>
      <c r="K13" s="1036">
        <v>2235776.7000000002</v>
      </c>
      <c r="L13" s="1036">
        <v>3389226.52</v>
      </c>
      <c r="M13" s="1097">
        <v>0</v>
      </c>
      <c r="N13" s="1036">
        <f t="shared" si="3"/>
        <v>5625003.2200000007</v>
      </c>
      <c r="O13" s="1373">
        <f>N13</f>
        <v>5625003.2200000007</v>
      </c>
      <c r="P13" s="1028"/>
      <c r="Q13" s="1028"/>
      <c r="R13" s="1029">
        <f t="shared" si="4"/>
        <v>5625003.2200000007</v>
      </c>
    </row>
    <row r="14" spans="1:18" s="179" customFormat="1" ht="18" x14ac:dyDescent="0.25">
      <c r="A14" s="1506" t="s">
        <v>291</v>
      </c>
      <c r="B14" s="1511">
        <v>3632718.36</v>
      </c>
      <c r="C14" s="1511">
        <v>3555800</v>
      </c>
      <c r="D14" s="1511">
        <v>1075000</v>
      </c>
      <c r="E14" s="1509">
        <f t="shared" si="0"/>
        <v>8263518.3599999994</v>
      </c>
      <c r="F14" s="977">
        <f t="shared" si="1"/>
        <v>9.0623935739095728E-3</v>
      </c>
      <c r="G14" s="754">
        <v>911847217.02999997</v>
      </c>
      <c r="H14" s="975">
        <f t="shared" si="2"/>
        <v>3.9839112212594298E-3</v>
      </c>
      <c r="J14" s="1018" t="s">
        <v>1505</v>
      </c>
      <c r="K14" s="1036">
        <v>3632718.36</v>
      </c>
      <c r="L14" s="1036">
        <v>3555800</v>
      </c>
      <c r="M14" s="1036">
        <v>1075000</v>
      </c>
      <c r="N14" s="1036">
        <f t="shared" si="3"/>
        <v>8263518.3599999994</v>
      </c>
      <c r="O14" s="1373">
        <f>N14</f>
        <v>8263518.3599999994</v>
      </c>
      <c r="P14" s="1028"/>
      <c r="Q14" s="1028"/>
      <c r="R14" s="1029">
        <f t="shared" si="4"/>
        <v>8263518.3599999994</v>
      </c>
    </row>
    <row r="15" spans="1:18" s="179" customFormat="1" ht="37.5" customHeight="1" x14ac:dyDescent="0.25">
      <c r="A15" s="1510" t="s">
        <v>1470</v>
      </c>
      <c r="B15" s="1511">
        <v>23216116.760000002</v>
      </c>
      <c r="C15" s="1511">
        <v>8290800</v>
      </c>
      <c r="D15" s="1511">
        <v>1110000</v>
      </c>
      <c r="E15" s="1509">
        <f t="shared" si="0"/>
        <v>32616916.760000002</v>
      </c>
      <c r="F15" s="977">
        <f t="shared" si="1"/>
        <v>3.577015551600559E-2</v>
      </c>
      <c r="G15" s="754">
        <v>911847217.02999997</v>
      </c>
      <c r="H15" s="975">
        <f t="shared" si="2"/>
        <v>2.5460533657839946E-2</v>
      </c>
      <c r="J15" s="1018" t="s">
        <v>1506</v>
      </c>
      <c r="K15" s="1036">
        <v>23216116.760000002</v>
      </c>
      <c r="L15" s="1036">
        <v>8290800</v>
      </c>
      <c r="M15" s="1036">
        <v>1110000</v>
      </c>
      <c r="N15" s="1036">
        <f t="shared" si="3"/>
        <v>32616916.760000002</v>
      </c>
      <c r="O15" s="1373">
        <f>N15</f>
        <v>32616916.760000002</v>
      </c>
      <c r="P15" s="1028"/>
      <c r="Q15" s="1028"/>
      <c r="R15" s="1029">
        <f t="shared" si="4"/>
        <v>32616916.760000002</v>
      </c>
    </row>
    <row r="16" spans="1:18" s="179" customFormat="1" ht="36" x14ac:dyDescent="0.25">
      <c r="A16" s="1510" t="s">
        <v>1471</v>
      </c>
      <c r="B16" s="1511">
        <v>6675601.6600000001</v>
      </c>
      <c r="C16" s="1511">
        <v>3835800</v>
      </c>
      <c r="D16" s="1512">
        <v>150000</v>
      </c>
      <c r="E16" s="1509">
        <f t="shared" si="0"/>
        <v>10661401.66</v>
      </c>
      <c r="F16" s="977">
        <f t="shared" si="1"/>
        <v>1.1692092119034495E-2</v>
      </c>
      <c r="G16" s="754">
        <v>911847217.02999997</v>
      </c>
      <c r="H16" s="975">
        <f t="shared" si="2"/>
        <v>7.320965108325128E-3</v>
      </c>
      <c r="J16" s="1018" t="s">
        <v>1507</v>
      </c>
      <c r="K16" s="1036">
        <v>6675601.6600000001</v>
      </c>
      <c r="L16" s="1036">
        <v>3835800</v>
      </c>
      <c r="M16" s="1097">
        <v>150000</v>
      </c>
      <c r="N16" s="1036">
        <f t="shared" si="3"/>
        <v>10661401.66</v>
      </c>
      <c r="O16" s="1373">
        <f>N16</f>
        <v>10661401.66</v>
      </c>
      <c r="P16" s="1028"/>
      <c r="Q16" s="1028"/>
      <c r="R16" s="1029">
        <f t="shared" si="4"/>
        <v>10661401.66</v>
      </c>
    </row>
    <row r="17" spans="1:18" s="179" customFormat="1" ht="37.5" customHeight="1" x14ac:dyDescent="0.25">
      <c r="A17" s="1510" t="s">
        <v>1472</v>
      </c>
      <c r="B17" s="1511">
        <v>388192.81</v>
      </c>
      <c r="C17" s="1511">
        <v>309000</v>
      </c>
      <c r="D17" s="1512">
        <v>0</v>
      </c>
      <c r="E17" s="1509">
        <f t="shared" si="0"/>
        <v>697192.81</v>
      </c>
      <c r="F17" s="977">
        <f t="shared" si="1"/>
        <v>7.6459388917240318E-4</v>
      </c>
      <c r="G17" s="754">
        <v>911847217.02999997</v>
      </c>
      <c r="H17" s="975">
        <f t="shared" si="2"/>
        <v>4.2572133001007818E-4</v>
      </c>
      <c r="J17" s="1018" t="s">
        <v>1508</v>
      </c>
      <c r="K17" s="1036">
        <v>386394.25</v>
      </c>
      <c r="L17" s="1036">
        <v>309000</v>
      </c>
      <c r="M17" s="1097">
        <v>0</v>
      </c>
      <c r="N17" s="1036">
        <f t="shared" si="3"/>
        <v>695394.25</v>
      </c>
      <c r="O17" s="1374"/>
      <c r="P17" s="1027">
        <f>N17</f>
        <v>695394.25</v>
      </c>
      <c r="Q17" s="1028"/>
      <c r="R17" s="1029">
        <f t="shared" si="4"/>
        <v>695394.25</v>
      </c>
    </row>
    <row r="18" spans="1:18" s="179" customFormat="1" ht="18" x14ac:dyDescent="0.25">
      <c r="A18" s="1506" t="s">
        <v>324</v>
      </c>
      <c r="B18" s="1511">
        <v>1938439.46</v>
      </c>
      <c r="C18" s="1511">
        <v>482000</v>
      </c>
      <c r="D18" s="1511">
        <v>100000</v>
      </c>
      <c r="E18" s="1509">
        <f t="shared" si="0"/>
        <v>2520439.46</v>
      </c>
      <c r="F18" s="977">
        <f t="shared" si="1"/>
        <v>2.7641028156113537E-3</v>
      </c>
      <c r="G18" s="754">
        <v>911847217.02999997</v>
      </c>
      <c r="H18" s="975">
        <f t="shared" si="2"/>
        <v>2.1258379954415376E-3</v>
      </c>
      <c r="J18" s="1018" t="s">
        <v>1509</v>
      </c>
      <c r="K18" s="1036">
        <v>1938439.46</v>
      </c>
      <c r="L18" s="1036">
        <v>432000</v>
      </c>
      <c r="M18" s="1036">
        <v>100000</v>
      </c>
      <c r="N18" s="1036">
        <f t="shared" si="3"/>
        <v>2470439.46</v>
      </c>
      <c r="O18" s="1373">
        <f>N18</f>
        <v>2470439.46</v>
      </c>
      <c r="P18" s="1028"/>
      <c r="Q18" s="1028"/>
      <c r="R18" s="1029">
        <f t="shared" si="4"/>
        <v>2470439.46</v>
      </c>
    </row>
    <row r="19" spans="1:18" s="179" customFormat="1" ht="18" x14ac:dyDescent="0.25">
      <c r="A19" s="1506" t="s">
        <v>326</v>
      </c>
      <c r="B19" s="1511">
        <v>1683923.04</v>
      </c>
      <c r="C19" s="1511">
        <v>108600</v>
      </c>
      <c r="D19" s="1512">
        <v>0</v>
      </c>
      <c r="E19" s="1509">
        <f t="shared" si="0"/>
        <v>1792523.04</v>
      </c>
      <c r="F19" s="977">
        <f t="shared" si="1"/>
        <v>1.9658151130169275E-3</v>
      </c>
      <c r="G19" s="754">
        <v>911847217.02999997</v>
      </c>
      <c r="H19" s="975">
        <f t="shared" si="2"/>
        <v>1.8467162135831783E-3</v>
      </c>
      <c r="J19" s="1018" t="s">
        <v>26</v>
      </c>
      <c r="K19" s="1036">
        <v>1683923.04</v>
      </c>
      <c r="L19" s="1036">
        <v>98600</v>
      </c>
      <c r="M19" s="1097">
        <v>0</v>
      </c>
      <c r="N19" s="1036">
        <f t="shared" si="3"/>
        <v>1782523.04</v>
      </c>
      <c r="O19" s="1373">
        <f>N19</f>
        <v>1782523.04</v>
      </c>
      <c r="P19" s="1028"/>
      <c r="Q19" s="1028"/>
      <c r="R19" s="1029">
        <f t="shared" si="4"/>
        <v>1782523.04</v>
      </c>
    </row>
    <row r="20" spans="1:18" s="179" customFormat="1" ht="37.5" customHeight="1" x14ac:dyDescent="0.25">
      <c r="A20" s="1510" t="s">
        <v>1473</v>
      </c>
      <c r="B20" s="1511">
        <v>3007759.23</v>
      </c>
      <c r="C20" s="1511">
        <v>8915824.9000000004</v>
      </c>
      <c r="D20" s="1512">
        <v>0</v>
      </c>
      <c r="E20" s="1509">
        <f t="shared" si="0"/>
        <v>11923584.130000001</v>
      </c>
      <c r="F20" s="977">
        <f t="shared" si="1"/>
        <v>1.3076296014629073E-2</v>
      </c>
      <c r="G20" s="754">
        <v>911847217.02999997</v>
      </c>
      <c r="H20" s="975">
        <f t="shared" si="2"/>
        <v>3.2985341993987181E-3</v>
      </c>
      <c r="J20" s="1018" t="s">
        <v>1510</v>
      </c>
      <c r="K20" s="1036">
        <v>3007759.23</v>
      </c>
      <c r="L20" s="1036">
        <v>8885824.9000000004</v>
      </c>
      <c r="M20" s="1097">
        <v>0</v>
      </c>
      <c r="N20" s="1036">
        <f t="shared" si="3"/>
        <v>11893584.130000001</v>
      </c>
      <c r="O20" s="1373">
        <f>N20</f>
        <v>11893584.130000001</v>
      </c>
      <c r="P20" s="1028"/>
      <c r="Q20" s="1028"/>
      <c r="R20" s="1029">
        <f t="shared" si="4"/>
        <v>11893584.130000001</v>
      </c>
    </row>
    <row r="21" spans="1:18" s="179" customFormat="1" ht="36" x14ac:dyDescent="0.25">
      <c r="A21" s="1510" t="s">
        <v>337</v>
      </c>
      <c r="B21" s="1511">
        <v>6612598.6600000001</v>
      </c>
      <c r="C21" s="1511">
        <v>3227894.52</v>
      </c>
      <c r="D21" s="1511">
        <v>300000</v>
      </c>
      <c r="E21" s="1509">
        <f t="shared" si="0"/>
        <v>10140493.18</v>
      </c>
      <c r="F21" s="977">
        <f t="shared" si="1"/>
        <v>1.1120824838429457E-2</v>
      </c>
      <c r="G21" s="754">
        <v>911847217.02999997</v>
      </c>
      <c r="H21" s="975">
        <f t="shared" si="2"/>
        <v>7.2518712965293219E-3</v>
      </c>
      <c r="J21" s="1018" t="s">
        <v>27</v>
      </c>
      <c r="K21" s="1036">
        <v>6612598.6600000001</v>
      </c>
      <c r="L21" s="1036">
        <v>3127894.52</v>
      </c>
      <c r="M21" s="1036">
        <v>300000</v>
      </c>
      <c r="N21" s="1036">
        <f t="shared" si="3"/>
        <v>10040493.18</v>
      </c>
      <c r="O21" s="1373">
        <f t="shared" ref="O21:O26" si="5">N21</f>
        <v>10040493.18</v>
      </c>
      <c r="P21" s="1028"/>
      <c r="Q21" s="1028"/>
      <c r="R21" s="1029">
        <f t="shared" si="4"/>
        <v>10040493.18</v>
      </c>
    </row>
    <row r="22" spans="1:18" ht="18" x14ac:dyDescent="0.25">
      <c r="A22" s="1506" t="s">
        <v>1474</v>
      </c>
      <c r="B22" s="743">
        <v>3183023.43</v>
      </c>
      <c r="C22" s="743">
        <v>872021.78</v>
      </c>
      <c r="D22" s="1512">
        <v>0</v>
      </c>
      <c r="E22" s="1509">
        <f t="shared" si="0"/>
        <v>4055045.21</v>
      </c>
      <c r="F22" s="805">
        <f t="shared" si="1"/>
        <v>4.4470664978369812E-3</v>
      </c>
      <c r="G22" s="484">
        <v>911847217.02999997</v>
      </c>
      <c r="H22" s="803">
        <f t="shared" si="2"/>
        <v>3.4907420569506198E-3</v>
      </c>
      <c r="J22" s="1019" t="s">
        <v>28</v>
      </c>
      <c r="K22" s="487">
        <v>3183023.43</v>
      </c>
      <c r="L22" s="487">
        <v>847021.78</v>
      </c>
      <c r="M22" s="1097">
        <v>0</v>
      </c>
      <c r="N22" s="1036">
        <f t="shared" si="3"/>
        <v>4030045.21</v>
      </c>
      <c r="O22" s="1373">
        <f t="shared" si="5"/>
        <v>4030045.21</v>
      </c>
      <c r="P22" s="1030"/>
      <c r="Q22" s="1030"/>
      <c r="R22" s="1031">
        <f t="shared" si="4"/>
        <v>4030045.21</v>
      </c>
    </row>
    <row r="23" spans="1:18" ht="18" x14ac:dyDescent="0.25">
      <c r="A23" s="1506" t="s">
        <v>352</v>
      </c>
      <c r="B23" s="743">
        <v>6795236.5800000001</v>
      </c>
      <c r="C23" s="743">
        <v>1240864.3999999999</v>
      </c>
      <c r="D23" s="1512">
        <v>0</v>
      </c>
      <c r="E23" s="1509">
        <f t="shared" si="0"/>
        <v>8036100.9800000004</v>
      </c>
      <c r="F23" s="805">
        <f t="shared" si="1"/>
        <v>8.8129906303542633E-3</v>
      </c>
      <c r="G23" s="484">
        <v>911847217.02999997</v>
      </c>
      <c r="H23" s="803">
        <f t="shared" si="2"/>
        <v>7.4521657280842866E-3</v>
      </c>
      <c r="J23" s="1019" t="s">
        <v>29</v>
      </c>
      <c r="K23" s="487">
        <v>6795236.5800000001</v>
      </c>
      <c r="L23" s="487">
        <v>1195864.3999999999</v>
      </c>
      <c r="M23" s="1097">
        <v>0</v>
      </c>
      <c r="N23" s="1036">
        <f t="shared" si="3"/>
        <v>7991100.9800000004</v>
      </c>
      <c r="O23" s="1373">
        <f t="shared" si="5"/>
        <v>7991100.9800000004</v>
      </c>
      <c r="P23" s="1030"/>
      <c r="Q23" s="1030"/>
      <c r="R23" s="1031">
        <f t="shared" si="4"/>
        <v>7991100.9800000004</v>
      </c>
    </row>
    <row r="24" spans="1:18" ht="18" x14ac:dyDescent="0.25">
      <c r="A24" s="1506" t="s">
        <v>1475</v>
      </c>
      <c r="B24" s="743">
        <v>12766890.01</v>
      </c>
      <c r="C24" s="743">
        <v>46535382.5</v>
      </c>
      <c r="D24" s="743">
        <v>2200000</v>
      </c>
      <c r="E24" s="1509">
        <f>SUM(B24:D24)</f>
        <v>61502272.509999998</v>
      </c>
      <c r="F24" s="805">
        <f t="shared" si="1"/>
        <v>6.7448001552629144E-2</v>
      </c>
      <c r="G24" s="484">
        <v>911847217.02999997</v>
      </c>
      <c r="H24" s="803">
        <f t="shared" si="2"/>
        <v>1.4001128447354757E-2</v>
      </c>
      <c r="J24" s="1019" t="s">
        <v>31</v>
      </c>
      <c r="K24" s="487">
        <v>12766890.01</v>
      </c>
      <c r="L24" s="487">
        <v>49680612.5</v>
      </c>
      <c r="M24" s="487">
        <v>2200000</v>
      </c>
      <c r="N24" s="1036">
        <f>SUM(K24:M24)</f>
        <v>64647502.509999998</v>
      </c>
      <c r="O24" s="1373">
        <f t="shared" si="5"/>
        <v>64647502.509999998</v>
      </c>
      <c r="P24" s="1030"/>
      <c r="Q24" s="1030"/>
      <c r="R24" s="1031">
        <f t="shared" si="4"/>
        <v>64647502.509999998</v>
      </c>
    </row>
    <row r="25" spans="1:18" ht="18" x14ac:dyDescent="0.25">
      <c r="A25" s="1506" t="s">
        <v>425</v>
      </c>
      <c r="B25" s="743">
        <v>7793831.0999999996</v>
      </c>
      <c r="C25" s="743">
        <v>2336835.98</v>
      </c>
      <c r="D25" s="743">
        <v>800000</v>
      </c>
      <c r="E25" s="1509">
        <f>SUM(B25:D25)</f>
        <v>10930667.08</v>
      </c>
      <c r="F25" s="805">
        <f t="shared" si="1"/>
        <v>1.1987388759711901E-2</v>
      </c>
      <c r="G25" s="484">
        <v>911847217.02999997</v>
      </c>
      <c r="H25" s="803">
        <f t="shared" si="2"/>
        <v>8.5472993221227117E-3</v>
      </c>
      <c r="J25" s="1019" t="s">
        <v>32</v>
      </c>
      <c r="K25" s="487">
        <v>7793831.0999999996</v>
      </c>
      <c r="L25" s="487">
        <v>2211835.98</v>
      </c>
      <c r="M25" s="487">
        <v>800000</v>
      </c>
      <c r="N25" s="1036">
        <f>SUM(K25:M25)</f>
        <v>10805667.08</v>
      </c>
      <c r="O25" s="1373">
        <f t="shared" si="5"/>
        <v>10805667.08</v>
      </c>
      <c r="P25" s="1030"/>
      <c r="Q25" s="1030"/>
      <c r="R25" s="1031">
        <f t="shared" si="4"/>
        <v>10805667.08</v>
      </c>
    </row>
    <row r="26" spans="1:18" ht="18" x14ac:dyDescent="0.25">
      <c r="A26" s="1506" t="s">
        <v>437</v>
      </c>
      <c r="B26" s="743">
        <v>8760808.8800000008</v>
      </c>
      <c r="C26" s="743">
        <v>4546588.18</v>
      </c>
      <c r="D26" s="743">
        <v>40100000</v>
      </c>
      <c r="E26" s="1509">
        <f t="shared" si="0"/>
        <v>53407397.060000002</v>
      </c>
      <c r="F26" s="805">
        <f t="shared" si="1"/>
        <v>5.857055443340009E-2</v>
      </c>
      <c r="G26" s="484">
        <v>911847217.02999997</v>
      </c>
      <c r="H26" s="803">
        <f t="shared" si="2"/>
        <v>9.6077596294421412E-3</v>
      </c>
      <c r="J26" s="1019" t="s">
        <v>33</v>
      </c>
      <c r="K26" s="487">
        <v>8760808.8800000008</v>
      </c>
      <c r="L26" s="487">
        <v>4390588.18</v>
      </c>
      <c r="M26" s="487">
        <v>40100000</v>
      </c>
      <c r="N26" s="1036">
        <f t="shared" ref="N26:N33" si="6">SUM(K26:M26)</f>
        <v>53251397.060000002</v>
      </c>
      <c r="O26" s="1373">
        <f t="shared" si="5"/>
        <v>53251397.060000002</v>
      </c>
      <c r="P26" s="1030"/>
      <c r="Q26" s="1030"/>
      <c r="R26" s="1031">
        <f t="shared" si="4"/>
        <v>53251397.060000002</v>
      </c>
    </row>
    <row r="27" spans="1:18" ht="18" x14ac:dyDescent="0.25">
      <c r="A27" s="1506" t="s">
        <v>455</v>
      </c>
      <c r="B27" s="743">
        <v>2383753.83</v>
      </c>
      <c r="C27" s="743">
        <v>743358.06</v>
      </c>
      <c r="D27" s="1512">
        <v>0</v>
      </c>
      <c r="E27" s="1509">
        <f t="shared" si="0"/>
        <v>3127111.89</v>
      </c>
      <c r="F27" s="805">
        <f t="shared" si="1"/>
        <v>3.4294252716868439E-3</v>
      </c>
      <c r="G27" s="484">
        <v>911847217.02999997</v>
      </c>
      <c r="H27" s="803">
        <f t="shared" si="2"/>
        <v>2.6142031093368727E-3</v>
      </c>
      <c r="J27" s="1019" t="s">
        <v>1511</v>
      </c>
      <c r="K27" s="487">
        <v>2383753.83</v>
      </c>
      <c r="L27" s="487">
        <v>728358.06</v>
      </c>
      <c r="M27" s="1097">
        <v>0</v>
      </c>
      <c r="N27" s="1036">
        <f t="shared" si="6"/>
        <v>3112111.89</v>
      </c>
      <c r="O27" s="1373">
        <f>N27</f>
        <v>3112111.89</v>
      </c>
      <c r="P27" s="1030"/>
      <c r="Q27" s="1030"/>
      <c r="R27" s="1031">
        <f t="shared" si="4"/>
        <v>3112111.89</v>
      </c>
    </row>
    <row r="28" spans="1:18" ht="18" x14ac:dyDescent="0.25">
      <c r="A28" s="1506" t="s">
        <v>463</v>
      </c>
      <c r="B28" s="743">
        <v>22776272.690000001</v>
      </c>
      <c r="C28" s="743">
        <v>67143502.260000005</v>
      </c>
      <c r="D28" s="1512">
        <v>0</v>
      </c>
      <c r="E28" s="1509">
        <f t="shared" si="0"/>
        <v>89919774.950000003</v>
      </c>
      <c r="F28" s="805">
        <f t="shared" si="1"/>
        <v>9.8612764584488088E-2</v>
      </c>
      <c r="G28" s="484">
        <v>911847217.02999997</v>
      </c>
      <c r="H28" s="803">
        <f t="shared" si="2"/>
        <v>2.4978167684916733E-2</v>
      </c>
      <c r="J28" s="1019" t="s">
        <v>35</v>
      </c>
      <c r="K28" s="487">
        <v>22776272.690000001</v>
      </c>
      <c r="L28" s="487">
        <v>66999502.259999998</v>
      </c>
      <c r="M28" s="1097">
        <v>0</v>
      </c>
      <c r="N28" s="1036">
        <f t="shared" si="6"/>
        <v>89775774.950000003</v>
      </c>
      <c r="O28" s="1375"/>
      <c r="P28" s="1032">
        <f>N28</f>
        <v>89775774.950000003</v>
      </c>
      <c r="Q28" s="1030"/>
      <c r="R28" s="1031">
        <f t="shared" si="4"/>
        <v>89775774.950000003</v>
      </c>
    </row>
    <row r="29" spans="1:18" s="179" customFormat="1" ht="36" x14ac:dyDescent="0.25">
      <c r="A29" s="1510" t="s">
        <v>1476</v>
      </c>
      <c r="B29" s="1511">
        <v>6132807.04</v>
      </c>
      <c r="C29" s="1511">
        <v>24645069.75</v>
      </c>
      <c r="D29" s="1512">
        <v>0</v>
      </c>
      <c r="E29" s="1509">
        <f t="shared" si="0"/>
        <v>30777876.789999999</v>
      </c>
      <c r="F29" s="977">
        <f>E29/G29</f>
        <v>3.3753326451165119E-2</v>
      </c>
      <c r="G29" s="754">
        <v>911847217.02999997</v>
      </c>
      <c r="H29" s="975">
        <f t="shared" si="2"/>
        <v>6.7256958462573553E-3</v>
      </c>
      <c r="J29" s="1018" t="s">
        <v>1322</v>
      </c>
      <c r="K29" s="1036">
        <v>6132807.04</v>
      </c>
      <c r="L29" s="1036">
        <v>24495069.75</v>
      </c>
      <c r="M29" s="1097">
        <v>0</v>
      </c>
      <c r="N29" s="1036">
        <f t="shared" si="6"/>
        <v>30627876.789999999</v>
      </c>
      <c r="O29" s="1374"/>
      <c r="P29" s="1027">
        <f>N29</f>
        <v>30627876.789999999</v>
      </c>
      <c r="Q29" s="1028"/>
      <c r="R29" s="1029">
        <f t="shared" si="4"/>
        <v>30627876.789999999</v>
      </c>
    </row>
    <row r="30" spans="1:18" ht="18" x14ac:dyDescent="0.25">
      <c r="A30" s="1506" t="s">
        <v>518</v>
      </c>
      <c r="B30" s="743">
        <v>11336441.59</v>
      </c>
      <c r="C30" s="743">
        <v>18761423.140000001</v>
      </c>
      <c r="D30" s="743">
        <v>80000</v>
      </c>
      <c r="E30" s="1509">
        <f t="shared" si="0"/>
        <v>30177864.73</v>
      </c>
      <c r="F30" s="805">
        <f t="shared" si="1"/>
        <v>3.3095308256018009E-2</v>
      </c>
      <c r="G30" s="484">
        <v>911847217.02999997</v>
      </c>
      <c r="H30" s="803">
        <f t="shared" si="2"/>
        <v>1.2432391499668335E-2</v>
      </c>
      <c r="J30" s="1019" t="s">
        <v>1512</v>
      </c>
      <c r="K30" s="487">
        <v>11336441.59</v>
      </c>
      <c r="L30" s="487">
        <v>18466423.140000001</v>
      </c>
      <c r="M30" s="487">
        <v>80000</v>
      </c>
      <c r="N30" s="1036">
        <f t="shared" si="6"/>
        <v>29882864.73</v>
      </c>
      <c r="O30" s="1375"/>
      <c r="P30" s="1030"/>
      <c r="Q30" s="1032">
        <f>N30</f>
        <v>29882864.73</v>
      </c>
      <c r="R30" s="1031">
        <f t="shared" si="4"/>
        <v>29882864.73</v>
      </c>
    </row>
    <row r="31" spans="1:18" ht="18" x14ac:dyDescent="0.25">
      <c r="A31" s="1506" t="s">
        <v>551</v>
      </c>
      <c r="B31" s="743">
        <v>2010267.32</v>
      </c>
      <c r="C31" s="743">
        <v>11934500</v>
      </c>
      <c r="D31" s="1512">
        <v>0</v>
      </c>
      <c r="E31" s="1509">
        <f t="shared" si="0"/>
        <v>13944767.32</v>
      </c>
      <c r="F31" s="805">
        <f t="shared" si="1"/>
        <v>1.5292876985927363E-2</v>
      </c>
      <c r="G31" s="484">
        <v>911847217.02999997</v>
      </c>
      <c r="H31" s="803">
        <f t="shared" si="2"/>
        <v>2.2046098101255289E-3</v>
      </c>
      <c r="J31" s="1019" t="s">
        <v>1513</v>
      </c>
      <c r="K31" s="487">
        <v>2010267.32</v>
      </c>
      <c r="L31" s="487">
        <v>11684500</v>
      </c>
      <c r="M31" s="1097">
        <v>0</v>
      </c>
      <c r="N31" s="1036">
        <f t="shared" si="6"/>
        <v>13694767.32</v>
      </c>
      <c r="O31" s="1375"/>
      <c r="P31" s="1030"/>
      <c r="Q31" s="1032">
        <f>N31</f>
        <v>13694767.32</v>
      </c>
      <c r="R31" s="1031">
        <f t="shared" si="4"/>
        <v>13694767.32</v>
      </c>
    </row>
    <row r="32" spans="1:18" ht="18" x14ac:dyDescent="0.25">
      <c r="A32" s="1506" t="s">
        <v>1478</v>
      </c>
      <c r="B32" s="743">
        <v>16542250.439999999</v>
      </c>
      <c r="C32" s="743">
        <v>11160769.439999999</v>
      </c>
      <c r="D32" s="743">
        <v>400000</v>
      </c>
      <c r="E32" s="1509">
        <f t="shared" si="0"/>
        <v>28103019.879999999</v>
      </c>
      <c r="F32" s="805">
        <f t="shared" si="1"/>
        <v>3.081987788648962E-2</v>
      </c>
      <c r="G32" s="484">
        <v>911847217.02999997</v>
      </c>
      <c r="H32" s="803">
        <f t="shared" si="2"/>
        <v>1.8141471653420373E-2</v>
      </c>
      <c r="J32" s="1019" t="s">
        <v>40</v>
      </c>
      <c r="K32" s="487">
        <v>16542250.439999999</v>
      </c>
      <c r="L32" s="487">
        <v>10848769.439999999</v>
      </c>
      <c r="M32" s="487">
        <v>400000</v>
      </c>
      <c r="N32" s="1036">
        <f t="shared" si="6"/>
        <v>27791019.879999999</v>
      </c>
      <c r="O32" s="1375"/>
      <c r="P32" s="1030"/>
      <c r="Q32" s="1032">
        <f>N32</f>
        <v>27791019.879999999</v>
      </c>
      <c r="R32" s="1031">
        <f t="shared" si="4"/>
        <v>27791019.879999999</v>
      </c>
    </row>
    <row r="33" spans="1:18" ht="18" x14ac:dyDescent="0.25">
      <c r="A33" s="1506" t="s">
        <v>1477</v>
      </c>
      <c r="B33" s="1513">
        <v>3087002.72</v>
      </c>
      <c r="C33" s="1513">
        <v>2761574.35</v>
      </c>
      <c r="D33" s="1512">
        <v>0</v>
      </c>
      <c r="E33" s="1509">
        <f t="shared" si="0"/>
        <v>5848577.0700000003</v>
      </c>
      <c r="F33" s="805">
        <f t="shared" si="1"/>
        <v>6.4139879584757028E-3</v>
      </c>
      <c r="G33" s="484">
        <v>911847217.02999997</v>
      </c>
      <c r="H33" s="803">
        <f t="shared" si="2"/>
        <v>3.385438549732874E-3</v>
      </c>
      <c r="J33" s="1019" t="s">
        <v>1514</v>
      </c>
      <c r="K33" s="487">
        <v>3087002.72</v>
      </c>
      <c r="L33" s="487">
        <v>2449574.35</v>
      </c>
      <c r="M33" s="1097">
        <v>0</v>
      </c>
      <c r="N33" s="1036">
        <f t="shared" si="6"/>
        <v>5536577.0700000003</v>
      </c>
      <c r="O33" s="1375"/>
      <c r="P33" s="1030"/>
      <c r="Q33" s="1032">
        <f>N33</f>
        <v>5536577.0700000003</v>
      </c>
      <c r="R33" s="1031">
        <f t="shared" si="4"/>
        <v>5536577.0700000003</v>
      </c>
    </row>
    <row r="34" spans="1:18" s="281" customFormat="1" ht="18" x14ac:dyDescent="0.25">
      <c r="A34" s="1346" t="s">
        <v>1323</v>
      </c>
      <c r="B34" s="735">
        <f>SUM(B4:B33)</f>
        <v>176444151.19</v>
      </c>
      <c r="C34" s="1016">
        <f>SUM(C4:C33)</f>
        <v>329805393.16000003</v>
      </c>
      <c r="D34" s="735">
        <f>SUM(D4:D33)</f>
        <v>47692600</v>
      </c>
      <c r="E34" s="735">
        <f>SUM(B34:D34)</f>
        <v>553942144.35000002</v>
      </c>
      <c r="F34" s="806">
        <f t="shared" si="1"/>
        <v>0.60749447276294666</v>
      </c>
      <c r="G34" s="484">
        <v>911847217.02999997</v>
      </c>
      <c r="H34" s="803"/>
      <c r="J34" s="1008" t="s">
        <v>1323</v>
      </c>
      <c r="K34" s="1035">
        <f>SUM(K4:K33)</f>
        <v>176442352.63</v>
      </c>
      <c r="L34" s="488">
        <f>SUM(L4:L33)</f>
        <v>329807191.72000003</v>
      </c>
      <c r="M34" s="488">
        <f>SUM(M4:M33)</f>
        <v>47692600</v>
      </c>
      <c r="N34" s="488">
        <f>SUM(K34:M34)</f>
        <v>553942144.35000002</v>
      </c>
      <c r="O34" s="1023">
        <f>SUM(O4:O33)</f>
        <v>324295510.56</v>
      </c>
      <c r="P34" s="1023">
        <f>SUM(P4:P33)</f>
        <v>127536539.90000001</v>
      </c>
      <c r="Q34" s="1023">
        <f>SUM(Q4:Q33)</f>
        <v>102110093.88999999</v>
      </c>
      <c r="R34" s="1023">
        <f>SUM(O34:Q34)</f>
        <v>553942144.35000002</v>
      </c>
    </row>
    <row r="35" spans="1:18" ht="18" x14ac:dyDescent="0.25">
      <c r="A35" s="1343"/>
      <c r="B35" s="743"/>
      <c r="C35" s="1011"/>
      <c r="D35" s="743"/>
      <c r="E35" s="743"/>
      <c r="F35" s="805"/>
      <c r="G35" s="484">
        <v>911847217.02999997</v>
      </c>
      <c r="H35" s="803"/>
      <c r="J35" s="1006"/>
      <c r="K35" s="1007"/>
      <c r="L35" s="1006"/>
      <c r="M35" s="1006"/>
      <c r="N35" s="1006">
        <f>SUM(K35:M35)</f>
        <v>0</v>
      </c>
      <c r="O35" s="1030"/>
      <c r="P35" s="1030"/>
      <c r="Q35" s="1030"/>
      <c r="R35" s="1031">
        <f t="shared" ref="R35:R94" si="7">SUM(O35:Q35)</f>
        <v>0</v>
      </c>
    </row>
    <row r="36" spans="1:18" ht="18" x14ac:dyDescent="0.25">
      <c r="A36" s="1346" t="s">
        <v>1481</v>
      </c>
      <c r="B36" s="743"/>
      <c r="C36" s="1011"/>
      <c r="D36" s="743"/>
      <c r="E36" s="743"/>
      <c r="F36" s="805"/>
      <c r="G36" s="484">
        <v>911847217.02999997</v>
      </c>
      <c r="H36" s="803"/>
      <c r="J36" s="1008" t="s">
        <v>1453</v>
      </c>
      <c r="K36" s="1007"/>
      <c r="L36" s="1006"/>
      <c r="M36" s="1006"/>
      <c r="N36" s="1006"/>
      <c r="O36" s="1030"/>
      <c r="P36" s="1030"/>
      <c r="Q36" s="1030"/>
      <c r="R36" s="1031">
        <f t="shared" si="7"/>
        <v>0</v>
      </c>
    </row>
    <row r="37" spans="1:18" ht="18" x14ac:dyDescent="0.25">
      <c r="A37" s="743" t="s">
        <v>2101</v>
      </c>
      <c r="B37" s="743"/>
      <c r="C37" s="743">
        <v>104157843.8</v>
      </c>
      <c r="D37" s="743">
        <v>22650000</v>
      </c>
      <c r="E37" s="732">
        <f>SUM(B37:D37)</f>
        <v>126807843.8</v>
      </c>
      <c r="F37" s="805">
        <f>E37/G37</f>
        <v>0.13906698559987818</v>
      </c>
      <c r="G37" s="484">
        <v>911847217.02999997</v>
      </c>
      <c r="H37" s="803"/>
      <c r="J37" s="1006" t="s">
        <v>1329</v>
      </c>
      <c r="K37" s="1007"/>
      <c r="L37" s="1006">
        <v>215000</v>
      </c>
      <c r="M37" s="1006"/>
      <c r="N37" s="1006">
        <f>SUM(K37:M37)</f>
        <v>215000</v>
      </c>
      <c r="O37" s="1030"/>
      <c r="P37" s="1032">
        <f>N37</f>
        <v>215000</v>
      </c>
      <c r="Q37" s="1030"/>
      <c r="R37" s="1031">
        <f t="shared" si="7"/>
        <v>215000</v>
      </c>
    </row>
    <row r="38" spans="1:18" ht="36" x14ac:dyDescent="0.25">
      <c r="A38" s="1516" t="s">
        <v>2102</v>
      </c>
      <c r="B38" s="743"/>
      <c r="C38" s="743">
        <v>26241184.719999999</v>
      </c>
      <c r="D38" s="743">
        <v>11462764.359999999</v>
      </c>
      <c r="E38" s="743">
        <f>SUM(B38:D38)</f>
        <v>37703949.079999998</v>
      </c>
      <c r="F38" s="805">
        <f>E38/G38</f>
        <v>4.1348976424807719E-2</v>
      </c>
      <c r="G38" s="484">
        <v>911847217.02999997</v>
      </c>
      <c r="H38" s="803"/>
      <c r="J38" s="1006" t="s">
        <v>1330</v>
      </c>
      <c r="K38" s="1007"/>
      <c r="L38" s="1006">
        <v>26241184.719999999</v>
      </c>
      <c r="M38" s="1006">
        <v>11462764.359999999</v>
      </c>
      <c r="N38" s="1006">
        <f>SUM(K38:M38)</f>
        <v>37703949.079999998</v>
      </c>
      <c r="O38" s="1030"/>
      <c r="P38" s="1032">
        <f>N38</f>
        <v>37703949.079999998</v>
      </c>
      <c r="Q38" s="1030"/>
      <c r="R38" s="1031">
        <f t="shared" si="7"/>
        <v>37703949.079999998</v>
      </c>
    </row>
    <row r="39" spans="1:18" ht="18" x14ac:dyDescent="0.25">
      <c r="A39" s="743" t="s">
        <v>1329</v>
      </c>
      <c r="B39" s="743"/>
      <c r="C39" s="743">
        <v>215000</v>
      </c>
      <c r="D39" s="743"/>
      <c r="E39" s="743">
        <f>SUM(B39:D39)</f>
        <v>215000</v>
      </c>
      <c r="F39" s="805">
        <f>E39/G39</f>
        <v>2.3578511398025844E-4</v>
      </c>
      <c r="G39" s="484">
        <v>911847217.02999997</v>
      </c>
      <c r="H39" s="803"/>
      <c r="J39" s="1006" t="s">
        <v>1332</v>
      </c>
      <c r="K39" s="1007"/>
      <c r="L39" s="1006">
        <v>104157843.8</v>
      </c>
      <c r="M39" s="1006">
        <v>22650000</v>
      </c>
      <c r="N39" s="1006">
        <f t="shared" ref="N39:N52" si="8">SUM(K39:M39)</f>
        <v>126807843.8</v>
      </c>
      <c r="O39" s="1030"/>
      <c r="P39" s="1032">
        <f>N39</f>
        <v>126807843.8</v>
      </c>
      <c r="Q39" s="1030"/>
      <c r="R39" s="1031">
        <f t="shared" si="7"/>
        <v>126807843.8</v>
      </c>
    </row>
    <row r="40" spans="1:18" s="281" customFormat="1" ht="18" x14ac:dyDescent="0.25">
      <c r="A40" s="1517" t="s">
        <v>1458</v>
      </c>
      <c r="B40" s="1514"/>
      <c r="C40" s="735">
        <f>SUM(C37:C39)</f>
        <v>130614028.52</v>
      </c>
      <c r="D40" s="735">
        <f>SUM(D37:D39)</f>
        <v>34112764.359999999</v>
      </c>
      <c r="E40" s="735">
        <f>SUM(E37:E39)</f>
        <v>164726792.88</v>
      </c>
      <c r="F40" s="1522">
        <f>E40/G40</f>
        <v>0.18065174713866616</v>
      </c>
      <c r="G40" s="484">
        <v>911847217.02999997</v>
      </c>
      <c r="H40" s="803"/>
      <c r="J40" s="1008" t="s">
        <v>1333</v>
      </c>
      <c r="K40" s="1035">
        <f t="shared" ref="K40:Q40" si="9">SUM(K37:K39)</f>
        <v>0</v>
      </c>
      <c r="L40" s="488">
        <f t="shared" si="9"/>
        <v>130614028.52</v>
      </c>
      <c r="M40" s="488">
        <f t="shared" si="9"/>
        <v>34112764.359999999</v>
      </c>
      <c r="N40" s="488">
        <f t="shared" si="9"/>
        <v>164726792.88</v>
      </c>
      <c r="O40" s="1023">
        <f t="shared" si="9"/>
        <v>0</v>
      </c>
      <c r="P40" s="1023">
        <f t="shared" si="9"/>
        <v>164726792.88</v>
      </c>
      <c r="Q40" s="1023">
        <f t="shared" si="9"/>
        <v>0</v>
      </c>
      <c r="R40" s="1023">
        <f t="shared" si="7"/>
        <v>164726792.88</v>
      </c>
    </row>
    <row r="41" spans="1:18" ht="18" x14ac:dyDescent="0.25">
      <c r="A41" s="743"/>
      <c r="B41" s="743"/>
      <c r="C41" s="743"/>
      <c r="D41" s="743"/>
      <c r="E41" s="743"/>
      <c r="F41" s="1521"/>
      <c r="G41" s="484">
        <v>911847217.02999997</v>
      </c>
      <c r="H41" s="803"/>
      <c r="J41" s="1008"/>
      <c r="K41" s="1471"/>
      <c r="L41" s="488"/>
      <c r="M41" s="488"/>
      <c r="N41" s="488"/>
      <c r="O41" s="1023"/>
      <c r="P41" s="1023"/>
      <c r="Q41" s="1023"/>
      <c r="R41" s="1023"/>
    </row>
    <row r="42" spans="1:18" ht="18" x14ac:dyDescent="0.25">
      <c r="A42" s="732"/>
      <c r="B42" s="1518"/>
      <c r="C42" s="732"/>
      <c r="D42" s="732"/>
      <c r="E42" s="732"/>
      <c r="F42" s="1521"/>
      <c r="G42" s="484">
        <v>911847217.02999997</v>
      </c>
      <c r="H42" s="803"/>
      <c r="J42" s="1008" t="s">
        <v>1453</v>
      </c>
      <c r="K42" s="1471"/>
      <c r="L42" s="488"/>
      <c r="M42" s="488"/>
      <c r="N42" s="488"/>
      <c r="O42" s="1023"/>
      <c r="P42" s="1023"/>
      <c r="Q42" s="1023"/>
      <c r="R42" s="1023"/>
    </row>
    <row r="43" spans="1:18" ht="18" x14ac:dyDescent="0.25">
      <c r="A43" s="732"/>
      <c r="B43" s="1519">
        <v>199721075.78</v>
      </c>
      <c r="C43" s="1519">
        <f>C68+C34</f>
        <v>345644938.48000002</v>
      </c>
      <c r="D43" s="1519">
        <f>D68+D34</f>
        <v>48534600</v>
      </c>
      <c r="E43" s="732"/>
      <c r="F43" s="1521">
        <f>E58/G43</f>
        <v>2.2457580028262866E-2</v>
      </c>
      <c r="G43" s="484">
        <v>911847217.02999997</v>
      </c>
      <c r="H43" s="803"/>
      <c r="J43" s="1006" t="s">
        <v>2080</v>
      </c>
      <c r="K43" s="1472"/>
      <c r="L43" s="487">
        <v>750000</v>
      </c>
      <c r="M43" s="487"/>
      <c r="N43" s="1006">
        <f t="shared" ref="N43:N46" si="10">SUM(K43:M43)</f>
        <v>750000</v>
      </c>
      <c r="O43" s="1031"/>
      <c r="P43" s="1031">
        <f>L43</f>
        <v>750000</v>
      </c>
      <c r="Q43" s="1031"/>
      <c r="R43" s="1031">
        <f t="shared" si="7"/>
        <v>750000</v>
      </c>
    </row>
    <row r="44" spans="1:18" ht="18" x14ac:dyDescent="0.25">
      <c r="A44" s="732"/>
      <c r="B44" s="732"/>
      <c r="C44" s="1519"/>
      <c r="D44" s="1519"/>
      <c r="E44" s="732"/>
      <c r="F44" s="1521">
        <f>E59/G44</f>
        <v>5.7016130585272724E-2</v>
      </c>
      <c r="G44" s="484">
        <v>911847217.02999997</v>
      </c>
      <c r="H44" s="803"/>
      <c r="J44" s="1006" t="s">
        <v>2081</v>
      </c>
      <c r="K44" s="1472"/>
      <c r="L44" s="487">
        <v>650000</v>
      </c>
      <c r="M44" s="487"/>
      <c r="N44" s="1006">
        <f t="shared" si="10"/>
        <v>650000</v>
      </c>
      <c r="O44" s="1031"/>
      <c r="P44" s="1031">
        <f t="shared" ref="P44:P46" si="11">L44</f>
        <v>650000</v>
      </c>
      <c r="Q44" s="1031"/>
      <c r="R44" s="1031">
        <f t="shared" si="7"/>
        <v>650000</v>
      </c>
    </row>
    <row r="45" spans="1:18" ht="18.75" thickBot="1" x14ac:dyDescent="0.3">
      <c r="A45" s="733"/>
      <c r="B45" s="1520">
        <f>B43-B69</f>
        <v>6941452.9099999964</v>
      </c>
      <c r="C45" s="1520"/>
      <c r="D45" s="1520"/>
      <c r="E45" s="733"/>
      <c r="F45" s="1521">
        <f>E60/G45</f>
        <v>1.0221010522307018E-2</v>
      </c>
      <c r="G45" s="484">
        <v>911847217.02999997</v>
      </c>
      <c r="H45" s="803"/>
      <c r="J45" s="1006" t="s">
        <v>2082</v>
      </c>
      <c r="K45" s="1472"/>
      <c r="L45" s="487">
        <v>150000</v>
      </c>
      <c r="M45" s="487"/>
      <c r="N45" s="1006">
        <f t="shared" si="10"/>
        <v>150000</v>
      </c>
      <c r="O45" s="1031"/>
      <c r="P45" s="1031">
        <f t="shared" si="11"/>
        <v>150000</v>
      </c>
      <c r="Q45" s="1031"/>
      <c r="R45" s="1031">
        <f t="shared" si="7"/>
        <v>150000</v>
      </c>
    </row>
    <row r="46" spans="1:18" s="281" customFormat="1" ht="18" x14ac:dyDescent="0.25">
      <c r="A46" s="800"/>
      <c r="B46" s="1523"/>
      <c r="C46" s="1523"/>
      <c r="D46" s="1523"/>
      <c r="E46" s="1523">
        <v>833473836.08000004</v>
      </c>
      <c r="F46" s="1522">
        <f>E61/G46</f>
        <v>8.9694721135842606E-2</v>
      </c>
      <c r="G46" s="484">
        <v>911847217.02999997</v>
      </c>
      <c r="H46" s="803"/>
      <c r="J46" s="1006" t="s">
        <v>2083</v>
      </c>
      <c r="K46" s="1472"/>
      <c r="L46" s="487">
        <v>20000000</v>
      </c>
      <c r="M46" s="487"/>
      <c r="N46" s="1006">
        <f t="shared" si="10"/>
        <v>20000000</v>
      </c>
      <c r="O46" s="1031"/>
      <c r="P46" s="1031">
        <f t="shared" si="11"/>
        <v>20000000</v>
      </c>
      <c r="Q46" s="1031"/>
      <c r="R46" s="1031">
        <f t="shared" si="7"/>
        <v>20000000</v>
      </c>
    </row>
    <row r="47" spans="1:18" s="281" customFormat="1" ht="18" x14ac:dyDescent="0.25">
      <c r="A47" s="800"/>
      <c r="B47" s="1523"/>
      <c r="C47" s="1523"/>
      <c r="D47" s="1523"/>
      <c r="E47" s="1523"/>
      <c r="F47" s="1522"/>
      <c r="G47" s="484"/>
      <c r="H47" s="803"/>
      <c r="J47" s="1008" t="s">
        <v>208</v>
      </c>
      <c r="K47" s="1471"/>
      <c r="L47" s="488">
        <f t="shared" ref="L47:R47" si="12">SUM(L43:L46)</f>
        <v>21550000</v>
      </c>
      <c r="M47" s="488">
        <f t="shared" si="12"/>
        <v>0</v>
      </c>
      <c r="N47" s="488">
        <f t="shared" si="12"/>
        <v>21550000</v>
      </c>
      <c r="O47" s="488">
        <f t="shared" si="12"/>
        <v>0</v>
      </c>
      <c r="P47" s="488">
        <f t="shared" si="12"/>
        <v>21550000</v>
      </c>
      <c r="Q47" s="488">
        <f t="shared" si="12"/>
        <v>0</v>
      </c>
      <c r="R47" s="488">
        <f t="shared" si="12"/>
        <v>21550000</v>
      </c>
    </row>
    <row r="48" spans="1:18" s="281" customFormat="1" ht="18" x14ac:dyDescent="0.25">
      <c r="A48" s="800"/>
      <c r="B48" s="1523"/>
      <c r="C48" s="1523"/>
      <c r="D48" s="1523"/>
      <c r="E48" s="1523"/>
      <c r="F48" s="1522"/>
      <c r="G48" s="484"/>
      <c r="H48" s="803"/>
      <c r="J48" s="1008" t="s">
        <v>1524</v>
      </c>
      <c r="K48" s="1007"/>
      <c r="L48" s="1006"/>
      <c r="M48" s="1006"/>
      <c r="N48" s="1006">
        <f t="shared" si="8"/>
        <v>0</v>
      </c>
      <c r="O48" s="1030"/>
      <c r="P48" s="1030"/>
      <c r="Q48" s="1030"/>
      <c r="R48" s="1031">
        <f t="shared" si="7"/>
        <v>0</v>
      </c>
    </row>
    <row r="49" spans="1:18" s="281" customFormat="1" ht="18" x14ac:dyDescent="0.25">
      <c r="A49" s="800"/>
      <c r="B49" s="1523"/>
      <c r="C49" s="1523"/>
      <c r="D49" s="1523"/>
      <c r="E49" s="1523"/>
      <c r="F49" s="1522"/>
      <c r="G49" s="484"/>
      <c r="H49" s="803"/>
      <c r="J49" s="1006" t="s">
        <v>1335</v>
      </c>
      <c r="K49" s="1007"/>
      <c r="L49" s="1006">
        <v>16962000</v>
      </c>
      <c r="M49" s="1006"/>
      <c r="N49" s="1006">
        <f t="shared" si="8"/>
        <v>16962000</v>
      </c>
      <c r="O49" s="1030"/>
      <c r="P49" s="1032">
        <f>N49</f>
        <v>16962000</v>
      </c>
      <c r="Q49" s="1030"/>
      <c r="R49" s="1031">
        <f t="shared" si="7"/>
        <v>16962000</v>
      </c>
    </row>
    <row r="50" spans="1:18" s="281" customFormat="1" ht="18" x14ac:dyDescent="0.25">
      <c r="A50" s="800"/>
      <c r="B50" s="1523"/>
      <c r="C50" s="1523"/>
      <c r="D50" s="1523"/>
      <c r="E50" s="1523"/>
      <c r="F50" s="1522"/>
      <c r="G50" s="484"/>
      <c r="H50" s="803"/>
      <c r="J50" s="1006" t="s">
        <v>1236</v>
      </c>
      <c r="K50" s="1007"/>
      <c r="L50" s="1006">
        <v>2700000</v>
      </c>
      <c r="M50" s="1006"/>
      <c r="N50" s="1006">
        <f t="shared" si="8"/>
        <v>2700000</v>
      </c>
      <c r="O50" s="1030"/>
      <c r="P50" s="1030"/>
      <c r="Q50" s="1032">
        <f>N50</f>
        <v>2700000</v>
      </c>
      <c r="R50" s="1031">
        <f t="shared" si="7"/>
        <v>2700000</v>
      </c>
    </row>
    <row r="51" spans="1:18" s="281" customFormat="1" ht="18" x14ac:dyDescent="0.25">
      <c r="A51" s="490"/>
      <c r="B51" s="1505" t="s">
        <v>2099</v>
      </c>
      <c r="C51" s="792"/>
      <c r="D51" s="792"/>
      <c r="E51" s="792"/>
      <c r="F51" s="806"/>
      <c r="G51" s="484"/>
      <c r="H51" s="803"/>
      <c r="J51" s="1006" t="s">
        <v>1336</v>
      </c>
      <c r="K51" s="1007"/>
      <c r="L51" s="1006">
        <v>6620000</v>
      </c>
      <c r="M51" s="1006"/>
      <c r="N51" s="1006">
        <f t="shared" si="8"/>
        <v>6620000</v>
      </c>
      <c r="O51" s="1030"/>
      <c r="P51" s="1030"/>
      <c r="Q51" s="1032">
        <f>N51</f>
        <v>6620000</v>
      </c>
      <c r="R51" s="1031">
        <f t="shared" si="7"/>
        <v>6620000</v>
      </c>
    </row>
    <row r="52" spans="1:18" s="281" customFormat="1" ht="18" x14ac:dyDescent="0.25">
      <c r="A52" s="490"/>
      <c r="B52" s="792"/>
      <c r="C52" s="792"/>
      <c r="D52" s="792"/>
      <c r="E52" s="792"/>
      <c r="F52" s="806"/>
      <c r="G52" s="484"/>
      <c r="H52" s="803"/>
      <c r="J52" s="1006" t="s">
        <v>1337</v>
      </c>
      <c r="K52" s="1007"/>
      <c r="L52" s="1006">
        <v>11877279.85</v>
      </c>
      <c r="M52" s="1006"/>
      <c r="N52" s="1006">
        <f t="shared" si="8"/>
        <v>11877279.85</v>
      </c>
      <c r="O52" s="1033">
        <f>N52</f>
        <v>11877279.85</v>
      </c>
      <c r="P52" s="1034"/>
      <c r="Q52" s="1034"/>
      <c r="R52" s="1031">
        <f t="shared" si="7"/>
        <v>11877279.85</v>
      </c>
    </row>
    <row r="53" spans="1:18" s="281" customFormat="1" ht="18" x14ac:dyDescent="0.25">
      <c r="A53" s="490"/>
      <c r="B53" s="792"/>
      <c r="C53" s="792"/>
      <c r="D53" s="792"/>
      <c r="E53" s="792"/>
      <c r="F53" s="806">
        <f>E62/G53</f>
        <v>0.87784094103745547</v>
      </c>
      <c r="G53" s="484">
        <v>911847217.02999997</v>
      </c>
      <c r="H53" s="803"/>
      <c r="J53" s="1008" t="s">
        <v>1338</v>
      </c>
      <c r="K53" s="1009">
        <f t="shared" ref="K53:Q53" si="13">SUM(K49:K52)</f>
        <v>0</v>
      </c>
      <c r="L53" s="1008">
        <f t="shared" si="13"/>
        <v>38159279.850000001</v>
      </c>
      <c r="M53" s="1008">
        <f t="shared" si="13"/>
        <v>0</v>
      </c>
      <c r="N53" s="1008">
        <f t="shared" si="13"/>
        <v>38159279.850000001</v>
      </c>
      <c r="O53" s="1023">
        <f t="shared" si="13"/>
        <v>11877279.85</v>
      </c>
      <c r="P53" s="1023">
        <f>SUM(P49:P52)</f>
        <v>16962000</v>
      </c>
      <c r="Q53" s="1023">
        <f t="shared" si="13"/>
        <v>9320000</v>
      </c>
      <c r="R53" s="1023">
        <f t="shared" si="7"/>
        <v>38159279.850000001</v>
      </c>
    </row>
    <row r="54" spans="1:18" ht="36" x14ac:dyDescent="0.25">
      <c r="B54" s="792"/>
      <c r="C54" s="792"/>
      <c r="D54" s="792"/>
      <c r="E54" s="792"/>
      <c r="F54" s="805"/>
      <c r="G54" s="484">
        <v>911847217.02999997</v>
      </c>
      <c r="H54" s="803">
        <f>B63/G54</f>
        <v>0</v>
      </c>
      <c r="J54" s="1003" t="s">
        <v>1320</v>
      </c>
      <c r="K54" s="1020" t="s">
        <v>1331</v>
      </c>
      <c r="L54" s="1021" t="s">
        <v>163</v>
      </c>
      <c r="M54" s="1021" t="s">
        <v>201</v>
      </c>
      <c r="N54" s="1003" t="s">
        <v>208</v>
      </c>
      <c r="O54" s="1022" t="s">
        <v>1317</v>
      </c>
      <c r="P54" s="1022" t="s">
        <v>1515</v>
      </c>
      <c r="Q54" s="1022" t="s">
        <v>1318</v>
      </c>
      <c r="R54" s="1022" t="s">
        <v>208</v>
      </c>
    </row>
    <row r="55" spans="1:18" ht="18.75" thickBot="1" x14ac:dyDescent="0.3">
      <c r="B55" s="792"/>
      <c r="C55" s="792"/>
      <c r="D55" s="792"/>
      <c r="E55" s="792"/>
      <c r="F55" s="805"/>
      <c r="G55" s="484">
        <v>911847217.02999997</v>
      </c>
      <c r="H55" s="803">
        <f>B64/G55</f>
        <v>0</v>
      </c>
      <c r="J55" s="1008" t="s">
        <v>1525</v>
      </c>
      <c r="K55" s="1007"/>
      <c r="L55" s="1006"/>
      <c r="M55" s="1006"/>
      <c r="N55" s="1006"/>
      <c r="O55" s="1030"/>
      <c r="P55" s="1030"/>
      <c r="Q55" s="1030"/>
      <c r="R55" s="1031">
        <f t="shared" si="7"/>
        <v>0</v>
      </c>
    </row>
    <row r="56" spans="1:18" ht="32.25" thickBot="1" x14ac:dyDescent="0.3">
      <c r="A56" s="791" t="s">
        <v>1320</v>
      </c>
      <c r="B56" s="731" t="s">
        <v>1331</v>
      </c>
      <c r="C56" s="1015" t="s">
        <v>163</v>
      </c>
      <c r="D56" s="731" t="s">
        <v>1484</v>
      </c>
      <c r="E56" s="773" t="s">
        <v>208</v>
      </c>
      <c r="F56" s="805">
        <f>E65/G56</f>
        <v>2.0781740927742012E-2</v>
      </c>
      <c r="G56" s="484">
        <v>911847217.02999997</v>
      </c>
      <c r="H56" s="803">
        <f>B65/G56</f>
        <v>7.5650915209987948E-3</v>
      </c>
      <c r="J56" s="1006" t="s">
        <v>1341</v>
      </c>
      <c r="K56" s="1007"/>
      <c r="L56" s="1006">
        <v>300000</v>
      </c>
      <c r="M56" s="1006"/>
      <c r="N56" s="1006">
        <f t="shared" ref="N56:N90" si="14">SUM(K56:M56)</f>
        <v>300000</v>
      </c>
      <c r="O56" s="1032">
        <f>N56</f>
        <v>300000</v>
      </c>
      <c r="P56" s="1030"/>
      <c r="Q56" s="1030"/>
      <c r="R56" s="1031">
        <f t="shared" si="7"/>
        <v>300000</v>
      </c>
    </row>
    <row r="57" spans="1:18" ht="18" x14ac:dyDescent="0.25">
      <c r="A57" s="1346" t="s">
        <v>1453</v>
      </c>
      <c r="B57" s="743"/>
      <c r="C57" s="743"/>
      <c r="D57" s="743"/>
      <c r="E57" s="743">
        <f>SUM(B57:D57)</f>
        <v>0</v>
      </c>
      <c r="F57" s="805">
        <f>E66/G57</f>
        <v>7.7782478440866403E-3</v>
      </c>
      <c r="G57" s="484">
        <v>911847217.02999997</v>
      </c>
      <c r="H57" s="803">
        <f>B66/G57</f>
        <v>4.1669253785472623E-3</v>
      </c>
      <c r="J57" s="1006" t="s">
        <v>1342</v>
      </c>
      <c r="K57" s="1007"/>
      <c r="L57" s="1006">
        <v>136600</v>
      </c>
      <c r="M57" s="1006"/>
      <c r="N57" s="1006">
        <f t="shared" si="14"/>
        <v>136600</v>
      </c>
      <c r="O57" s="1032">
        <f t="shared" ref="O57:O70" si="15">N57</f>
        <v>136600</v>
      </c>
      <c r="P57" s="1034"/>
      <c r="Q57" s="1034"/>
      <c r="R57" s="1031">
        <f t="shared" si="7"/>
        <v>136600</v>
      </c>
    </row>
    <row r="58" spans="1:18" ht="18" x14ac:dyDescent="0.25">
      <c r="A58" s="1343" t="s">
        <v>1360</v>
      </c>
      <c r="B58" s="743"/>
      <c r="C58" s="743">
        <v>20477881.850000001</v>
      </c>
      <c r="D58" s="743"/>
      <c r="E58" s="743">
        <f>SUM(B58:D58)</f>
        <v>20477881.850000001</v>
      </c>
      <c r="F58" s="805">
        <f>E67/G58</f>
        <v>7.6489466543719587E-3</v>
      </c>
      <c r="G58" s="484">
        <v>911847217.02999997</v>
      </c>
      <c r="H58" s="803">
        <f>B67/G58</f>
        <v>6.1826856678496821E-3</v>
      </c>
      <c r="J58" s="1006" t="s">
        <v>1343</v>
      </c>
      <c r="K58" s="1007"/>
      <c r="L58" s="1006">
        <v>220000</v>
      </c>
      <c r="M58" s="1006"/>
      <c r="N58" s="1006">
        <f t="shared" si="14"/>
        <v>220000</v>
      </c>
      <c r="O58" s="1032">
        <f t="shared" si="15"/>
        <v>220000</v>
      </c>
      <c r="P58" s="1034"/>
      <c r="Q58" s="1034"/>
      <c r="R58" s="1031">
        <f t="shared" si="7"/>
        <v>220000</v>
      </c>
    </row>
    <row r="59" spans="1:18" s="281" customFormat="1" ht="18" x14ac:dyDescent="0.25">
      <c r="A59" s="1343" t="s">
        <v>1335</v>
      </c>
      <c r="B59" s="743"/>
      <c r="C59" s="743">
        <f>30440000+750000+650000+150000+20000000</f>
        <v>51990000</v>
      </c>
      <c r="D59" s="743"/>
      <c r="E59" s="743">
        <f>SUM(B59:D59)</f>
        <v>51990000</v>
      </c>
      <c r="F59" s="806">
        <f>E68/G59</f>
        <v>3.6208935426200607E-2</v>
      </c>
      <c r="G59" s="484">
        <v>911847217.02999997</v>
      </c>
      <c r="J59" s="1006" t="s">
        <v>1344</v>
      </c>
      <c r="K59" s="1007"/>
      <c r="L59" s="1006">
        <v>212000</v>
      </c>
      <c r="M59" s="1006"/>
      <c r="N59" s="1006">
        <f t="shared" si="14"/>
        <v>212000</v>
      </c>
      <c r="O59" s="1032">
        <f t="shared" si="15"/>
        <v>212000</v>
      </c>
      <c r="P59" s="1030"/>
      <c r="Q59" s="1030"/>
      <c r="R59" s="1031">
        <f t="shared" si="7"/>
        <v>212000</v>
      </c>
    </row>
    <row r="60" spans="1:18" s="281" customFormat="1" ht="18.75" thickBot="1" x14ac:dyDescent="0.3">
      <c r="A60" s="1343" t="s">
        <v>1425</v>
      </c>
      <c r="B60" s="743"/>
      <c r="C60" s="743">
        <v>9320000</v>
      </c>
      <c r="D60" s="743"/>
      <c r="E60" s="743">
        <f>SUM(B60:D60)</f>
        <v>9320000</v>
      </c>
      <c r="F60" s="807">
        <f>E69/G60</f>
        <v>0.9140498764636561</v>
      </c>
      <c r="G60" s="484">
        <v>911847217.02999997</v>
      </c>
      <c r="J60" s="1006" t="s">
        <v>1345</v>
      </c>
      <c r="K60" s="1007"/>
      <c r="L60" s="1006">
        <v>105000</v>
      </c>
      <c r="M60" s="1006"/>
      <c r="N60" s="1006">
        <f t="shared" si="14"/>
        <v>105000</v>
      </c>
      <c r="O60" s="1032">
        <f t="shared" si="15"/>
        <v>105000</v>
      </c>
      <c r="P60" s="1030"/>
      <c r="Q60" s="1030"/>
      <c r="R60" s="1031">
        <f t="shared" si="7"/>
        <v>105000</v>
      </c>
    </row>
    <row r="61" spans="1:18" ht="18" x14ac:dyDescent="0.25">
      <c r="A61" s="1524" t="s">
        <v>1479</v>
      </c>
      <c r="B61" s="735"/>
      <c r="C61" s="735">
        <f>SUM(C58:C60)</f>
        <v>81787881.849999994</v>
      </c>
      <c r="D61" s="735">
        <f>SUM(D58:D60)</f>
        <v>0</v>
      </c>
      <c r="E61" s="735">
        <f>SUM(E58:E60)</f>
        <v>81787881.849999994</v>
      </c>
      <c r="J61" s="1006" t="s">
        <v>1346</v>
      </c>
      <c r="K61" s="1007"/>
      <c r="L61" s="1006">
        <v>695000</v>
      </c>
      <c r="M61" s="1006"/>
      <c r="N61" s="1006">
        <f t="shared" si="14"/>
        <v>695000</v>
      </c>
      <c r="O61" s="1032">
        <f t="shared" si="15"/>
        <v>695000</v>
      </c>
      <c r="P61" s="1030"/>
      <c r="Q61" s="1030"/>
      <c r="R61" s="1031">
        <f t="shared" si="7"/>
        <v>695000</v>
      </c>
    </row>
    <row r="62" spans="1:18" ht="18" x14ac:dyDescent="0.25">
      <c r="A62" s="1346" t="s">
        <v>1260</v>
      </c>
      <c r="B62" s="735">
        <f>B61+B40+B34</f>
        <v>176444151.19</v>
      </c>
      <c r="C62" s="735">
        <f>C61+C40+C34</f>
        <v>542207303.52999997</v>
      </c>
      <c r="D62" s="735">
        <f>D61+D40+D34</f>
        <v>81805364.359999999</v>
      </c>
      <c r="E62" s="735">
        <f>E61+E40+E34</f>
        <v>800456819.08000004</v>
      </c>
      <c r="H62" s="804">
        <f>SUM(H4:H61)</f>
        <v>0.21141658303011243</v>
      </c>
      <c r="J62" s="1006" t="s">
        <v>1347</v>
      </c>
      <c r="K62" s="1007"/>
      <c r="L62" s="1006">
        <v>196000</v>
      </c>
      <c r="M62" s="1006"/>
      <c r="N62" s="1006">
        <f t="shared" si="14"/>
        <v>196000</v>
      </c>
      <c r="O62" s="1032">
        <f t="shared" si="15"/>
        <v>196000</v>
      </c>
      <c r="P62" s="1030"/>
      <c r="Q62" s="1030"/>
      <c r="R62" s="1031">
        <f t="shared" si="7"/>
        <v>196000</v>
      </c>
    </row>
    <row r="63" spans="1:18" ht="18" x14ac:dyDescent="0.25">
      <c r="A63" s="1343"/>
      <c r="B63" s="743"/>
      <c r="C63" s="743"/>
      <c r="D63" s="743"/>
      <c r="E63" s="743"/>
      <c r="H63" s="804"/>
      <c r="J63" s="1006" t="s">
        <v>1348</v>
      </c>
      <c r="K63" s="1007"/>
      <c r="L63" s="1006">
        <v>650002</v>
      </c>
      <c r="M63" s="1006"/>
      <c r="N63" s="1006">
        <f t="shared" si="14"/>
        <v>650002</v>
      </c>
      <c r="O63" s="1032">
        <f t="shared" si="15"/>
        <v>650002</v>
      </c>
      <c r="P63" s="1030"/>
      <c r="Q63" s="1030"/>
      <c r="R63" s="1031">
        <f t="shared" si="7"/>
        <v>650002</v>
      </c>
    </row>
    <row r="64" spans="1:18" ht="18" x14ac:dyDescent="0.25">
      <c r="A64" s="1346" t="s">
        <v>1364</v>
      </c>
      <c r="B64" s="743"/>
      <c r="C64" s="743"/>
      <c r="D64" s="743"/>
      <c r="E64" s="743"/>
      <c r="J64" s="1006" t="s">
        <v>1349</v>
      </c>
      <c r="K64" s="1007"/>
      <c r="L64" s="1006">
        <v>175000</v>
      </c>
      <c r="M64" s="1006"/>
      <c r="N64" s="1006">
        <f t="shared" si="14"/>
        <v>175000</v>
      </c>
      <c r="O64" s="1032">
        <f t="shared" si="15"/>
        <v>175000</v>
      </c>
      <c r="P64" s="1030"/>
      <c r="Q64" s="1030"/>
      <c r="R64" s="1031">
        <f t="shared" si="7"/>
        <v>175000</v>
      </c>
    </row>
    <row r="65" spans="1:18" ht="18" x14ac:dyDescent="0.25">
      <c r="A65" s="1343" t="s">
        <v>1483</v>
      </c>
      <c r="B65" s="743">
        <v>6898207.6500000004</v>
      </c>
      <c r="C65" s="743">
        <v>11729564.98</v>
      </c>
      <c r="D65" s="743">
        <v>322000</v>
      </c>
      <c r="E65" s="743">
        <f>SUM(B65:D65)</f>
        <v>18949772.630000003</v>
      </c>
      <c r="J65" s="1006" t="s">
        <v>1350</v>
      </c>
      <c r="K65" s="1007"/>
      <c r="L65" s="1006">
        <v>3400000</v>
      </c>
      <c r="M65" s="1006"/>
      <c r="N65" s="1006">
        <f t="shared" si="14"/>
        <v>3400000</v>
      </c>
      <c r="O65" s="1032">
        <f t="shared" si="15"/>
        <v>3400000</v>
      </c>
      <c r="P65" s="1030"/>
      <c r="Q65" s="1030"/>
      <c r="R65" s="1031">
        <f t="shared" si="7"/>
        <v>3400000</v>
      </c>
    </row>
    <row r="66" spans="1:18" ht="36" customHeight="1" x14ac:dyDescent="0.25">
      <c r="A66" s="1498" t="s">
        <v>1283</v>
      </c>
      <c r="B66" s="743">
        <v>3799599.31</v>
      </c>
      <c r="C66" s="743">
        <v>3142974.34</v>
      </c>
      <c r="D66" s="743">
        <v>150000</v>
      </c>
      <c r="E66" s="743">
        <f>SUM(B66:D66)</f>
        <v>7092573.6500000004</v>
      </c>
      <c r="J66" s="1006" t="s">
        <v>1351</v>
      </c>
      <c r="K66" s="1007"/>
      <c r="L66" s="1006">
        <v>1164000</v>
      </c>
      <c r="M66" s="1006"/>
      <c r="N66" s="1006">
        <f t="shared" si="14"/>
        <v>1164000</v>
      </c>
      <c r="O66" s="1032">
        <f t="shared" si="15"/>
        <v>1164000</v>
      </c>
      <c r="P66" s="1030"/>
      <c r="Q66" s="1030"/>
      <c r="R66" s="1031">
        <f t="shared" si="7"/>
        <v>1164000</v>
      </c>
    </row>
    <row r="67" spans="1:18" ht="18" x14ac:dyDescent="0.25">
      <c r="A67" s="1525" t="s">
        <v>1326</v>
      </c>
      <c r="B67" s="1513">
        <v>5637664.7199999997</v>
      </c>
      <c r="C67" s="1513">
        <v>967006</v>
      </c>
      <c r="D67" s="1513">
        <v>370000</v>
      </c>
      <c r="E67" s="1513">
        <f>SUM(B67:D67)</f>
        <v>6974670.7199999997</v>
      </c>
      <c r="J67" s="1006" t="s">
        <v>1352</v>
      </c>
      <c r="K67" s="1007"/>
      <c r="L67" s="1006">
        <v>216000</v>
      </c>
      <c r="M67" s="1006"/>
      <c r="N67" s="1006">
        <f t="shared" si="14"/>
        <v>216000</v>
      </c>
      <c r="O67" s="1032">
        <f t="shared" si="15"/>
        <v>216000</v>
      </c>
      <c r="P67" s="1030"/>
      <c r="Q67" s="1030"/>
      <c r="R67" s="1031">
        <f t="shared" si="7"/>
        <v>216000</v>
      </c>
    </row>
    <row r="68" spans="1:18" ht="18" x14ac:dyDescent="0.25">
      <c r="A68" s="1526" t="s">
        <v>1312</v>
      </c>
      <c r="B68" s="735">
        <f>SUM(B65:B67)</f>
        <v>16335471.68</v>
      </c>
      <c r="C68" s="735">
        <f>SUM(C65:C67)</f>
        <v>15839545.32</v>
      </c>
      <c r="D68" s="735">
        <f>SUM(D65:D67)</f>
        <v>842000</v>
      </c>
      <c r="E68" s="735">
        <f>SUM(E65:E67)</f>
        <v>33017017</v>
      </c>
      <c r="J68" s="1006" t="s">
        <v>1353</v>
      </c>
      <c r="K68" s="1007"/>
      <c r="L68" s="1006">
        <v>981000</v>
      </c>
      <c r="M68" s="1006"/>
      <c r="N68" s="1006">
        <f t="shared" si="14"/>
        <v>981000</v>
      </c>
      <c r="O68" s="1032">
        <f t="shared" si="15"/>
        <v>981000</v>
      </c>
      <c r="P68" s="1030"/>
      <c r="Q68" s="1030"/>
      <c r="R68" s="1031">
        <f t="shared" si="7"/>
        <v>981000</v>
      </c>
    </row>
    <row r="69" spans="1:18" ht="18.75" thickBot="1" x14ac:dyDescent="0.3">
      <c r="A69" s="1527" t="s">
        <v>1313</v>
      </c>
      <c r="B69" s="790">
        <f>B62+B68</f>
        <v>192779622.87</v>
      </c>
      <c r="C69" s="790">
        <f>C62+C68</f>
        <v>558046848.85000002</v>
      </c>
      <c r="D69" s="790">
        <f>D62+D68</f>
        <v>82647364.359999999</v>
      </c>
      <c r="E69" s="790">
        <f>E62+E68</f>
        <v>833473836.08000004</v>
      </c>
      <c r="J69" s="1006" t="s">
        <v>1354</v>
      </c>
      <c r="K69" s="1007"/>
      <c r="L69" s="1006">
        <v>150000</v>
      </c>
      <c r="M69" s="1006"/>
      <c r="N69" s="1006">
        <f t="shared" si="14"/>
        <v>150000</v>
      </c>
      <c r="O69" s="1032">
        <f t="shared" si="15"/>
        <v>150000</v>
      </c>
      <c r="P69" s="1030"/>
      <c r="Q69" s="1030"/>
      <c r="R69" s="1031">
        <f t="shared" si="7"/>
        <v>150000</v>
      </c>
    </row>
    <row r="70" spans="1:18" ht="18" x14ac:dyDescent="0.25">
      <c r="B70" s="792"/>
      <c r="C70" s="792"/>
      <c r="D70" s="792"/>
      <c r="E70" s="792"/>
      <c r="J70" s="1006" t="s">
        <v>1355</v>
      </c>
      <c r="K70" s="1007"/>
      <c r="L70" s="1006"/>
      <c r="M70" s="1006"/>
      <c r="N70" s="1006">
        <f t="shared" si="14"/>
        <v>0</v>
      </c>
      <c r="O70" s="1032">
        <f t="shared" si="15"/>
        <v>0</v>
      </c>
      <c r="P70" s="1030"/>
      <c r="Q70" s="1030"/>
      <c r="R70" s="1031">
        <f t="shared" si="7"/>
        <v>0</v>
      </c>
    </row>
    <row r="71" spans="1:18" ht="18" x14ac:dyDescent="0.25">
      <c r="B71" s="792"/>
      <c r="C71" s="792"/>
      <c r="D71" s="792"/>
      <c r="E71" s="792"/>
      <c r="J71" s="1006" t="s">
        <v>1356</v>
      </c>
      <c r="K71" s="1007"/>
      <c r="L71" s="1006">
        <v>13478000</v>
      </c>
      <c r="M71" s="1006"/>
      <c r="N71" s="1006">
        <f t="shared" si="14"/>
        <v>13478000</v>
      </c>
      <c r="O71" s="1032"/>
      <c r="P71" s="1032">
        <f>N71</f>
        <v>13478000</v>
      </c>
      <c r="Q71" s="1030"/>
      <c r="R71" s="1031">
        <f t="shared" si="7"/>
        <v>13478000</v>
      </c>
    </row>
    <row r="72" spans="1:18" ht="18" x14ac:dyDescent="0.25">
      <c r="B72" s="792"/>
      <c r="C72" s="792"/>
      <c r="D72" s="792"/>
      <c r="E72" s="792"/>
      <c r="J72" s="1006" t="s">
        <v>1357</v>
      </c>
      <c r="K72" s="1007"/>
      <c r="L72" s="1006"/>
      <c r="M72" s="1006"/>
      <c r="N72" s="1006">
        <f t="shared" si="14"/>
        <v>0</v>
      </c>
      <c r="O72" s="1030"/>
      <c r="P72" s="1032">
        <f>N72</f>
        <v>0</v>
      </c>
      <c r="Q72" s="1030"/>
      <c r="R72" s="1031">
        <f t="shared" si="7"/>
        <v>0</v>
      </c>
    </row>
    <row r="73" spans="1:18" ht="18" x14ac:dyDescent="0.25">
      <c r="B73" s="792"/>
      <c r="C73" s="792"/>
      <c r="D73" s="792"/>
      <c r="E73" s="792"/>
      <c r="J73" s="1006" t="s">
        <v>993</v>
      </c>
      <c r="K73" s="1007"/>
      <c r="L73" s="1006"/>
      <c r="M73" s="1006"/>
      <c r="N73" s="1006">
        <f t="shared" si="14"/>
        <v>0</v>
      </c>
      <c r="O73" s="1032">
        <f>N73</f>
        <v>0</v>
      </c>
      <c r="P73" s="1030"/>
      <c r="Q73" s="1030"/>
      <c r="R73" s="1031">
        <f t="shared" si="7"/>
        <v>0</v>
      </c>
    </row>
    <row r="74" spans="1:18" ht="18" x14ac:dyDescent="0.25">
      <c r="B74" s="792"/>
      <c r="C74" s="792"/>
      <c r="D74" s="792"/>
      <c r="E74" s="792"/>
      <c r="J74" s="1006" t="s">
        <v>1358</v>
      </c>
      <c r="K74" s="1007"/>
      <c r="L74" s="1006"/>
      <c r="M74" s="1006"/>
      <c r="N74" s="1006">
        <f t="shared" si="14"/>
        <v>0</v>
      </c>
      <c r="O74" s="1030"/>
      <c r="P74" s="1030"/>
      <c r="Q74" s="1032">
        <f>N74</f>
        <v>0</v>
      </c>
      <c r="R74" s="1031">
        <f t="shared" si="7"/>
        <v>0</v>
      </c>
    </row>
    <row r="75" spans="1:18" ht="18" x14ac:dyDescent="0.25">
      <c r="A75" s="772" t="s">
        <v>2058</v>
      </c>
      <c r="B75" s="792"/>
      <c r="C75" s="792"/>
      <c r="D75" s="792"/>
      <c r="J75" s="1006" t="s">
        <v>1021</v>
      </c>
      <c r="K75" s="1007"/>
      <c r="L75" s="1006"/>
      <c r="M75" s="1006"/>
      <c r="N75" s="1006">
        <f t="shared" si="14"/>
        <v>0</v>
      </c>
      <c r="O75" s="1032">
        <f>N75</f>
        <v>0</v>
      </c>
      <c r="P75" s="1030"/>
      <c r="Q75" s="1030"/>
      <c r="R75" s="1031">
        <f t="shared" si="7"/>
        <v>0</v>
      </c>
    </row>
    <row r="76" spans="1:18" ht="18" x14ac:dyDescent="0.25">
      <c r="A76" s="1696" t="s">
        <v>2059</v>
      </c>
      <c r="B76" s="1696"/>
      <c r="C76" s="1696"/>
      <c r="D76" s="1696"/>
      <c r="E76" s="1696"/>
      <c r="J76" s="1006" t="s">
        <v>1028</v>
      </c>
      <c r="K76" s="1007"/>
      <c r="L76" s="1006">
        <v>0</v>
      </c>
      <c r="M76" s="1006"/>
      <c r="N76" s="1006">
        <f t="shared" si="14"/>
        <v>0</v>
      </c>
      <c r="O76" s="1030"/>
      <c r="P76" s="1030"/>
      <c r="Q76" s="1032">
        <f>N76</f>
        <v>0</v>
      </c>
      <c r="R76" s="1031">
        <f t="shared" si="7"/>
        <v>0</v>
      </c>
    </row>
    <row r="77" spans="1:18" ht="18.75" thickBot="1" x14ac:dyDescent="0.3">
      <c r="J77" s="1006" t="s">
        <v>1321</v>
      </c>
      <c r="K77" s="1007"/>
      <c r="L77" s="1006"/>
      <c r="M77" s="1006"/>
      <c r="N77" s="1006">
        <f t="shared" si="14"/>
        <v>0</v>
      </c>
      <c r="O77" s="1030"/>
      <c r="P77" s="1032">
        <f>N77</f>
        <v>0</v>
      </c>
      <c r="Q77" s="1030"/>
      <c r="R77" s="1031">
        <f t="shared" si="7"/>
        <v>0</v>
      </c>
    </row>
    <row r="78" spans="1:18" ht="18.75" thickBot="1" x14ac:dyDescent="0.3">
      <c r="A78" s="1693" t="s">
        <v>4</v>
      </c>
      <c r="B78" s="1694"/>
      <c r="C78" s="1695" t="s">
        <v>2047</v>
      </c>
      <c r="D78" s="1695"/>
      <c r="E78" s="1694"/>
      <c r="J78" s="1006" t="s">
        <v>1359</v>
      </c>
      <c r="K78" s="1007"/>
      <c r="L78" s="1006"/>
      <c r="M78" s="1006"/>
      <c r="N78" s="1006">
        <f t="shared" si="14"/>
        <v>0</v>
      </c>
      <c r="O78" s="1032">
        <f>N78</f>
        <v>0</v>
      </c>
      <c r="P78" s="1030"/>
      <c r="Q78" s="1030"/>
      <c r="R78" s="1031">
        <f t="shared" si="7"/>
        <v>0</v>
      </c>
    </row>
    <row r="79" spans="1:18" ht="18" x14ac:dyDescent="0.25">
      <c r="A79" s="783"/>
      <c r="B79" s="800"/>
      <c r="C79" s="800"/>
      <c r="D79" s="800"/>
      <c r="E79" s="1017"/>
      <c r="J79" s="1006" t="s">
        <v>27</v>
      </c>
      <c r="K79" s="1007"/>
      <c r="L79" s="1006">
        <v>0</v>
      </c>
      <c r="M79" s="1006"/>
      <c r="N79" s="1006">
        <f t="shared" si="14"/>
        <v>0</v>
      </c>
      <c r="O79" s="1032">
        <f>N79</f>
        <v>0</v>
      </c>
      <c r="P79" s="1030"/>
      <c r="Q79" s="1030"/>
      <c r="R79" s="1031">
        <f t="shared" si="7"/>
        <v>0</v>
      </c>
    </row>
    <row r="80" spans="1:18" ht="18" x14ac:dyDescent="0.25">
      <c r="A80" s="1343" t="s">
        <v>2048</v>
      </c>
      <c r="B80" s="1344"/>
      <c r="C80" s="1344"/>
      <c r="D80" s="1344"/>
      <c r="E80" s="1011"/>
      <c r="J80" s="1006" t="s">
        <v>1360</v>
      </c>
      <c r="K80" s="1007"/>
      <c r="L80" s="1006"/>
      <c r="M80" s="1006"/>
      <c r="N80" s="1006">
        <f t="shared" si="14"/>
        <v>0</v>
      </c>
      <c r="O80" s="1032">
        <f>N80</f>
        <v>0</v>
      </c>
      <c r="P80" s="1030"/>
      <c r="Q80" s="1030"/>
      <c r="R80" s="1031">
        <f t="shared" si="7"/>
        <v>0</v>
      </c>
    </row>
    <row r="81" spans="1:18" ht="18" x14ac:dyDescent="0.25">
      <c r="A81" s="1343" t="s">
        <v>17</v>
      </c>
      <c r="B81" s="1344"/>
      <c r="C81" s="1344"/>
      <c r="D81" s="1344"/>
      <c r="E81" s="1011"/>
      <c r="J81" s="1006" t="s">
        <v>33</v>
      </c>
      <c r="K81" s="1007"/>
      <c r="L81" s="1006"/>
      <c r="M81" s="1006"/>
      <c r="N81" s="1006">
        <f t="shared" si="14"/>
        <v>0</v>
      </c>
      <c r="O81" s="1032">
        <f>N81</f>
        <v>0</v>
      </c>
      <c r="P81" s="1030"/>
      <c r="Q81" s="1030"/>
      <c r="R81" s="1031">
        <f t="shared" si="7"/>
        <v>0</v>
      </c>
    </row>
    <row r="82" spans="1:18" ht="18" x14ac:dyDescent="0.25">
      <c r="A82" s="1343" t="s">
        <v>2056</v>
      </c>
      <c r="B82" s="1344"/>
      <c r="C82" s="1689">
        <v>5152805.9000000004</v>
      </c>
      <c r="D82" s="1689"/>
      <c r="E82" s="1690"/>
      <c r="J82" s="1006" t="s">
        <v>35</v>
      </c>
      <c r="K82" s="1007"/>
      <c r="L82" s="1006"/>
      <c r="M82" s="1006"/>
      <c r="N82" s="1006">
        <f t="shared" si="14"/>
        <v>0</v>
      </c>
      <c r="O82" s="1030"/>
      <c r="P82" s="1032">
        <f t="shared" ref="P82:P88" si="16">N82</f>
        <v>0</v>
      </c>
      <c r="Q82" s="1030"/>
      <c r="R82" s="1031">
        <f t="shared" si="7"/>
        <v>0</v>
      </c>
    </row>
    <row r="83" spans="1:18" ht="18" x14ac:dyDescent="0.25">
      <c r="A83" s="1343" t="s">
        <v>2055</v>
      </c>
      <c r="B83" s="1344"/>
      <c r="C83" s="1689">
        <v>14002220.1</v>
      </c>
      <c r="D83" s="1689"/>
      <c r="E83" s="1690"/>
      <c r="J83" s="1006" t="s">
        <v>1322</v>
      </c>
      <c r="K83" s="1007"/>
      <c r="L83" s="1006"/>
      <c r="M83" s="1006"/>
      <c r="N83" s="1006">
        <f t="shared" si="14"/>
        <v>0</v>
      </c>
      <c r="O83" s="1030"/>
      <c r="P83" s="1032">
        <f t="shared" si="16"/>
        <v>0</v>
      </c>
      <c r="Q83" s="1030"/>
      <c r="R83" s="1031">
        <f t="shared" si="7"/>
        <v>0</v>
      </c>
    </row>
    <row r="84" spans="1:18" ht="18" x14ac:dyDescent="0.25">
      <c r="A84" s="1343" t="s">
        <v>2049</v>
      </c>
      <c r="B84" s="1344"/>
      <c r="C84" s="1689">
        <v>535200</v>
      </c>
      <c r="D84" s="1689"/>
      <c r="E84" s="1690"/>
      <c r="J84" s="1006" t="s">
        <v>1527</v>
      </c>
      <c r="K84" s="1007"/>
      <c r="L84" s="1006"/>
      <c r="M84" s="1006"/>
      <c r="N84" s="1006">
        <f t="shared" si="14"/>
        <v>0</v>
      </c>
      <c r="O84" s="1030"/>
      <c r="P84" s="1032">
        <f t="shared" si="16"/>
        <v>0</v>
      </c>
      <c r="Q84" s="1030"/>
      <c r="R84" s="1031">
        <f t="shared" si="7"/>
        <v>0</v>
      </c>
    </row>
    <row r="85" spans="1:18" ht="18" x14ac:dyDescent="0.25">
      <c r="A85" s="1343" t="s">
        <v>2057</v>
      </c>
      <c r="B85" s="1344"/>
      <c r="C85" s="1689">
        <v>2604634.37</v>
      </c>
      <c r="D85" s="1689"/>
      <c r="E85" s="1690"/>
      <c r="J85" s="1006" t="s">
        <v>1368</v>
      </c>
      <c r="K85" s="1007"/>
      <c r="L85" s="1006"/>
      <c r="M85" s="1006"/>
      <c r="N85" s="1006">
        <f t="shared" si="14"/>
        <v>0</v>
      </c>
      <c r="O85" s="1030"/>
      <c r="P85" s="1032">
        <f t="shared" si="16"/>
        <v>0</v>
      </c>
      <c r="Q85" s="1030"/>
      <c r="R85" s="1031">
        <f t="shared" si="7"/>
        <v>0</v>
      </c>
    </row>
    <row r="86" spans="1:18" ht="18" customHeight="1" x14ac:dyDescent="0.25">
      <c r="A86" s="1343" t="s">
        <v>2054</v>
      </c>
      <c r="B86" s="1344"/>
      <c r="C86" s="1689">
        <v>535200</v>
      </c>
      <c r="D86" s="1689"/>
      <c r="E86" s="1690"/>
      <c r="J86" s="1006" t="s">
        <v>1528</v>
      </c>
      <c r="K86" s="1007"/>
      <c r="L86" s="1006"/>
      <c r="M86" s="1006"/>
      <c r="N86" s="1006">
        <f t="shared" si="14"/>
        <v>0</v>
      </c>
      <c r="O86" s="1030"/>
      <c r="P86" s="1032">
        <f t="shared" si="16"/>
        <v>0</v>
      </c>
      <c r="Q86" s="1030"/>
      <c r="R86" s="1031">
        <f t="shared" si="7"/>
        <v>0</v>
      </c>
    </row>
    <row r="87" spans="1:18" ht="18" x14ac:dyDescent="0.25">
      <c r="A87" s="1343"/>
      <c r="B87" s="1344"/>
      <c r="C87" s="1344"/>
      <c r="D87" s="1344"/>
      <c r="E87" s="1011"/>
      <c r="J87" s="1006" t="s">
        <v>1365</v>
      </c>
      <c r="K87" s="1007"/>
      <c r="L87" s="1006"/>
      <c r="M87" s="1006"/>
      <c r="N87" s="1006">
        <f t="shared" si="14"/>
        <v>0</v>
      </c>
      <c r="O87" s="1030"/>
      <c r="P87" s="1032">
        <f t="shared" si="16"/>
        <v>0</v>
      </c>
      <c r="Q87" s="1030"/>
      <c r="R87" s="1031">
        <f t="shared" si="7"/>
        <v>0</v>
      </c>
    </row>
    <row r="88" spans="1:18" ht="18" x14ac:dyDescent="0.25">
      <c r="A88" s="1343" t="s">
        <v>2050</v>
      </c>
      <c r="B88" s="1344"/>
      <c r="C88" s="1344"/>
      <c r="D88" s="1344"/>
      <c r="E88" s="1011"/>
      <c r="J88" s="1006" t="s">
        <v>1366</v>
      </c>
      <c r="K88" s="1007"/>
      <c r="L88" s="1006"/>
      <c r="M88" s="1006"/>
      <c r="N88" s="1006">
        <f t="shared" si="14"/>
        <v>0</v>
      </c>
      <c r="O88" s="1030"/>
      <c r="P88" s="1032">
        <f t="shared" si="16"/>
        <v>0</v>
      </c>
      <c r="Q88" s="1030"/>
      <c r="R88" s="1031">
        <f t="shared" si="7"/>
        <v>0</v>
      </c>
    </row>
    <row r="89" spans="1:18" ht="18" x14ac:dyDescent="0.25">
      <c r="A89" s="1343" t="s">
        <v>1040</v>
      </c>
      <c r="B89" s="1344"/>
      <c r="C89" s="1344"/>
      <c r="D89" s="1344"/>
      <c r="E89" s="1011"/>
      <c r="J89" s="1006" t="s">
        <v>1361</v>
      </c>
      <c r="K89" s="1007"/>
      <c r="L89" s="1006"/>
      <c r="M89" s="1006"/>
      <c r="N89" s="1006">
        <f t="shared" si="14"/>
        <v>0</v>
      </c>
      <c r="O89" s="1030"/>
      <c r="P89" s="1030"/>
      <c r="Q89" s="1032">
        <f>N89</f>
        <v>0</v>
      </c>
      <c r="R89" s="1031">
        <f t="shared" si="7"/>
        <v>0</v>
      </c>
    </row>
    <row r="90" spans="1:18" ht="18" x14ac:dyDescent="0.25">
      <c r="A90" s="1343" t="s">
        <v>2092</v>
      </c>
      <c r="B90" s="1344"/>
      <c r="C90" s="1689">
        <v>126807843.8</v>
      </c>
      <c r="D90" s="1689"/>
      <c r="E90" s="1690"/>
      <c r="J90" s="1006" t="s">
        <v>1362</v>
      </c>
      <c r="K90" s="1007"/>
      <c r="L90" s="1006"/>
      <c r="M90" s="1006"/>
      <c r="N90" s="1006">
        <f t="shared" si="14"/>
        <v>0</v>
      </c>
      <c r="O90" s="1030"/>
      <c r="P90" s="1030"/>
      <c r="Q90" s="1032">
        <f>N90</f>
        <v>0</v>
      </c>
      <c r="R90" s="1031">
        <f t="shared" si="7"/>
        <v>0</v>
      </c>
    </row>
    <row r="91" spans="1:18" ht="18" x14ac:dyDescent="0.25">
      <c r="A91" s="1697" t="s">
        <v>2051</v>
      </c>
      <c r="B91" s="1698"/>
      <c r="C91" s="1699">
        <v>37703949.079999998</v>
      </c>
      <c r="D91" s="1699"/>
      <c r="E91" s="1700"/>
      <c r="J91" s="1008" t="s">
        <v>1526</v>
      </c>
      <c r="K91" s="1007"/>
      <c r="L91" s="1008">
        <f t="shared" ref="L91:Q91" si="17">SUM(L56:L90)</f>
        <v>22078602</v>
      </c>
      <c r="M91" s="1008">
        <f t="shared" si="17"/>
        <v>0</v>
      </c>
      <c r="N91" s="1008">
        <f t="shared" si="17"/>
        <v>22078602</v>
      </c>
      <c r="O91" s="1023">
        <f t="shared" si="17"/>
        <v>8600602</v>
      </c>
      <c r="P91" s="1023">
        <f t="shared" si="17"/>
        <v>13478000</v>
      </c>
      <c r="Q91" s="1023">
        <f t="shared" si="17"/>
        <v>0</v>
      </c>
      <c r="R91" s="1023">
        <f t="shared" si="7"/>
        <v>22078602</v>
      </c>
    </row>
    <row r="92" spans="1:18" ht="18" x14ac:dyDescent="0.25">
      <c r="A92" s="1343" t="s">
        <v>2052</v>
      </c>
      <c r="B92" s="1344"/>
      <c r="C92" s="1689">
        <v>215000</v>
      </c>
      <c r="D92" s="1689"/>
      <c r="E92" s="1690"/>
      <c r="J92" s="1008" t="s">
        <v>1260</v>
      </c>
      <c r="K92" s="1035">
        <f t="shared" ref="K92:M92" si="18">K91+K53+K40+K34+K47</f>
        <v>176442352.63</v>
      </c>
      <c r="L92" s="1035">
        <f t="shared" si="18"/>
        <v>542209102.09000003</v>
      </c>
      <c r="M92" s="1035">
        <f t="shared" si="18"/>
        <v>81805364.359999999</v>
      </c>
      <c r="N92" s="1035">
        <f>N91+N53+N40+N34+N47</f>
        <v>800456819.08000004</v>
      </c>
      <c r="O92" s="1023">
        <f>O91+O53+O40+O34+O47</f>
        <v>344773392.41000003</v>
      </c>
      <c r="P92" s="1023">
        <f t="shared" ref="P92:R92" si="19">P91+P53+P40+P34+P47</f>
        <v>344253332.77999997</v>
      </c>
      <c r="Q92" s="1023">
        <f t="shared" si="19"/>
        <v>111430093.88999999</v>
      </c>
      <c r="R92" s="1023">
        <f t="shared" si="19"/>
        <v>800456819.08000004</v>
      </c>
    </row>
    <row r="93" spans="1:18" ht="18" x14ac:dyDescent="0.25">
      <c r="A93" s="1343"/>
      <c r="B93" s="1344"/>
      <c r="C93" s="1344"/>
      <c r="D93" s="1344"/>
      <c r="E93" s="1345"/>
      <c r="J93" s="1006"/>
      <c r="K93" s="1007"/>
      <c r="L93" s="1006"/>
      <c r="M93" s="1006"/>
      <c r="N93" s="1006"/>
      <c r="O93" s="1539">
        <f>O91+O47+O53</f>
        <v>20477881.850000001</v>
      </c>
      <c r="P93" s="1539">
        <f>P91+P47+P53</f>
        <v>51990000</v>
      </c>
      <c r="Q93" s="1539">
        <f t="shared" ref="Q93:R93" si="20">Q91+Q47+Q53</f>
        <v>9320000</v>
      </c>
      <c r="R93" s="1539">
        <f t="shared" si="20"/>
        <v>81787881.849999994</v>
      </c>
    </row>
    <row r="94" spans="1:18" ht="18" x14ac:dyDescent="0.25">
      <c r="A94" s="1346" t="s">
        <v>2053</v>
      </c>
      <c r="B94" s="1344"/>
      <c r="C94" s="1344"/>
      <c r="D94" s="1691">
        <f>SUM(C82:E92)</f>
        <v>187556853.25</v>
      </c>
      <c r="E94" s="1692"/>
      <c r="J94" s="1008" t="s">
        <v>1364</v>
      </c>
      <c r="K94" s="1007"/>
      <c r="L94" s="1006"/>
      <c r="M94" s="1006"/>
      <c r="N94" s="1006"/>
      <c r="O94" s="1030"/>
      <c r="P94" s="1030"/>
      <c r="Q94" s="1030"/>
      <c r="R94" s="1031">
        <f t="shared" si="7"/>
        <v>0</v>
      </c>
    </row>
    <row r="95" spans="1:18" ht="18" x14ac:dyDescent="0.25">
      <c r="A95" s="783"/>
      <c r="B95" s="800"/>
      <c r="C95" s="800"/>
      <c r="D95" s="800"/>
      <c r="E95" s="1017"/>
      <c r="J95" s="1019" t="s">
        <v>1324</v>
      </c>
      <c r="K95" s="1037">
        <v>6898207.6500000004</v>
      </c>
      <c r="L95" s="487">
        <v>11729564.98</v>
      </c>
      <c r="M95" s="1038">
        <v>322000</v>
      </c>
      <c r="N95" s="1007">
        <f>SUM(K95:M95)</f>
        <v>18949772.630000003</v>
      </c>
      <c r="O95" s="1030"/>
      <c r="P95" s="1030"/>
      <c r="Q95" s="1032">
        <f>N95</f>
        <v>18949772.630000003</v>
      </c>
      <c r="R95" s="1031">
        <f>SUM(O95:Q95)</f>
        <v>18949772.630000003</v>
      </c>
    </row>
    <row r="96" spans="1:18" ht="18" x14ac:dyDescent="0.25">
      <c r="A96" s="783"/>
      <c r="B96" s="800"/>
      <c r="C96" s="800"/>
      <c r="D96" s="800"/>
      <c r="E96" s="1017"/>
      <c r="J96" s="1019" t="s">
        <v>1325</v>
      </c>
      <c r="K96" s="1037">
        <v>3799599.31</v>
      </c>
      <c r="L96" s="487">
        <v>3142974.34</v>
      </c>
      <c r="M96" s="1038">
        <v>150000</v>
      </c>
      <c r="N96" s="1007">
        <f>SUM(K96:M96)</f>
        <v>7092573.6500000004</v>
      </c>
      <c r="O96" s="1030"/>
      <c r="P96" s="1030"/>
      <c r="Q96" s="1032">
        <f>N96</f>
        <v>7092573.6500000004</v>
      </c>
      <c r="R96" s="1031">
        <f>SUM(O96:Q96)</f>
        <v>7092573.6500000004</v>
      </c>
    </row>
    <row r="97" spans="1:18" ht="18" x14ac:dyDescent="0.25">
      <c r="A97" s="783"/>
      <c r="B97" s="800"/>
      <c r="C97" s="800"/>
      <c r="D97" s="800"/>
      <c r="E97" s="1017"/>
      <c r="J97" s="1019" t="s">
        <v>1326</v>
      </c>
      <c r="K97" s="789">
        <v>5637664.7199999997</v>
      </c>
      <c r="L97" s="487">
        <v>967006</v>
      </c>
      <c r="M97" s="1038">
        <v>370000</v>
      </c>
      <c r="N97" s="1007">
        <f>SUM(K97:M97)</f>
        <v>6974670.7199999997</v>
      </c>
      <c r="O97" s="1030"/>
      <c r="P97" s="1030"/>
      <c r="Q97" s="1032">
        <f>N97</f>
        <v>6974670.7199999997</v>
      </c>
      <c r="R97" s="1031">
        <f>SUM(O97:Q97)</f>
        <v>6974670.7199999997</v>
      </c>
    </row>
    <row r="98" spans="1:18" ht="18" x14ac:dyDescent="0.25">
      <c r="A98" s="783"/>
      <c r="B98" s="800"/>
      <c r="C98" s="800"/>
      <c r="D98" s="800"/>
      <c r="E98" s="1017"/>
      <c r="J98" s="1008" t="s">
        <v>1312</v>
      </c>
      <c r="K98" s="1009">
        <f t="shared" ref="K98:Q98" si="21">SUM(K95:K97)</f>
        <v>16335471.68</v>
      </c>
      <c r="L98" s="1008">
        <f>SUM(L95:L97)</f>
        <v>15839545.32</v>
      </c>
      <c r="M98" s="1008">
        <f t="shared" si="21"/>
        <v>842000</v>
      </c>
      <c r="N98" s="1008">
        <f t="shared" si="21"/>
        <v>33017017</v>
      </c>
      <c r="O98" s="1023">
        <f t="shared" si="21"/>
        <v>0</v>
      </c>
      <c r="P98" s="1023">
        <f t="shared" si="21"/>
        <v>0</v>
      </c>
      <c r="Q98" s="1023">
        <f t="shared" si="21"/>
        <v>33017017</v>
      </c>
      <c r="R98" s="1023">
        <f>SUM(O98:Q98)</f>
        <v>33017017</v>
      </c>
    </row>
    <row r="99" spans="1:18" ht="18" x14ac:dyDescent="0.25">
      <c r="A99" s="783"/>
      <c r="B99" s="800"/>
      <c r="C99" s="800"/>
      <c r="D99" s="800"/>
      <c r="E99" s="1017"/>
      <c r="J99" s="1008" t="s">
        <v>1313</v>
      </c>
      <c r="K99" s="1035">
        <f t="shared" ref="K99:Q99" si="22">K92+K98</f>
        <v>192777824.31</v>
      </c>
      <c r="L99" s="488">
        <f t="shared" si="22"/>
        <v>558048647.41000009</v>
      </c>
      <c r="M99" s="488">
        <f t="shared" si="22"/>
        <v>82647364.359999999</v>
      </c>
      <c r="N99" s="978">
        <f>N92+N98</f>
        <v>833473836.08000004</v>
      </c>
      <c r="O99" s="1023">
        <f t="shared" si="22"/>
        <v>344773392.41000003</v>
      </c>
      <c r="P99" s="1023">
        <f t="shared" si="22"/>
        <v>344253332.77999997</v>
      </c>
      <c r="Q99" s="1023">
        <f t="shared" si="22"/>
        <v>144447110.88999999</v>
      </c>
      <c r="R99" s="1024">
        <f>SUM(O99:Q99)</f>
        <v>833473836.08000004</v>
      </c>
    </row>
    <row r="100" spans="1:18" x14ac:dyDescent="0.25">
      <c r="A100" s="783"/>
      <c r="B100" s="800"/>
      <c r="C100" s="800"/>
      <c r="D100" s="800"/>
      <c r="E100" s="1017"/>
      <c r="J100" s="490"/>
      <c r="K100" s="490"/>
      <c r="L100" s="490"/>
      <c r="M100" s="490"/>
      <c r="N100" s="490"/>
    </row>
    <row r="101" spans="1:18" x14ac:dyDescent="0.25">
      <c r="A101" s="783"/>
      <c r="B101" s="800"/>
      <c r="C101" s="800"/>
      <c r="D101" s="800"/>
      <c r="E101" s="1017"/>
      <c r="J101" s="490"/>
      <c r="K101" s="490"/>
      <c r="L101" s="490"/>
      <c r="M101" s="490"/>
      <c r="N101" s="490">
        <f>E69-N99</f>
        <v>0</v>
      </c>
    </row>
    <row r="102" spans="1:18" x14ac:dyDescent="0.25">
      <c r="A102" s="783"/>
      <c r="B102" s="800"/>
      <c r="C102" s="800"/>
      <c r="D102" s="800"/>
      <c r="E102" s="1017"/>
      <c r="J102" s="490"/>
      <c r="K102" s="490"/>
      <c r="L102" s="490"/>
      <c r="M102" s="490"/>
      <c r="N102" s="490"/>
    </row>
    <row r="103" spans="1:18" x14ac:dyDescent="0.25">
      <c r="A103" s="783"/>
      <c r="B103" s="800"/>
      <c r="C103" s="800"/>
      <c r="D103" s="800"/>
      <c r="E103" s="1017"/>
    </row>
    <row r="104" spans="1:18" x14ac:dyDescent="0.25">
      <c r="A104" s="783"/>
      <c r="B104" s="800"/>
      <c r="C104" s="800"/>
      <c r="D104" s="800"/>
      <c r="E104" s="1017"/>
    </row>
    <row r="105" spans="1:18" x14ac:dyDescent="0.25">
      <c r="A105" s="783"/>
      <c r="B105" s="800"/>
      <c r="C105" s="800"/>
      <c r="D105" s="800"/>
      <c r="E105" s="1017"/>
    </row>
    <row r="106" spans="1:18" x14ac:dyDescent="0.25">
      <c r="A106" s="783"/>
      <c r="B106" s="800"/>
      <c r="C106" s="800"/>
      <c r="D106" s="800"/>
      <c r="E106" s="1017"/>
    </row>
    <row r="107" spans="1:18" x14ac:dyDescent="0.25">
      <c r="A107" s="783"/>
      <c r="B107" s="800"/>
      <c r="C107" s="800"/>
      <c r="D107" s="800"/>
      <c r="E107" s="1017"/>
    </row>
    <row r="108" spans="1:18" x14ac:dyDescent="0.25">
      <c r="A108" s="783"/>
      <c r="B108" s="800"/>
      <c r="C108" s="800"/>
      <c r="D108" s="800"/>
      <c r="E108" s="1017"/>
    </row>
    <row r="109" spans="1:18" x14ac:dyDescent="0.25">
      <c r="A109" s="783"/>
      <c r="B109" s="800"/>
      <c r="C109" s="800"/>
      <c r="D109" s="800"/>
      <c r="E109" s="1017"/>
    </row>
    <row r="110" spans="1:18" x14ac:dyDescent="0.25">
      <c r="A110" s="783"/>
      <c r="B110" s="800"/>
      <c r="C110" s="800"/>
      <c r="D110" s="800"/>
      <c r="E110" s="1017"/>
    </row>
    <row r="111" spans="1:18" x14ac:dyDescent="0.25">
      <c r="A111" s="783"/>
      <c r="B111" s="800"/>
      <c r="C111" s="800"/>
      <c r="D111" s="800"/>
      <c r="E111" s="1017"/>
    </row>
    <row r="112" spans="1:18" x14ac:dyDescent="0.25">
      <c r="A112" s="783"/>
      <c r="B112" s="800"/>
      <c r="C112" s="800"/>
      <c r="D112" s="800"/>
      <c r="E112" s="1017"/>
    </row>
    <row r="113" spans="1:5" x14ac:dyDescent="0.25">
      <c r="A113" s="783"/>
      <c r="B113" s="800"/>
      <c r="C113" s="800"/>
      <c r="D113" s="800"/>
      <c r="E113" s="1017"/>
    </row>
    <row r="114" spans="1:5" ht="16.5" thickBot="1" x14ac:dyDescent="0.3">
      <c r="A114" s="1347"/>
      <c r="B114" s="1348"/>
      <c r="C114" s="1348"/>
      <c r="D114" s="1348"/>
      <c r="E114" s="1515"/>
    </row>
    <row r="120" spans="1:5" x14ac:dyDescent="0.25">
      <c r="B120" s="1500" t="s">
        <v>2100</v>
      </c>
    </row>
  </sheetData>
  <mergeCells count="13">
    <mergeCell ref="A76:E76"/>
    <mergeCell ref="C86:E86"/>
    <mergeCell ref="C90:E90"/>
    <mergeCell ref="A91:B91"/>
    <mergeCell ref="C91:E91"/>
    <mergeCell ref="C92:E92"/>
    <mergeCell ref="D94:E94"/>
    <mergeCell ref="A78:B78"/>
    <mergeCell ref="C78:E78"/>
    <mergeCell ref="C82:E82"/>
    <mergeCell ref="C83:E83"/>
    <mergeCell ref="C84:E84"/>
    <mergeCell ref="C85:E85"/>
  </mergeCells>
  <printOptions horizontalCentered="1"/>
  <pageMargins left="0.31496062992125984" right="0.31496062992125984" top="0.74803149606299213" bottom="1.3779527559055118" header="0.31496062992125984" footer="0.31496062992125984"/>
  <pageSetup paperSize="5" scale="70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400"/>
  <sheetViews>
    <sheetView view="pageBreakPreview" topLeftCell="A1096" zoomScale="110" zoomScaleNormal="100" zoomScaleSheetLayoutView="110" workbookViewId="0">
      <selection activeCell="T1141" sqref="T1141"/>
    </sheetView>
  </sheetViews>
  <sheetFormatPr defaultRowHeight="15.75" x14ac:dyDescent="0.25"/>
  <cols>
    <col min="1" max="2" width="9.140625" style="1404"/>
    <col min="3" max="3" width="46.85546875" style="957" customWidth="1"/>
    <col min="4" max="4" width="6.140625" style="235" customWidth="1"/>
    <col min="5" max="5" width="4" style="235" customWidth="1"/>
    <col min="6" max="6" width="5.140625" style="235" customWidth="1"/>
    <col min="7" max="7" width="5.28515625" style="235" customWidth="1"/>
    <col min="8" max="8" width="16" style="235" hidden="1" customWidth="1"/>
    <col min="9" max="9" width="18.140625" style="160" hidden="1" customWidth="1"/>
    <col min="10" max="10" width="17.28515625" style="160" hidden="1" customWidth="1"/>
    <col min="11" max="12" width="16.85546875" style="160" hidden="1" customWidth="1"/>
    <col min="13" max="15" width="20.28515625" style="160" hidden="1" customWidth="1"/>
    <col min="16" max="16" width="18.28515625" style="160" hidden="1" customWidth="1"/>
    <col min="17" max="17" width="5.28515625" style="160" hidden="1" customWidth="1"/>
    <col min="18" max="18" width="18.28515625" style="161" customWidth="1"/>
    <col min="19" max="19" width="18.28515625" style="239" customWidth="1"/>
    <col min="20" max="20" width="18.140625" style="1476" customWidth="1"/>
    <col min="21" max="26" width="9.140625" style="146"/>
  </cols>
  <sheetData>
    <row r="1" spans="1:26" s="7" customFormat="1" ht="9" hidden="1" customHeight="1" x14ac:dyDescent="0.25">
      <c r="A1" s="1403"/>
      <c r="B1" s="1403"/>
      <c r="C1" s="44"/>
      <c r="D1" s="152" t="s">
        <v>0</v>
      </c>
      <c r="E1" s="125"/>
      <c r="F1" s="125"/>
      <c r="G1" s="125"/>
      <c r="H1" s="125"/>
      <c r="I1" s="160"/>
      <c r="J1" s="160"/>
      <c r="K1" s="160"/>
      <c r="L1" s="160"/>
      <c r="M1" s="160"/>
      <c r="N1" s="160"/>
      <c r="O1" s="160"/>
      <c r="P1" s="160"/>
      <c r="Q1" s="160"/>
      <c r="R1" s="161"/>
      <c r="S1" s="239"/>
      <c r="T1" s="1475"/>
      <c r="U1" s="1380"/>
      <c r="V1" s="1380"/>
      <c r="W1" s="1380"/>
      <c r="X1" s="1380"/>
      <c r="Y1" s="1380"/>
      <c r="Z1" s="1380"/>
    </row>
    <row r="2" spans="1:26" ht="9" hidden="1" customHeight="1" x14ac:dyDescent="0.25"/>
    <row r="3" spans="1:26" ht="9" hidden="1" customHeight="1" x14ac:dyDescent="0.3">
      <c r="C3" s="1405"/>
      <c r="D3" s="1405" t="s">
        <v>1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49"/>
    </row>
    <row r="4" spans="1:26" ht="9" hidden="1" customHeight="1" x14ac:dyDescent="0.25">
      <c r="C4" s="387"/>
      <c r="D4" s="387" t="s">
        <v>2</v>
      </c>
      <c r="E4" s="1406"/>
      <c r="F4" s="1406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1450"/>
    </row>
    <row r="5" spans="1:26" ht="9" hidden="1" customHeight="1" x14ac:dyDescent="0.25">
      <c r="C5" s="387"/>
      <c r="D5" s="387"/>
      <c r="E5" s="1406" t="s">
        <v>3</v>
      </c>
      <c r="F5" s="1406"/>
      <c r="G5" s="387"/>
      <c r="H5" s="387"/>
      <c r="I5" s="1407"/>
      <c r="J5" s="1407"/>
      <c r="K5" s="1407"/>
      <c r="L5" s="1407"/>
      <c r="M5" s="1407"/>
      <c r="N5" s="1407"/>
      <c r="O5" s="1407"/>
      <c r="P5" s="1407"/>
      <c r="Q5" s="1407"/>
      <c r="R5" s="1407"/>
      <c r="S5" s="1451"/>
    </row>
    <row r="6" spans="1:26" ht="9" hidden="1" customHeight="1" x14ac:dyDescent="0.25">
      <c r="C6" s="1408"/>
      <c r="D6" s="1409" t="s">
        <v>4</v>
      </c>
      <c r="E6" s="1395"/>
      <c r="F6" s="1395"/>
      <c r="G6" s="1409"/>
      <c r="H6" s="1410" t="s">
        <v>5</v>
      </c>
      <c r="I6" s="1411" t="s">
        <v>6</v>
      </c>
      <c r="J6" s="1412" t="s">
        <v>8</v>
      </c>
      <c r="K6" s="1411"/>
      <c r="L6" s="1411"/>
      <c r="M6" s="1412" t="s">
        <v>8</v>
      </c>
      <c r="N6" s="1412"/>
      <c r="O6" s="1412"/>
      <c r="P6" s="1412" t="s">
        <v>8</v>
      </c>
      <c r="Q6" s="1412" t="s">
        <v>8</v>
      </c>
      <c r="R6" s="1413" t="s">
        <v>8</v>
      </c>
      <c r="S6" s="1458"/>
    </row>
    <row r="7" spans="1:26" ht="9" hidden="1" customHeight="1" x14ac:dyDescent="0.25">
      <c r="C7" s="1408"/>
      <c r="D7" s="1409"/>
      <c r="E7" s="1395"/>
      <c r="F7" s="1395"/>
      <c r="G7" s="1409"/>
      <c r="H7" s="1410"/>
      <c r="I7" s="1411"/>
      <c r="J7" s="1412"/>
      <c r="K7" s="1411"/>
      <c r="L7" s="1411"/>
      <c r="M7" s="1412"/>
      <c r="N7" s="1412"/>
      <c r="O7" s="1412"/>
      <c r="P7" s="1412"/>
      <c r="Q7" s="1412"/>
      <c r="R7" s="1413"/>
      <c r="S7" s="1458"/>
    </row>
    <row r="8" spans="1:26" ht="9" hidden="1" customHeight="1" x14ac:dyDescent="0.25">
      <c r="C8" s="1408"/>
      <c r="D8" s="1409"/>
      <c r="E8" s="1395"/>
      <c r="F8" s="1395"/>
      <c r="G8" s="1409"/>
      <c r="H8" s="1410"/>
      <c r="I8" s="1411"/>
      <c r="J8" s="1412"/>
      <c r="K8" s="1411"/>
      <c r="L8" s="1411"/>
      <c r="M8" s="1412"/>
      <c r="N8" s="1412"/>
      <c r="O8" s="1412"/>
      <c r="P8" s="1412"/>
      <c r="Q8" s="1412"/>
      <c r="R8" s="1413"/>
      <c r="S8" s="1458"/>
    </row>
    <row r="9" spans="1:26" ht="9" hidden="1" customHeight="1" x14ac:dyDescent="0.25">
      <c r="C9" s="1408"/>
      <c r="D9" s="1409"/>
      <c r="E9" s="1395"/>
      <c r="F9" s="1395"/>
      <c r="G9" s="1409"/>
      <c r="H9" s="1410"/>
      <c r="I9" s="1411"/>
      <c r="J9" s="1412"/>
      <c r="K9" s="1411"/>
      <c r="L9" s="1411"/>
      <c r="M9" s="1412"/>
      <c r="N9" s="1412"/>
      <c r="O9" s="1412"/>
      <c r="P9" s="1412"/>
      <c r="Q9" s="1412"/>
      <c r="R9" s="1413"/>
      <c r="S9" s="1458"/>
    </row>
    <row r="10" spans="1:26" ht="9" hidden="1" customHeight="1" x14ac:dyDescent="0.25">
      <c r="C10" s="1408"/>
      <c r="D10" s="1409"/>
      <c r="E10" s="1395"/>
      <c r="F10" s="1395"/>
      <c r="G10" s="1409"/>
      <c r="H10" s="1410"/>
      <c r="I10" s="1411"/>
      <c r="J10" s="1412"/>
      <c r="K10" s="1411"/>
      <c r="L10" s="1411"/>
      <c r="M10" s="1412"/>
      <c r="N10" s="1412"/>
      <c r="O10" s="1412"/>
      <c r="P10" s="1412"/>
      <c r="Q10" s="1412"/>
      <c r="R10" s="1413"/>
      <c r="S10" s="1458"/>
    </row>
    <row r="11" spans="1:26" ht="9" hidden="1" customHeight="1" x14ac:dyDescent="0.25">
      <c r="C11" s="369"/>
      <c r="D11" s="1353" t="s">
        <v>9</v>
      </c>
      <c r="E11" s="1414"/>
      <c r="F11" s="1414"/>
      <c r="G11" s="1353"/>
      <c r="H11" s="1415"/>
      <c r="I11" s="1416"/>
      <c r="J11" s="1417"/>
      <c r="K11" s="1417"/>
      <c r="L11" s="1417"/>
      <c r="M11" s="1417"/>
      <c r="N11" s="1417"/>
      <c r="O11" s="1417"/>
      <c r="P11" s="1417"/>
      <c r="Q11" s="1417"/>
      <c r="R11" s="1417"/>
      <c r="S11" s="1452"/>
    </row>
    <row r="12" spans="1:26" ht="9" hidden="1" customHeight="1" x14ac:dyDescent="0.25">
      <c r="C12" s="1369" t="s">
        <v>11</v>
      </c>
      <c r="D12" s="170" t="s">
        <v>10</v>
      </c>
      <c r="E12" s="1418"/>
      <c r="F12" s="1418"/>
      <c r="G12" s="1351"/>
      <c r="H12" s="1415"/>
      <c r="I12" s="1416"/>
      <c r="J12" s="1419"/>
      <c r="K12" s="1419"/>
      <c r="L12" s="1419"/>
      <c r="M12" s="1419"/>
      <c r="N12" s="1419"/>
      <c r="O12" s="1419"/>
      <c r="P12" s="1419"/>
      <c r="Q12" s="1419"/>
      <c r="R12" s="1419"/>
      <c r="S12" s="1453"/>
    </row>
    <row r="13" spans="1:26" ht="9" hidden="1" customHeight="1" x14ac:dyDescent="0.25">
      <c r="C13" s="1369" t="s">
        <v>13</v>
      </c>
      <c r="D13" s="1351" t="s">
        <v>12</v>
      </c>
      <c r="E13" s="1418"/>
      <c r="F13" s="1418"/>
      <c r="G13" s="1351"/>
      <c r="H13" s="1415"/>
      <c r="I13" s="1416"/>
      <c r="J13" s="1419"/>
      <c r="K13" s="1419"/>
      <c r="L13" s="1419"/>
      <c r="M13" s="1419"/>
      <c r="N13" s="1419"/>
      <c r="O13" s="1419"/>
      <c r="P13" s="1419"/>
      <c r="Q13" s="1419"/>
      <c r="R13" s="1419"/>
      <c r="S13" s="1453"/>
    </row>
    <row r="14" spans="1:26" ht="9" hidden="1" customHeight="1" x14ac:dyDescent="0.25">
      <c r="C14" s="1369" t="s">
        <v>14</v>
      </c>
      <c r="D14" s="170" t="s">
        <v>12</v>
      </c>
      <c r="E14" s="1418"/>
      <c r="F14" s="1418"/>
      <c r="G14" s="1351"/>
      <c r="H14" s="1415"/>
      <c r="I14" s="1417"/>
      <c r="J14" s="1419"/>
      <c r="K14" s="1419"/>
      <c r="L14" s="1419"/>
      <c r="M14" s="1419"/>
      <c r="N14" s="1419"/>
      <c r="O14" s="1419"/>
      <c r="P14" s="1419"/>
      <c r="Q14" s="1419"/>
      <c r="R14" s="1419"/>
      <c r="S14" s="1453"/>
    </row>
    <row r="15" spans="1:26" ht="9" hidden="1" customHeight="1" x14ac:dyDescent="0.25">
      <c r="C15" s="956"/>
      <c r="D15" s="1352" t="s">
        <v>15</v>
      </c>
      <c r="E15" s="1420"/>
      <c r="F15" s="1420"/>
      <c r="G15" s="1352"/>
      <c r="H15" s="1415"/>
      <c r="I15" s="1417"/>
      <c r="J15" s="1421">
        <f>SUM(J12:J14)</f>
        <v>0</v>
      </c>
      <c r="K15" s="1421"/>
      <c r="L15" s="1421"/>
      <c r="M15" s="1421">
        <f>SUM(M12:M14)</f>
        <v>0</v>
      </c>
      <c r="N15" s="1421"/>
      <c r="O15" s="1421"/>
      <c r="P15" s="1421">
        <f>SUM(P12:P14)</f>
        <v>0</v>
      </c>
      <c r="Q15" s="1421">
        <f>SUM(Q12:Q14)</f>
        <v>0</v>
      </c>
      <c r="R15" s="1422">
        <f>SUM(R12:R14)</f>
        <v>0</v>
      </c>
    </row>
    <row r="16" spans="1:26" ht="9" hidden="1" customHeight="1" x14ac:dyDescent="0.25">
      <c r="C16" s="369"/>
      <c r="D16" s="1353" t="s">
        <v>16</v>
      </c>
      <c r="E16" s="1414"/>
      <c r="F16" s="1414"/>
      <c r="G16" s="1353"/>
      <c r="H16" s="1415"/>
      <c r="I16" s="1417"/>
      <c r="J16" s="1421"/>
      <c r="K16" s="1417"/>
      <c r="L16" s="1417"/>
      <c r="M16" s="1421"/>
      <c r="N16" s="1421"/>
      <c r="O16" s="1421"/>
      <c r="P16" s="1421"/>
      <c r="Q16" s="1421"/>
      <c r="R16" s="1422"/>
    </row>
    <row r="17" spans="3:19" ht="9" hidden="1" customHeight="1" x14ac:dyDescent="0.25">
      <c r="C17" s="23" t="s">
        <v>18</v>
      </c>
      <c r="D17" s="23" t="s">
        <v>17</v>
      </c>
      <c r="E17" s="1423" t="s">
        <v>19</v>
      </c>
      <c r="F17" s="1423"/>
      <c r="G17" s="23"/>
      <c r="H17" s="62"/>
      <c r="I17" s="54"/>
      <c r="J17" s="54"/>
      <c r="K17" s="54"/>
      <c r="L17" s="54"/>
      <c r="M17" s="54"/>
      <c r="N17" s="54"/>
      <c r="O17" s="54"/>
      <c r="P17" s="54"/>
      <c r="Q17" s="54"/>
      <c r="R17" s="54"/>
    </row>
    <row r="18" spans="3:19" ht="9" hidden="1" customHeight="1" x14ac:dyDescent="0.25">
      <c r="C18" s="23" t="s">
        <v>20</v>
      </c>
      <c r="D18" s="23"/>
      <c r="E18" s="1423" t="s">
        <v>21</v>
      </c>
      <c r="F18" s="1423"/>
      <c r="G18" s="23"/>
      <c r="H18" s="62"/>
      <c r="I18" s="54"/>
      <c r="J18" s="54"/>
      <c r="K18" s="54"/>
      <c r="L18" s="54"/>
      <c r="M18" s="54"/>
      <c r="N18" s="54"/>
      <c r="O18" s="54"/>
      <c r="P18" s="54"/>
      <c r="Q18" s="54"/>
      <c r="R18" s="54"/>
    </row>
    <row r="19" spans="3:19" ht="9" hidden="1" customHeight="1" x14ac:dyDescent="0.25">
      <c r="C19" s="23" t="s">
        <v>22</v>
      </c>
      <c r="D19" s="23"/>
      <c r="E19" s="1423" t="s">
        <v>23</v>
      </c>
      <c r="F19" s="1423"/>
      <c r="G19" s="23"/>
      <c r="H19" s="62"/>
      <c r="I19" s="54"/>
      <c r="J19" s="54"/>
      <c r="K19" s="54"/>
      <c r="L19" s="54"/>
      <c r="M19" s="54"/>
      <c r="N19" s="54"/>
      <c r="O19" s="54"/>
      <c r="P19" s="54"/>
      <c r="Q19" s="54"/>
      <c r="R19" s="54"/>
    </row>
    <row r="20" spans="3:19" ht="9" hidden="1" customHeight="1" x14ac:dyDescent="0.25">
      <c r="D20" s="252"/>
      <c r="E20" s="252" t="s">
        <v>24</v>
      </c>
      <c r="F20" s="75"/>
      <c r="G20" s="75"/>
      <c r="H20" s="62" t="s">
        <v>25</v>
      </c>
      <c r="I20" s="54"/>
      <c r="J20" s="1424"/>
      <c r="K20" s="1424"/>
      <c r="L20" s="1424"/>
      <c r="M20" s="1424"/>
      <c r="N20" s="1424"/>
      <c r="O20" s="1424"/>
      <c r="P20" s="1424"/>
      <c r="Q20" s="1424"/>
      <c r="R20" s="1424"/>
      <c r="S20" s="1454"/>
    </row>
    <row r="21" spans="3:19" ht="9" hidden="1" customHeight="1" x14ac:dyDescent="0.25">
      <c r="D21" s="252"/>
      <c r="E21" s="252" t="s">
        <v>26</v>
      </c>
      <c r="F21" s="75"/>
      <c r="G21" s="75"/>
      <c r="H21" s="62" t="s">
        <v>25</v>
      </c>
      <c r="I21" s="54"/>
      <c r="J21" s="1424"/>
      <c r="K21" s="1424"/>
      <c r="L21" s="1424"/>
      <c r="M21" s="1424"/>
      <c r="N21" s="1424"/>
      <c r="O21" s="1424"/>
      <c r="P21" s="1424"/>
      <c r="Q21" s="1424"/>
      <c r="R21" s="1424"/>
      <c r="S21" s="1454"/>
    </row>
    <row r="22" spans="3:19" ht="9" hidden="1" customHeight="1" x14ac:dyDescent="0.25">
      <c r="D22" s="252"/>
      <c r="E22" s="252" t="s">
        <v>27</v>
      </c>
      <c r="F22" s="75"/>
      <c r="G22" s="75"/>
      <c r="H22" s="62" t="s">
        <v>25</v>
      </c>
      <c r="I22" s="54"/>
      <c r="J22" s="1424"/>
      <c r="K22" s="1424"/>
      <c r="L22" s="1424"/>
      <c r="M22" s="1424"/>
      <c r="N22" s="1424"/>
      <c r="O22" s="1424"/>
      <c r="P22" s="1424"/>
      <c r="Q22" s="1424"/>
      <c r="R22" s="1424"/>
      <c r="S22" s="1454"/>
    </row>
    <row r="23" spans="3:19" ht="9" hidden="1" customHeight="1" x14ac:dyDescent="0.25">
      <c r="D23" s="252"/>
      <c r="E23" s="252" t="s">
        <v>28</v>
      </c>
      <c r="F23" s="75"/>
      <c r="G23" s="75"/>
      <c r="H23" s="62" t="s">
        <v>25</v>
      </c>
      <c r="I23" s="54"/>
      <c r="J23" s="54"/>
      <c r="K23" s="54"/>
      <c r="L23" s="54"/>
      <c r="M23" s="54"/>
      <c r="N23" s="54"/>
      <c r="O23" s="54"/>
      <c r="P23" s="54"/>
      <c r="Q23" s="54"/>
      <c r="R23" s="54"/>
    </row>
    <row r="24" spans="3:19" ht="9" hidden="1" customHeight="1" x14ac:dyDescent="0.25">
      <c r="D24" s="252"/>
      <c r="E24" s="252" t="s">
        <v>29</v>
      </c>
      <c r="F24" s="75"/>
      <c r="G24" s="75"/>
      <c r="H24" s="62"/>
      <c r="I24" s="54"/>
      <c r="J24" s="54"/>
      <c r="K24" s="54"/>
      <c r="L24" s="54"/>
      <c r="M24" s="54"/>
      <c r="N24" s="54"/>
      <c r="O24" s="54"/>
      <c r="P24" s="54"/>
      <c r="Q24" s="54"/>
      <c r="R24" s="54"/>
    </row>
    <row r="25" spans="3:19" ht="9" hidden="1" customHeight="1" x14ac:dyDescent="0.25">
      <c r="C25" s="23" t="s">
        <v>30</v>
      </c>
      <c r="D25" s="387"/>
      <c r="E25" s="75" t="s">
        <v>31</v>
      </c>
      <c r="F25" s="75"/>
      <c r="G25" s="75"/>
      <c r="H25" s="62"/>
      <c r="I25" s="54"/>
      <c r="J25" s="54"/>
      <c r="K25" s="54"/>
      <c r="L25" s="54"/>
      <c r="M25" s="54"/>
      <c r="N25" s="54"/>
      <c r="O25" s="54"/>
      <c r="P25" s="54"/>
      <c r="Q25" s="54"/>
      <c r="R25" s="54"/>
    </row>
    <row r="26" spans="3:19" ht="9" hidden="1" customHeight="1" x14ac:dyDescent="0.25">
      <c r="D26" s="252"/>
      <c r="E26" s="252" t="s">
        <v>32</v>
      </c>
      <c r="F26" s="75"/>
      <c r="G26" s="75"/>
      <c r="H26" s="62" t="s">
        <v>25</v>
      </c>
      <c r="I26" s="54"/>
      <c r="J26" s="54"/>
      <c r="K26" s="54"/>
      <c r="L26" s="54"/>
      <c r="M26" s="54"/>
      <c r="N26" s="54"/>
      <c r="O26" s="54"/>
      <c r="P26" s="54"/>
      <c r="Q26" s="54"/>
      <c r="R26" s="54"/>
    </row>
    <row r="27" spans="3:19" ht="9" hidden="1" customHeight="1" x14ac:dyDescent="0.25">
      <c r="D27" s="252"/>
      <c r="E27" s="252" t="s">
        <v>33</v>
      </c>
      <c r="F27" s="75"/>
      <c r="G27" s="75"/>
      <c r="H27" s="62" t="s">
        <v>25</v>
      </c>
      <c r="I27" s="54"/>
      <c r="J27" s="54"/>
      <c r="K27" s="54"/>
      <c r="L27" s="54"/>
      <c r="M27" s="54"/>
      <c r="N27" s="54"/>
      <c r="O27" s="54"/>
      <c r="P27" s="54"/>
      <c r="Q27" s="54"/>
      <c r="R27" s="54"/>
    </row>
    <row r="28" spans="3:19" ht="9" hidden="1" customHeight="1" x14ac:dyDescent="0.25">
      <c r="D28" s="252"/>
      <c r="E28" s="252" t="s">
        <v>34</v>
      </c>
      <c r="F28" s="75"/>
      <c r="G28" s="75"/>
      <c r="H28" s="62" t="s">
        <v>25</v>
      </c>
      <c r="I28" s="54"/>
      <c r="J28" s="54"/>
      <c r="K28" s="54"/>
      <c r="L28" s="54"/>
      <c r="M28" s="54"/>
      <c r="N28" s="54"/>
      <c r="O28" s="54"/>
      <c r="P28" s="54"/>
      <c r="Q28" s="54"/>
      <c r="R28" s="54"/>
    </row>
    <row r="29" spans="3:19" ht="9" hidden="1" customHeight="1" x14ac:dyDescent="0.25">
      <c r="D29" s="252"/>
      <c r="E29" s="252" t="s">
        <v>35</v>
      </c>
      <c r="F29" s="75"/>
      <c r="G29" s="75"/>
      <c r="H29" s="62" t="s">
        <v>25</v>
      </c>
      <c r="I29" s="54"/>
      <c r="J29" s="54"/>
      <c r="K29" s="54"/>
      <c r="L29" s="54"/>
      <c r="M29" s="54"/>
      <c r="N29" s="54"/>
      <c r="O29" s="54"/>
      <c r="P29" s="54"/>
      <c r="Q29" s="54"/>
      <c r="R29" s="54"/>
    </row>
    <row r="30" spans="3:19" ht="9" hidden="1" customHeight="1" x14ac:dyDescent="0.25">
      <c r="D30" s="252"/>
      <c r="E30" s="252" t="s">
        <v>36</v>
      </c>
      <c r="F30" s="75"/>
      <c r="G30" s="75"/>
      <c r="H30" s="62"/>
      <c r="I30" s="54"/>
      <c r="J30" s="54"/>
      <c r="K30" s="54"/>
      <c r="L30" s="54"/>
      <c r="M30" s="54"/>
      <c r="N30" s="54"/>
      <c r="O30" s="54"/>
      <c r="P30" s="54"/>
      <c r="Q30" s="54"/>
      <c r="R30" s="54"/>
    </row>
    <row r="31" spans="3:19" ht="9" hidden="1" customHeight="1" x14ac:dyDescent="0.25">
      <c r="D31" s="252"/>
      <c r="E31" s="252" t="s">
        <v>37</v>
      </c>
      <c r="F31" s="75"/>
      <c r="G31" s="75"/>
      <c r="H31" s="62" t="s">
        <v>25</v>
      </c>
      <c r="I31" s="54"/>
      <c r="J31" s="54"/>
      <c r="K31" s="54"/>
      <c r="L31" s="54"/>
      <c r="M31" s="54"/>
      <c r="N31" s="54"/>
      <c r="O31" s="54"/>
      <c r="P31" s="54"/>
      <c r="Q31" s="54"/>
      <c r="R31" s="54"/>
    </row>
    <row r="32" spans="3:19" ht="9" hidden="1" customHeight="1" x14ac:dyDescent="0.25">
      <c r="C32" s="23" t="s">
        <v>38</v>
      </c>
      <c r="D32" s="52"/>
      <c r="E32" s="75" t="s">
        <v>39</v>
      </c>
      <c r="F32" s="75"/>
      <c r="G32" s="75"/>
      <c r="H32" s="62"/>
      <c r="I32" s="54"/>
      <c r="J32" s="54"/>
      <c r="K32" s="54"/>
      <c r="L32" s="54"/>
      <c r="M32" s="54"/>
      <c r="N32" s="54"/>
      <c r="O32" s="54"/>
      <c r="P32" s="54"/>
      <c r="Q32" s="54"/>
      <c r="R32" s="54"/>
    </row>
    <row r="33" spans="1:26" ht="9" hidden="1" customHeight="1" x14ac:dyDescent="0.25">
      <c r="D33" s="52"/>
      <c r="E33" s="252" t="s">
        <v>40</v>
      </c>
      <c r="F33" s="75"/>
      <c r="G33" s="75"/>
      <c r="H33" s="62" t="s">
        <v>25</v>
      </c>
      <c r="I33" s="54"/>
      <c r="J33" s="54"/>
      <c r="K33" s="54"/>
      <c r="L33" s="54"/>
      <c r="M33" s="54"/>
      <c r="N33" s="54"/>
      <c r="O33" s="54"/>
      <c r="P33" s="54"/>
      <c r="Q33" s="54"/>
      <c r="R33" s="54"/>
    </row>
    <row r="34" spans="1:26" ht="9" hidden="1" customHeight="1" x14ac:dyDescent="0.25">
      <c r="D34" s="52"/>
      <c r="E34" s="252" t="s">
        <v>41</v>
      </c>
      <c r="F34" s="75"/>
      <c r="G34" s="75"/>
      <c r="H34" s="62" t="s">
        <v>25</v>
      </c>
      <c r="I34" s="54"/>
      <c r="J34" s="54"/>
      <c r="K34" s="54"/>
      <c r="L34" s="54"/>
      <c r="M34" s="54"/>
      <c r="N34" s="54"/>
      <c r="O34" s="54"/>
      <c r="P34" s="54"/>
      <c r="Q34" s="54"/>
      <c r="R34" s="54"/>
    </row>
    <row r="35" spans="1:26" ht="9" hidden="1" customHeight="1" x14ac:dyDescent="0.25">
      <c r="D35" s="52"/>
      <c r="E35" s="38" t="s">
        <v>42</v>
      </c>
      <c r="F35" s="75"/>
      <c r="G35" s="75"/>
      <c r="H35" s="62" t="s">
        <v>25</v>
      </c>
      <c r="I35" s="54"/>
      <c r="J35" s="54"/>
      <c r="K35" s="54"/>
      <c r="L35" s="54"/>
      <c r="M35" s="54"/>
      <c r="N35" s="54"/>
      <c r="O35" s="54"/>
      <c r="P35" s="54"/>
      <c r="Q35" s="54"/>
      <c r="R35" s="54"/>
    </row>
    <row r="36" spans="1:26" ht="9" hidden="1" customHeight="1" x14ac:dyDescent="0.25">
      <c r="D36" s="52"/>
      <c r="E36" s="38" t="s">
        <v>43</v>
      </c>
      <c r="F36" s="75"/>
      <c r="G36" s="75"/>
      <c r="H36" s="62"/>
      <c r="I36" s="54"/>
      <c r="J36" s="54"/>
      <c r="K36" s="54"/>
      <c r="L36" s="54"/>
      <c r="M36" s="54"/>
      <c r="N36" s="54"/>
      <c r="O36" s="54"/>
      <c r="P36" s="54"/>
      <c r="Q36" s="54"/>
      <c r="R36" s="54"/>
    </row>
    <row r="37" spans="1:26" ht="9" hidden="1" customHeight="1" x14ac:dyDescent="0.25">
      <c r="D37" s="52"/>
      <c r="E37" s="39" t="s">
        <v>44</v>
      </c>
      <c r="F37" s="75"/>
      <c r="G37" s="75"/>
      <c r="H37" s="62"/>
      <c r="I37" s="54"/>
      <c r="J37" s="54"/>
      <c r="K37" s="54"/>
      <c r="L37" s="54"/>
      <c r="M37" s="54"/>
      <c r="N37" s="54"/>
      <c r="O37" s="54"/>
      <c r="P37" s="54"/>
      <c r="Q37" s="54"/>
      <c r="R37" s="54"/>
    </row>
    <row r="38" spans="1:26" ht="9" hidden="1" customHeight="1" x14ac:dyDescent="0.25">
      <c r="C38" s="23" t="s">
        <v>45</v>
      </c>
      <c r="D38" s="23"/>
      <c r="E38" s="23"/>
      <c r="F38" s="23"/>
      <c r="G38" s="23"/>
      <c r="H38" s="62"/>
      <c r="I38" s="54"/>
      <c r="J38" s="54"/>
      <c r="K38" s="54"/>
      <c r="L38" s="54"/>
      <c r="M38" s="54"/>
      <c r="N38" s="54"/>
      <c r="O38" s="54"/>
      <c r="P38" s="54"/>
      <c r="Q38" s="54"/>
      <c r="R38" s="54"/>
    </row>
    <row r="39" spans="1:26" ht="9" hidden="1" customHeight="1" x14ac:dyDescent="0.25">
      <c r="C39" s="23" t="s">
        <v>46</v>
      </c>
      <c r="D39" s="60"/>
      <c r="E39" s="271"/>
      <c r="F39" s="75"/>
      <c r="G39" s="75"/>
      <c r="H39" s="62"/>
      <c r="I39" s="54"/>
      <c r="J39" s="54"/>
      <c r="K39" s="54"/>
      <c r="L39" s="54"/>
      <c r="M39" s="54"/>
      <c r="N39" s="54"/>
      <c r="O39" s="54"/>
      <c r="P39" s="54"/>
      <c r="Q39" s="54"/>
      <c r="R39" s="54"/>
    </row>
    <row r="40" spans="1:26" s="48" customFormat="1" ht="9" hidden="1" customHeight="1" x14ac:dyDescent="0.25">
      <c r="A40" s="961"/>
      <c r="B40" s="961"/>
      <c r="C40" s="39"/>
      <c r="D40" s="601"/>
      <c r="E40" s="44" t="s">
        <v>47</v>
      </c>
      <c r="F40" s="380"/>
      <c r="G40" s="380"/>
      <c r="H40" s="1425" t="s">
        <v>25</v>
      </c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239"/>
      <c r="T40" s="1477"/>
      <c r="U40" s="169"/>
      <c r="V40" s="169"/>
      <c r="W40" s="169"/>
      <c r="X40" s="169"/>
      <c r="Y40" s="169"/>
      <c r="Z40" s="169"/>
    </row>
    <row r="41" spans="1:26" s="48" customFormat="1" ht="9" hidden="1" customHeight="1" x14ac:dyDescent="0.25">
      <c r="A41" s="961"/>
      <c r="B41" s="961"/>
      <c r="C41" s="39"/>
      <c r="D41" s="601"/>
      <c r="E41" s="44" t="s">
        <v>48</v>
      </c>
      <c r="F41" s="380"/>
      <c r="G41" s="380"/>
      <c r="H41" s="1425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239"/>
      <c r="T41" s="1477"/>
      <c r="U41" s="169"/>
      <c r="V41" s="169"/>
      <c r="W41" s="169"/>
      <c r="X41" s="169"/>
      <c r="Y41" s="169"/>
      <c r="Z41" s="169"/>
    </row>
    <row r="42" spans="1:26" s="48" customFormat="1" ht="9" hidden="1" customHeight="1" x14ac:dyDescent="0.25">
      <c r="A42" s="961"/>
      <c r="B42" s="961"/>
      <c r="C42" s="39"/>
      <c r="D42" s="601"/>
      <c r="E42" s="44" t="s">
        <v>49</v>
      </c>
      <c r="F42" s="380"/>
      <c r="G42" s="380"/>
      <c r="H42" s="1425" t="s">
        <v>25</v>
      </c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239"/>
      <c r="T42" s="1477"/>
      <c r="U42" s="169"/>
      <c r="V42" s="169"/>
      <c r="W42" s="169"/>
      <c r="X42" s="169"/>
      <c r="Y42" s="169"/>
      <c r="Z42" s="169"/>
    </row>
    <row r="43" spans="1:26" s="48" customFormat="1" ht="9" hidden="1" customHeight="1" x14ac:dyDescent="0.25">
      <c r="A43" s="961"/>
      <c r="B43" s="961"/>
      <c r="C43" s="39"/>
      <c r="D43" s="601"/>
      <c r="E43" s="1369" t="s">
        <v>50</v>
      </c>
      <c r="F43" s="380"/>
      <c r="G43" s="380"/>
      <c r="H43" s="1425" t="s">
        <v>25</v>
      </c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239"/>
      <c r="T43" s="1477"/>
      <c r="U43" s="169"/>
      <c r="V43" s="169"/>
      <c r="W43" s="169"/>
      <c r="X43" s="169"/>
      <c r="Y43" s="169"/>
      <c r="Z43" s="169"/>
    </row>
    <row r="44" spans="1:26" s="48" customFormat="1" ht="9" hidden="1" customHeight="1" x14ac:dyDescent="0.25">
      <c r="A44" s="961"/>
      <c r="B44" s="961"/>
      <c r="C44" s="39"/>
      <c r="D44" s="601"/>
      <c r="E44" s="44" t="s">
        <v>51</v>
      </c>
      <c r="F44" s="380"/>
      <c r="G44" s="380"/>
      <c r="H44" s="1425" t="s">
        <v>25</v>
      </c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239"/>
      <c r="T44" s="1477"/>
      <c r="U44" s="169"/>
      <c r="V44" s="169"/>
      <c r="W44" s="169"/>
      <c r="X44" s="169"/>
      <c r="Y44" s="169"/>
      <c r="Z44" s="169"/>
    </row>
    <row r="45" spans="1:26" s="48" customFormat="1" ht="9" hidden="1" customHeight="1" x14ac:dyDescent="0.25">
      <c r="A45" s="961"/>
      <c r="B45" s="961"/>
      <c r="C45" s="39"/>
      <c r="D45" s="601"/>
      <c r="E45" s="44" t="s">
        <v>52</v>
      </c>
      <c r="F45" s="380"/>
      <c r="G45" s="380"/>
      <c r="H45" s="1425" t="s">
        <v>25</v>
      </c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239"/>
      <c r="T45" s="1477"/>
      <c r="U45" s="169"/>
      <c r="V45" s="169"/>
      <c r="W45" s="169"/>
      <c r="X45" s="169"/>
      <c r="Y45" s="169"/>
      <c r="Z45" s="169"/>
    </row>
    <row r="46" spans="1:26" s="48" customFormat="1" ht="9" hidden="1" customHeight="1" x14ac:dyDescent="0.25">
      <c r="A46" s="961"/>
      <c r="B46" s="961"/>
      <c r="C46" s="39"/>
      <c r="D46" s="601"/>
      <c r="E46" s="44" t="s">
        <v>53</v>
      </c>
      <c r="F46" s="380"/>
      <c r="G46" s="380"/>
      <c r="H46" s="1425" t="s">
        <v>25</v>
      </c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239"/>
      <c r="T46" s="1477"/>
      <c r="U46" s="169"/>
      <c r="V46" s="169"/>
      <c r="W46" s="169"/>
      <c r="X46" s="169"/>
      <c r="Y46" s="169"/>
      <c r="Z46" s="169"/>
    </row>
    <row r="47" spans="1:26" s="48" customFormat="1" ht="9" hidden="1" customHeight="1" x14ac:dyDescent="0.25">
      <c r="A47" s="961"/>
      <c r="B47" s="961"/>
      <c r="C47" s="39"/>
      <c r="D47" s="601"/>
      <c r="E47" s="44" t="s">
        <v>54</v>
      </c>
      <c r="F47" s="380"/>
      <c r="G47" s="380"/>
      <c r="H47" s="1425" t="s">
        <v>25</v>
      </c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239"/>
      <c r="T47" s="1477"/>
      <c r="U47" s="169"/>
      <c r="V47" s="169"/>
      <c r="W47" s="169"/>
      <c r="X47" s="169"/>
      <c r="Y47" s="169"/>
      <c r="Z47" s="169"/>
    </row>
    <row r="48" spans="1:26" s="48" customFormat="1" ht="9" hidden="1" customHeight="1" x14ac:dyDescent="0.25">
      <c r="A48" s="961"/>
      <c r="B48" s="961"/>
      <c r="C48" s="39"/>
      <c r="D48" s="601"/>
      <c r="E48" s="1369" t="s">
        <v>55</v>
      </c>
      <c r="F48" s="380"/>
      <c r="G48" s="380"/>
      <c r="H48" s="1425" t="s">
        <v>25</v>
      </c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239"/>
      <c r="T48" s="1477"/>
      <c r="U48" s="169"/>
      <c r="V48" s="169"/>
      <c r="W48" s="169"/>
      <c r="X48" s="169"/>
      <c r="Y48" s="169"/>
      <c r="Z48" s="169"/>
    </row>
    <row r="49" spans="1:26" s="48" customFormat="1" ht="9" hidden="1" customHeight="1" x14ac:dyDescent="0.25">
      <c r="A49" s="961"/>
      <c r="B49" s="961"/>
      <c r="C49" s="39"/>
      <c r="D49" s="601"/>
      <c r="E49" s="1351" t="s">
        <v>56</v>
      </c>
      <c r="F49" s="1351"/>
      <c r="G49" s="1351"/>
      <c r="H49" s="1425" t="s">
        <v>25</v>
      </c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239"/>
      <c r="T49" s="1477"/>
      <c r="U49" s="169"/>
      <c r="V49" s="169"/>
      <c r="W49" s="169"/>
      <c r="X49" s="169"/>
      <c r="Y49" s="169"/>
      <c r="Z49" s="169"/>
    </row>
    <row r="50" spans="1:26" s="48" customFormat="1" ht="9" hidden="1" customHeight="1" x14ac:dyDescent="0.25">
      <c r="A50" s="961"/>
      <c r="B50" s="961"/>
      <c r="C50" s="39"/>
      <c r="D50" s="601"/>
      <c r="E50" s="49" t="s">
        <v>57</v>
      </c>
      <c r="F50" s="380"/>
      <c r="G50" s="380"/>
      <c r="H50" s="1425" t="s">
        <v>25</v>
      </c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239"/>
      <c r="T50" s="1477"/>
      <c r="U50" s="169"/>
      <c r="V50" s="169"/>
      <c r="W50" s="169"/>
      <c r="X50" s="169"/>
      <c r="Y50" s="169"/>
      <c r="Z50" s="169"/>
    </row>
    <row r="51" spans="1:26" s="48" customFormat="1" ht="9" hidden="1" customHeight="1" x14ac:dyDescent="0.25">
      <c r="A51" s="961"/>
      <c r="B51" s="961"/>
      <c r="C51" s="39"/>
      <c r="D51" s="601"/>
      <c r="E51" s="1351" t="s">
        <v>58</v>
      </c>
      <c r="F51" s="1351"/>
      <c r="G51" s="1351"/>
      <c r="H51" s="1425" t="s">
        <v>25</v>
      </c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239"/>
      <c r="T51" s="1477"/>
      <c r="U51" s="169"/>
      <c r="V51" s="169"/>
      <c r="W51" s="169"/>
      <c r="X51" s="169"/>
      <c r="Y51" s="169"/>
      <c r="Z51" s="169"/>
    </row>
    <row r="52" spans="1:26" ht="9" hidden="1" customHeight="1" x14ac:dyDescent="0.25">
      <c r="D52" s="52"/>
      <c r="E52" s="1351" t="s">
        <v>59</v>
      </c>
      <c r="F52" s="1351"/>
      <c r="G52" s="1351"/>
      <c r="H52" s="1425" t="s">
        <v>25</v>
      </c>
      <c r="I52" s="54"/>
      <c r="J52" s="54"/>
      <c r="K52" s="54"/>
      <c r="L52" s="54"/>
      <c r="M52" s="54"/>
      <c r="N52" s="54"/>
      <c r="O52" s="54"/>
      <c r="P52" s="54"/>
      <c r="Q52" s="54"/>
      <c r="R52" s="54"/>
    </row>
    <row r="53" spans="1:26" s="48" customFormat="1" ht="9" hidden="1" customHeight="1" x14ac:dyDescent="0.25">
      <c r="A53" s="961"/>
      <c r="B53" s="961"/>
      <c r="C53" s="39"/>
      <c r="D53" s="601"/>
      <c r="E53" s="44" t="s">
        <v>60</v>
      </c>
      <c r="F53" s="380"/>
      <c r="G53" s="380"/>
      <c r="H53" s="1425" t="s">
        <v>25</v>
      </c>
      <c r="I53" s="1426"/>
      <c r="J53" s="54"/>
      <c r="K53" s="54"/>
      <c r="L53" s="54"/>
      <c r="M53" s="54"/>
      <c r="N53" s="54"/>
      <c r="O53" s="54"/>
      <c r="P53" s="54"/>
      <c r="Q53" s="54"/>
      <c r="R53" s="54"/>
      <c r="S53" s="239"/>
      <c r="T53" s="1477"/>
      <c r="U53" s="169"/>
      <c r="V53" s="169"/>
      <c r="W53" s="169"/>
      <c r="X53" s="169"/>
      <c r="Y53" s="169"/>
      <c r="Z53" s="169"/>
    </row>
    <row r="54" spans="1:26" s="48" customFormat="1" ht="9" hidden="1" customHeight="1" x14ac:dyDescent="0.25">
      <c r="A54" s="961"/>
      <c r="B54" s="961"/>
      <c r="C54" s="39"/>
      <c r="D54" s="601"/>
      <c r="E54" s="44" t="s">
        <v>61</v>
      </c>
      <c r="F54" s="380"/>
      <c r="G54" s="380"/>
      <c r="H54" s="1425" t="s">
        <v>25</v>
      </c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239"/>
      <c r="T54" s="1477"/>
      <c r="U54" s="169"/>
      <c r="V54" s="169"/>
      <c r="W54" s="169"/>
      <c r="X54" s="169"/>
      <c r="Y54" s="169"/>
      <c r="Z54" s="169"/>
    </row>
    <row r="55" spans="1:26" s="48" customFormat="1" ht="9" hidden="1" customHeight="1" x14ac:dyDescent="0.25">
      <c r="A55" s="961"/>
      <c r="B55" s="961"/>
      <c r="C55" s="39"/>
      <c r="D55" s="601"/>
      <c r="E55" s="1351" t="s">
        <v>62</v>
      </c>
      <c r="F55" s="1351"/>
      <c r="G55" s="1351"/>
      <c r="H55" s="1425" t="s">
        <v>25</v>
      </c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239"/>
      <c r="T55" s="1477"/>
      <c r="U55" s="169"/>
      <c r="V55" s="169"/>
      <c r="W55" s="169"/>
      <c r="X55" s="169"/>
      <c r="Y55" s="169"/>
      <c r="Z55" s="169"/>
    </row>
    <row r="56" spans="1:26" ht="9" hidden="1" customHeight="1" x14ac:dyDescent="0.25">
      <c r="D56" s="52"/>
      <c r="E56" s="1369" t="s">
        <v>63</v>
      </c>
      <c r="F56" s="75"/>
      <c r="G56" s="75"/>
      <c r="H56" s="1425" t="s">
        <v>25</v>
      </c>
      <c r="I56" s="54"/>
      <c r="J56" s="54"/>
      <c r="K56" s="54"/>
      <c r="L56" s="54"/>
      <c r="M56" s="54"/>
      <c r="N56" s="54"/>
      <c r="O56" s="54"/>
      <c r="P56" s="54"/>
      <c r="Q56" s="54"/>
      <c r="R56" s="54"/>
    </row>
    <row r="57" spans="1:26" ht="9" hidden="1" customHeight="1" x14ac:dyDescent="0.25">
      <c r="D57" s="52"/>
      <c r="E57" s="1351" t="s">
        <v>64</v>
      </c>
      <c r="F57" s="1351"/>
      <c r="G57" s="1351"/>
      <c r="H57" s="1425" t="s">
        <v>25</v>
      </c>
      <c r="I57" s="54"/>
      <c r="J57" s="54"/>
      <c r="K57" s="54"/>
      <c r="L57" s="54"/>
      <c r="M57" s="54"/>
      <c r="N57" s="54"/>
      <c r="O57" s="54"/>
      <c r="P57" s="54"/>
      <c r="Q57" s="54"/>
      <c r="R57" s="54"/>
    </row>
    <row r="58" spans="1:26" ht="9" hidden="1" customHeight="1" x14ac:dyDescent="0.25">
      <c r="D58" s="52"/>
      <c r="E58" s="1351"/>
      <c r="F58" s="1351"/>
      <c r="G58" s="1351"/>
      <c r="H58" s="1425"/>
      <c r="I58" s="54"/>
      <c r="J58" s="54"/>
      <c r="K58" s="54"/>
      <c r="L58" s="54"/>
      <c r="M58" s="54"/>
      <c r="N58" s="54"/>
      <c r="O58" s="54"/>
      <c r="P58" s="54"/>
      <c r="Q58" s="54"/>
      <c r="R58" s="54"/>
    </row>
    <row r="59" spans="1:26" ht="9" hidden="1" customHeight="1" x14ac:dyDescent="0.25">
      <c r="D59" s="52"/>
      <c r="E59" s="1351"/>
      <c r="F59" s="1351"/>
      <c r="G59" s="1351"/>
      <c r="H59" s="1425"/>
      <c r="I59" s="54"/>
      <c r="J59" s="54"/>
      <c r="K59" s="54"/>
      <c r="L59" s="54"/>
      <c r="M59" s="54"/>
      <c r="N59" s="54"/>
      <c r="O59" s="54"/>
      <c r="P59" s="54"/>
      <c r="Q59" s="54"/>
      <c r="R59" s="54"/>
    </row>
    <row r="60" spans="1:26" ht="9" hidden="1" customHeight="1" x14ac:dyDescent="0.25">
      <c r="D60" s="52"/>
      <c r="E60" s="1351"/>
      <c r="F60" s="1351"/>
      <c r="G60" s="1351"/>
      <c r="H60" s="1425"/>
      <c r="I60" s="54"/>
      <c r="J60" s="54"/>
      <c r="K60" s="54"/>
      <c r="L60" s="54"/>
      <c r="M60" s="54"/>
      <c r="N60" s="54"/>
      <c r="O60" s="54"/>
      <c r="P60" s="54"/>
      <c r="Q60" s="54"/>
      <c r="R60" s="54"/>
    </row>
    <row r="61" spans="1:26" ht="9" hidden="1" customHeight="1" x14ac:dyDescent="0.25">
      <c r="D61" s="52"/>
      <c r="E61" s="1351"/>
      <c r="F61" s="1351"/>
      <c r="G61" s="1351"/>
      <c r="H61" s="1425"/>
      <c r="I61" s="54"/>
      <c r="J61" s="54"/>
      <c r="K61" s="54"/>
      <c r="L61" s="54"/>
      <c r="M61" s="54"/>
      <c r="N61" s="54"/>
      <c r="O61" s="54"/>
      <c r="P61" s="54"/>
      <c r="Q61" s="54"/>
      <c r="R61" s="54"/>
    </row>
    <row r="62" spans="1:26" ht="9" hidden="1" customHeight="1" x14ac:dyDescent="0.25">
      <c r="D62" s="52"/>
      <c r="E62" s="1351"/>
      <c r="F62" s="1351"/>
      <c r="G62" s="1351"/>
      <c r="H62" s="1425"/>
      <c r="I62" s="54"/>
      <c r="J62" s="54"/>
      <c r="K62" s="54"/>
      <c r="L62" s="54"/>
      <c r="M62" s="54"/>
      <c r="N62" s="54"/>
      <c r="O62" s="54"/>
      <c r="P62" s="54"/>
      <c r="Q62" s="54"/>
      <c r="R62" s="54"/>
    </row>
    <row r="63" spans="1:26" ht="9" hidden="1" customHeight="1" x14ac:dyDescent="0.25">
      <c r="D63" s="52"/>
      <c r="E63" s="1351"/>
      <c r="F63" s="1351"/>
      <c r="G63" s="1351"/>
      <c r="H63" s="1425"/>
      <c r="I63" s="54"/>
      <c r="J63" s="54"/>
      <c r="K63" s="54"/>
      <c r="L63" s="54"/>
      <c r="M63" s="54"/>
      <c r="N63" s="54"/>
      <c r="O63" s="54"/>
      <c r="P63" s="54"/>
      <c r="Q63" s="54"/>
      <c r="R63" s="54"/>
    </row>
    <row r="64" spans="1:26" ht="9" hidden="1" customHeight="1" x14ac:dyDescent="0.25">
      <c r="D64" s="52"/>
      <c r="E64" s="1351"/>
      <c r="F64" s="1351"/>
      <c r="G64" s="1351"/>
      <c r="H64" s="1425"/>
      <c r="I64" s="54"/>
      <c r="J64" s="54"/>
      <c r="K64" s="54"/>
      <c r="L64" s="54"/>
      <c r="M64" s="54"/>
      <c r="N64" s="54"/>
      <c r="O64" s="54"/>
      <c r="P64" s="54"/>
      <c r="Q64" s="54"/>
      <c r="R64" s="54"/>
    </row>
    <row r="65" spans="3:19" ht="9" hidden="1" customHeight="1" x14ac:dyDescent="0.25">
      <c r="D65" s="52"/>
      <c r="E65" s="1351"/>
      <c r="F65" s="1351"/>
      <c r="G65" s="1351"/>
      <c r="H65" s="1425"/>
      <c r="I65" s="54"/>
      <c r="J65" s="54"/>
      <c r="K65" s="54"/>
      <c r="L65" s="54"/>
      <c r="M65" s="54"/>
      <c r="N65" s="54"/>
      <c r="O65" s="54"/>
      <c r="P65" s="54"/>
      <c r="Q65" s="54"/>
      <c r="R65" s="54"/>
    </row>
    <row r="66" spans="3:19" ht="9" hidden="1" customHeight="1" x14ac:dyDescent="0.25">
      <c r="D66" s="52"/>
      <c r="E66" s="1351"/>
      <c r="F66" s="1351"/>
      <c r="G66" s="1351"/>
      <c r="H66" s="1425"/>
      <c r="I66" s="54"/>
      <c r="J66" s="54"/>
      <c r="K66" s="54"/>
      <c r="L66" s="54"/>
      <c r="M66" s="54"/>
      <c r="N66" s="54"/>
      <c r="O66" s="54"/>
      <c r="P66" s="54"/>
      <c r="Q66" s="54"/>
      <c r="R66" s="54"/>
    </row>
    <row r="67" spans="3:19" ht="9" hidden="1" customHeight="1" x14ac:dyDescent="0.25">
      <c r="D67" s="52"/>
      <c r="E67" s="1351"/>
      <c r="F67" s="1351"/>
      <c r="G67" s="1351"/>
      <c r="H67" s="1425"/>
      <c r="I67" s="54"/>
      <c r="J67" s="54"/>
      <c r="K67" s="54"/>
      <c r="L67" s="54"/>
      <c r="M67" s="54"/>
      <c r="N67" s="54"/>
      <c r="O67" s="54"/>
      <c r="P67" s="54"/>
      <c r="Q67" s="54"/>
      <c r="R67" s="54"/>
    </row>
    <row r="68" spans="3:19" ht="9" hidden="1" customHeight="1" x14ac:dyDescent="0.25">
      <c r="D68" s="52"/>
      <c r="E68" s="1351"/>
      <c r="F68" s="1351"/>
      <c r="G68" s="1351"/>
      <c r="H68" s="1425"/>
      <c r="I68" s="54"/>
      <c r="J68" s="54"/>
      <c r="K68" s="54"/>
      <c r="L68" s="54"/>
      <c r="M68" s="54"/>
      <c r="N68" s="54"/>
      <c r="O68" s="54"/>
      <c r="P68" s="54"/>
      <c r="Q68" s="54"/>
      <c r="R68" s="54"/>
    </row>
    <row r="69" spans="3:19" ht="9" hidden="1" customHeight="1" x14ac:dyDescent="0.25">
      <c r="C69" s="1408"/>
      <c r="D69" s="1409" t="s">
        <v>4</v>
      </c>
      <c r="E69" s="1409"/>
      <c r="F69" s="1409"/>
      <c r="G69" s="1409"/>
      <c r="H69" s="1410" t="s">
        <v>5</v>
      </c>
      <c r="I69" s="1411" t="s">
        <v>65</v>
      </c>
      <c r="J69" s="1412" t="s">
        <v>67</v>
      </c>
      <c r="K69" s="1411"/>
      <c r="L69" s="1411"/>
      <c r="M69" s="1412" t="s">
        <v>67</v>
      </c>
      <c r="N69" s="1412"/>
      <c r="O69" s="1412"/>
      <c r="P69" s="1412" t="s">
        <v>67</v>
      </c>
      <c r="Q69" s="1412" t="s">
        <v>67</v>
      </c>
      <c r="R69" s="1413" t="s">
        <v>67</v>
      </c>
      <c r="S69" s="1458"/>
    </row>
    <row r="70" spans="3:19" ht="9" hidden="1" customHeight="1" x14ac:dyDescent="0.25">
      <c r="C70" s="1408"/>
      <c r="D70" s="1409"/>
      <c r="E70" s="1409"/>
      <c r="F70" s="1409"/>
      <c r="G70" s="1409"/>
      <c r="H70" s="1410"/>
      <c r="I70" s="1411"/>
      <c r="J70" s="1412"/>
      <c r="K70" s="1411"/>
      <c r="L70" s="1411"/>
      <c r="M70" s="1412"/>
      <c r="N70" s="1412"/>
      <c r="O70" s="1412"/>
      <c r="P70" s="1412"/>
      <c r="Q70" s="1412"/>
      <c r="R70" s="1413"/>
      <c r="S70" s="1458"/>
    </row>
    <row r="71" spans="3:19" ht="9" hidden="1" customHeight="1" x14ac:dyDescent="0.25">
      <c r="C71" s="1408"/>
      <c r="D71" s="1409"/>
      <c r="E71" s="1409"/>
      <c r="F71" s="1409"/>
      <c r="G71" s="1409"/>
      <c r="H71" s="1410"/>
      <c r="I71" s="1411"/>
      <c r="J71" s="1412"/>
      <c r="K71" s="1411"/>
      <c r="L71" s="1411"/>
      <c r="M71" s="1412"/>
      <c r="N71" s="1412"/>
      <c r="O71" s="1412"/>
      <c r="P71" s="1412"/>
      <c r="Q71" s="1412"/>
      <c r="R71" s="1413"/>
      <c r="S71" s="1458"/>
    </row>
    <row r="72" spans="3:19" ht="9" hidden="1" customHeight="1" x14ac:dyDescent="0.25">
      <c r="C72" s="1408"/>
      <c r="D72" s="1409"/>
      <c r="E72" s="1409"/>
      <c r="F72" s="1409"/>
      <c r="G72" s="1409"/>
      <c r="H72" s="1410"/>
      <c r="I72" s="1411"/>
      <c r="J72" s="1412"/>
      <c r="K72" s="1411"/>
      <c r="L72" s="1411"/>
      <c r="M72" s="1412"/>
      <c r="N72" s="1412"/>
      <c r="O72" s="1412"/>
      <c r="P72" s="1412"/>
      <c r="Q72" s="1412"/>
      <c r="R72" s="1413"/>
      <c r="S72" s="1458"/>
    </row>
    <row r="73" spans="3:19" ht="9" hidden="1" customHeight="1" x14ac:dyDescent="0.25">
      <c r="C73" s="1408"/>
      <c r="D73" s="1409"/>
      <c r="E73" s="1409"/>
      <c r="F73" s="1409"/>
      <c r="G73" s="1409"/>
      <c r="H73" s="1410"/>
      <c r="I73" s="1411"/>
      <c r="J73" s="1412"/>
      <c r="K73" s="1411"/>
      <c r="L73" s="1411"/>
      <c r="M73" s="1412"/>
      <c r="N73" s="1412"/>
      <c r="O73" s="1412"/>
      <c r="P73" s="1412"/>
      <c r="Q73" s="1412"/>
      <c r="R73" s="1413"/>
      <c r="S73" s="1458"/>
    </row>
    <row r="74" spans="3:19" ht="9" hidden="1" customHeight="1" x14ac:dyDescent="0.25">
      <c r="D74" s="52"/>
      <c r="E74" s="1351"/>
      <c r="F74" s="1351"/>
      <c r="G74" s="1351"/>
      <c r="H74" s="1425"/>
      <c r="I74" s="54"/>
      <c r="J74" s="54"/>
      <c r="K74" s="54"/>
      <c r="L74" s="54"/>
      <c r="M74" s="54"/>
      <c r="N74" s="54"/>
      <c r="O74" s="54"/>
      <c r="P74" s="54"/>
      <c r="Q74" s="54"/>
      <c r="R74" s="54"/>
    </row>
    <row r="75" spans="3:19" ht="9" hidden="1" customHeight="1" x14ac:dyDescent="0.25">
      <c r="C75" s="1354" t="s">
        <v>68</v>
      </c>
      <c r="D75" s="602"/>
      <c r="E75" s="1354"/>
      <c r="F75" s="1354"/>
      <c r="G75" s="1354"/>
      <c r="H75" s="62"/>
      <c r="I75" s="54"/>
      <c r="J75" s="54"/>
      <c r="K75" s="54"/>
      <c r="L75" s="54"/>
      <c r="M75" s="54"/>
      <c r="N75" s="54"/>
      <c r="O75" s="54"/>
      <c r="P75" s="54"/>
      <c r="Q75" s="54"/>
      <c r="R75" s="54"/>
    </row>
    <row r="76" spans="3:19" ht="9" hidden="1" customHeight="1" x14ac:dyDescent="0.25">
      <c r="C76" s="206" t="s">
        <v>69</v>
      </c>
      <c r="D76" s="52"/>
      <c r="E76" s="271"/>
      <c r="F76" s="60"/>
      <c r="G76" s="60"/>
      <c r="H76" s="62" t="s">
        <v>25</v>
      </c>
      <c r="I76" s="54"/>
      <c r="J76" s="54"/>
      <c r="K76" s="54"/>
      <c r="L76" s="54"/>
      <c r="M76" s="54"/>
      <c r="N76" s="54"/>
      <c r="O76" s="54"/>
      <c r="P76" s="54"/>
      <c r="Q76" s="54"/>
      <c r="R76" s="54"/>
    </row>
    <row r="77" spans="3:19" ht="9" hidden="1" customHeight="1" x14ac:dyDescent="0.25">
      <c r="C77" s="206" t="s">
        <v>70</v>
      </c>
      <c r="D77" s="52"/>
      <c r="E77" s="271"/>
      <c r="F77" s="60"/>
      <c r="G77" s="60"/>
      <c r="H77" s="62" t="s">
        <v>25</v>
      </c>
      <c r="I77" s="54"/>
      <c r="J77" s="54"/>
      <c r="K77" s="54"/>
      <c r="L77" s="54"/>
      <c r="M77" s="54"/>
      <c r="N77" s="54"/>
      <c r="O77" s="54"/>
      <c r="P77" s="54"/>
      <c r="Q77" s="54"/>
      <c r="R77" s="54"/>
    </row>
    <row r="78" spans="3:19" ht="9" hidden="1" customHeight="1" x14ac:dyDescent="0.25">
      <c r="C78" s="206" t="s">
        <v>71</v>
      </c>
      <c r="D78" s="52"/>
      <c r="E78" s="271"/>
      <c r="F78" s="60"/>
      <c r="G78" s="60"/>
      <c r="H78" s="62" t="s">
        <v>25</v>
      </c>
      <c r="I78" s="54"/>
      <c r="J78" s="54"/>
      <c r="K78" s="54"/>
      <c r="L78" s="54"/>
      <c r="M78" s="54"/>
      <c r="N78" s="54"/>
      <c r="O78" s="54"/>
      <c r="P78" s="54"/>
      <c r="Q78" s="54"/>
      <c r="R78" s="54"/>
    </row>
    <row r="79" spans="3:19" ht="9" hidden="1" customHeight="1" x14ac:dyDescent="0.25">
      <c r="C79" s="206" t="s">
        <v>72</v>
      </c>
      <c r="D79" s="52"/>
      <c r="E79" s="271"/>
      <c r="F79" s="60"/>
      <c r="G79" s="60"/>
      <c r="H79" s="62" t="s">
        <v>25</v>
      </c>
      <c r="I79" s="54"/>
      <c r="J79" s="54"/>
      <c r="K79" s="54"/>
      <c r="L79" s="54"/>
      <c r="M79" s="54"/>
      <c r="N79" s="54"/>
      <c r="O79" s="54"/>
      <c r="P79" s="54"/>
      <c r="Q79" s="54"/>
      <c r="R79" s="54"/>
    </row>
    <row r="80" spans="3:19" ht="9" hidden="1" customHeight="1" x14ac:dyDescent="0.25">
      <c r="C80" s="206" t="s">
        <v>73</v>
      </c>
      <c r="D80" s="52"/>
      <c r="E80" s="271"/>
      <c r="F80" s="60"/>
      <c r="G80" s="60"/>
      <c r="H80" s="62" t="s">
        <v>25</v>
      </c>
      <c r="I80" s="54"/>
      <c r="J80" s="54"/>
      <c r="K80" s="54"/>
      <c r="L80" s="54"/>
      <c r="M80" s="54"/>
      <c r="N80" s="54"/>
      <c r="O80" s="54"/>
      <c r="P80" s="54"/>
      <c r="Q80" s="54"/>
      <c r="R80" s="54"/>
    </row>
    <row r="81" spans="3:19" ht="9" hidden="1" customHeight="1" x14ac:dyDescent="0.25">
      <c r="C81" s="23"/>
      <c r="D81" s="602"/>
      <c r="E81" s="271"/>
      <c r="F81" s="60"/>
      <c r="G81" s="60"/>
      <c r="H81" s="62"/>
      <c r="I81" s="54"/>
      <c r="J81" s="54"/>
      <c r="K81" s="54"/>
      <c r="L81" s="54"/>
      <c r="M81" s="54"/>
      <c r="N81" s="54"/>
      <c r="O81" s="54"/>
      <c r="P81" s="54"/>
      <c r="Q81" s="54"/>
      <c r="R81" s="54"/>
    </row>
    <row r="82" spans="3:19" ht="9" hidden="1" customHeight="1" x14ac:dyDescent="0.25">
      <c r="C82" s="206" t="s">
        <v>74</v>
      </c>
      <c r="D82" s="52"/>
      <c r="E82" s="271"/>
      <c r="F82" s="60"/>
      <c r="G82" s="60"/>
      <c r="H82" s="62" t="s">
        <v>25</v>
      </c>
      <c r="I82" s="54"/>
      <c r="J82" s="54"/>
      <c r="K82" s="54"/>
      <c r="L82" s="54"/>
      <c r="M82" s="54"/>
      <c r="N82" s="54"/>
      <c r="O82" s="54"/>
      <c r="P82" s="54"/>
      <c r="Q82" s="54"/>
      <c r="R82" s="54"/>
    </row>
    <row r="83" spans="3:19" ht="9" hidden="1" customHeight="1" x14ac:dyDescent="0.25">
      <c r="C83" s="206"/>
      <c r="D83" s="52"/>
      <c r="E83" s="271"/>
      <c r="F83" s="60"/>
      <c r="G83" s="60"/>
      <c r="H83" s="62"/>
      <c r="I83" s="54"/>
      <c r="J83" s="54"/>
      <c r="K83" s="54"/>
      <c r="L83" s="54"/>
      <c r="M83" s="54"/>
      <c r="N83" s="54"/>
      <c r="O83" s="54"/>
      <c r="P83" s="54"/>
      <c r="Q83" s="54"/>
      <c r="R83" s="54"/>
    </row>
    <row r="84" spans="3:19" ht="9" hidden="1" customHeight="1" x14ac:dyDescent="0.25">
      <c r="C84" s="206" t="s">
        <v>75</v>
      </c>
      <c r="D84" s="52"/>
      <c r="E84" s="271"/>
      <c r="F84" s="60"/>
      <c r="G84" s="60"/>
      <c r="H84" s="62" t="s">
        <v>25</v>
      </c>
      <c r="I84" s="54"/>
      <c r="J84" s="54"/>
      <c r="K84" s="54"/>
      <c r="L84" s="54"/>
      <c r="M84" s="54"/>
      <c r="N84" s="54"/>
      <c r="O84" s="54"/>
      <c r="P84" s="54"/>
      <c r="Q84" s="54"/>
      <c r="R84" s="54"/>
    </row>
    <row r="85" spans="3:19" ht="9" hidden="1" customHeight="1" x14ac:dyDescent="0.25">
      <c r="C85" s="206" t="s">
        <v>76</v>
      </c>
      <c r="D85" s="52"/>
      <c r="E85" s="271"/>
      <c r="F85" s="60"/>
      <c r="G85" s="60"/>
      <c r="H85" s="62" t="s">
        <v>25</v>
      </c>
      <c r="I85" s="54"/>
      <c r="J85" s="54"/>
      <c r="K85" s="54"/>
      <c r="L85" s="54"/>
      <c r="M85" s="54"/>
      <c r="N85" s="54"/>
      <c r="O85" s="54"/>
      <c r="P85" s="54"/>
      <c r="Q85" s="54"/>
      <c r="R85" s="54"/>
    </row>
    <row r="86" spans="3:19" ht="9" hidden="1" customHeight="1" x14ac:dyDescent="0.25">
      <c r="C86" s="206" t="s">
        <v>77</v>
      </c>
      <c r="D86" s="52"/>
      <c r="E86" s="271"/>
      <c r="F86" s="60"/>
      <c r="G86" s="60"/>
      <c r="H86" s="62" t="s">
        <v>25</v>
      </c>
      <c r="I86" s="54"/>
      <c r="J86" s="54"/>
      <c r="K86" s="54"/>
      <c r="L86" s="54"/>
      <c r="M86" s="54"/>
      <c r="N86" s="54"/>
      <c r="O86" s="54"/>
      <c r="P86" s="54"/>
      <c r="Q86" s="54"/>
      <c r="R86" s="54"/>
    </row>
    <row r="87" spans="3:19" ht="9" hidden="1" customHeight="1" x14ac:dyDescent="0.25">
      <c r="C87" s="206" t="s">
        <v>78</v>
      </c>
      <c r="D87" s="52"/>
      <c r="E87" s="271"/>
      <c r="F87" s="60"/>
      <c r="G87" s="60"/>
      <c r="H87" s="62" t="s">
        <v>25</v>
      </c>
      <c r="I87" s="54"/>
      <c r="J87" s="54"/>
      <c r="K87" s="54"/>
      <c r="L87" s="54"/>
      <c r="M87" s="54"/>
      <c r="N87" s="54"/>
      <c r="O87" s="54"/>
      <c r="P87" s="54"/>
      <c r="Q87" s="54"/>
      <c r="R87" s="54"/>
    </row>
    <row r="88" spans="3:19" ht="9" hidden="1" customHeight="1" x14ac:dyDescent="0.25">
      <c r="C88" s="206" t="s">
        <v>79</v>
      </c>
      <c r="D88" s="52"/>
      <c r="E88" s="271"/>
      <c r="F88" s="60"/>
      <c r="G88" s="60"/>
      <c r="H88" s="62" t="s">
        <v>25</v>
      </c>
      <c r="I88" s="54"/>
      <c r="J88" s="54"/>
      <c r="K88" s="54"/>
      <c r="L88" s="54"/>
      <c r="M88" s="54"/>
      <c r="N88" s="54"/>
      <c r="O88" s="54"/>
      <c r="P88" s="54"/>
      <c r="Q88" s="54"/>
      <c r="R88" s="54"/>
    </row>
    <row r="89" spans="3:19" ht="9" hidden="1" customHeight="1" x14ac:dyDescent="0.25">
      <c r="C89" s="206" t="s">
        <v>80</v>
      </c>
      <c r="D89" s="52"/>
      <c r="E89" s="271"/>
      <c r="F89" s="60"/>
      <c r="G89" s="1427"/>
      <c r="H89" s="62" t="s">
        <v>25</v>
      </c>
      <c r="I89" s="54"/>
      <c r="J89" s="1426"/>
      <c r="K89" s="1426"/>
      <c r="L89" s="1426"/>
      <c r="M89" s="1426"/>
      <c r="N89" s="1426"/>
      <c r="O89" s="1426"/>
      <c r="P89" s="1426"/>
      <c r="Q89" s="1426"/>
      <c r="R89" s="1426"/>
    </row>
    <row r="90" spans="3:19" ht="9" hidden="1" customHeight="1" x14ac:dyDescent="0.25">
      <c r="C90" s="206" t="s">
        <v>81</v>
      </c>
      <c r="D90" s="52"/>
      <c r="E90" s="271"/>
      <c r="F90" s="60"/>
      <c r="G90" s="60"/>
      <c r="H90" s="62" t="s">
        <v>82</v>
      </c>
      <c r="I90" s="54"/>
      <c r="J90" s="54"/>
      <c r="K90" s="54"/>
      <c r="L90" s="54"/>
      <c r="M90" s="54"/>
      <c r="N90" s="54"/>
      <c r="O90" s="54"/>
      <c r="P90" s="54"/>
      <c r="Q90" s="54"/>
      <c r="R90" s="54"/>
    </row>
    <row r="91" spans="3:19" ht="9" hidden="1" customHeight="1" x14ac:dyDescent="0.25">
      <c r="C91" s="23" t="s">
        <v>83</v>
      </c>
      <c r="D91" s="52"/>
      <c r="E91" s="271"/>
      <c r="F91" s="66"/>
      <c r="G91" s="66"/>
      <c r="H91" s="62"/>
      <c r="I91" s="1424">
        <f>SUM(I17:I90)</f>
        <v>0</v>
      </c>
      <c r="J91" s="1424">
        <f>SUM(J17:J90)</f>
        <v>0</v>
      </c>
      <c r="K91" s="1424"/>
      <c r="L91" s="1424"/>
      <c r="M91" s="1424">
        <f>SUM(M17:M90)</f>
        <v>0</v>
      </c>
      <c r="N91" s="1424"/>
      <c r="O91" s="1424"/>
      <c r="P91" s="1424">
        <f>SUM(P17:P90)</f>
        <v>0</v>
      </c>
      <c r="Q91" s="1424">
        <f>SUM(Q17:Q90)</f>
        <v>0</v>
      </c>
      <c r="R91" s="1424">
        <f>SUM(R17:R90)</f>
        <v>0</v>
      </c>
      <c r="S91" s="1454"/>
    </row>
    <row r="92" spans="3:19" ht="9" hidden="1" customHeight="1" x14ac:dyDescent="0.25">
      <c r="C92" s="1354" t="s">
        <v>84</v>
      </c>
      <c r="D92" s="52"/>
      <c r="E92" s="271"/>
      <c r="F92" s="60"/>
      <c r="G92" s="66"/>
      <c r="H92" s="62"/>
      <c r="I92" s="54"/>
      <c r="J92" s="1424"/>
      <c r="K92" s="1424"/>
      <c r="L92" s="1424"/>
      <c r="M92" s="1424"/>
      <c r="N92" s="1424"/>
      <c r="O92" s="1424"/>
      <c r="P92" s="1424"/>
      <c r="Q92" s="1424"/>
      <c r="R92" s="1424"/>
      <c r="S92" s="1454"/>
    </row>
    <row r="93" spans="3:19" ht="9" hidden="1" customHeight="1" x14ac:dyDescent="0.25">
      <c r="C93" s="23" t="s">
        <v>85</v>
      </c>
      <c r="D93" s="52"/>
      <c r="E93" s="271"/>
      <c r="F93" s="60"/>
      <c r="G93" s="66"/>
      <c r="H93" s="62"/>
      <c r="I93" s="54"/>
      <c r="J93" s="1424"/>
      <c r="K93" s="1424"/>
      <c r="L93" s="1424"/>
      <c r="M93" s="1424"/>
      <c r="N93" s="1424"/>
      <c r="O93" s="1424"/>
      <c r="P93" s="1424"/>
      <c r="Q93" s="1424"/>
      <c r="R93" s="1424"/>
      <c r="S93" s="1454"/>
    </row>
    <row r="94" spans="3:19" ht="9" hidden="1" customHeight="1" x14ac:dyDescent="0.25">
      <c r="C94" s="206" t="s">
        <v>86</v>
      </c>
      <c r="D94" s="252"/>
      <c r="E94" s="271"/>
      <c r="F94" s="60"/>
      <c r="G94" s="60"/>
      <c r="H94" s="62" t="s">
        <v>25</v>
      </c>
      <c r="I94" s="54"/>
      <c r="J94" s="54"/>
      <c r="K94" s="54"/>
      <c r="L94" s="54"/>
      <c r="M94" s="54"/>
      <c r="N94" s="54"/>
      <c r="O94" s="54"/>
      <c r="P94" s="54"/>
      <c r="Q94" s="54"/>
      <c r="R94" s="54"/>
    </row>
    <row r="95" spans="3:19" ht="9" hidden="1" customHeight="1" x14ac:dyDescent="0.25">
      <c r="C95" s="206" t="s">
        <v>87</v>
      </c>
      <c r="D95" s="603"/>
      <c r="E95" s="271"/>
      <c r="F95" s="60"/>
      <c r="G95" s="60"/>
      <c r="H95" s="62" t="s">
        <v>25</v>
      </c>
      <c r="I95" s="54"/>
      <c r="J95" s="54"/>
      <c r="K95" s="54"/>
      <c r="L95" s="54"/>
      <c r="M95" s="54"/>
      <c r="N95" s="54"/>
      <c r="O95" s="54"/>
      <c r="P95" s="54"/>
      <c r="Q95" s="54"/>
      <c r="R95" s="54"/>
    </row>
    <row r="96" spans="3:19" ht="9" hidden="1" customHeight="1" x14ac:dyDescent="0.25">
      <c r="C96" s="206" t="s">
        <v>88</v>
      </c>
      <c r="D96" s="603"/>
      <c r="E96" s="271"/>
      <c r="F96" s="60"/>
      <c r="G96" s="60"/>
      <c r="H96" s="62"/>
      <c r="I96" s="54"/>
      <c r="J96" s="54"/>
      <c r="K96" s="54"/>
      <c r="L96" s="54"/>
      <c r="M96" s="54"/>
      <c r="N96" s="54"/>
      <c r="O96" s="54"/>
      <c r="P96" s="54"/>
      <c r="Q96" s="54"/>
      <c r="R96" s="54"/>
    </row>
    <row r="97" spans="3:19" ht="9" hidden="1" customHeight="1" x14ac:dyDescent="0.25">
      <c r="C97" s="206" t="s">
        <v>89</v>
      </c>
      <c r="D97" s="603"/>
      <c r="E97" s="271"/>
      <c r="F97" s="60"/>
      <c r="G97" s="60"/>
      <c r="H97" s="62"/>
      <c r="I97" s="54"/>
      <c r="J97" s="54"/>
      <c r="K97" s="54"/>
      <c r="L97" s="54"/>
      <c r="M97" s="54"/>
      <c r="N97" s="54"/>
      <c r="O97" s="54"/>
      <c r="P97" s="54"/>
      <c r="Q97" s="54"/>
      <c r="R97" s="54"/>
    </row>
    <row r="98" spans="3:19" ht="9" hidden="1" customHeight="1" x14ac:dyDescent="0.25">
      <c r="C98" s="206" t="s">
        <v>90</v>
      </c>
      <c r="D98" s="603"/>
      <c r="E98" s="271"/>
      <c r="F98" s="60"/>
      <c r="G98" s="1427"/>
      <c r="H98" s="62" t="s">
        <v>82</v>
      </c>
      <c r="I98" s="54"/>
      <c r="J98" s="1426"/>
      <c r="K98" s="1426"/>
      <c r="L98" s="1426"/>
      <c r="M98" s="1426"/>
      <c r="N98" s="1426"/>
      <c r="O98" s="1426"/>
      <c r="P98" s="1426"/>
      <c r="Q98" s="1426"/>
      <c r="R98" s="1426"/>
    </row>
    <row r="99" spans="3:19" ht="9" hidden="1" customHeight="1" x14ac:dyDescent="0.25">
      <c r="C99" s="206"/>
      <c r="D99" s="52" t="s">
        <v>91</v>
      </c>
      <c r="E99" s="271"/>
      <c r="F99" s="60"/>
      <c r="G99" s="60"/>
      <c r="H99" s="71"/>
      <c r="I99" s="54">
        <f>SUM(I94:I98)</f>
        <v>0</v>
      </c>
      <c r="J99" s="54">
        <f>SUM(J94:J98)</f>
        <v>0</v>
      </c>
      <c r="K99" s="54"/>
      <c r="L99" s="54"/>
      <c r="M99" s="54">
        <f>SUM(M94:M98)</f>
        <v>0</v>
      </c>
      <c r="N99" s="54"/>
      <c r="O99" s="54"/>
      <c r="P99" s="54">
        <f>SUM(P94:P98)</f>
        <v>0</v>
      </c>
      <c r="Q99" s="54">
        <f>SUM(Q94:Q98)</f>
        <v>0</v>
      </c>
      <c r="R99" s="54">
        <f>SUM(R94:R98)</f>
        <v>0</v>
      </c>
    </row>
    <row r="100" spans="3:19" ht="9" hidden="1" customHeight="1" x14ac:dyDescent="0.25">
      <c r="C100" s="206"/>
      <c r="D100" s="52" t="s">
        <v>92</v>
      </c>
      <c r="E100" s="271"/>
      <c r="F100" s="60"/>
      <c r="G100" s="60"/>
      <c r="H100" s="71"/>
      <c r="I100" s="54">
        <f>SUM(I99+I91)</f>
        <v>0</v>
      </c>
      <c r="J100" s="54">
        <f>SUM(J99+J91)</f>
        <v>0</v>
      </c>
      <c r="K100" s="54"/>
      <c r="L100" s="54"/>
      <c r="M100" s="54">
        <f>SUM(M99+M91)</f>
        <v>0</v>
      </c>
      <c r="N100" s="54"/>
      <c r="O100" s="54"/>
      <c r="P100" s="54">
        <f>SUM(P99+P91)</f>
        <v>0</v>
      </c>
      <c r="Q100" s="54">
        <f>SUM(Q99+Q91)</f>
        <v>0</v>
      </c>
      <c r="R100" s="54">
        <f>SUM(R99+R91)</f>
        <v>0</v>
      </c>
    </row>
    <row r="101" spans="3:19" ht="9" hidden="1" customHeight="1" x14ac:dyDescent="0.25">
      <c r="C101" s="206"/>
      <c r="D101" s="604" t="s">
        <v>93</v>
      </c>
      <c r="E101" s="271"/>
      <c r="F101" s="60"/>
      <c r="G101" s="60"/>
      <c r="H101" s="71"/>
      <c r="I101" s="54" t="e">
        <f>SUM(I100+#REF!)</f>
        <v>#REF!</v>
      </c>
      <c r="J101" s="54" t="e">
        <f>SUM(J100+#REF!)</f>
        <v>#REF!</v>
      </c>
      <c r="K101" s="54"/>
      <c r="L101" s="54"/>
      <c r="M101" s="54">
        <f>SUM(M100+T15)</f>
        <v>0</v>
      </c>
      <c r="N101" s="54"/>
      <c r="O101" s="54"/>
      <c r="P101" s="54" t="e">
        <f>SUM(P100+#REF!)</f>
        <v>#REF!</v>
      </c>
      <c r="Q101" s="54" t="e">
        <f>SUM(Q100+#REF!)</f>
        <v>#REF!</v>
      </c>
      <c r="R101" s="54">
        <f>SUM(R100+T15)</f>
        <v>0</v>
      </c>
    </row>
    <row r="102" spans="3:19" ht="9" hidden="1" customHeight="1" x14ac:dyDescent="0.25">
      <c r="C102" s="206"/>
      <c r="D102" s="75"/>
      <c r="E102" s="271"/>
      <c r="F102" s="75"/>
      <c r="G102" s="75"/>
      <c r="H102" s="75"/>
    </row>
    <row r="103" spans="3:19" ht="9" hidden="1" customHeight="1" x14ac:dyDescent="0.25">
      <c r="C103" s="23" t="s">
        <v>94</v>
      </c>
      <c r="D103" s="52"/>
      <c r="E103" s="271"/>
      <c r="F103" s="60"/>
      <c r="G103" s="66"/>
      <c r="H103" s="62"/>
      <c r="I103" s="54"/>
      <c r="J103" s="1424"/>
      <c r="K103" s="1424"/>
      <c r="L103" s="1424"/>
      <c r="M103" s="1424"/>
      <c r="N103" s="1424"/>
      <c r="O103" s="1424"/>
      <c r="P103" s="1424"/>
      <c r="Q103" s="1424"/>
      <c r="R103" s="1424"/>
      <c r="S103" s="1454"/>
    </row>
    <row r="104" spans="3:19" ht="9" hidden="1" customHeight="1" x14ac:dyDescent="0.25">
      <c r="C104" s="23"/>
      <c r="D104" s="52"/>
      <c r="E104" s="271"/>
      <c r="F104" s="60"/>
      <c r="G104" s="66"/>
      <c r="H104" s="62"/>
      <c r="I104" s="54"/>
      <c r="J104" s="1424"/>
      <c r="K104" s="1424"/>
      <c r="L104" s="1424"/>
      <c r="M104" s="1424"/>
      <c r="N104" s="1424"/>
      <c r="O104" s="1424"/>
      <c r="P104" s="1424"/>
      <c r="Q104" s="1424"/>
      <c r="R104" s="1424"/>
      <c r="S104" s="1454"/>
    </row>
    <row r="105" spans="3:19" ht="9" hidden="1" customHeight="1" x14ac:dyDescent="0.25">
      <c r="C105" s="23" t="s">
        <v>95</v>
      </c>
      <c r="D105" s="52"/>
      <c r="E105" s="271"/>
      <c r="F105" s="60"/>
      <c r="G105" s="66"/>
      <c r="H105" s="62"/>
      <c r="I105" s="54"/>
      <c r="J105" s="1424"/>
      <c r="K105" s="1424"/>
      <c r="L105" s="1424"/>
      <c r="M105" s="1424"/>
      <c r="N105" s="1424"/>
      <c r="O105" s="1424"/>
      <c r="P105" s="1424"/>
      <c r="Q105" s="1424"/>
      <c r="R105" s="1424"/>
      <c r="S105" s="1454"/>
    </row>
    <row r="106" spans="3:19" ht="9" hidden="1" customHeight="1" x14ac:dyDescent="0.25">
      <c r="C106" s="206" t="s">
        <v>96</v>
      </c>
      <c r="D106" s="252"/>
      <c r="E106" s="271"/>
      <c r="F106" s="60"/>
      <c r="G106" s="60"/>
      <c r="H106" s="62" t="s">
        <v>25</v>
      </c>
      <c r="I106" s="54"/>
      <c r="J106" s="54"/>
      <c r="K106" s="54"/>
      <c r="L106" s="54"/>
      <c r="M106" s="54"/>
      <c r="N106" s="54"/>
      <c r="O106" s="54"/>
      <c r="P106" s="54"/>
      <c r="Q106" s="54"/>
      <c r="R106" s="54"/>
    </row>
    <row r="107" spans="3:19" ht="9" hidden="1" customHeight="1" x14ac:dyDescent="0.25">
      <c r="C107" s="206" t="s">
        <v>97</v>
      </c>
      <c r="D107" s="252"/>
      <c r="E107" s="271"/>
      <c r="F107" s="60"/>
      <c r="G107" s="60"/>
      <c r="H107" s="62" t="s">
        <v>25</v>
      </c>
      <c r="I107" s="54"/>
      <c r="J107" s="54"/>
      <c r="K107" s="54"/>
      <c r="L107" s="54"/>
      <c r="M107" s="54"/>
      <c r="N107" s="54"/>
      <c r="O107" s="54"/>
      <c r="P107" s="54"/>
      <c r="Q107" s="54"/>
      <c r="R107" s="54"/>
    </row>
    <row r="108" spans="3:19" ht="9" hidden="1" customHeight="1" x14ac:dyDescent="0.25">
      <c r="C108" s="206" t="s">
        <v>98</v>
      </c>
      <c r="D108" s="252"/>
      <c r="E108" s="271"/>
      <c r="F108" s="60"/>
      <c r="G108" s="60"/>
      <c r="H108" s="62"/>
      <c r="I108" s="54"/>
      <c r="J108" s="54"/>
      <c r="K108" s="54"/>
      <c r="L108" s="54"/>
      <c r="M108" s="54"/>
      <c r="N108" s="54"/>
      <c r="O108" s="54"/>
      <c r="P108" s="54"/>
      <c r="Q108" s="54"/>
      <c r="R108" s="54"/>
    </row>
    <row r="109" spans="3:19" ht="9" hidden="1" customHeight="1" x14ac:dyDescent="0.25">
      <c r="C109" s="206" t="s">
        <v>99</v>
      </c>
      <c r="D109" s="252"/>
      <c r="E109" s="271"/>
      <c r="F109" s="60"/>
      <c r="G109" s="60"/>
      <c r="H109" s="62" t="s">
        <v>25</v>
      </c>
      <c r="I109" s="54"/>
      <c r="J109" s="54"/>
      <c r="K109" s="54"/>
      <c r="L109" s="54"/>
      <c r="M109" s="54"/>
      <c r="N109" s="54"/>
      <c r="O109" s="54"/>
      <c r="P109" s="54"/>
      <c r="Q109" s="54"/>
      <c r="R109" s="54"/>
    </row>
    <row r="110" spans="3:19" ht="9" hidden="1" customHeight="1" x14ac:dyDescent="0.25">
      <c r="C110" s="206" t="s">
        <v>100</v>
      </c>
      <c r="D110" s="252"/>
      <c r="E110" s="271"/>
      <c r="F110" s="60"/>
      <c r="G110" s="60"/>
      <c r="H110" s="62" t="s">
        <v>25</v>
      </c>
      <c r="I110" s="54"/>
      <c r="J110" s="54"/>
      <c r="K110" s="54"/>
      <c r="L110" s="54"/>
      <c r="M110" s="54"/>
      <c r="N110" s="54"/>
      <c r="O110" s="54"/>
      <c r="P110" s="54"/>
      <c r="Q110" s="54"/>
      <c r="R110" s="54"/>
    </row>
    <row r="111" spans="3:19" ht="9" hidden="1" customHeight="1" x14ac:dyDescent="0.25">
      <c r="C111" s="206" t="s">
        <v>101</v>
      </c>
      <c r="D111" s="252"/>
      <c r="E111" s="271"/>
      <c r="F111" s="60"/>
      <c r="G111" s="60"/>
      <c r="H111" s="62" t="s">
        <v>25</v>
      </c>
      <c r="I111" s="54"/>
      <c r="J111" s="54"/>
      <c r="K111" s="54"/>
      <c r="L111" s="54"/>
      <c r="M111" s="54"/>
      <c r="N111" s="54"/>
      <c r="O111" s="54"/>
      <c r="P111" s="54"/>
      <c r="Q111" s="54"/>
      <c r="R111" s="54"/>
    </row>
    <row r="112" spans="3:19" ht="9" hidden="1" customHeight="1" x14ac:dyDescent="0.25">
      <c r="C112" s="206" t="s">
        <v>102</v>
      </c>
      <c r="D112" s="252"/>
      <c r="E112" s="271"/>
      <c r="F112" s="60"/>
      <c r="G112" s="60"/>
      <c r="H112" s="62"/>
      <c r="I112" s="54"/>
      <c r="J112" s="54"/>
      <c r="K112" s="54"/>
      <c r="L112" s="54"/>
      <c r="M112" s="54"/>
      <c r="N112" s="54"/>
      <c r="O112" s="54"/>
      <c r="P112" s="54"/>
      <c r="Q112" s="54"/>
      <c r="R112" s="54"/>
    </row>
    <row r="113" spans="3:19" ht="9" hidden="1" customHeight="1" x14ac:dyDescent="0.25">
      <c r="C113" s="206"/>
      <c r="D113" s="252"/>
      <c r="E113" s="271"/>
      <c r="F113" s="60"/>
      <c r="G113" s="66"/>
      <c r="H113" s="62"/>
      <c r="I113" s="54">
        <f>SUM(I106:I111)</f>
        <v>0</v>
      </c>
      <c r="J113" s="1424">
        <f>SUM(J106:J111)</f>
        <v>0</v>
      </c>
      <c r="K113" s="1424"/>
      <c r="L113" s="1424"/>
      <c r="M113" s="1424">
        <f>SUM(M106:M111)</f>
        <v>0</v>
      </c>
      <c r="N113" s="1424"/>
      <c r="O113" s="1424"/>
      <c r="P113" s="1424">
        <f>SUM(P106:P111)</f>
        <v>0</v>
      </c>
      <c r="Q113" s="1424">
        <f>SUM(Q106:Q111)</f>
        <v>0</v>
      </c>
      <c r="R113" s="1424">
        <f>SUM(R106:R111)</f>
        <v>0</v>
      </c>
      <c r="S113" s="1454"/>
    </row>
    <row r="114" spans="3:19" ht="9" hidden="1" customHeight="1" x14ac:dyDescent="0.25">
      <c r="C114" s="23" t="s">
        <v>103</v>
      </c>
      <c r="D114" s="252"/>
      <c r="E114" s="271"/>
      <c r="F114" s="60"/>
      <c r="G114" s="66"/>
      <c r="H114" s="62"/>
      <c r="I114" s="54"/>
      <c r="J114" s="1424"/>
      <c r="K114" s="1424"/>
      <c r="L114" s="1424"/>
      <c r="M114" s="1424"/>
      <c r="N114" s="1424"/>
      <c r="O114" s="1424"/>
      <c r="P114" s="1424"/>
      <c r="Q114" s="1424"/>
      <c r="R114" s="1424"/>
      <c r="S114" s="1454"/>
    </row>
    <row r="115" spans="3:19" ht="9" hidden="1" customHeight="1" x14ac:dyDescent="0.25">
      <c r="C115" s="206" t="s">
        <v>104</v>
      </c>
      <c r="D115" s="252"/>
      <c r="E115" s="271"/>
      <c r="F115" s="60"/>
      <c r="G115" s="60"/>
      <c r="H115" s="62" t="s">
        <v>25</v>
      </c>
      <c r="I115" s="54"/>
      <c r="J115" s="54"/>
      <c r="K115" s="54"/>
      <c r="L115" s="54"/>
      <c r="M115" s="54"/>
      <c r="N115" s="54"/>
      <c r="O115" s="54"/>
      <c r="P115" s="54"/>
      <c r="Q115" s="54"/>
      <c r="R115" s="54"/>
    </row>
    <row r="116" spans="3:19" ht="9" hidden="1" customHeight="1" x14ac:dyDescent="0.25">
      <c r="C116" s="206" t="s">
        <v>105</v>
      </c>
      <c r="D116" s="252"/>
      <c r="E116" s="271"/>
      <c r="F116" s="60"/>
      <c r="G116" s="60"/>
      <c r="H116" s="62" t="s">
        <v>25</v>
      </c>
      <c r="I116" s="54"/>
      <c r="J116" s="54"/>
      <c r="K116" s="54"/>
      <c r="L116" s="54"/>
      <c r="M116" s="54"/>
      <c r="N116" s="54"/>
      <c r="O116" s="54"/>
      <c r="P116" s="54"/>
      <c r="Q116" s="54"/>
      <c r="R116" s="54"/>
    </row>
    <row r="117" spans="3:19" ht="9" hidden="1" customHeight="1" x14ac:dyDescent="0.25">
      <c r="C117" s="206" t="s">
        <v>106</v>
      </c>
      <c r="D117" s="252"/>
      <c r="E117" s="271"/>
      <c r="F117" s="60"/>
      <c r="G117" s="60"/>
      <c r="H117" s="62" t="s">
        <v>25</v>
      </c>
      <c r="I117" s="54"/>
      <c r="J117" s="54"/>
      <c r="K117" s="54"/>
      <c r="L117" s="54"/>
      <c r="M117" s="54"/>
      <c r="N117" s="54"/>
      <c r="O117" s="54"/>
      <c r="P117" s="54"/>
      <c r="Q117" s="54"/>
      <c r="R117" s="54"/>
    </row>
    <row r="118" spans="3:19" ht="9" hidden="1" customHeight="1" x14ac:dyDescent="0.25">
      <c r="C118" s="206" t="s">
        <v>107</v>
      </c>
      <c r="D118" s="252"/>
      <c r="E118" s="271"/>
      <c r="F118" s="60"/>
      <c r="G118" s="60"/>
      <c r="H118" s="62" t="s">
        <v>25</v>
      </c>
      <c r="I118" s="54"/>
      <c r="J118" s="54"/>
      <c r="K118" s="54"/>
      <c r="L118" s="54"/>
      <c r="M118" s="54"/>
      <c r="N118" s="54"/>
      <c r="O118" s="54"/>
      <c r="P118" s="54"/>
      <c r="Q118" s="54"/>
      <c r="R118" s="54"/>
    </row>
    <row r="119" spans="3:19" ht="9" hidden="1" customHeight="1" x14ac:dyDescent="0.25">
      <c r="C119" s="206" t="s">
        <v>108</v>
      </c>
      <c r="D119" s="252"/>
      <c r="E119" s="271"/>
      <c r="F119" s="60"/>
      <c r="G119" s="60"/>
      <c r="H119" s="62" t="s">
        <v>25</v>
      </c>
      <c r="I119" s="54"/>
      <c r="J119" s="54"/>
      <c r="K119" s="54"/>
      <c r="L119" s="54"/>
      <c r="M119" s="54"/>
      <c r="N119" s="54"/>
      <c r="O119" s="54"/>
      <c r="P119" s="54"/>
      <c r="Q119" s="54"/>
      <c r="R119" s="54"/>
    </row>
    <row r="120" spans="3:19" ht="9" hidden="1" customHeight="1" x14ac:dyDescent="0.25">
      <c r="C120" s="206" t="s">
        <v>109</v>
      </c>
      <c r="D120" s="252"/>
      <c r="E120" s="271"/>
      <c r="F120" s="60"/>
      <c r="G120" s="60"/>
      <c r="H120" s="62" t="s">
        <v>25</v>
      </c>
      <c r="I120" s="54"/>
      <c r="J120" s="54"/>
      <c r="K120" s="54"/>
      <c r="L120" s="54"/>
      <c r="M120" s="54"/>
      <c r="N120" s="54"/>
      <c r="O120" s="54"/>
      <c r="P120" s="54"/>
      <c r="Q120" s="54"/>
      <c r="R120" s="54"/>
    </row>
    <row r="121" spans="3:19" ht="9" hidden="1" customHeight="1" x14ac:dyDescent="0.25">
      <c r="C121" s="206" t="s">
        <v>110</v>
      </c>
      <c r="D121" s="252"/>
      <c r="E121" s="271"/>
      <c r="F121" s="60"/>
      <c r="G121" s="60"/>
      <c r="H121" s="62" t="s">
        <v>25</v>
      </c>
      <c r="I121" s="54"/>
      <c r="J121" s="54"/>
      <c r="K121" s="54"/>
      <c r="L121" s="54"/>
      <c r="M121" s="54"/>
      <c r="N121" s="54"/>
      <c r="O121" s="54"/>
      <c r="P121" s="54"/>
      <c r="Q121" s="54"/>
      <c r="R121" s="54"/>
    </row>
    <row r="122" spans="3:19" ht="9" hidden="1" customHeight="1" x14ac:dyDescent="0.25">
      <c r="C122" s="206"/>
      <c r="D122" s="252"/>
      <c r="E122" s="271"/>
      <c r="F122" s="80"/>
      <c r="G122" s="1428"/>
      <c r="H122" s="62"/>
      <c r="I122" s="339">
        <f>SUM(I115:I121)</f>
        <v>0</v>
      </c>
      <c r="J122" s="1429">
        <f>SUM(J115:J121)</f>
        <v>0</v>
      </c>
      <c r="K122" s="1429"/>
      <c r="L122" s="1429"/>
      <c r="M122" s="1429">
        <f>SUM(M115:M121)</f>
        <v>0</v>
      </c>
      <c r="N122" s="1429"/>
      <c r="O122" s="1429"/>
      <c r="P122" s="1429">
        <f>SUM(P115:P121)</f>
        <v>0</v>
      </c>
      <c r="Q122" s="1429">
        <f>SUM(Q115:Q121)</f>
        <v>0</v>
      </c>
      <c r="R122" s="1429">
        <f>SUM(R115:R121)</f>
        <v>0</v>
      </c>
      <c r="S122" s="1455"/>
    </row>
    <row r="123" spans="3:19" ht="9" hidden="1" customHeight="1" x14ac:dyDescent="0.25">
      <c r="C123" s="23" t="s">
        <v>111</v>
      </c>
      <c r="D123" s="252"/>
      <c r="E123" s="271"/>
      <c r="F123" s="80"/>
      <c r="G123" s="80"/>
      <c r="H123" s="62"/>
      <c r="I123" s="339">
        <f>SUM(I122+I113)</f>
        <v>0</v>
      </c>
      <c r="J123" s="339">
        <f>SUM(J122+J113)</f>
        <v>0</v>
      </c>
      <c r="K123" s="339"/>
      <c r="L123" s="339"/>
      <c r="M123" s="339">
        <f>SUM(M122+M113)</f>
        <v>0</v>
      </c>
      <c r="N123" s="339"/>
      <c r="O123" s="339"/>
      <c r="P123" s="339">
        <f>SUM(P122+P113)</f>
        <v>0</v>
      </c>
      <c r="Q123" s="339">
        <f>SUM(Q122+Q113)</f>
        <v>0</v>
      </c>
      <c r="R123" s="339">
        <f>SUM(R122+R113)</f>
        <v>0</v>
      </c>
      <c r="S123" s="1456"/>
    </row>
    <row r="124" spans="3:19" ht="9" hidden="1" customHeight="1" x14ac:dyDescent="0.25">
      <c r="C124" s="23" t="s">
        <v>93</v>
      </c>
      <c r="D124" s="52"/>
      <c r="E124" s="271"/>
      <c r="F124" s="1428"/>
      <c r="G124" s="1428"/>
      <c r="H124" s="1430"/>
      <c r="I124" s="1429" t="e">
        <f>SUM(I101+I123)</f>
        <v>#REF!</v>
      </c>
      <c r="J124" s="1429" t="e">
        <f>SUM(J123+J101)</f>
        <v>#REF!</v>
      </c>
      <c r="K124" s="1429"/>
      <c r="L124" s="1429"/>
      <c r="M124" s="1429">
        <f>SUM(M123+M101)</f>
        <v>0</v>
      </c>
      <c r="N124" s="1429"/>
      <c r="O124" s="1429"/>
      <c r="P124" s="1429" t="e">
        <f>SUM(P123+P101)</f>
        <v>#REF!</v>
      </c>
      <c r="Q124" s="1429" t="e">
        <f>SUM(Q123+Q101)</f>
        <v>#REF!</v>
      </c>
      <c r="R124" s="1429">
        <f>SUM(R123+R101)</f>
        <v>0</v>
      </c>
      <c r="S124" s="1455"/>
    </row>
    <row r="125" spans="3:19" ht="9" hidden="1" customHeight="1" x14ac:dyDescent="0.25">
      <c r="F125" s="1431"/>
      <c r="G125" s="1432"/>
      <c r="H125" s="1431"/>
    </row>
    <row r="126" spans="3:19" ht="9" hidden="1" customHeight="1" x14ac:dyDescent="0.25"/>
    <row r="127" spans="3:19" ht="9" hidden="1" customHeight="1" x14ac:dyDescent="0.25"/>
    <row r="128" spans="3:19" ht="9" hidden="1" customHeight="1" x14ac:dyDescent="0.25"/>
    <row r="129" ht="9" hidden="1" customHeight="1" x14ac:dyDescent="0.25"/>
    <row r="130" ht="9" hidden="1" customHeight="1" x14ac:dyDescent="0.25"/>
    <row r="131" ht="9" hidden="1" customHeight="1" x14ac:dyDescent="0.25"/>
    <row r="132" ht="9" hidden="1" customHeight="1" x14ac:dyDescent="0.25"/>
    <row r="133" ht="9" hidden="1" customHeight="1" x14ac:dyDescent="0.25"/>
    <row r="134" ht="9" hidden="1" customHeight="1" x14ac:dyDescent="0.25"/>
    <row r="135" ht="9" hidden="1" customHeight="1" x14ac:dyDescent="0.25"/>
    <row r="136" ht="9" hidden="1" customHeight="1" x14ac:dyDescent="0.25"/>
    <row r="137" ht="9" hidden="1" customHeight="1" x14ac:dyDescent="0.25"/>
    <row r="138" ht="9" hidden="1" customHeight="1" x14ac:dyDescent="0.25"/>
    <row r="139" ht="9" hidden="1" customHeight="1" x14ac:dyDescent="0.25"/>
    <row r="140" ht="9" hidden="1" customHeight="1" x14ac:dyDescent="0.25"/>
    <row r="141" ht="9" hidden="1" customHeight="1" x14ac:dyDescent="0.25"/>
    <row r="142" ht="9" hidden="1" customHeight="1" x14ac:dyDescent="0.25"/>
    <row r="143" ht="9" hidden="1" customHeight="1" x14ac:dyDescent="0.25"/>
    <row r="144" ht="9" hidden="1" customHeight="1" x14ac:dyDescent="0.25"/>
    <row r="145" spans="1:26" ht="9" hidden="1" customHeight="1" x14ac:dyDescent="0.25"/>
    <row r="146" spans="1:26" ht="9" hidden="1" customHeight="1" x14ac:dyDescent="0.25"/>
    <row r="147" spans="1:26" s="48" customFormat="1" ht="17.45" customHeight="1" x14ac:dyDescent="0.25">
      <c r="A147" s="573" t="s">
        <v>1388</v>
      </c>
      <c r="B147" s="1433" t="s">
        <v>201</v>
      </c>
      <c r="C147" s="1356" t="s">
        <v>1986</v>
      </c>
      <c r="D147" s="1356"/>
      <c r="E147" s="1356"/>
      <c r="F147" s="1356"/>
      <c r="G147" s="1356"/>
      <c r="H147" s="125"/>
      <c r="I147" s="141"/>
      <c r="J147" s="141"/>
      <c r="K147" s="141"/>
      <c r="L147" s="141"/>
      <c r="M147" s="141"/>
      <c r="N147" s="141"/>
      <c r="O147" s="141"/>
      <c r="P147" s="141">
        <v>50000</v>
      </c>
      <c r="Q147" s="141">
        <v>50000</v>
      </c>
      <c r="R147" s="122">
        <v>50000</v>
      </c>
      <c r="S147" s="239"/>
      <c r="T147" s="1477"/>
      <c r="U147" s="169"/>
      <c r="V147" s="169"/>
      <c r="W147" s="169"/>
      <c r="X147" s="169"/>
      <c r="Y147" s="169"/>
      <c r="Z147" s="169"/>
    </row>
    <row r="148" spans="1:26" s="48" customFormat="1" ht="17.45" customHeight="1" x14ac:dyDescent="0.25">
      <c r="A148" s="1434" t="s">
        <v>1388</v>
      </c>
      <c r="B148" s="1434" t="s">
        <v>201</v>
      </c>
      <c r="C148" s="225" t="s">
        <v>1607</v>
      </c>
      <c r="D148" s="652"/>
      <c r="E148" s="652"/>
      <c r="F148" s="192"/>
      <c r="G148" s="192"/>
      <c r="H148" s="1389"/>
      <c r="I148" s="141"/>
      <c r="J148" s="122"/>
      <c r="K148" s="141"/>
      <c r="L148" s="141"/>
      <c r="M148" s="122"/>
      <c r="N148" s="122"/>
      <c r="O148" s="122"/>
      <c r="P148" s="122">
        <v>777600</v>
      </c>
      <c r="Q148" s="122">
        <v>777600</v>
      </c>
      <c r="R148" s="122">
        <v>777600</v>
      </c>
      <c r="S148" s="239"/>
      <c r="T148" s="1477"/>
      <c r="U148" s="169"/>
      <c r="V148" s="169"/>
      <c r="W148" s="169"/>
      <c r="X148" s="169"/>
      <c r="Y148" s="169"/>
      <c r="Z148" s="169"/>
    </row>
    <row r="149" spans="1:26" s="48" customFormat="1" ht="17.45" customHeight="1" x14ac:dyDescent="0.25">
      <c r="A149" s="1434" t="s">
        <v>1388</v>
      </c>
      <c r="B149" s="1434" t="s">
        <v>201</v>
      </c>
      <c r="C149" s="1366" t="s">
        <v>1608</v>
      </c>
      <c r="D149" s="1356"/>
      <c r="E149" s="125"/>
      <c r="F149" s="125"/>
      <c r="G149" s="125"/>
      <c r="H149" s="381"/>
      <c r="I149" s="141"/>
      <c r="J149" s="141"/>
      <c r="K149" s="141"/>
      <c r="L149" s="141"/>
      <c r="M149" s="141"/>
      <c r="N149" s="141"/>
      <c r="O149" s="141"/>
      <c r="P149" s="141">
        <v>600000</v>
      </c>
      <c r="Q149" s="141">
        <v>600000</v>
      </c>
      <c r="R149" s="122">
        <v>600000</v>
      </c>
      <c r="S149" s="239"/>
      <c r="T149" s="1477"/>
      <c r="U149" s="169"/>
      <c r="V149" s="169"/>
      <c r="W149" s="169"/>
      <c r="X149" s="169"/>
      <c r="Y149" s="169"/>
      <c r="Z149" s="169"/>
    </row>
    <row r="150" spans="1:26" s="48" customFormat="1" ht="17.45" customHeight="1" x14ac:dyDescent="0.25">
      <c r="A150" s="961" t="s">
        <v>1388</v>
      </c>
      <c r="B150" s="961" t="s">
        <v>201</v>
      </c>
      <c r="C150" s="1356" t="s">
        <v>203</v>
      </c>
      <c r="D150" s="1358"/>
      <c r="E150" s="1358"/>
      <c r="F150" s="1358"/>
      <c r="G150" s="1358"/>
      <c r="H150" s="125"/>
      <c r="I150" s="141"/>
      <c r="J150" s="141"/>
      <c r="K150" s="141"/>
      <c r="L150" s="141"/>
      <c r="M150" s="141"/>
      <c r="N150" s="141"/>
      <c r="O150" s="141"/>
      <c r="P150" s="141">
        <v>80000</v>
      </c>
      <c r="Q150" s="141"/>
      <c r="R150" s="122">
        <v>80000</v>
      </c>
      <c r="S150" s="239"/>
      <c r="T150" s="1477"/>
      <c r="U150" s="169"/>
      <c r="V150" s="169"/>
      <c r="W150" s="169"/>
      <c r="X150" s="169"/>
      <c r="Y150" s="169"/>
      <c r="Z150" s="169"/>
    </row>
    <row r="151" spans="1:26" s="48" customFormat="1" ht="17.45" customHeight="1" x14ac:dyDescent="0.25">
      <c r="A151" s="573" t="s">
        <v>1388</v>
      </c>
      <c r="B151" s="1433" t="s">
        <v>201</v>
      </c>
      <c r="C151" s="1356" t="s">
        <v>203</v>
      </c>
      <c r="D151" s="1356"/>
      <c r="E151" s="1356"/>
      <c r="F151" s="1356"/>
      <c r="G151" s="1356"/>
      <c r="H151" s="125"/>
      <c r="I151" s="141"/>
      <c r="J151" s="141"/>
      <c r="K151" s="141"/>
      <c r="L151" s="141"/>
      <c r="M151" s="141"/>
      <c r="N151" s="141"/>
      <c r="O151" s="141"/>
      <c r="P151" s="141">
        <v>100000</v>
      </c>
      <c r="Q151" s="141">
        <v>100000</v>
      </c>
      <c r="R151" s="122">
        <v>100000</v>
      </c>
      <c r="S151" s="239"/>
      <c r="T151" s="1477"/>
      <c r="U151" s="169"/>
      <c r="V151" s="169"/>
      <c r="W151" s="169"/>
      <c r="X151" s="169"/>
      <c r="Y151" s="169"/>
      <c r="Z151" s="169"/>
    </row>
    <row r="152" spans="1:26" s="48" customFormat="1" ht="17.45" customHeight="1" x14ac:dyDescent="0.25">
      <c r="A152" s="573" t="s">
        <v>1388</v>
      </c>
      <c r="B152" s="573" t="s">
        <v>201</v>
      </c>
      <c r="C152" s="1356" t="s">
        <v>516</v>
      </c>
      <c r="D152" s="1358"/>
      <c r="E152" s="1358"/>
      <c r="F152" s="1358"/>
      <c r="G152" s="1358"/>
      <c r="H152" s="125"/>
      <c r="I152" s="141"/>
      <c r="J152" s="141"/>
      <c r="K152" s="141"/>
      <c r="L152" s="141"/>
      <c r="M152" s="141">
        <v>0</v>
      </c>
      <c r="N152" s="141">
        <v>0</v>
      </c>
      <c r="O152" s="141"/>
      <c r="P152" s="141">
        <v>200000</v>
      </c>
      <c r="Q152" s="141">
        <v>200000</v>
      </c>
      <c r="R152" s="122">
        <v>200000</v>
      </c>
      <c r="S152" s="239">
        <f>SUM(R150:R152)</f>
        <v>380000</v>
      </c>
      <c r="T152" s="1477"/>
      <c r="U152" s="169"/>
      <c r="V152" s="169"/>
      <c r="W152" s="169"/>
      <c r="X152" s="169"/>
      <c r="Y152" s="169"/>
      <c r="Z152" s="169"/>
    </row>
    <row r="153" spans="1:26" s="48" customFormat="1" ht="17.45" customHeight="1" x14ac:dyDescent="0.25">
      <c r="A153" s="573" t="s">
        <v>1388</v>
      </c>
      <c r="B153" s="573" t="s">
        <v>201</v>
      </c>
      <c r="C153" s="1356" t="s">
        <v>1988</v>
      </c>
      <c r="D153" s="1358"/>
      <c r="E153" s="1358"/>
      <c r="F153" s="1358"/>
      <c r="G153" s="1358"/>
      <c r="H153" s="125"/>
      <c r="I153" s="141"/>
      <c r="J153" s="141"/>
      <c r="K153" s="141"/>
      <c r="L153" s="141"/>
      <c r="M153" s="141">
        <v>0</v>
      </c>
      <c r="N153" s="141">
        <v>0</v>
      </c>
      <c r="O153" s="141"/>
      <c r="P153" s="141">
        <v>170000</v>
      </c>
      <c r="Q153" s="141">
        <v>170000</v>
      </c>
      <c r="R153" s="122">
        <v>170000</v>
      </c>
      <c r="S153" s="239"/>
      <c r="T153" s="1477"/>
      <c r="U153" s="169"/>
      <c r="V153" s="169"/>
      <c r="W153" s="169"/>
      <c r="X153" s="169"/>
      <c r="Y153" s="169"/>
      <c r="Z153" s="169"/>
    </row>
    <row r="154" spans="1:26" s="48" customFormat="1" ht="17.45" customHeight="1" x14ac:dyDescent="0.25">
      <c r="A154" s="1435" t="s">
        <v>1388</v>
      </c>
      <c r="B154" s="1435" t="s">
        <v>201</v>
      </c>
      <c r="C154" s="1356" t="s">
        <v>1984</v>
      </c>
      <c r="D154" s="1358"/>
      <c r="E154" s="1358"/>
      <c r="F154" s="1358"/>
      <c r="G154" s="1358"/>
      <c r="H154" s="380"/>
      <c r="I154" s="141"/>
      <c r="J154" s="141"/>
      <c r="K154" s="141"/>
      <c r="L154" s="141"/>
      <c r="M154" s="141"/>
      <c r="N154" s="141"/>
      <c r="O154" s="141"/>
      <c r="P154" s="141">
        <v>60000</v>
      </c>
      <c r="Q154" s="141">
        <v>60000</v>
      </c>
      <c r="R154" s="122">
        <v>60000</v>
      </c>
      <c r="S154" s="239"/>
      <c r="T154" s="1477"/>
      <c r="U154" s="169"/>
      <c r="V154" s="169"/>
      <c r="W154" s="169"/>
      <c r="X154" s="169"/>
      <c r="Y154" s="169"/>
      <c r="Z154" s="169"/>
    </row>
    <row r="155" spans="1:26" s="48" customFormat="1" ht="17.45" customHeight="1" x14ac:dyDescent="0.25">
      <c r="A155" s="1435" t="s">
        <v>1388</v>
      </c>
      <c r="B155" s="1435" t="s">
        <v>201</v>
      </c>
      <c r="C155" s="1356" t="s">
        <v>1982</v>
      </c>
      <c r="D155" s="1358"/>
      <c r="E155" s="1355"/>
      <c r="F155" s="1358"/>
      <c r="G155" s="1358"/>
      <c r="H155" s="380"/>
      <c r="I155" s="141"/>
      <c r="J155" s="141"/>
      <c r="K155" s="141"/>
      <c r="L155" s="141"/>
      <c r="M155" s="141"/>
      <c r="N155" s="141"/>
      <c r="O155" s="141"/>
      <c r="P155" s="141">
        <v>176000</v>
      </c>
      <c r="Q155" s="141">
        <v>176000</v>
      </c>
      <c r="R155" s="122">
        <v>176000</v>
      </c>
      <c r="S155" s="239"/>
      <c r="T155" s="1477"/>
      <c r="U155" s="169"/>
      <c r="V155" s="169"/>
      <c r="W155" s="169"/>
      <c r="X155" s="169"/>
      <c r="Y155" s="169"/>
      <c r="Z155" s="169"/>
    </row>
    <row r="156" spans="1:26" s="48" customFormat="1" ht="17.45" customHeight="1" x14ac:dyDescent="0.25">
      <c r="A156" s="1435" t="s">
        <v>1388</v>
      </c>
      <c r="B156" s="1435" t="s">
        <v>201</v>
      </c>
      <c r="C156" s="1356" t="s">
        <v>1983</v>
      </c>
      <c r="D156" s="1358"/>
      <c r="E156" s="1358"/>
      <c r="F156" s="1358"/>
      <c r="G156" s="1358"/>
      <c r="H156" s="380"/>
      <c r="I156" s="141"/>
      <c r="J156" s="141"/>
      <c r="K156" s="141"/>
      <c r="L156" s="141"/>
      <c r="M156" s="141"/>
      <c r="N156" s="141"/>
      <c r="O156" s="141"/>
      <c r="P156" s="141">
        <v>172000</v>
      </c>
      <c r="Q156" s="141">
        <v>86000</v>
      </c>
      <c r="R156" s="122">
        <v>86000</v>
      </c>
      <c r="S156" s="239"/>
      <c r="T156" s="1477"/>
      <c r="U156" s="169"/>
      <c r="V156" s="169"/>
      <c r="W156" s="169"/>
      <c r="X156" s="169"/>
      <c r="Y156" s="169"/>
      <c r="Z156" s="169"/>
    </row>
    <row r="157" spans="1:26" s="48" customFormat="1" ht="17.45" customHeight="1" x14ac:dyDescent="0.25">
      <c r="A157" s="1436" t="s">
        <v>1388</v>
      </c>
      <c r="B157" s="1436" t="s">
        <v>201</v>
      </c>
      <c r="C157" s="1368" t="s">
        <v>1719</v>
      </c>
      <c r="D157" s="1356"/>
      <c r="E157" s="1361"/>
      <c r="F157" s="609"/>
      <c r="G157" s="609"/>
      <c r="H157" s="381"/>
      <c r="I157" s="141">
        <v>0</v>
      </c>
      <c r="J157" s="141">
        <v>0</v>
      </c>
      <c r="K157" s="141">
        <v>0</v>
      </c>
      <c r="L157" s="141">
        <v>0</v>
      </c>
      <c r="M157" s="141">
        <v>0</v>
      </c>
      <c r="N157" s="141">
        <v>0</v>
      </c>
      <c r="O157" s="141"/>
      <c r="P157" s="141">
        <v>400000</v>
      </c>
      <c r="Q157" s="141">
        <v>400000</v>
      </c>
      <c r="R157" s="122">
        <v>400000</v>
      </c>
      <c r="S157" s="239">
        <f>SUM(R1:R157)</f>
        <v>2699600</v>
      </c>
      <c r="T157" s="1477"/>
      <c r="U157" s="169"/>
      <c r="V157" s="169"/>
      <c r="W157" s="169"/>
      <c r="X157" s="169"/>
      <c r="Y157" s="169"/>
      <c r="Z157" s="169"/>
    </row>
    <row r="158" spans="1:26" s="48" customFormat="1" ht="17.45" customHeight="1" x14ac:dyDescent="0.25">
      <c r="A158" s="1436"/>
      <c r="B158" s="1436"/>
      <c r="C158" s="1387"/>
      <c r="D158" s="1382"/>
      <c r="E158" s="1386"/>
      <c r="F158" s="609"/>
      <c r="G158" s="609"/>
      <c r="H158" s="381"/>
      <c r="I158" s="141"/>
      <c r="J158" s="141"/>
      <c r="K158" s="141"/>
      <c r="L158" s="141"/>
      <c r="M158" s="141"/>
      <c r="N158" s="141"/>
      <c r="O158" s="141"/>
      <c r="P158" s="141"/>
      <c r="Q158" s="141"/>
      <c r="R158" s="122"/>
      <c r="S158" s="239"/>
      <c r="T158" s="1477"/>
      <c r="U158" s="169"/>
      <c r="V158" s="169"/>
      <c r="W158" s="169"/>
      <c r="X158" s="169"/>
      <c r="Y158" s="169"/>
      <c r="Z158" s="169"/>
    </row>
    <row r="159" spans="1:26" s="48" customFormat="1" ht="17.45" customHeight="1" x14ac:dyDescent="0.25">
      <c r="A159" s="1436"/>
      <c r="B159" s="1436"/>
      <c r="C159" s="1387"/>
      <c r="D159" s="1382"/>
      <c r="E159" s="1386"/>
      <c r="F159" s="609"/>
      <c r="G159" s="609"/>
      <c r="H159" s="381"/>
      <c r="I159" s="141"/>
      <c r="J159" s="141"/>
      <c r="K159" s="141"/>
      <c r="L159" s="141"/>
      <c r="M159" s="141"/>
      <c r="N159" s="141"/>
      <c r="O159" s="141"/>
      <c r="P159" s="141"/>
      <c r="Q159" s="141"/>
      <c r="R159" s="122"/>
      <c r="S159" s="239"/>
      <c r="T159" s="1477"/>
      <c r="U159" s="169"/>
      <c r="V159" s="169"/>
      <c r="W159" s="169"/>
      <c r="X159" s="169"/>
      <c r="Y159" s="169"/>
      <c r="Z159" s="169"/>
    </row>
    <row r="160" spans="1:26" s="48" customFormat="1" ht="17.45" customHeight="1" x14ac:dyDescent="0.25">
      <c r="A160" s="961" t="s">
        <v>1386</v>
      </c>
      <c r="B160" s="961" t="s">
        <v>201</v>
      </c>
      <c r="C160" s="1356" t="s">
        <v>1617</v>
      </c>
      <c r="D160" s="1358"/>
      <c r="E160" s="1358"/>
      <c r="F160" s="1358"/>
      <c r="G160" s="1358"/>
      <c r="H160" s="125"/>
      <c r="I160" s="141"/>
      <c r="J160" s="141"/>
      <c r="K160" s="141"/>
      <c r="L160" s="141"/>
      <c r="M160" s="141"/>
      <c r="N160" s="141"/>
      <c r="O160" s="141"/>
      <c r="P160" s="141"/>
      <c r="Q160" s="141"/>
      <c r="R160" s="122">
        <v>1000000</v>
      </c>
      <c r="S160" s="239"/>
      <c r="T160" s="1477"/>
      <c r="U160" s="169"/>
      <c r="V160" s="169"/>
      <c r="W160" s="169"/>
      <c r="X160" s="169"/>
      <c r="Y160" s="169"/>
      <c r="Z160" s="169"/>
    </row>
    <row r="161" spans="1:26" s="48" customFormat="1" ht="17.45" customHeight="1" x14ac:dyDescent="0.25">
      <c r="A161" s="1437" t="s">
        <v>1386</v>
      </c>
      <c r="B161" s="1437" t="s">
        <v>201</v>
      </c>
      <c r="C161" s="1356" t="s">
        <v>1644</v>
      </c>
      <c r="D161" s="1356"/>
      <c r="E161" s="1356"/>
      <c r="F161" s="1356"/>
      <c r="G161" s="1356"/>
      <c r="H161" s="125"/>
      <c r="I161" s="141"/>
      <c r="J161" s="141"/>
      <c r="K161" s="141"/>
      <c r="L161" s="141"/>
      <c r="M161" s="141"/>
      <c r="N161" s="141"/>
      <c r="O161" s="141"/>
      <c r="P161" s="141">
        <v>100000</v>
      </c>
      <c r="Q161" s="141"/>
      <c r="R161" s="122">
        <v>100000</v>
      </c>
      <c r="S161" s="239"/>
      <c r="T161" s="1477"/>
      <c r="U161" s="169"/>
      <c r="V161" s="169"/>
      <c r="W161" s="169"/>
      <c r="X161" s="169"/>
      <c r="Y161" s="169"/>
      <c r="Z161" s="169"/>
    </row>
    <row r="162" spans="1:26" s="48" customFormat="1" ht="17.45" customHeight="1" x14ac:dyDescent="0.25">
      <c r="A162" s="1438" t="s">
        <v>1386</v>
      </c>
      <c r="B162" s="1438" t="s">
        <v>201</v>
      </c>
      <c r="C162" s="206" t="s">
        <v>1632</v>
      </c>
      <c r="D162" s="1355"/>
      <c r="E162" s="199"/>
      <c r="F162" s="1355"/>
      <c r="G162" s="1355"/>
      <c r="H162" s="381"/>
      <c r="I162" s="141"/>
      <c r="J162" s="141"/>
      <c r="K162" s="141"/>
      <c r="L162" s="141"/>
      <c r="M162" s="141">
        <v>0</v>
      </c>
      <c r="N162" s="141">
        <v>0</v>
      </c>
      <c r="O162" s="141"/>
      <c r="P162" s="141">
        <v>300000</v>
      </c>
      <c r="Q162" s="141">
        <v>300000</v>
      </c>
      <c r="R162" s="122">
        <v>300000</v>
      </c>
      <c r="S162" s="239"/>
      <c r="T162" s="1477"/>
      <c r="U162" s="169"/>
      <c r="V162" s="169"/>
      <c r="W162" s="169"/>
      <c r="X162" s="169"/>
      <c r="Y162" s="169"/>
      <c r="Z162" s="169"/>
    </row>
    <row r="163" spans="1:26" s="48" customFormat="1" ht="17.45" customHeight="1" x14ac:dyDescent="0.25">
      <c r="A163" s="1437" t="s">
        <v>1386</v>
      </c>
      <c r="B163" s="1437" t="s">
        <v>201</v>
      </c>
      <c r="C163" s="1369" t="s">
        <v>1643</v>
      </c>
      <c r="D163" s="1355"/>
      <c r="E163" s="113"/>
      <c r="F163" s="1355"/>
      <c r="G163" s="1355"/>
      <c r="H163" s="381"/>
      <c r="I163" s="141"/>
      <c r="J163" s="141"/>
      <c r="K163" s="141"/>
      <c r="L163" s="141"/>
      <c r="M163" s="141"/>
      <c r="N163" s="141"/>
      <c r="O163" s="141"/>
      <c r="P163" s="141">
        <v>51000000</v>
      </c>
      <c r="Q163" s="141">
        <v>51000000</v>
      </c>
      <c r="R163" s="122">
        <v>40000000</v>
      </c>
      <c r="S163" s="239"/>
      <c r="T163" s="1477"/>
      <c r="U163" s="169"/>
      <c r="V163" s="169"/>
      <c r="W163" s="169"/>
      <c r="X163" s="169"/>
      <c r="Y163" s="169"/>
      <c r="Z163" s="169"/>
    </row>
    <row r="164" spans="1:26" s="48" customFormat="1" ht="17.45" customHeight="1" x14ac:dyDescent="0.25">
      <c r="A164" s="961" t="s">
        <v>1386</v>
      </c>
      <c r="B164" s="961" t="s">
        <v>201</v>
      </c>
      <c r="C164" s="1356" t="s">
        <v>203</v>
      </c>
      <c r="D164" s="1358"/>
      <c r="E164" s="1358"/>
      <c r="F164" s="1358"/>
      <c r="G164" s="1358"/>
      <c r="H164" s="125"/>
      <c r="I164" s="141"/>
      <c r="J164" s="141"/>
      <c r="K164" s="141"/>
      <c r="L164" s="141"/>
      <c r="M164" s="141"/>
      <c r="N164" s="141"/>
      <c r="O164" s="141"/>
      <c r="P164" s="141"/>
      <c r="Q164" s="141"/>
      <c r="R164" s="122">
        <v>75000</v>
      </c>
      <c r="S164" s="239"/>
      <c r="T164" s="1477"/>
      <c r="U164" s="169"/>
      <c r="V164" s="169"/>
      <c r="W164" s="169"/>
      <c r="X164" s="169"/>
      <c r="Y164" s="169"/>
      <c r="Z164" s="169"/>
    </row>
    <row r="165" spans="1:26" s="48" customFormat="1" ht="17.45" customHeight="1" x14ac:dyDescent="0.25">
      <c r="A165" s="1436" t="s">
        <v>1386</v>
      </c>
      <c r="B165" s="1436" t="s">
        <v>201</v>
      </c>
      <c r="C165" s="1356" t="s">
        <v>2074</v>
      </c>
      <c r="D165" s="1356"/>
      <c r="E165" s="1356"/>
      <c r="F165" s="1356"/>
      <c r="G165" s="1356"/>
      <c r="H165" s="125"/>
      <c r="I165" s="141"/>
      <c r="J165" s="141"/>
      <c r="K165" s="141"/>
      <c r="L165" s="141"/>
      <c r="M165" s="141"/>
      <c r="N165" s="141"/>
      <c r="O165" s="141"/>
      <c r="P165" s="141"/>
      <c r="Q165" s="141"/>
      <c r="R165" s="122">
        <v>150000</v>
      </c>
      <c r="S165" s="1456"/>
      <c r="T165" s="1477"/>
      <c r="U165" s="169"/>
      <c r="V165" s="169"/>
      <c r="W165" s="169"/>
      <c r="X165" s="169"/>
      <c r="Y165" s="169"/>
      <c r="Z165" s="169"/>
    </row>
    <row r="166" spans="1:26" s="48" customFormat="1" ht="15.75" customHeight="1" x14ac:dyDescent="0.25">
      <c r="A166" s="573" t="s">
        <v>1386</v>
      </c>
      <c r="B166" s="573" t="s">
        <v>201</v>
      </c>
      <c r="C166" s="1356" t="s">
        <v>2075</v>
      </c>
      <c r="D166" s="1358"/>
      <c r="E166" s="1358"/>
      <c r="F166" s="1358"/>
      <c r="G166" s="1358"/>
      <c r="H166" s="125"/>
      <c r="I166" s="141"/>
      <c r="J166" s="141"/>
      <c r="K166" s="141"/>
      <c r="L166" s="141"/>
      <c r="M166" s="141"/>
      <c r="N166" s="141"/>
      <c r="O166" s="141"/>
      <c r="P166" s="141">
        <v>200000</v>
      </c>
      <c r="Q166" s="141"/>
      <c r="R166" s="122">
        <v>150000</v>
      </c>
      <c r="S166" s="239">
        <f>SUM(R164:R166)</f>
        <v>375000</v>
      </c>
      <c r="T166" s="1477"/>
      <c r="U166" s="169"/>
      <c r="V166" s="169"/>
      <c r="W166" s="169"/>
      <c r="X166" s="169"/>
      <c r="Y166" s="169"/>
      <c r="Z166" s="169"/>
    </row>
    <row r="167" spans="1:26" s="48" customFormat="1" ht="17.45" customHeight="1" x14ac:dyDescent="0.25">
      <c r="A167" s="1437" t="s">
        <v>1386</v>
      </c>
      <c r="B167" s="1437" t="s">
        <v>201</v>
      </c>
      <c r="C167" s="1356" t="s">
        <v>204</v>
      </c>
      <c r="D167" s="1355"/>
      <c r="E167" s="1355"/>
      <c r="F167" s="1355"/>
      <c r="G167" s="1355"/>
      <c r="H167" s="125"/>
      <c r="I167" s="141"/>
      <c r="J167" s="122"/>
      <c r="K167" s="141"/>
      <c r="L167" s="141"/>
      <c r="M167" s="122"/>
      <c r="N167" s="122"/>
      <c r="O167" s="122"/>
      <c r="P167" s="122"/>
      <c r="Q167" s="122">
        <v>100000</v>
      </c>
      <c r="R167" s="122">
        <v>100000</v>
      </c>
      <c r="S167" s="239"/>
      <c r="T167" s="1477"/>
      <c r="U167" s="169"/>
      <c r="V167" s="169"/>
      <c r="W167" s="169"/>
      <c r="X167" s="169"/>
      <c r="Y167" s="169"/>
      <c r="Z167" s="169"/>
    </row>
    <row r="168" spans="1:26" s="48" customFormat="1" ht="17.45" customHeight="1" x14ac:dyDescent="0.25">
      <c r="A168" s="1436" t="s">
        <v>1386</v>
      </c>
      <c r="B168" s="1436" t="s">
        <v>201</v>
      </c>
      <c r="C168" s="1356" t="s">
        <v>2062</v>
      </c>
      <c r="D168" s="1356"/>
      <c r="E168" s="1356"/>
      <c r="F168" s="1356"/>
      <c r="G168" s="1356"/>
      <c r="H168" s="125"/>
      <c r="I168" s="141"/>
      <c r="J168" s="141"/>
      <c r="K168" s="141"/>
      <c r="L168" s="141"/>
      <c r="M168" s="141"/>
      <c r="N168" s="141"/>
      <c r="O168" s="141"/>
      <c r="P168" s="141"/>
      <c r="Q168" s="141"/>
      <c r="R168" s="122">
        <v>960000</v>
      </c>
      <c r="S168" s="239">
        <f>SUM(R167:R168)</f>
        <v>1060000</v>
      </c>
      <c r="T168" s="1477"/>
      <c r="U168" s="169"/>
      <c r="V168" s="169"/>
      <c r="W168" s="169"/>
      <c r="X168" s="169"/>
      <c r="Y168" s="169"/>
      <c r="Z168" s="169"/>
    </row>
    <row r="169" spans="1:26" s="48" customFormat="1" ht="17.45" customHeight="1" x14ac:dyDescent="0.25">
      <c r="A169" s="1437" t="s">
        <v>1386</v>
      </c>
      <c r="B169" s="1437" t="s">
        <v>201</v>
      </c>
      <c r="C169" s="1356" t="s">
        <v>1639</v>
      </c>
      <c r="D169" s="1355"/>
      <c r="E169" s="1355"/>
      <c r="F169" s="1355"/>
      <c r="G169" s="1355"/>
      <c r="H169" s="125"/>
      <c r="I169" s="141"/>
      <c r="J169" s="141"/>
      <c r="K169" s="141"/>
      <c r="L169" s="141"/>
      <c r="M169" s="141"/>
      <c r="N169" s="141"/>
      <c r="O169" s="141"/>
      <c r="P169" s="141">
        <v>800000</v>
      </c>
      <c r="Q169" s="141"/>
      <c r="R169" s="122">
        <v>800000</v>
      </c>
      <c r="S169" s="239"/>
      <c r="T169" s="1477"/>
      <c r="U169" s="169"/>
      <c r="V169" s="169"/>
      <c r="W169" s="169"/>
      <c r="X169" s="169"/>
      <c r="Y169" s="169"/>
      <c r="Z169" s="169"/>
    </row>
    <row r="170" spans="1:26" s="48" customFormat="1" ht="17.45" customHeight="1" x14ac:dyDescent="0.25">
      <c r="A170" s="1435" t="s">
        <v>1386</v>
      </c>
      <c r="B170" s="1435" t="s">
        <v>201</v>
      </c>
      <c r="C170" s="180" t="s">
        <v>1638</v>
      </c>
      <c r="D170" s="1359"/>
      <c r="E170" s="427"/>
      <c r="F170" s="427"/>
      <c r="G170" s="1359"/>
      <c r="H170" s="1389"/>
      <c r="I170" s="141"/>
      <c r="J170" s="141"/>
      <c r="K170" s="141"/>
      <c r="L170" s="141"/>
      <c r="M170" s="141"/>
      <c r="N170" s="141"/>
      <c r="O170" s="141"/>
      <c r="P170" s="141">
        <v>2200000</v>
      </c>
      <c r="Q170" s="141">
        <v>2200000</v>
      </c>
      <c r="R170" s="122">
        <v>2200000</v>
      </c>
      <c r="S170" s="1467">
        <f>SUM(R160:R170)</f>
        <v>45835000</v>
      </c>
      <c r="T170" s="1477"/>
      <c r="U170" s="169"/>
      <c r="V170" s="169"/>
      <c r="W170" s="169"/>
      <c r="X170" s="169"/>
      <c r="Y170" s="169"/>
      <c r="Z170" s="169"/>
    </row>
    <row r="171" spans="1:26" s="48" customFormat="1" ht="17.45" customHeight="1" x14ac:dyDescent="0.25">
      <c r="A171" s="573"/>
      <c r="B171" s="573"/>
      <c r="C171" s="1356"/>
      <c r="D171" s="1358"/>
      <c r="E171" s="1358"/>
      <c r="F171" s="1358"/>
      <c r="G171" s="1358"/>
      <c r="H171" s="125"/>
      <c r="I171" s="141"/>
      <c r="J171" s="141"/>
      <c r="K171" s="141"/>
      <c r="L171" s="141"/>
      <c r="M171" s="141"/>
      <c r="N171" s="141"/>
      <c r="O171" s="141"/>
      <c r="P171" s="141"/>
      <c r="Q171" s="141"/>
      <c r="R171" s="122"/>
      <c r="S171" s="239"/>
      <c r="T171" s="1477"/>
      <c r="U171" s="169"/>
      <c r="V171" s="169"/>
      <c r="W171" s="169"/>
      <c r="X171" s="169"/>
      <c r="Y171" s="169"/>
      <c r="Z171" s="169"/>
    </row>
    <row r="172" spans="1:26" s="48" customFormat="1" ht="17.45" customHeight="1" x14ac:dyDescent="0.25">
      <c r="A172" s="573"/>
      <c r="B172" s="573"/>
      <c r="C172" s="1356"/>
      <c r="D172" s="1358"/>
      <c r="E172" s="1358"/>
      <c r="F172" s="1358"/>
      <c r="G172" s="1358"/>
      <c r="H172" s="125"/>
      <c r="I172" s="141"/>
      <c r="J172" s="141"/>
      <c r="K172" s="141"/>
      <c r="L172" s="141"/>
      <c r="M172" s="141"/>
      <c r="N172" s="141"/>
      <c r="O172" s="141"/>
      <c r="P172" s="141"/>
      <c r="Q172" s="141"/>
      <c r="R172" s="122"/>
      <c r="S172" s="239"/>
      <c r="T172" s="1477"/>
      <c r="U172" s="169"/>
      <c r="V172" s="169"/>
      <c r="W172" s="169"/>
      <c r="X172" s="169"/>
      <c r="Y172" s="169"/>
      <c r="Z172" s="169"/>
    </row>
    <row r="173" spans="1:26" s="48" customFormat="1" ht="17.45" customHeight="1" x14ac:dyDescent="0.25">
      <c r="A173" s="1439" t="s">
        <v>1388</v>
      </c>
      <c r="B173" s="1439" t="s">
        <v>163</v>
      </c>
      <c r="C173" s="44" t="s">
        <v>1299</v>
      </c>
      <c r="D173" s="1356"/>
      <c r="E173" s="125"/>
      <c r="F173" s="125"/>
      <c r="G173" s="1356"/>
      <c r="H173" s="381" t="s">
        <v>427</v>
      </c>
      <c r="I173" s="141">
        <v>359750</v>
      </c>
      <c r="J173" s="141">
        <v>1342000</v>
      </c>
      <c r="K173" s="141"/>
      <c r="L173" s="141">
        <f>M173-K173</f>
        <v>1342000</v>
      </c>
      <c r="M173" s="141">
        <v>1342000</v>
      </c>
      <c r="N173" s="141"/>
      <c r="O173" s="141"/>
      <c r="P173" s="141">
        <v>401800</v>
      </c>
      <c r="Q173" s="141">
        <v>401800</v>
      </c>
      <c r="R173" s="122">
        <v>401800</v>
      </c>
      <c r="S173" s="239"/>
      <c r="T173" s="1477"/>
      <c r="U173" s="169"/>
      <c r="V173" s="169"/>
      <c r="W173" s="169"/>
      <c r="X173" s="169"/>
      <c r="Y173" s="169"/>
      <c r="Z173" s="169"/>
    </row>
    <row r="174" spans="1:26" s="48" customFormat="1" ht="17.45" customHeight="1" x14ac:dyDescent="0.25">
      <c r="A174" s="961" t="s">
        <v>1388</v>
      </c>
      <c r="B174" s="961" t="s">
        <v>163</v>
      </c>
      <c r="C174" s="1368" t="s">
        <v>1701</v>
      </c>
      <c r="D174" s="1355"/>
      <c r="E174" s="1361"/>
      <c r="F174" s="1361"/>
      <c r="G174" s="199"/>
      <c r="H174" s="381"/>
      <c r="I174" s="141"/>
      <c r="J174" s="141"/>
      <c r="K174" s="141"/>
      <c r="L174" s="141"/>
      <c r="M174" s="141"/>
      <c r="N174" s="141"/>
      <c r="O174" s="141"/>
      <c r="P174" s="141">
        <v>500000</v>
      </c>
      <c r="Q174" s="141">
        <v>500000</v>
      </c>
      <c r="R174" s="122">
        <v>500000</v>
      </c>
      <c r="S174" s="239"/>
      <c r="T174" s="1477"/>
      <c r="U174" s="169"/>
      <c r="V174" s="169"/>
      <c r="W174" s="169"/>
      <c r="X174" s="169"/>
      <c r="Y174" s="169"/>
      <c r="Z174" s="169"/>
    </row>
    <row r="175" spans="1:26" s="48" customFormat="1" ht="17.45" customHeight="1" x14ac:dyDescent="0.25">
      <c r="A175" s="1437" t="s">
        <v>1388</v>
      </c>
      <c r="B175" s="1437" t="s">
        <v>163</v>
      </c>
      <c r="C175" s="44" t="s">
        <v>384</v>
      </c>
      <c r="D175" s="1356"/>
      <c r="E175" s="125"/>
      <c r="F175" s="125"/>
      <c r="G175" s="125"/>
      <c r="H175" s="381" t="s">
        <v>385</v>
      </c>
      <c r="I175" s="141">
        <v>1392166.34</v>
      </c>
      <c r="J175" s="141">
        <v>1500000</v>
      </c>
      <c r="K175" s="141">
        <v>968342.46</v>
      </c>
      <c r="L175" s="141">
        <f t="shared" ref="L175:L212" si="0">M175-K175</f>
        <v>531657.54</v>
      </c>
      <c r="M175" s="141">
        <v>1500000</v>
      </c>
      <c r="N175" s="141">
        <v>1432949.97</v>
      </c>
      <c r="O175" s="141"/>
      <c r="P175" s="141">
        <v>3000000</v>
      </c>
      <c r="Q175" s="141">
        <v>3000000</v>
      </c>
      <c r="R175" s="122">
        <v>3000000</v>
      </c>
      <c r="S175" s="239"/>
      <c r="T175" s="1477"/>
      <c r="U175" s="169"/>
      <c r="V175" s="169"/>
      <c r="W175" s="169"/>
      <c r="X175" s="169"/>
      <c r="Y175" s="169"/>
      <c r="Z175" s="169"/>
    </row>
    <row r="176" spans="1:26" s="48" customFormat="1" ht="17.45" customHeight="1" x14ac:dyDescent="0.25">
      <c r="A176" s="573" t="s">
        <v>1388</v>
      </c>
      <c r="B176" s="573" t="s">
        <v>163</v>
      </c>
      <c r="C176" s="44" t="s">
        <v>384</v>
      </c>
      <c r="D176" s="1356"/>
      <c r="E176" s="125"/>
      <c r="F176" s="125"/>
      <c r="G176" s="125"/>
      <c r="H176" s="381" t="s">
        <v>1285</v>
      </c>
      <c r="I176" s="141">
        <v>47258.239999999998</v>
      </c>
      <c r="J176" s="141">
        <v>50000</v>
      </c>
      <c r="K176" s="141">
        <v>7210.97</v>
      </c>
      <c r="L176" s="141">
        <f t="shared" si="0"/>
        <v>42789.03</v>
      </c>
      <c r="M176" s="141">
        <v>50000</v>
      </c>
      <c r="N176" s="141">
        <v>11418.33</v>
      </c>
      <c r="O176" s="141"/>
      <c r="P176" s="141">
        <v>50000</v>
      </c>
      <c r="Q176" s="141">
        <v>50000</v>
      </c>
      <c r="R176" s="122">
        <v>50000</v>
      </c>
      <c r="S176" s="239">
        <f>SUM(R175:R176)</f>
        <v>3050000</v>
      </c>
      <c r="T176" s="1478"/>
      <c r="U176" s="169"/>
      <c r="V176" s="169"/>
      <c r="W176" s="169"/>
      <c r="X176" s="169"/>
      <c r="Y176" s="169"/>
      <c r="Z176" s="169"/>
    </row>
    <row r="177" spans="1:26" s="48" customFormat="1" ht="17.45" customHeight="1" x14ac:dyDescent="0.25">
      <c r="A177" s="1437" t="s">
        <v>1388</v>
      </c>
      <c r="B177" s="1437" t="s">
        <v>163</v>
      </c>
      <c r="C177" s="44" t="s">
        <v>172</v>
      </c>
      <c r="D177" s="1356"/>
      <c r="E177" s="125"/>
      <c r="F177" s="125"/>
      <c r="G177" s="125"/>
      <c r="H177" s="381" t="s">
        <v>173</v>
      </c>
      <c r="I177" s="141">
        <v>867827.84</v>
      </c>
      <c r="J177" s="141">
        <v>1503330</v>
      </c>
      <c r="K177" s="141">
        <v>601547.15</v>
      </c>
      <c r="L177" s="141">
        <f t="shared" si="0"/>
        <v>901782.85</v>
      </c>
      <c r="M177" s="141">
        <v>1503330</v>
      </c>
      <c r="N177" s="141">
        <v>1010402.77</v>
      </c>
      <c r="O177" s="141"/>
      <c r="P177" s="141">
        <v>2507520</v>
      </c>
      <c r="Q177" s="141">
        <v>2507520</v>
      </c>
      <c r="R177" s="122">
        <v>2507520</v>
      </c>
      <c r="S177" s="239"/>
      <c r="T177" s="1477"/>
      <c r="U177" s="169"/>
      <c r="V177" s="169"/>
      <c r="W177" s="169"/>
      <c r="X177" s="169"/>
      <c r="Y177" s="169"/>
      <c r="Z177" s="169"/>
    </row>
    <row r="178" spans="1:26" s="48" customFormat="1" ht="17.45" customHeight="1" x14ac:dyDescent="0.25">
      <c r="A178" s="1489" t="s">
        <v>1388</v>
      </c>
      <c r="B178" s="1489" t="s">
        <v>163</v>
      </c>
      <c r="C178" s="1490" t="s">
        <v>172</v>
      </c>
      <c r="D178" s="1466"/>
      <c r="E178" s="125"/>
      <c r="F178" s="125"/>
      <c r="G178" s="125"/>
      <c r="H178" s="381"/>
      <c r="I178" s="141"/>
      <c r="J178" s="141"/>
      <c r="K178" s="141"/>
      <c r="L178" s="141"/>
      <c r="M178" s="141"/>
      <c r="N178" s="141"/>
      <c r="O178" s="141"/>
      <c r="P178" s="141"/>
      <c r="Q178" s="141"/>
      <c r="R178" s="1397">
        <v>250000</v>
      </c>
      <c r="S178" s="239"/>
      <c r="T178" s="1477"/>
      <c r="U178" s="169"/>
      <c r="V178" s="169"/>
      <c r="W178" s="169"/>
      <c r="X178" s="169"/>
      <c r="Y178" s="169"/>
      <c r="Z178" s="169"/>
    </row>
    <row r="179" spans="1:26" s="48" customFormat="1" ht="17.45" customHeight="1" x14ac:dyDescent="0.25">
      <c r="A179" s="1489" t="s">
        <v>1388</v>
      </c>
      <c r="B179" s="1489" t="s">
        <v>163</v>
      </c>
      <c r="C179" s="1490" t="s">
        <v>172</v>
      </c>
      <c r="D179" s="1466"/>
      <c r="E179" s="125"/>
      <c r="F179" s="125"/>
      <c r="G179" s="125"/>
      <c r="H179" s="381"/>
      <c r="I179" s="141"/>
      <c r="J179" s="141"/>
      <c r="K179" s="141"/>
      <c r="L179" s="141"/>
      <c r="M179" s="141"/>
      <c r="N179" s="141"/>
      <c r="O179" s="141"/>
      <c r="P179" s="141"/>
      <c r="Q179" s="141"/>
      <c r="R179" s="1397">
        <v>295000</v>
      </c>
      <c r="S179" s="239"/>
      <c r="T179" s="1477"/>
      <c r="U179" s="169"/>
      <c r="V179" s="169"/>
      <c r="W179" s="169"/>
      <c r="X179" s="169"/>
      <c r="Y179" s="169"/>
      <c r="Z179" s="169"/>
    </row>
    <row r="180" spans="1:26" s="48" customFormat="1" ht="17.45" customHeight="1" x14ac:dyDescent="0.25">
      <c r="A180" s="1489" t="s">
        <v>1388</v>
      </c>
      <c r="B180" s="1489" t="s">
        <v>163</v>
      </c>
      <c r="C180" s="1490" t="s">
        <v>172</v>
      </c>
      <c r="D180" s="1466"/>
      <c r="E180" s="125"/>
      <c r="F180" s="125"/>
      <c r="G180" s="125"/>
      <c r="H180" s="381"/>
      <c r="I180" s="141"/>
      <c r="J180" s="141"/>
      <c r="K180" s="141"/>
      <c r="L180" s="141"/>
      <c r="M180" s="141"/>
      <c r="N180" s="141"/>
      <c r="O180" s="141"/>
      <c r="P180" s="141"/>
      <c r="Q180" s="141"/>
      <c r="R180" s="1397">
        <v>250000</v>
      </c>
      <c r="S180" s="239"/>
      <c r="T180" s="1477"/>
      <c r="U180" s="169"/>
      <c r="V180" s="169"/>
      <c r="W180" s="169"/>
      <c r="X180" s="169"/>
      <c r="Y180" s="169"/>
      <c r="Z180" s="169"/>
    </row>
    <row r="181" spans="1:26" s="48" customFormat="1" ht="17.45" customHeight="1" x14ac:dyDescent="0.25">
      <c r="A181" s="1489" t="s">
        <v>1388</v>
      </c>
      <c r="B181" s="1489" t="s">
        <v>163</v>
      </c>
      <c r="C181" s="1490" t="s">
        <v>172</v>
      </c>
      <c r="D181" s="1466"/>
      <c r="E181" s="125"/>
      <c r="F181" s="125"/>
      <c r="G181" s="125"/>
      <c r="H181" s="381"/>
      <c r="I181" s="141"/>
      <c r="J181" s="141"/>
      <c r="K181" s="141"/>
      <c r="L181" s="141"/>
      <c r="M181" s="141"/>
      <c r="N181" s="141"/>
      <c r="O181" s="141"/>
      <c r="P181" s="141"/>
      <c r="Q181" s="141"/>
      <c r="R181" s="1397">
        <v>312000</v>
      </c>
      <c r="S181" s="239"/>
      <c r="T181" s="1477"/>
      <c r="U181" s="169"/>
      <c r="V181" s="169"/>
      <c r="W181" s="169"/>
      <c r="X181" s="169"/>
      <c r="Y181" s="169"/>
      <c r="Z181" s="169"/>
    </row>
    <row r="182" spans="1:26" s="48" customFormat="1" ht="17.45" customHeight="1" x14ac:dyDescent="0.25">
      <c r="A182" s="1489" t="s">
        <v>1388</v>
      </c>
      <c r="B182" s="1489" t="s">
        <v>163</v>
      </c>
      <c r="C182" s="1490" t="s">
        <v>172</v>
      </c>
      <c r="D182" s="1466"/>
      <c r="E182" s="125"/>
      <c r="F182" s="125"/>
      <c r="G182" s="125"/>
      <c r="H182" s="381"/>
      <c r="I182" s="141"/>
      <c r="J182" s="141"/>
      <c r="K182" s="141"/>
      <c r="L182" s="141"/>
      <c r="M182" s="141"/>
      <c r="N182" s="141"/>
      <c r="O182" s="141"/>
      <c r="P182" s="141"/>
      <c r="Q182" s="141"/>
      <c r="R182" s="1397">
        <v>312000</v>
      </c>
      <c r="S182" s="239"/>
      <c r="T182" s="1477"/>
      <c r="U182" s="169"/>
      <c r="V182" s="169"/>
      <c r="W182" s="169"/>
      <c r="X182" s="169"/>
      <c r="Y182" s="169"/>
      <c r="Z182" s="169"/>
    </row>
    <row r="183" spans="1:26" s="48" customFormat="1" ht="17.45" customHeight="1" x14ac:dyDescent="0.25">
      <c r="A183" s="1438" t="s">
        <v>1388</v>
      </c>
      <c r="B183" s="1438" t="s">
        <v>163</v>
      </c>
      <c r="C183" s="44" t="s">
        <v>172</v>
      </c>
      <c r="D183" s="1356"/>
      <c r="E183" s="125"/>
      <c r="F183" s="125"/>
      <c r="G183" s="125"/>
      <c r="H183" s="381" t="s">
        <v>173</v>
      </c>
      <c r="I183" s="141">
        <v>200257.7</v>
      </c>
      <c r="J183" s="141">
        <v>280010</v>
      </c>
      <c r="K183" s="141">
        <v>58584.5</v>
      </c>
      <c r="L183" s="141">
        <f t="shared" si="0"/>
        <v>221425.5</v>
      </c>
      <c r="M183" s="141">
        <v>280010</v>
      </c>
      <c r="N183" s="141">
        <v>138622.39999999999</v>
      </c>
      <c r="O183" s="141"/>
      <c r="P183" s="141">
        <v>600000</v>
      </c>
      <c r="Q183" s="141">
        <v>600000</v>
      </c>
      <c r="R183" s="122">
        <v>600000</v>
      </c>
      <c r="S183" s="239"/>
      <c r="T183" s="1478"/>
      <c r="U183" s="169"/>
      <c r="V183" s="169"/>
      <c r="W183" s="169"/>
      <c r="X183" s="169"/>
      <c r="Y183" s="169"/>
      <c r="Z183" s="169"/>
    </row>
    <row r="184" spans="1:26" s="48" customFormat="1" ht="17.45" customHeight="1" x14ac:dyDescent="0.25">
      <c r="A184" s="573" t="s">
        <v>1388</v>
      </c>
      <c r="B184" s="573" t="s">
        <v>163</v>
      </c>
      <c r="C184" s="44" t="s">
        <v>172</v>
      </c>
      <c r="D184" s="1382"/>
      <c r="E184" s="125"/>
      <c r="F184" s="125"/>
      <c r="G184" s="125"/>
      <c r="H184" s="381"/>
      <c r="I184" s="141"/>
      <c r="J184" s="141"/>
      <c r="K184" s="141"/>
      <c r="L184" s="141"/>
      <c r="M184" s="141"/>
      <c r="N184" s="141"/>
      <c r="O184" s="141"/>
      <c r="P184" s="141"/>
      <c r="Q184" s="141"/>
      <c r="R184" s="122">
        <f>124351.44+240000</f>
        <v>364351.44</v>
      </c>
      <c r="S184" s="239"/>
      <c r="T184" s="1488">
        <v>124351.44</v>
      </c>
      <c r="U184" s="169"/>
      <c r="V184" s="169"/>
      <c r="W184" s="169"/>
      <c r="X184" s="169"/>
      <c r="Y184" s="169"/>
      <c r="Z184" s="169"/>
    </row>
    <row r="185" spans="1:26" s="1155" customFormat="1" ht="18.75" customHeight="1" x14ac:dyDescent="0.25">
      <c r="A185" s="1439" t="s">
        <v>1388</v>
      </c>
      <c r="B185" s="1439" t="s">
        <v>163</v>
      </c>
      <c r="C185" s="44" t="s">
        <v>172</v>
      </c>
      <c r="D185" s="1356"/>
      <c r="E185" s="125"/>
      <c r="F185" s="125"/>
      <c r="G185" s="125"/>
      <c r="H185" s="381" t="s">
        <v>173</v>
      </c>
      <c r="I185" s="141">
        <v>12245.75</v>
      </c>
      <c r="J185" s="141">
        <v>20000</v>
      </c>
      <c r="K185" s="141">
        <v>5494.65</v>
      </c>
      <c r="L185" s="141">
        <f t="shared" si="0"/>
        <v>14505.35</v>
      </c>
      <c r="M185" s="141">
        <v>20000</v>
      </c>
      <c r="N185" s="141">
        <v>9025.2999999999993</v>
      </c>
      <c r="O185" s="141"/>
      <c r="P185" s="141">
        <v>26000</v>
      </c>
      <c r="Q185" s="141">
        <v>26000</v>
      </c>
      <c r="R185" s="122">
        <v>26000</v>
      </c>
      <c r="S185" s="239">
        <f>SUM(R177:R185)</f>
        <v>4916871.4400000004</v>
      </c>
      <c r="T185" s="1479"/>
      <c r="U185" s="1168"/>
      <c r="V185" s="1168"/>
      <c r="W185" s="1168"/>
      <c r="X185" s="1168"/>
      <c r="Y185" s="1168"/>
      <c r="Z185" s="1168"/>
    </row>
    <row r="186" spans="1:26" s="415" customFormat="1" ht="15.75" customHeight="1" x14ac:dyDescent="0.25">
      <c r="A186" s="961" t="s">
        <v>1388</v>
      </c>
      <c r="B186" s="961" t="s">
        <v>163</v>
      </c>
      <c r="C186" s="44" t="s">
        <v>182</v>
      </c>
      <c r="D186" s="1355"/>
      <c r="E186" s="113"/>
      <c r="F186" s="113"/>
      <c r="G186" s="113"/>
      <c r="H186" s="221" t="s">
        <v>183</v>
      </c>
      <c r="I186" s="141">
        <v>18201.599999999999</v>
      </c>
      <c r="J186" s="141">
        <v>30000</v>
      </c>
      <c r="K186" s="141">
        <v>6523.86</v>
      </c>
      <c r="L186" s="141">
        <f t="shared" si="0"/>
        <v>23476.14</v>
      </c>
      <c r="M186" s="141">
        <v>30000</v>
      </c>
      <c r="N186" s="141">
        <v>6523.86</v>
      </c>
      <c r="O186" s="141"/>
      <c r="P186" s="141">
        <v>30000</v>
      </c>
      <c r="Q186" s="141">
        <v>30000</v>
      </c>
      <c r="R186" s="122">
        <v>30000</v>
      </c>
      <c r="S186" s="239"/>
      <c r="T186" s="1480"/>
      <c r="U186" s="203"/>
      <c r="V186" s="203"/>
      <c r="W186" s="203"/>
      <c r="X186" s="203"/>
      <c r="Y186" s="203"/>
      <c r="Z186" s="203"/>
    </row>
    <row r="187" spans="1:26" s="48" customFormat="1" ht="17.45" customHeight="1" x14ac:dyDescent="0.25">
      <c r="A187" s="961" t="s">
        <v>1388</v>
      </c>
      <c r="B187" s="961" t="s">
        <v>163</v>
      </c>
      <c r="C187" s="44" t="s">
        <v>182</v>
      </c>
      <c r="D187" s="1356"/>
      <c r="E187" s="125"/>
      <c r="F187" s="125"/>
      <c r="G187" s="125"/>
      <c r="H187" s="221" t="s">
        <v>183</v>
      </c>
      <c r="I187" s="141">
        <v>36525.35</v>
      </c>
      <c r="J187" s="122"/>
      <c r="K187" s="141"/>
      <c r="L187" s="141">
        <f t="shared" si="0"/>
        <v>0</v>
      </c>
      <c r="M187" s="122">
        <v>0</v>
      </c>
      <c r="N187" s="122">
        <v>0</v>
      </c>
      <c r="O187" s="122"/>
      <c r="P187" s="122"/>
      <c r="Q187" s="122"/>
      <c r="R187" s="122">
        <v>0</v>
      </c>
      <c r="S187" s="239"/>
      <c r="T187" s="1478"/>
      <c r="U187" s="169"/>
      <c r="V187" s="169"/>
      <c r="W187" s="169"/>
      <c r="X187" s="169"/>
      <c r="Y187" s="169"/>
      <c r="Z187" s="169"/>
    </row>
    <row r="188" spans="1:26" s="48" customFormat="1" ht="17.45" customHeight="1" x14ac:dyDescent="0.25">
      <c r="A188" s="1404" t="s">
        <v>1388</v>
      </c>
      <c r="B188" s="1404" t="s">
        <v>163</v>
      </c>
      <c r="C188" s="44" t="s">
        <v>182</v>
      </c>
      <c r="D188" s="1355"/>
      <c r="E188" s="113"/>
      <c r="F188" s="113"/>
      <c r="G188" s="113"/>
      <c r="H188" s="221" t="s">
        <v>179</v>
      </c>
      <c r="I188" s="141">
        <v>12801.32</v>
      </c>
      <c r="J188" s="141">
        <v>54000</v>
      </c>
      <c r="K188" s="141"/>
      <c r="L188" s="141">
        <f t="shared" si="0"/>
        <v>54000</v>
      </c>
      <c r="M188" s="141">
        <v>54000</v>
      </c>
      <c r="N188" s="141">
        <v>0</v>
      </c>
      <c r="O188" s="141">
        <v>0</v>
      </c>
      <c r="P188" s="141">
        <v>0</v>
      </c>
      <c r="Q188" s="141">
        <v>0</v>
      </c>
      <c r="R188" s="141">
        <v>0</v>
      </c>
      <c r="S188" s="239"/>
      <c r="T188" s="1478"/>
      <c r="U188" s="169"/>
      <c r="V188" s="169"/>
      <c r="W188" s="169"/>
      <c r="X188" s="169"/>
      <c r="Y188" s="169"/>
      <c r="Z188" s="169"/>
    </row>
    <row r="189" spans="1:26" s="48" customFormat="1" ht="17.45" customHeight="1" x14ac:dyDescent="0.25">
      <c r="A189" s="1439" t="s">
        <v>1388</v>
      </c>
      <c r="B189" s="1439" t="s">
        <v>163</v>
      </c>
      <c r="C189" s="44" t="s">
        <v>567</v>
      </c>
      <c r="D189" s="1356"/>
      <c r="E189" s="125"/>
      <c r="F189" s="125"/>
      <c r="G189" s="125"/>
      <c r="H189" s="221" t="s">
        <v>179</v>
      </c>
      <c r="I189" s="141">
        <v>24189</v>
      </c>
      <c r="J189" s="122">
        <v>60000</v>
      </c>
      <c r="K189" s="141">
        <v>19491</v>
      </c>
      <c r="L189" s="141">
        <f t="shared" si="0"/>
        <v>40509</v>
      </c>
      <c r="M189" s="122">
        <v>60000</v>
      </c>
      <c r="N189" s="122">
        <v>28087</v>
      </c>
      <c r="O189" s="122"/>
      <c r="P189" s="122">
        <v>60000</v>
      </c>
      <c r="Q189" s="122">
        <v>60000</v>
      </c>
      <c r="R189" s="122">
        <v>60000</v>
      </c>
      <c r="S189" s="239"/>
      <c r="T189" s="1478"/>
      <c r="U189" s="169"/>
      <c r="V189" s="169"/>
      <c r="W189" s="169"/>
      <c r="X189" s="169"/>
      <c r="Y189" s="169"/>
      <c r="Z189" s="169"/>
    </row>
    <row r="190" spans="1:26" s="48" customFormat="1" ht="17.45" customHeight="1" x14ac:dyDescent="0.25">
      <c r="A190" s="573" t="s">
        <v>1388</v>
      </c>
      <c r="B190" s="573" t="s">
        <v>163</v>
      </c>
      <c r="C190" s="44" t="s">
        <v>182</v>
      </c>
      <c r="D190" s="1356"/>
      <c r="E190" s="125"/>
      <c r="F190" s="125"/>
      <c r="G190" s="125"/>
      <c r="H190" s="381" t="s">
        <v>183</v>
      </c>
      <c r="I190" s="141">
        <v>0</v>
      </c>
      <c r="J190" s="141">
        <v>42000</v>
      </c>
      <c r="K190" s="141"/>
      <c r="L190" s="141">
        <f t="shared" si="0"/>
        <v>42000</v>
      </c>
      <c r="M190" s="141">
        <v>42000</v>
      </c>
      <c r="N190" s="141"/>
      <c r="O190" s="141"/>
      <c r="P190" s="141">
        <v>42000</v>
      </c>
      <c r="Q190" s="141">
        <v>42000</v>
      </c>
      <c r="R190" s="122">
        <v>42000</v>
      </c>
      <c r="S190" s="239"/>
      <c r="T190" s="1478"/>
      <c r="U190" s="169"/>
      <c r="V190" s="169"/>
      <c r="W190" s="169"/>
      <c r="X190" s="169"/>
      <c r="Y190" s="169"/>
      <c r="Z190" s="169"/>
    </row>
    <row r="191" spans="1:26" s="48" customFormat="1" ht="17.45" customHeight="1" x14ac:dyDescent="0.25">
      <c r="A191" s="1439" t="s">
        <v>1388</v>
      </c>
      <c r="B191" s="1439" t="s">
        <v>163</v>
      </c>
      <c r="C191" s="44" t="s">
        <v>182</v>
      </c>
      <c r="D191" s="1356"/>
      <c r="E191" s="125"/>
      <c r="F191" s="125"/>
      <c r="G191" s="125"/>
      <c r="H191" s="381" t="s">
        <v>183</v>
      </c>
      <c r="I191" s="141"/>
      <c r="J191" s="141">
        <v>42000</v>
      </c>
      <c r="K191" s="141"/>
      <c r="L191" s="141">
        <f t="shared" si="0"/>
        <v>42000</v>
      </c>
      <c r="M191" s="141">
        <v>42000</v>
      </c>
      <c r="N191" s="141"/>
      <c r="O191" s="141"/>
      <c r="P191" s="141">
        <v>42000</v>
      </c>
      <c r="Q191" s="141">
        <v>42000</v>
      </c>
      <c r="R191" s="122">
        <v>42000</v>
      </c>
      <c r="S191" s="239">
        <f>SUM(R186:R191)</f>
        <v>174000</v>
      </c>
      <c r="T191" s="1477"/>
      <c r="U191" s="169"/>
      <c r="V191" s="169"/>
      <c r="W191" s="169"/>
      <c r="X191" s="169"/>
      <c r="Y191" s="169"/>
      <c r="Z191" s="169"/>
    </row>
    <row r="192" spans="1:26" s="48" customFormat="1" ht="17.45" customHeight="1" x14ac:dyDescent="0.25">
      <c r="A192" s="961" t="s">
        <v>1388</v>
      </c>
      <c r="B192" s="961" t="s">
        <v>163</v>
      </c>
      <c r="C192" s="44" t="s">
        <v>236</v>
      </c>
      <c r="D192" s="1355"/>
      <c r="E192" s="113"/>
      <c r="F192" s="113"/>
      <c r="G192" s="113"/>
      <c r="H192" s="221" t="s">
        <v>237</v>
      </c>
      <c r="I192" s="141">
        <v>0</v>
      </c>
      <c r="J192" s="141">
        <v>5000</v>
      </c>
      <c r="K192" s="141"/>
      <c r="L192" s="141">
        <f t="shared" si="0"/>
        <v>5000</v>
      </c>
      <c r="M192" s="141">
        <v>5000</v>
      </c>
      <c r="N192" s="141">
        <v>0</v>
      </c>
      <c r="O192" s="141"/>
      <c r="P192" s="141">
        <v>5000</v>
      </c>
      <c r="Q192" s="141">
        <v>5000</v>
      </c>
      <c r="R192" s="141">
        <v>0</v>
      </c>
      <c r="S192" s="239"/>
      <c r="T192" s="1478"/>
      <c r="U192" s="169"/>
      <c r="V192" s="169"/>
      <c r="W192" s="169"/>
      <c r="X192" s="169"/>
      <c r="Y192" s="169"/>
      <c r="Z192" s="169"/>
    </row>
    <row r="193" spans="1:26" s="48" customFormat="1" ht="17.45" customHeight="1" x14ac:dyDescent="0.25">
      <c r="A193" s="1404" t="s">
        <v>1388</v>
      </c>
      <c r="B193" s="1404" t="s">
        <v>163</v>
      </c>
      <c r="C193" s="44" t="s">
        <v>457</v>
      </c>
      <c r="D193" s="1355"/>
      <c r="E193" s="113"/>
      <c r="F193" s="113"/>
      <c r="G193" s="113"/>
      <c r="H193" s="221" t="s">
        <v>237</v>
      </c>
      <c r="I193" s="141">
        <v>0</v>
      </c>
      <c r="J193" s="141">
        <v>7000</v>
      </c>
      <c r="K193" s="141"/>
      <c r="L193" s="141">
        <f t="shared" si="0"/>
        <v>7000</v>
      </c>
      <c r="M193" s="141">
        <v>7000</v>
      </c>
      <c r="N193" s="141">
        <v>0</v>
      </c>
      <c r="O193" s="141">
        <v>0</v>
      </c>
      <c r="P193" s="141">
        <v>0</v>
      </c>
      <c r="Q193" s="141">
        <v>0</v>
      </c>
      <c r="R193" s="141">
        <v>0</v>
      </c>
      <c r="S193" s="239"/>
      <c r="T193" s="1477"/>
      <c r="U193" s="169"/>
      <c r="V193" s="169"/>
      <c r="W193" s="169"/>
      <c r="X193" s="169"/>
      <c r="Y193" s="169"/>
      <c r="Z193" s="169"/>
    </row>
    <row r="194" spans="1:26" s="48" customFormat="1" ht="17.45" customHeight="1" x14ac:dyDescent="0.25">
      <c r="A194" s="1439" t="s">
        <v>1388</v>
      </c>
      <c r="B194" s="1439" t="s">
        <v>163</v>
      </c>
      <c r="C194" s="44" t="s">
        <v>457</v>
      </c>
      <c r="D194" s="1356"/>
      <c r="E194" s="125"/>
      <c r="F194" s="125"/>
      <c r="G194" s="125"/>
      <c r="H194" s="221" t="s">
        <v>199</v>
      </c>
      <c r="I194" s="141">
        <v>0</v>
      </c>
      <c r="J194" s="141">
        <v>7000</v>
      </c>
      <c r="K194" s="141"/>
      <c r="L194" s="141">
        <f t="shared" si="0"/>
        <v>7000</v>
      </c>
      <c r="M194" s="141">
        <v>7000</v>
      </c>
      <c r="N194" s="141"/>
      <c r="O194" s="141"/>
      <c r="P194" s="141">
        <v>7000</v>
      </c>
      <c r="Q194" s="141">
        <v>7000</v>
      </c>
      <c r="R194" s="122"/>
      <c r="S194" s="239"/>
      <c r="T194" s="1478"/>
      <c r="U194" s="169"/>
      <c r="V194" s="169"/>
      <c r="W194" s="169"/>
      <c r="X194" s="169"/>
      <c r="Y194" s="169"/>
      <c r="Z194" s="169"/>
    </row>
    <row r="195" spans="1:26" s="48" customFormat="1" ht="17.45" customHeight="1" x14ac:dyDescent="0.25">
      <c r="A195" s="961" t="s">
        <v>1388</v>
      </c>
      <c r="B195" s="961" t="s">
        <v>163</v>
      </c>
      <c r="C195" s="44" t="s">
        <v>168</v>
      </c>
      <c r="D195" s="1355"/>
      <c r="E195" s="113"/>
      <c r="F195" s="113"/>
      <c r="G195" s="113"/>
      <c r="H195" s="221" t="s">
        <v>169</v>
      </c>
      <c r="I195" s="141">
        <v>85691.25</v>
      </c>
      <c r="J195" s="141">
        <v>65810</v>
      </c>
      <c r="K195" s="141">
        <v>65691</v>
      </c>
      <c r="L195" s="141">
        <f t="shared" si="0"/>
        <v>119</v>
      </c>
      <c r="M195" s="141">
        <v>65810</v>
      </c>
      <c r="N195" s="141">
        <v>65691</v>
      </c>
      <c r="O195" s="141"/>
      <c r="P195" s="141">
        <v>103538</v>
      </c>
      <c r="Q195" s="141">
        <v>103538</v>
      </c>
      <c r="R195" s="122">
        <v>70000</v>
      </c>
      <c r="S195" s="239"/>
      <c r="T195" s="1478"/>
      <c r="U195" s="169"/>
      <c r="V195" s="169"/>
      <c r="W195" s="169"/>
      <c r="X195" s="169"/>
      <c r="Y195" s="169"/>
      <c r="Z195" s="169"/>
    </row>
    <row r="196" spans="1:26" s="48" customFormat="1" ht="17.45" customHeight="1" x14ac:dyDescent="0.25">
      <c r="A196" s="961" t="s">
        <v>1388</v>
      </c>
      <c r="B196" s="961" t="s">
        <v>163</v>
      </c>
      <c r="C196" s="44" t="s">
        <v>168</v>
      </c>
      <c r="D196" s="1355"/>
      <c r="E196" s="113"/>
      <c r="F196" s="113"/>
      <c r="G196" s="113"/>
      <c r="H196" s="221" t="s">
        <v>169</v>
      </c>
      <c r="I196" s="141">
        <v>26964.5</v>
      </c>
      <c r="J196" s="141">
        <v>20000</v>
      </c>
      <c r="K196" s="141">
        <v>11985.75</v>
      </c>
      <c r="L196" s="141">
        <f t="shared" si="0"/>
        <v>8014.25</v>
      </c>
      <c r="M196" s="141">
        <v>20000</v>
      </c>
      <c r="N196" s="141">
        <v>12426.58</v>
      </c>
      <c r="O196" s="141"/>
      <c r="P196" s="141">
        <v>28090.5</v>
      </c>
      <c r="Q196" s="141">
        <v>28090.5</v>
      </c>
      <c r="R196" s="122">
        <v>28090.5</v>
      </c>
      <c r="S196" s="239"/>
      <c r="T196" s="1478"/>
      <c r="U196" s="169"/>
      <c r="V196" s="169"/>
      <c r="W196" s="169"/>
      <c r="X196" s="169"/>
      <c r="Y196" s="169"/>
      <c r="Z196" s="169"/>
    </row>
    <row r="197" spans="1:26" s="48" customFormat="1" ht="17.45" customHeight="1" x14ac:dyDescent="0.25">
      <c r="A197" s="961" t="s">
        <v>1388</v>
      </c>
      <c r="B197" s="961" t="s">
        <v>163</v>
      </c>
      <c r="C197" s="44" t="s">
        <v>168</v>
      </c>
      <c r="D197" s="1356"/>
      <c r="E197" s="125"/>
      <c r="F197" s="125"/>
      <c r="G197" s="125"/>
      <c r="H197" s="221" t="s">
        <v>169</v>
      </c>
      <c r="I197" s="141">
        <v>290699</v>
      </c>
      <c r="J197" s="122">
        <v>1087166.5</v>
      </c>
      <c r="K197" s="141"/>
      <c r="L197" s="141">
        <f t="shared" si="0"/>
        <v>1087166.5</v>
      </c>
      <c r="M197" s="122">
        <v>1087166.5</v>
      </c>
      <c r="N197" s="122">
        <v>360292.73</v>
      </c>
      <c r="O197" s="122"/>
      <c r="P197" s="122">
        <v>1490166</v>
      </c>
      <c r="Q197" s="122">
        <v>1490166</v>
      </c>
      <c r="R197" s="122">
        <v>1490166</v>
      </c>
      <c r="S197" s="239"/>
      <c r="T197" s="1478"/>
      <c r="U197" s="169"/>
      <c r="V197" s="169"/>
      <c r="W197" s="169"/>
      <c r="X197" s="169"/>
      <c r="Y197" s="169"/>
      <c r="Z197" s="169"/>
    </row>
    <row r="198" spans="1:26" s="48" customFormat="1" ht="17.45" customHeight="1" x14ac:dyDescent="0.25">
      <c r="A198" s="1404" t="s">
        <v>1388</v>
      </c>
      <c r="B198" s="1404" t="s">
        <v>163</v>
      </c>
      <c r="C198" s="44" t="s">
        <v>168</v>
      </c>
      <c r="D198" s="1355"/>
      <c r="E198" s="113"/>
      <c r="F198" s="113"/>
      <c r="G198" s="113"/>
      <c r="H198" s="221" t="s">
        <v>169</v>
      </c>
      <c r="I198" s="141">
        <v>130941</v>
      </c>
      <c r="J198" s="141">
        <v>99547</v>
      </c>
      <c r="K198" s="141">
        <v>54268.75</v>
      </c>
      <c r="L198" s="141">
        <f t="shared" si="0"/>
        <v>45278.25</v>
      </c>
      <c r="M198" s="141">
        <v>99547</v>
      </c>
      <c r="N198" s="141">
        <v>54586.75</v>
      </c>
      <c r="O198" s="141"/>
      <c r="P198" s="141">
        <v>200000</v>
      </c>
      <c r="Q198" s="141">
        <v>200000</v>
      </c>
      <c r="R198" s="122">
        <v>200000</v>
      </c>
      <c r="S198" s="239"/>
      <c r="T198" s="1478"/>
      <c r="U198" s="169"/>
      <c r="V198" s="169"/>
      <c r="W198" s="169"/>
      <c r="X198" s="169"/>
      <c r="Y198" s="169"/>
      <c r="Z198" s="169"/>
    </row>
    <row r="199" spans="1:26" s="48" customFormat="1" ht="17.45" customHeight="1" x14ac:dyDescent="0.25">
      <c r="A199" s="1404" t="s">
        <v>1388</v>
      </c>
      <c r="B199" s="1404" t="s">
        <v>163</v>
      </c>
      <c r="C199" s="44" t="s">
        <v>555</v>
      </c>
      <c r="D199" s="1355"/>
      <c r="E199" s="113"/>
      <c r="F199" s="113"/>
      <c r="G199" s="113"/>
      <c r="H199" s="221" t="s">
        <v>169</v>
      </c>
      <c r="I199" s="141">
        <v>223693</v>
      </c>
      <c r="J199" s="141">
        <v>270816</v>
      </c>
      <c r="K199" s="141">
        <v>189488</v>
      </c>
      <c r="L199" s="141">
        <f t="shared" si="0"/>
        <v>81328</v>
      </c>
      <c r="M199" s="141">
        <v>270816</v>
      </c>
      <c r="N199" s="141">
        <v>189556.04</v>
      </c>
      <c r="O199" s="141"/>
      <c r="P199" s="141">
        <v>285834.5</v>
      </c>
      <c r="Q199" s="141">
        <v>285834.5</v>
      </c>
      <c r="R199" s="122">
        <v>285834.5</v>
      </c>
      <c r="S199" s="239"/>
      <c r="T199" s="1478"/>
      <c r="U199" s="169"/>
      <c r="V199" s="169"/>
      <c r="W199" s="169"/>
      <c r="X199" s="169"/>
      <c r="Y199" s="169"/>
      <c r="Z199" s="169"/>
    </row>
    <row r="200" spans="1:26" s="48" customFormat="1" ht="17.45" customHeight="1" x14ac:dyDescent="0.25">
      <c r="A200" s="1439" t="s">
        <v>1388</v>
      </c>
      <c r="B200" s="1439" t="s">
        <v>163</v>
      </c>
      <c r="C200" s="44" t="s">
        <v>555</v>
      </c>
      <c r="D200" s="1356"/>
      <c r="E200" s="125"/>
      <c r="F200" s="125"/>
      <c r="G200" s="125"/>
      <c r="H200" s="221" t="s">
        <v>169</v>
      </c>
      <c r="I200" s="141">
        <v>339093.25</v>
      </c>
      <c r="J200" s="141">
        <v>255222.5</v>
      </c>
      <c r="K200" s="141">
        <v>212388.25</v>
      </c>
      <c r="L200" s="141">
        <f t="shared" si="0"/>
        <v>42834.25</v>
      </c>
      <c r="M200" s="141">
        <v>255222.5</v>
      </c>
      <c r="N200" s="141">
        <v>212705.19</v>
      </c>
      <c r="O200" s="141"/>
      <c r="P200" s="141">
        <v>179814</v>
      </c>
      <c r="Q200" s="141">
        <v>179814</v>
      </c>
      <c r="R200" s="122">
        <v>179814</v>
      </c>
      <c r="S200" s="239"/>
      <c r="T200" s="1478"/>
      <c r="U200" s="169"/>
      <c r="V200" s="169"/>
      <c r="W200" s="169"/>
      <c r="X200" s="169"/>
      <c r="Y200" s="169"/>
      <c r="Z200" s="169"/>
    </row>
    <row r="201" spans="1:26" s="48" customFormat="1" ht="17.45" customHeight="1" x14ac:dyDescent="0.25">
      <c r="A201" s="1437" t="s">
        <v>1388</v>
      </c>
      <c r="B201" s="1437" t="s">
        <v>163</v>
      </c>
      <c r="C201" s="44" t="s">
        <v>168</v>
      </c>
      <c r="D201" s="1356"/>
      <c r="E201" s="125"/>
      <c r="F201" s="125"/>
      <c r="G201" s="125"/>
      <c r="H201" s="381" t="s">
        <v>169</v>
      </c>
      <c r="I201" s="141">
        <v>87210</v>
      </c>
      <c r="J201" s="141">
        <v>96656</v>
      </c>
      <c r="K201" s="141">
        <v>55187</v>
      </c>
      <c r="L201" s="141">
        <f t="shared" si="0"/>
        <v>41469</v>
      </c>
      <c r="M201" s="141">
        <v>96656</v>
      </c>
      <c r="N201" s="141">
        <v>55339.64</v>
      </c>
      <c r="O201" s="141"/>
      <c r="P201" s="141">
        <v>95183.5</v>
      </c>
      <c r="Q201" s="141">
        <v>95183.5</v>
      </c>
      <c r="R201" s="122">
        <v>95183.5</v>
      </c>
      <c r="S201" s="239"/>
      <c r="T201" s="1478"/>
      <c r="U201" s="169"/>
      <c r="V201" s="169"/>
      <c r="W201" s="169"/>
      <c r="X201" s="169"/>
      <c r="Y201" s="169"/>
      <c r="Z201" s="169"/>
    </row>
    <row r="202" spans="1:26" s="203" customFormat="1" ht="18" x14ac:dyDescent="0.25">
      <c r="A202" s="573" t="s">
        <v>1388</v>
      </c>
      <c r="B202" s="573" t="s">
        <v>163</v>
      </c>
      <c r="C202" s="44" t="s">
        <v>168</v>
      </c>
      <c r="D202" s="1356"/>
      <c r="E202" s="125"/>
      <c r="F202" s="125"/>
      <c r="G202" s="125"/>
      <c r="H202" s="381" t="s">
        <v>169</v>
      </c>
      <c r="I202" s="141">
        <v>37066</v>
      </c>
      <c r="J202" s="141">
        <v>55000</v>
      </c>
      <c r="K202" s="141">
        <v>35757</v>
      </c>
      <c r="L202" s="141">
        <f t="shared" si="0"/>
        <v>19243</v>
      </c>
      <c r="M202" s="141">
        <v>55000</v>
      </c>
      <c r="N202" s="141">
        <v>35757</v>
      </c>
      <c r="O202" s="141"/>
      <c r="P202" s="141">
        <v>55000</v>
      </c>
      <c r="Q202" s="141">
        <v>55000</v>
      </c>
      <c r="R202" s="122">
        <v>55000</v>
      </c>
      <c r="S202" s="239"/>
      <c r="T202" s="1480"/>
    </row>
    <row r="203" spans="1:26" ht="18.75" customHeight="1" x14ac:dyDescent="0.25">
      <c r="A203" s="1439" t="s">
        <v>1388</v>
      </c>
      <c r="B203" s="1439" t="s">
        <v>163</v>
      </c>
      <c r="C203" s="44" t="s">
        <v>168</v>
      </c>
      <c r="D203" s="1356"/>
      <c r="E203" s="125"/>
      <c r="F203" s="125"/>
      <c r="G203" s="125"/>
      <c r="H203" s="381" t="s">
        <v>169</v>
      </c>
      <c r="I203" s="141">
        <v>159072</v>
      </c>
      <c r="J203" s="141">
        <v>91953</v>
      </c>
      <c r="K203" s="141">
        <v>59771</v>
      </c>
      <c r="L203" s="141">
        <f t="shared" si="0"/>
        <v>32182</v>
      </c>
      <c r="M203" s="141">
        <v>91953</v>
      </c>
      <c r="N203" s="141">
        <v>59771</v>
      </c>
      <c r="O203" s="141"/>
      <c r="P203" s="141">
        <v>142839</v>
      </c>
      <c r="Q203" s="141">
        <v>142839</v>
      </c>
      <c r="R203" s="122">
        <v>142839</v>
      </c>
      <c r="S203" s="239">
        <f>SUM(R195:R203)</f>
        <v>2546927.5</v>
      </c>
    </row>
    <row r="204" spans="1:26" ht="18.75" customHeight="1" x14ac:dyDescent="0.25">
      <c r="A204" s="961" t="s">
        <v>1388</v>
      </c>
      <c r="B204" s="961" t="s">
        <v>163</v>
      </c>
      <c r="C204" s="44" t="s">
        <v>198</v>
      </c>
      <c r="D204" s="1356"/>
      <c r="E204" s="125"/>
      <c r="F204" s="125"/>
      <c r="G204" s="125"/>
      <c r="H204" s="221" t="s">
        <v>199</v>
      </c>
      <c r="I204" s="141">
        <v>786907.41</v>
      </c>
      <c r="J204" s="141">
        <v>2056360.4</v>
      </c>
      <c r="K204" s="141">
        <v>904108.88</v>
      </c>
      <c r="L204" s="141">
        <f t="shared" si="0"/>
        <v>1152251.52</v>
      </c>
      <c r="M204" s="141">
        <v>2056360.4</v>
      </c>
      <c r="N204" s="141">
        <v>1023556.29</v>
      </c>
      <c r="O204" s="141"/>
      <c r="P204" s="141">
        <v>2337564.64</v>
      </c>
      <c r="Q204" s="141">
        <v>2337564.64</v>
      </c>
      <c r="R204" s="122">
        <v>2337564.64</v>
      </c>
    </row>
    <row r="205" spans="1:26" ht="18.75" customHeight="1" x14ac:dyDescent="0.25">
      <c r="A205" s="1404" t="s">
        <v>1388</v>
      </c>
      <c r="B205" s="1404" t="s">
        <v>163</v>
      </c>
      <c r="C205" s="44" t="s">
        <v>198</v>
      </c>
      <c r="D205" s="1351"/>
      <c r="E205" s="170"/>
      <c r="F205" s="170"/>
      <c r="G205" s="170"/>
      <c r="H205" s="231" t="s">
        <v>199</v>
      </c>
      <c r="I205" s="122">
        <v>0</v>
      </c>
      <c r="J205" s="122">
        <v>200000</v>
      </c>
      <c r="K205" s="122">
        <v>65404.52</v>
      </c>
      <c r="L205" s="141">
        <f t="shared" si="0"/>
        <v>134595.48000000001</v>
      </c>
      <c r="M205" s="122">
        <v>200000</v>
      </c>
      <c r="N205" s="122">
        <v>113190.24</v>
      </c>
      <c r="O205" s="122"/>
      <c r="P205" s="122">
        <v>600000</v>
      </c>
      <c r="Q205" s="122">
        <v>600000</v>
      </c>
      <c r="R205" s="122">
        <v>600000</v>
      </c>
      <c r="S205" s="1457"/>
    </row>
    <row r="206" spans="1:26" ht="18.75" customHeight="1" x14ac:dyDescent="0.25">
      <c r="A206" s="1404" t="s">
        <v>1388</v>
      </c>
      <c r="B206" s="1404" t="s">
        <v>163</v>
      </c>
      <c r="C206" s="44" t="s">
        <v>198</v>
      </c>
      <c r="D206" s="1355"/>
      <c r="E206" s="113"/>
      <c r="F206" s="170"/>
      <c r="G206" s="113"/>
      <c r="H206" s="221" t="s">
        <v>199</v>
      </c>
      <c r="I206" s="141">
        <v>1204295.1499999999</v>
      </c>
      <c r="J206" s="141">
        <v>2372108.16</v>
      </c>
      <c r="K206" s="141">
        <v>528353.43999999994</v>
      </c>
      <c r="L206" s="141">
        <f t="shared" si="0"/>
        <v>1843754.7200000002</v>
      </c>
      <c r="M206" s="141">
        <v>2372108.16</v>
      </c>
      <c r="N206" s="141">
        <v>738284.87</v>
      </c>
      <c r="O206" s="141"/>
      <c r="P206" s="141">
        <v>3102637.44</v>
      </c>
      <c r="Q206" s="141">
        <v>3102637.44</v>
      </c>
      <c r="R206" s="122">
        <v>3102637.44</v>
      </c>
      <c r="S206" s="1457"/>
    </row>
    <row r="207" spans="1:26" s="48" customFormat="1" ht="18" customHeight="1" x14ac:dyDescent="0.25">
      <c r="A207" s="1439" t="s">
        <v>1388</v>
      </c>
      <c r="B207" s="1439" t="s">
        <v>163</v>
      </c>
      <c r="C207" s="44" t="s">
        <v>198</v>
      </c>
      <c r="D207" s="1356"/>
      <c r="E207" s="125"/>
      <c r="F207" s="125"/>
      <c r="G207" s="125"/>
      <c r="H207" s="221" t="s">
        <v>199</v>
      </c>
      <c r="I207" s="141">
        <v>249598.59</v>
      </c>
      <c r="J207" s="141">
        <v>1151063.6000000001</v>
      </c>
      <c r="K207" s="141">
        <v>113514.2</v>
      </c>
      <c r="L207" s="141">
        <f t="shared" si="0"/>
        <v>1037549.4000000001</v>
      </c>
      <c r="M207" s="141">
        <v>1151063.6000000001</v>
      </c>
      <c r="N207" s="141">
        <v>154953.16</v>
      </c>
      <c r="O207" s="141"/>
      <c r="P207" s="141">
        <v>1214740.3500000001</v>
      </c>
      <c r="Q207" s="141">
        <v>1214740.3500000001</v>
      </c>
      <c r="R207" s="122">
        <v>1214740.3500000001</v>
      </c>
      <c r="S207" s="239"/>
      <c r="T207" s="1477"/>
      <c r="U207" s="169"/>
      <c r="V207" s="169"/>
      <c r="W207" s="169"/>
      <c r="X207" s="169"/>
      <c r="Y207" s="169"/>
      <c r="Z207" s="169"/>
    </row>
    <row r="208" spans="1:26" s="48" customFormat="1" ht="18" customHeight="1" x14ac:dyDescent="0.25">
      <c r="A208" s="1437" t="s">
        <v>1388</v>
      </c>
      <c r="B208" s="1437" t="s">
        <v>163</v>
      </c>
      <c r="C208" s="44" t="s">
        <v>198</v>
      </c>
      <c r="D208" s="1356"/>
      <c r="E208" s="125"/>
      <c r="F208" s="125"/>
      <c r="G208" s="125"/>
      <c r="H208" s="381" t="s">
        <v>199</v>
      </c>
      <c r="I208" s="141">
        <v>1499876.47</v>
      </c>
      <c r="J208" s="141">
        <v>1768634.16</v>
      </c>
      <c r="K208" s="141">
        <v>766960.74</v>
      </c>
      <c r="L208" s="141">
        <f t="shared" si="0"/>
        <v>1001673.4199999999</v>
      </c>
      <c r="M208" s="141">
        <v>1768634.16</v>
      </c>
      <c r="N208" s="141">
        <v>1060213.29</v>
      </c>
      <c r="O208" s="141"/>
      <c r="P208" s="141">
        <v>2148478.7999999998</v>
      </c>
      <c r="Q208" s="141">
        <v>1864446.48</v>
      </c>
      <c r="R208" s="122">
        <v>1864446.48</v>
      </c>
      <c r="S208" s="239"/>
      <c r="T208" s="1477"/>
      <c r="U208" s="169"/>
      <c r="V208" s="169"/>
      <c r="W208" s="169"/>
      <c r="X208" s="169"/>
      <c r="Y208" s="169"/>
      <c r="Z208" s="169"/>
    </row>
    <row r="209" spans="1:26" s="48" customFormat="1" ht="18" customHeight="1" x14ac:dyDescent="0.25">
      <c r="A209" s="573" t="s">
        <v>1388</v>
      </c>
      <c r="B209" s="573" t="s">
        <v>163</v>
      </c>
      <c r="C209" s="44" t="s">
        <v>198</v>
      </c>
      <c r="D209" s="1356"/>
      <c r="E209" s="125"/>
      <c r="F209" s="125"/>
      <c r="G209" s="125"/>
      <c r="H209" s="381" t="s">
        <v>199</v>
      </c>
      <c r="I209" s="141">
        <v>0</v>
      </c>
      <c r="J209" s="141">
        <v>442040.64</v>
      </c>
      <c r="K209" s="141"/>
      <c r="L209" s="141">
        <f t="shared" si="0"/>
        <v>442040.64</v>
      </c>
      <c r="M209" s="141">
        <v>442040.64</v>
      </c>
      <c r="N209" s="141"/>
      <c r="O209" s="141"/>
      <c r="P209" s="141">
        <v>630808.64</v>
      </c>
      <c r="Q209" s="141">
        <v>630808.64</v>
      </c>
      <c r="R209" s="122">
        <v>630808.64</v>
      </c>
      <c r="S209" s="239"/>
      <c r="T209" s="1477"/>
      <c r="U209" s="169"/>
      <c r="V209" s="169"/>
      <c r="W209" s="169"/>
      <c r="X209" s="169"/>
      <c r="Y209" s="169"/>
      <c r="Z209" s="169"/>
    </row>
    <row r="210" spans="1:26" s="48" customFormat="1" ht="18" customHeight="1" x14ac:dyDescent="0.25">
      <c r="A210" s="961" t="s">
        <v>1388</v>
      </c>
      <c r="B210" s="961" t="s">
        <v>163</v>
      </c>
      <c r="C210" s="44" t="s">
        <v>1569</v>
      </c>
      <c r="D210" s="1355"/>
      <c r="E210" s="113"/>
      <c r="F210" s="113"/>
      <c r="G210" s="113"/>
      <c r="H210" s="221" t="s">
        <v>199</v>
      </c>
      <c r="I210" s="141">
        <v>314561.82</v>
      </c>
      <c r="J210" s="122">
        <v>420000</v>
      </c>
      <c r="K210" s="141">
        <v>129060.71</v>
      </c>
      <c r="L210" s="141">
        <f t="shared" si="0"/>
        <v>290939.28999999998</v>
      </c>
      <c r="M210" s="122">
        <v>420000</v>
      </c>
      <c r="N210" s="122">
        <v>175555.61</v>
      </c>
      <c r="O210" s="122"/>
      <c r="P210" s="122">
        <v>420000</v>
      </c>
      <c r="Q210" s="122">
        <v>420000</v>
      </c>
      <c r="R210" s="122">
        <f>420000+45000</f>
        <v>465000</v>
      </c>
      <c r="S210" s="239"/>
      <c r="T210" s="1477"/>
      <c r="U210" s="169"/>
      <c r="V210" s="169"/>
      <c r="W210" s="169"/>
      <c r="X210" s="169"/>
      <c r="Y210" s="169"/>
      <c r="Z210" s="169"/>
    </row>
    <row r="211" spans="1:26" s="48" customFormat="1" ht="18" customHeight="1" x14ac:dyDescent="0.25">
      <c r="A211" s="961" t="s">
        <v>1388</v>
      </c>
      <c r="B211" s="961" t="s">
        <v>163</v>
      </c>
      <c r="C211" s="180" t="s">
        <v>1569</v>
      </c>
      <c r="D211" s="1359"/>
      <c r="E211" s="174"/>
      <c r="F211" s="174"/>
      <c r="G211" s="174"/>
      <c r="H211" s="1234" t="s">
        <v>199</v>
      </c>
      <c r="I211" s="141">
        <v>801320.94</v>
      </c>
      <c r="J211" s="141">
        <v>1493678.16</v>
      </c>
      <c r="K211" s="141">
        <v>305230.19</v>
      </c>
      <c r="L211" s="141">
        <f t="shared" si="0"/>
        <v>1188447.97</v>
      </c>
      <c r="M211" s="141">
        <v>1493678.16</v>
      </c>
      <c r="N211" s="141">
        <v>422891.72</v>
      </c>
      <c r="O211" s="141"/>
      <c r="P211" s="141">
        <v>1493678.16</v>
      </c>
      <c r="Q211" s="141">
        <v>1493678.16</v>
      </c>
      <c r="R211" s="122">
        <v>1493678.16</v>
      </c>
      <c r="S211" s="239">
        <f>SUM(R204:R211)</f>
        <v>11708875.710000001</v>
      </c>
      <c r="T211" s="1477"/>
      <c r="U211" s="169"/>
      <c r="V211" s="169"/>
      <c r="W211" s="169"/>
      <c r="X211" s="169"/>
      <c r="Y211" s="169"/>
      <c r="Z211" s="169"/>
    </row>
    <row r="212" spans="1:26" s="48" customFormat="1" ht="18" customHeight="1" x14ac:dyDescent="0.25">
      <c r="A212" s="961" t="s">
        <v>1388</v>
      </c>
      <c r="B212" s="961" t="s">
        <v>163</v>
      </c>
      <c r="C212" s="44" t="s">
        <v>233</v>
      </c>
      <c r="D212" s="1355"/>
      <c r="E212" s="113"/>
      <c r="F212" s="113"/>
      <c r="G212" s="113"/>
      <c r="H212" s="221" t="s">
        <v>171</v>
      </c>
      <c r="I212" s="141">
        <v>19990</v>
      </c>
      <c r="J212" s="141">
        <v>95084</v>
      </c>
      <c r="K212" s="141"/>
      <c r="L212" s="141">
        <f t="shared" si="0"/>
        <v>95084</v>
      </c>
      <c r="M212" s="141">
        <v>95084</v>
      </c>
      <c r="N212" s="141">
        <v>17344</v>
      </c>
      <c r="O212" s="141"/>
      <c r="P212" s="141">
        <f>89000+26722.5</f>
        <v>115722.5</v>
      </c>
      <c r="Q212" s="141">
        <f>89000+26722.5</f>
        <v>115722.5</v>
      </c>
      <c r="R212" s="1397">
        <v>3100000</v>
      </c>
      <c r="S212" s="239"/>
      <c r="T212" s="1477" t="s">
        <v>2120</v>
      </c>
      <c r="U212" s="169"/>
      <c r="V212" s="169"/>
      <c r="W212" s="169"/>
      <c r="X212" s="169"/>
      <c r="Y212" s="169"/>
      <c r="Z212" s="169"/>
    </row>
    <row r="213" spans="1:26" s="48" customFormat="1" ht="18" customHeight="1" x14ac:dyDescent="0.25">
      <c r="A213" s="961" t="s">
        <v>1388</v>
      </c>
      <c r="B213" s="961" t="s">
        <v>163</v>
      </c>
      <c r="C213" s="44" t="s">
        <v>170</v>
      </c>
      <c r="D213" s="1356"/>
      <c r="E213" s="125"/>
      <c r="F213" s="125"/>
      <c r="G213" s="125"/>
      <c r="H213" s="221" t="s">
        <v>171</v>
      </c>
      <c r="I213" s="141">
        <f>15000+7500+6000+10300+130000+194880</f>
        <v>363680</v>
      </c>
      <c r="J213" s="122">
        <v>417885</v>
      </c>
      <c r="K213" s="141"/>
      <c r="L213" s="141">
        <f t="shared" ref="L213:L231" si="1">M213-K213</f>
        <v>417885</v>
      </c>
      <c r="M213" s="122">
        <v>417885</v>
      </c>
      <c r="N213" s="122">
        <v>82067.399999999994</v>
      </c>
      <c r="O213" s="122"/>
      <c r="P213" s="122">
        <f>90000+45000+25000+30000+15000+10378.5+60000+221814+263000</f>
        <v>760192.5</v>
      </c>
      <c r="Q213" s="122">
        <f>90000+45000+25000+30000+15000+10378.5+60000+221814+263000</f>
        <v>760192.5</v>
      </c>
      <c r="R213" s="122">
        <f>760192.5+500000</f>
        <v>1260192.5</v>
      </c>
      <c r="S213" s="239"/>
      <c r="T213" s="1477" t="s">
        <v>2121</v>
      </c>
      <c r="U213" s="169"/>
      <c r="V213" s="169"/>
      <c r="W213" s="169"/>
      <c r="X213" s="169"/>
      <c r="Y213" s="169"/>
      <c r="Z213" s="169"/>
    </row>
    <row r="214" spans="1:26" s="48" customFormat="1" ht="18" customHeight="1" x14ac:dyDescent="0.25">
      <c r="A214" s="1404" t="s">
        <v>1388</v>
      </c>
      <c r="B214" s="1404" t="s">
        <v>163</v>
      </c>
      <c r="C214" s="44" t="s">
        <v>248</v>
      </c>
      <c r="D214" s="1355"/>
      <c r="E214" s="113"/>
      <c r="F214" s="113"/>
      <c r="G214" s="113"/>
      <c r="H214" s="221" t="s">
        <v>171</v>
      </c>
      <c r="I214" s="141">
        <f>282220+13800</f>
        <v>296020</v>
      </c>
      <c r="J214" s="122">
        <v>574810</v>
      </c>
      <c r="K214" s="141"/>
      <c r="L214" s="141">
        <f t="shared" si="1"/>
        <v>574810</v>
      </c>
      <c r="M214" s="122">
        <v>574810</v>
      </c>
      <c r="N214" s="122">
        <v>97754.8</v>
      </c>
      <c r="O214" s="122"/>
      <c r="P214" s="122">
        <v>372500</v>
      </c>
      <c r="Q214" s="122">
        <v>372500</v>
      </c>
      <c r="R214" s="122">
        <v>372500</v>
      </c>
      <c r="S214" s="239"/>
      <c r="T214" s="1477" t="s">
        <v>2122</v>
      </c>
      <c r="U214" s="169"/>
      <c r="V214" s="169"/>
      <c r="W214" s="169"/>
      <c r="X214" s="169"/>
      <c r="Y214" s="169"/>
      <c r="Z214" s="169"/>
    </row>
    <row r="215" spans="1:26" s="48" customFormat="1" ht="18" customHeight="1" x14ac:dyDescent="0.25">
      <c r="A215" s="1437" t="s">
        <v>1388</v>
      </c>
      <c r="B215" s="1437" t="s">
        <v>163</v>
      </c>
      <c r="C215" s="44" t="s">
        <v>170</v>
      </c>
      <c r="D215" s="1356"/>
      <c r="E215" s="125"/>
      <c r="F215" s="125"/>
      <c r="G215" s="1356"/>
      <c r="H215" s="381" t="s">
        <v>171</v>
      </c>
      <c r="I215" s="141">
        <f>470260+1005950+328724</f>
        <v>1804934</v>
      </c>
      <c r="J215" s="141">
        <v>4031072.2</v>
      </c>
      <c r="K215" s="141"/>
      <c r="L215" s="141">
        <f t="shared" si="1"/>
        <v>4031072.2</v>
      </c>
      <c r="M215" s="141">
        <v>4031072.2</v>
      </c>
      <c r="N215" s="141">
        <v>733425</v>
      </c>
      <c r="O215" s="141"/>
      <c r="P215" s="141">
        <v>3910200</v>
      </c>
      <c r="Q215" s="141">
        <v>2882415</v>
      </c>
      <c r="R215" s="122">
        <v>2882415</v>
      </c>
      <c r="S215" s="239"/>
      <c r="T215" s="1477" t="s">
        <v>2123</v>
      </c>
      <c r="U215" s="169"/>
      <c r="V215" s="169"/>
      <c r="W215" s="169"/>
      <c r="X215" s="169"/>
      <c r="Y215" s="169"/>
      <c r="Z215" s="169"/>
    </row>
    <row r="216" spans="1:26" s="48" customFormat="1" ht="18" customHeight="1" x14ac:dyDescent="0.25">
      <c r="A216" s="1439" t="s">
        <v>1388</v>
      </c>
      <c r="B216" s="1439" t="s">
        <v>163</v>
      </c>
      <c r="C216" s="1369" t="s">
        <v>170</v>
      </c>
      <c r="D216" s="1356"/>
      <c r="E216" s="1356"/>
      <c r="F216" s="1356"/>
      <c r="G216" s="1356"/>
      <c r="H216" s="381" t="s">
        <v>171</v>
      </c>
      <c r="I216" s="141">
        <v>69341</v>
      </c>
      <c r="J216" s="141">
        <f>103264+500000</f>
        <v>603264</v>
      </c>
      <c r="K216" s="141"/>
      <c r="L216" s="141">
        <f t="shared" si="1"/>
        <v>603264</v>
      </c>
      <c r="M216" s="141">
        <f>103264+500000</f>
        <v>603264</v>
      </c>
      <c r="N216" s="141">
        <v>23270.799999999999</v>
      </c>
      <c r="O216" s="141"/>
      <c r="P216" s="141">
        <f>94367+12000+30000+32000+32000+32000+22000</f>
        <v>254367</v>
      </c>
      <c r="Q216" s="141">
        <f>94367+12000+30000+32000+32000+32000+22000</f>
        <v>254367</v>
      </c>
      <c r="R216" s="122">
        <f>94367+12000+30000+32000+32000+32000+22000</f>
        <v>254367</v>
      </c>
      <c r="S216" s="239"/>
      <c r="T216" s="1477" t="s">
        <v>2124</v>
      </c>
      <c r="U216" s="169"/>
      <c r="V216" s="169"/>
      <c r="W216" s="169"/>
      <c r="X216" s="169"/>
      <c r="Y216" s="169"/>
      <c r="Z216" s="169"/>
    </row>
    <row r="217" spans="1:26" s="48" customFormat="1" ht="18" customHeight="1" x14ac:dyDescent="0.25">
      <c r="A217" s="961" t="s">
        <v>1388</v>
      </c>
      <c r="B217" s="961" t="s">
        <v>163</v>
      </c>
      <c r="C217" s="44" t="s">
        <v>213</v>
      </c>
      <c r="D217" s="1355"/>
      <c r="E217" s="113"/>
      <c r="F217" s="113"/>
      <c r="G217" s="113"/>
      <c r="H217" s="221" t="s">
        <v>171</v>
      </c>
      <c r="I217" s="141">
        <v>25190</v>
      </c>
      <c r="J217" s="141">
        <v>113350</v>
      </c>
      <c r="K217" s="141"/>
      <c r="L217" s="141">
        <f t="shared" si="1"/>
        <v>113350</v>
      </c>
      <c r="M217" s="141">
        <v>113350</v>
      </c>
      <c r="N217" s="141">
        <v>8015</v>
      </c>
      <c r="O217" s="141"/>
      <c r="P217" s="141">
        <f>3500+20405+64200</f>
        <v>88105</v>
      </c>
      <c r="Q217" s="141">
        <f>3500+20405+64200</f>
        <v>88105</v>
      </c>
      <c r="R217" s="122">
        <f>3500+20405+64200</f>
        <v>88105</v>
      </c>
      <c r="S217" s="239"/>
      <c r="T217" s="1477" t="s">
        <v>2125</v>
      </c>
      <c r="U217" s="169"/>
      <c r="V217" s="169"/>
      <c r="W217" s="169"/>
      <c r="X217" s="169"/>
      <c r="Y217" s="169"/>
      <c r="Z217" s="169"/>
    </row>
    <row r="218" spans="1:26" s="48" customFormat="1" ht="18" customHeight="1" x14ac:dyDescent="0.25">
      <c r="A218" s="1404" t="s">
        <v>1388</v>
      </c>
      <c r="B218" s="1404" t="s">
        <v>163</v>
      </c>
      <c r="C218" s="44" t="s">
        <v>213</v>
      </c>
      <c r="D218" s="1355"/>
      <c r="E218" s="113"/>
      <c r="F218" s="113"/>
      <c r="G218" s="113"/>
      <c r="H218" s="221" t="s">
        <v>171</v>
      </c>
      <c r="I218" s="141">
        <v>17634</v>
      </c>
      <c r="J218" s="141">
        <v>216240</v>
      </c>
      <c r="K218" s="141"/>
      <c r="L218" s="141">
        <f t="shared" si="1"/>
        <v>216240</v>
      </c>
      <c r="M218" s="141">
        <v>216240</v>
      </c>
      <c r="N218" s="141">
        <v>36824</v>
      </c>
      <c r="O218" s="141"/>
      <c r="P218" s="141">
        <v>553297.5</v>
      </c>
      <c r="Q218" s="141">
        <v>553297.5</v>
      </c>
      <c r="R218" s="122">
        <v>553297.5</v>
      </c>
      <c r="S218" s="239"/>
      <c r="T218" s="1477" t="s">
        <v>2126</v>
      </c>
      <c r="U218" s="169"/>
      <c r="V218" s="169"/>
      <c r="W218" s="169"/>
      <c r="X218" s="169"/>
      <c r="Y218" s="169"/>
      <c r="Z218" s="169"/>
    </row>
    <row r="219" spans="1:26" s="48" customFormat="1" ht="18" customHeight="1" x14ac:dyDescent="0.25">
      <c r="A219" s="1439" t="s">
        <v>1388</v>
      </c>
      <c r="B219" s="1439" t="s">
        <v>163</v>
      </c>
      <c r="C219" s="44" t="s">
        <v>213</v>
      </c>
      <c r="D219" s="1356"/>
      <c r="E219" s="125"/>
      <c r="F219" s="125"/>
      <c r="G219" s="125"/>
      <c r="H219" s="221" t="s">
        <v>171</v>
      </c>
      <c r="I219" s="141">
        <f>4000+19720</f>
        <v>23720</v>
      </c>
      <c r="J219" s="141">
        <v>39017</v>
      </c>
      <c r="K219" s="141"/>
      <c r="L219" s="141">
        <f t="shared" si="1"/>
        <v>39017</v>
      </c>
      <c r="M219" s="141">
        <v>39017</v>
      </c>
      <c r="N219" s="141">
        <v>9373</v>
      </c>
      <c r="O219" s="141"/>
      <c r="P219" s="141">
        <v>164420</v>
      </c>
      <c r="Q219" s="141">
        <v>164420</v>
      </c>
      <c r="R219" s="122">
        <v>164420</v>
      </c>
      <c r="S219" s="239"/>
      <c r="T219" s="1477" t="s">
        <v>2127</v>
      </c>
      <c r="U219" s="169"/>
      <c r="V219" s="169"/>
      <c r="W219" s="169"/>
      <c r="X219" s="169"/>
      <c r="Y219" s="169"/>
      <c r="Z219" s="169"/>
    </row>
    <row r="220" spans="1:26" s="48" customFormat="1" ht="18" customHeight="1" x14ac:dyDescent="0.25">
      <c r="A220" s="573" t="s">
        <v>1388</v>
      </c>
      <c r="B220" s="573" t="s">
        <v>163</v>
      </c>
      <c r="C220" s="44" t="s">
        <v>213</v>
      </c>
      <c r="D220" s="1356"/>
      <c r="E220" s="125"/>
      <c r="F220" s="125"/>
      <c r="G220" s="1356"/>
      <c r="H220" s="381" t="s">
        <v>171</v>
      </c>
      <c r="I220" s="141">
        <f>79691+78528</f>
        <v>158219</v>
      </c>
      <c r="J220" s="141">
        <f>200100+300000</f>
        <v>500100</v>
      </c>
      <c r="K220" s="141"/>
      <c r="L220" s="141">
        <f t="shared" si="1"/>
        <v>500100</v>
      </c>
      <c r="M220" s="141">
        <f>200100+300000</f>
        <v>500100</v>
      </c>
      <c r="N220" s="141">
        <v>154870</v>
      </c>
      <c r="O220" s="141"/>
      <c r="P220" s="141">
        <f>500000+30000+70000</f>
        <v>600000</v>
      </c>
      <c r="Q220" s="141">
        <f>500000+30000+70000</f>
        <v>600000</v>
      </c>
      <c r="R220" s="122">
        <f>500000+30000+70000</f>
        <v>600000</v>
      </c>
      <c r="S220" s="239">
        <f>SUM(R212:R220)</f>
        <v>9275297</v>
      </c>
      <c r="T220" s="1477" t="s">
        <v>2128</v>
      </c>
      <c r="U220" s="169"/>
      <c r="V220" s="169"/>
      <c r="W220" s="169"/>
      <c r="X220" s="169"/>
      <c r="Y220" s="169"/>
      <c r="Z220" s="169"/>
    </row>
    <row r="221" spans="1:26" s="48" customFormat="1" ht="18" customHeight="1" x14ac:dyDescent="0.25">
      <c r="A221" s="961" t="s">
        <v>1388</v>
      </c>
      <c r="B221" s="961" t="s">
        <v>163</v>
      </c>
      <c r="C221" s="44" t="s">
        <v>176</v>
      </c>
      <c r="D221" s="1356"/>
      <c r="E221" s="125"/>
      <c r="F221" s="125"/>
      <c r="G221" s="125"/>
      <c r="H221" s="221" t="s">
        <v>177</v>
      </c>
      <c r="I221" s="141">
        <v>0</v>
      </c>
      <c r="J221" s="141">
        <v>4500</v>
      </c>
      <c r="K221" s="141"/>
      <c r="L221" s="141">
        <f t="shared" si="1"/>
        <v>4500</v>
      </c>
      <c r="M221" s="141">
        <v>4500</v>
      </c>
      <c r="N221" s="141"/>
      <c r="O221" s="141"/>
      <c r="P221" s="141">
        <v>4500</v>
      </c>
      <c r="Q221" s="141">
        <v>4500</v>
      </c>
      <c r="R221" s="122">
        <v>4500</v>
      </c>
      <c r="S221" s="239"/>
      <c r="T221" s="1477"/>
      <c r="U221" s="169"/>
      <c r="V221" s="169"/>
      <c r="W221" s="169"/>
      <c r="X221" s="169"/>
      <c r="Y221" s="169"/>
      <c r="Z221" s="169"/>
    </row>
    <row r="222" spans="1:26" s="48" customFormat="1" ht="18" customHeight="1" x14ac:dyDescent="0.25">
      <c r="A222" s="1439" t="s">
        <v>1388</v>
      </c>
      <c r="B222" s="1439" t="s">
        <v>163</v>
      </c>
      <c r="C222" s="44" t="s">
        <v>176</v>
      </c>
      <c r="D222" s="1356"/>
      <c r="E222" s="125"/>
      <c r="F222" s="125"/>
      <c r="G222" s="125"/>
      <c r="H222" s="221" t="s">
        <v>177</v>
      </c>
      <c r="I222" s="141">
        <v>5650</v>
      </c>
      <c r="J222" s="141">
        <v>7800</v>
      </c>
      <c r="K222" s="141"/>
      <c r="L222" s="141">
        <f t="shared" si="1"/>
        <v>7800</v>
      </c>
      <c r="M222" s="141">
        <v>7800</v>
      </c>
      <c r="N222" s="141">
        <v>2550</v>
      </c>
      <c r="O222" s="141"/>
      <c r="P222" s="141">
        <v>7800</v>
      </c>
      <c r="Q222" s="141">
        <v>7800</v>
      </c>
      <c r="R222" s="122">
        <v>7800</v>
      </c>
      <c r="S222" s="239">
        <f>SUM(R221:R222)</f>
        <v>12300</v>
      </c>
      <c r="T222" s="1477"/>
      <c r="U222" s="169"/>
      <c r="V222" s="169"/>
      <c r="W222" s="169"/>
      <c r="X222" s="169"/>
      <c r="Y222" s="169"/>
      <c r="Z222" s="169"/>
    </row>
    <row r="223" spans="1:26" s="48" customFormat="1" ht="18" customHeight="1" x14ac:dyDescent="0.25">
      <c r="A223" s="961" t="s">
        <v>1388</v>
      </c>
      <c r="B223" s="961" t="s">
        <v>163</v>
      </c>
      <c r="C223" s="180" t="s">
        <v>281</v>
      </c>
      <c r="D223" s="1359"/>
      <c r="E223" s="174"/>
      <c r="F223" s="174"/>
      <c r="G223" s="174"/>
      <c r="H223" s="1234" t="s">
        <v>282</v>
      </c>
      <c r="I223" s="141">
        <v>0</v>
      </c>
      <c r="J223" s="141">
        <v>15000</v>
      </c>
      <c r="K223" s="141"/>
      <c r="L223" s="141">
        <f t="shared" si="1"/>
        <v>15000</v>
      </c>
      <c r="M223" s="141">
        <v>15000</v>
      </c>
      <c r="N223" s="141"/>
      <c r="O223" s="141"/>
      <c r="P223" s="141">
        <v>15000</v>
      </c>
      <c r="Q223" s="141">
        <v>15000</v>
      </c>
      <c r="R223" s="122">
        <v>15000</v>
      </c>
      <c r="S223" s="239"/>
      <c r="T223" s="1477"/>
      <c r="U223" s="169"/>
      <c r="V223" s="169"/>
      <c r="W223" s="169"/>
      <c r="X223" s="169"/>
      <c r="Y223" s="169"/>
      <c r="Z223" s="169"/>
    </row>
    <row r="224" spans="1:26" s="48" customFormat="1" ht="18" customHeight="1" x14ac:dyDescent="0.25">
      <c r="A224" s="961" t="s">
        <v>1388</v>
      </c>
      <c r="B224" s="961" t="s">
        <v>163</v>
      </c>
      <c r="C224" s="44" t="s">
        <v>186</v>
      </c>
      <c r="D224" s="1356"/>
      <c r="E224" s="125"/>
      <c r="F224" s="125"/>
      <c r="G224" s="125"/>
      <c r="H224" s="221" t="s">
        <v>187</v>
      </c>
      <c r="I224" s="141">
        <f>29266.66+97400</f>
        <v>126666.66</v>
      </c>
      <c r="J224" s="141">
        <v>185000</v>
      </c>
      <c r="K224" s="141"/>
      <c r="L224" s="141">
        <f t="shared" si="1"/>
        <v>185000</v>
      </c>
      <c r="M224" s="141">
        <v>185000</v>
      </c>
      <c r="N224" s="141"/>
      <c r="O224" s="141"/>
      <c r="P224" s="141">
        <v>100000</v>
      </c>
      <c r="Q224" s="141">
        <v>100000</v>
      </c>
      <c r="R224" s="122">
        <v>2100000</v>
      </c>
      <c r="S224" s="239"/>
      <c r="T224" s="1477"/>
      <c r="U224" s="169"/>
      <c r="V224" s="169"/>
      <c r="W224" s="169"/>
      <c r="X224" s="169"/>
      <c r="Y224" s="169"/>
      <c r="Z224" s="169"/>
    </row>
    <row r="225" spans="1:26" s="48" customFormat="1" ht="18" customHeight="1" x14ac:dyDescent="0.25">
      <c r="A225" s="1404" t="s">
        <v>1388</v>
      </c>
      <c r="B225" s="1404" t="s">
        <v>163</v>
      </c>
      <c r="C225" s="44" t="s">
        <v>186</v>
      </c>
      <c r="D225" s="1355"/>
      <c r="E225" s="113"/>
      <c r="F225" s="113"/>
      <c r="G225" s="113"/>
      <c r="H225" s="221"/>
      <c r="I225" s="141">
        <v>0</v>
      </c>
      <c r="J225" s="141">
        <v>10000</v>
      </c>
      <c r="K225" s="141"/>
      <c r="L225" s="141">
        <f t="shared" si="1"/>
        <v>10000</v>
      </c>
      <c r="M225" s="141">
        <v>10000</v>
      </c>
      <c r="N225" s="141"/>
      <c r="O225" s="141"/>
      <c r="P225" s="141">
        <v>10000</v>
      </c>
      <c r="Q225" s="141">
        <v>10000</v>
      </c>
      <c r="R225" s="122">
        <v>10000</v>
      </c>
      <c r="S225" s="239"/>
      <c r="T225" s="1477"/>
      <c r="U225" s="169"/>
      <c r="V225" s="169"/>
      <c r="W225" s="169"/>
      <c r="X225" s="169"/>
      <c r="Y225" s="169"/>
      <c r="Z225" s="169"/>
    </row>
    <row r="226" spans="1:26" s="48" customFormat="1" ht="16.5" customHeight="1" x14ac:dyDescent="0.25">
      <c r="A226" s="1439" t="s">
        <v>1388</v>
      </c>
      <c r="B226" s="1439" t="s">
        <v>163</v>
      </c>
      <c r="C226" s="44" t="s">
        <v>186</v>
      </c>
      <c r="D226" s="1356"/>
      <c r="E226" s="125"/>
      <c r="F226" s="125"/>
      <c r="G226" s="125"/>
      <c r="H226" s="221"/>
      <c r="I226" s="141">
        <v>45000</v>
      </c>
      <c r="J226" s="141">
        <v>80000</v>
      </c>
      <c r="K226" s="141">
        <v>7500</v>
      </c>
      <c r="L226" s="141">
        <f t="shared" si="1"/>
        <v>72500</v>
      </c>
      <c r="M226" s="141">
        <v>80000</v>
      </c>
      <c r="N226" s="141">
        <v>7500</v>
      </c>
      <c r="O226" s="141"/>
      <c r="P226" s="141">
        <f>75000+12000</f>
        <v>87000</v>
      </c>
      <c r="Q226" s="141">
        <f>75000+12000</f>
        <v>87000</v>
      </c>
      <c r="R226" s="122">
        <f>75000+12000+28000</f>
        <v>115000</v>
      </c>
      <c r="S226" s="1456"/>
      <c r="T226" s="1477"/>
      <c r="U226" s="169"/>
      <c r="V226" s="169"/>
      <c r="W226" s="169"/>
      <c r="X226" s="169"/>
      <c r="Y226" s="169"/>
      <c r="Z226" s="169"/>
    </row>
    <row r="227" spans="1:26" s="48" customFormat="1" ht="16.5" customHeight="1" x14ac:dyDescent="0.25">
      <c r="A227" s="1437" t="s">
        <v>1388</v>
      </c>
      <c r="B227" s="1437" t="s">
        <v>163</v>
      </c>
      <c r="C227" s="44" t="s">
        <v>186</v>
      </c>
      <c r="D227" s="1356"/>
      <c r="E227" s="125"/>
      <c r="F227" s="125"/>
      <c r="G227" s="125"/>
      <c r="H227" s="381" t="s">
        <v>187</v>
      </c>
      <c r="I227" s="141">
        <v>0</v>
      </c>
      <c r="J227" s="141">
        <v>200000</v>
      </c>
      <c r="K227" s="141"/>
      <c r="L227" s="141">
        <f t="shared" si="1"/>
        <v>200000</v>
      </c>
      <c r="M227" s="141">
        <v>200000</v>
      </c>
      <c r="N227" s="141"/>
      <c r="O227" s="141"/>
      <c r="P227" s="141">
        <v>100000</v>
      </c>
      <c r="Q227" s="141">
        <v>50000</v>
      </c>
      <c r="R227" s="122">
        <v>50000</v>
      </c>
      <c r="S227" s="1456"/>
      <c r="T227" s="1477"/>
      <c r="U227" s="169"/>
      <c r="V227" s="169"/>
      <c r="W227" s="169"/>
      <c r="X227" s="169"/>
      <c r="Y227" s="169"/>
      <c r="Z227" s="169"/>
    </row>
    <row r="228" spans="1:26" s="48" customFormat="1" ht="18" customHeight="1" x14ac:dyDescent="0.25">
      <c r="A228" s="1439" t="s">
        <v>1388</v>
      </c>
      <c r="B228" s="1439" t="s">
        <v>163</v>
      </c>
      <c r="C228" s="44" t="s">
        <v>186</v>
      </c>
      <c r="D228" s="1356"/>
      <c r="E228" s="125"/>
      <c r="F228" s="125"/>
      <c r="G228" s="125"/>
      <c r="H228" s="381"/>
      <c r="I228" s="141"/>
      <c r="J228" s="141">
        <v>20000</v>
      </c>
      <c r="K228" s="141"/>
      <c r="L228" s="141">
        <f t="shared" si="1"/>
        <v>20000</v>
      </c>
      <c r="M228" s="141">
        <v>20000</v>
      </c>
      <c r="N228" s="141"/>
      <c r="O228" s="141"/>
      <c r="P228" s="141">
        <v>20000</v>
      </c>
      <c r="Q228" s="141">
        <v>20000</v>
      </c>
      <c r="R228" s="122">
        <v>20000</v>
      </c>
      <c r="S228" s="239"/>
      <c r="T228" s="1477"/>
      <c r="U228" s="169"/>
      <c r="V228" s="169"/>
      <c r="W228" s="169"/>
      <c r="X228" s="169"/>
      <c r="Y228" s="169"/>
      <c r="Z228" s="169"/>
    </row>
    <row r="229" spans="1:26" s="48" customFormat="1" ht="18" customHeight="1" x14ac:dyDescent="0.25">
      <c r="A229" s="1404" t="s">
        <v>1388</v>
      </c>
      <c r="B229" s="1404" t="s">
        <v>163</v>
      </c>
      <c r="C229" s="44" t="s">
        <v>1519</v>
      </c>
      <c r="D229" s="1355"/>
      <c r="E229" s="113"/>
      <c r="F229" s="113"/>
      <c r="G229" s="113"/>
      <c r="H229" s="221"/>
      <c r="I229" s="141">
        <f>27640.06+1668500.1+1273290.66</f>
        <v>2969430.8200000003</v>
      </c>
      <c r="J229" s="141">
        <v>50000</v>
      </c>
      <c r="K229" s="141"/>
      <c r="L229" s="141">
        <f t="shared" si="1"/>
        <v>8550000</v>
      </c>
      <c r="M229" s="141">
        <f>50000+3500000+5000000</f>
        <v>8550000</v>
      </c>
      <c r="N229" s="141">
        <v>304367</v>
      </c>
      <c r="O229" s="141"/>
      <c r="P229" s="141"/>
      <c r="Q229" s="141"/>
      <c r="R229" s="122">
        <f>50000+2500000+4000000</f>
        <v>6550000</v>
      </c>
      <c r="S229" s="239"/>
      <c r="T229" s="1478"/>
      <c r="U229" s="169"/>
      <c r="V229" s="169"/>
      <c r="W229" s="169"/>
      <c r="X229" s="169"/>
      <c r="Y229" s="169"/>
      <c r="Z229" s="169"/>
    </row>
    <row r="230" spans="1:26" s="48" customFormat="1" ht="18" customHeight="1" x14ac:dyDescent="0.25">
      <c r="A230" s="573" t="s">
        <v>1388</v>
      </c>
      <c r="B230" s="573" t="s">
        <v>163</v>
      </c>
      <c r="C230" s="44" t="s">
        <v>1519</v>
      </c>
      <c r="D230" s="1356"/>
      <c r="E230" s="125"/>
      <c r="F230" s="125"/>
      <c r="G230" s="125"/>
      <c r="H230" s="381"/>
      <c r="I230" s="141">
        <v>0</v>
      </c>
      <c r="J230" s="141">
        <v>90000</v>
      </c>
      <c r="K230" s="141"/>
      <c r="L230" s="141">
        <f t="shared" si="1"/>
        <v>90000</v>
      </c>
      <c r="M230" s="141">
        <v>90000</v>
      </c>
      <c r="N230" s="141"/>
      <c r="O230" s="141"/>
      <c r="P230" s="141">
        <v>90000</v>
      </c>
      <c r="Q230" s="141">
        <v>90000</v>
      </c>
      <c r="R230" s="122">
        <v>90000</v>
      </c>
      <c r="S230" s="239"/>
      <c r="T230" s="1478"/>
      <c r="U230" s="169"/>
      <c r="V230" s="169"/>
      <c r="W230" s="169"/>
      <c r="X230" s="169"/>
      <c r="Y230" s="169"/>
      <c r="Z230" s="169"/>
    </row>
    <row r="231" spans="1:26" s="48" customFormat="1" ht="18" customHeight="1" x14ac:dyDescent="0.25">
      <c r="A231" s="961" t="s">
        <v>1388</v>
      </c>
      <c r="B231" s="961" t="s">
        <v>163</v>
      </c>
      <c r="C231" s="1369" t="s">
        <v>235</v>
      </c>
      <c r="D231" s="1355"/>
      <c r="E231" s="1355"/>
      <c r="F231" s="1355"/>
      <c r="G231" s="1355"/>
      <c r="H231" s="221" t="s">
        <v>187</v>
      </c>
      <c r="I231" s="141">
        <v>0</v>
      </c>
      <c r="J231" s="141">
        <v>40000</v>
      </c>
      <c r="K231" s="141"/>
      <c r="L231" s="141">
        <f t="shared" si="1"/>
        <v>40000</v>
      </c>
      <c r="M231" s="141">
        <v>40000</v>
      </c>
      <c r="N231" s="141">
        <v>0</v>
      </c>
      <c r="O231" s="141"/>
      <c r="P231" s="141">
        <v>40000</v>
      </c>
      <c r="Q231" s="141">
        <v>40000</v>
      </c>
      <c r="R231" s="122">
        <v>40000</v>
      </c>
      <c r="S231" s="239"/>
      <c r="T231" s="1478"/>
      <c r="U231" s="169"/>
      <c r="V231" s="169"/>
      <c r="W231" s="169"/>
      <c r="X231" s="169"/>
      <c r="Y231" s="169"/>
      <c r="Z231" s="169"/>
    </row>
    <row r="232" spans="1:26" s="48" customFormat="1" ht="18" customHeight="1" x14ac:dyDescent="0.25">
      <c r="A232" s="961" t="s">
        <v>1388</v>
      </c>
      <c r="B232" s="961" t="s">
        <v>163</v>
      </c>
      <c r="C232" s="180" t="s">
        <v>1591</v>
      </c>
      <c r="D232" s="1359"/>
      <c r="E232" s="174"/>
      <c r="F232" s="174"/>
      <c r="G232" s="174"/>
      <c r="H232" s="1234"/>
      <c r="I232" s="141"/>
      <c r="J232" s="141"/>
      <c r="K232" s="141"/>
      <c r="L232" s="141"/>
      <c r="M232" s="141"/>
      <c r="N232" s="141"/>
      <c r="O232" s="141"/>
      <c r="P232" s="141"/>
      <c r="Q232" s="141"/>
      <c r="R232" s="122">
        <v>300000</v>
      </c>
      <c r="S232" s="1456">
        <f>SUM(R224:R232)</f>
        <v>9275000</v>
      </c>
      <c r="T232" s="1478"/>
      <c r="U232" s="169"/>
      <c r="V232" s="169"/>
      <c r="W232" s="169"/>
      <c r="X232" s="169"/>
      <c r="Y232" s="169"/>
      <c r="Z232" s="169"/>
    </row>
    <row r="233" spans="1:26" s="136" customFormat="1" ht="18" customHeight="1" x14ac:dyDescent="0.25">
      <c r="A233" s="1404" t="s">
        <v>1388</v>
      </c>
      <c r="B233" s="1404" t="s">
        <v>163</v>
      </c>
      <c r="C233" s="44" t="s">
        <v>393</v>
      </c>
      <c r="D233" s="1355"/>
      <c r="E233" s="113"/>
      <c r="F233" s="113"/>
      <c r="G233" s="113"/>
      <c r="H233" s="221" t="s">
        <v>189</v>
      </c>
      <c r="I233" s="141">
        <v>0</v>
      </c>
      <c r="J233" s="141">
        <v>10000</v>
      </c>
      <c r="K233" s="141"/>
      <c r="L233" s="141">
        <f t="shared" ref="L233:L238" si="2">M233-K233</f>
        <v>10000</v>
      </c>
      <c r="M233" s="141">
        <v>10000</v>
      </c>
      <c r="N233" s="141"/>
      <c r="O233" s="141"/>
      <c r="P233" s="141">
        <v>10000</v>
      </c>
      <c r="Q233" s="141">
        <v>10000</v>
      </c>
      <c r="R233" s="122">
        <v>10000</v>
      </c>
      <c r="S233" s="239"/>
      <c r="T233" s="1477"/>
      <c r="U233" s="927"/>
      <c r="V233" s="927"/>
      <c r="W233" s="927"/>
      <c r="X233" s="927"/>
      <c r="Y233" s="927"/>
      <c r="Z233" s="927"/>
    </row>
    <row r="234" spans="1:26" s="136" customFormat="1" ht="18" customHeight="1" x14ac:dyDescent="0.25">
      <c r="A234" s="961" t="s">
        <v>1388</v>
      </c>
      <c r="B234" s="961" t="s">
        <v>163</v>
      </c>
      <c r="C234" s="44" t="s">
        <v>1518</v>
      </c>
      <c r="D234" s="1356"/>
      <c r="E234" s="125"/>
      <c r="F234" s="125"/>
      <c r="G234" s="125"/>
      <c r="H234" s="221" t="s">
        <v>189</v>
      </c>
      <c r="I234" s="141">
        <v>0</v>
      </c>
      <c r="J234" s="141">
        <v>100000</v>
      </c>
      <c r="K234" s="141"/>
      <c r="L234" s="141">
        <f t="shared" si="2"/>
        <v>100000</v>
      </c>
      <c r="M234" s="141">
        <v>100000</v>
      </c>
      <c r="N234" s="141"/>
      <c r="O234" s="141"/>
      <c r="P234" s="141">
        <v>100000</v>
      </c>
      <c r="Q234" s="141">
        <v>100000</v>
      </c>
      <c r="R234" s="122">
        <v>100000</v>
      </c>
      <c r="S234" s="239"/>
      <c r="T234" s="1477"/>
      <c r="U234" s="927"/>
      <c r="V234" s="927"/>
      <c r="W234" s="927"/>
      <c r="X234" s="927"/>
      <c r="Y234" s="927"/>
      <c r="Z234" s="927"/>
    </row>
    <row r="235" spans="1:26" s="48" customFormat="1" ht="18" customHeight="1" x14ac:dyDescent="0.25">
      <c r="A235" s="1437" t="s">
        <v>1388</v>
      </c>
      <c r="B235" s="1437" t="s">
        <v>163</v>
      </c>
      <c r="C235" s="44" t="s">
        <v>1518</v>
      </c>
      <c r="D235" s="1356"/>
      <c r="E235" s="125"/>
      <c r="F235" s="1356"/>
      <c r="G235" s="1356"/>
      <c r="H235" s="381" t="s">
        <v>189</v>
      </c>
      <c r="I235" s="141">
        <v>3180</v>
      </c>
      <c r="J235" s="141">
        <v>200000</v>
      </c>
      <c r="K235" s="141">
        <v>17484</v>
      </c>
      <c r="L235" s="141">
        <f t="shared" si="2"/>
        <v>182516</v>
      </c>
      <c r="M235" s="141">
        <v>200000</v>
      </c>
      <c r="N235" s="141">
        <v>17484</v>
      </c>
      <c r="O235" s="141"/>
      <c r="P235" s="141">
        <v>200000</v>
      </c>
      <c r="Q235" s="141">
        <v>200000</v>
      </c>
      <c r="R235" s="122">
        <v>200000</v>
      </c>
      <c r="S235" s="239"/>
      <c r="T235" s="1477"/>
      <c r="U235" s="169"/>
      <c r="V235" s="169"/>
      <c r="W235" s="169"/>
      <c r="X235" s="169"/>
      <c r="Y235" s="169"/>
      <c r="Z235" s="169"/>
    </row>
    <row r="236" spans="1:26" s="48" customFormat="1" ht="18" customHeight="1" x14ac:dyDescent="0.25">
      <c r="A236" s="573" t="s">
        <v>1388</v>
      </c>
      <c r="B236" s="573" t="s">
        <v>163</v>
      </c>
      <c r="C236" s="44" t="s">
        <v>1518</v>
      </c>
      <c r="D236" s="1356"/>
      <c r="E236" s="125"/>
      <c r="F236" s="125"/>
      <c r="G236" s="125"/>
      <c r="H236" s="381"/>
      <c r="I236" s="141">
        <v>0</v>
      </c>
      <c r="J236" s="141">
        <v>40000</v>
      </c>
      <c r="K236" s="141"/>
      <c r="L236" s="141">
        <f t="shared" si="2"/>
        <v>40000</v>
      </c>
      <c r="M236" s="141">
        <v>40000</v>
      </c>
      <c r="N236" s="141"/>
      <c r="O236" s="141"/>
      <c r="P236" s="141">
        <v>100000</v>
      </c>
      <c r="Q236" s="141">
        <v>100000</v>
      </c>
      <c r="R236" s="122">
        <v>100000</v>
      </c>
      <c r="S236" s="239">
        <f>SUM(R233:R236)</f>
        <v>410000</v>
      </c>
      <c r="T236" s="1477"/>
      <c r="U236" s="169"/>
      <c r="V236" s="169"/>
      <c r="W236" s="169"/>
      <c r="X236" s="169"/>
      <c r="Y236" s="169"/>
      <c r="Z236" s="169"/>
    </row>
    <row r="237" spans="1:26" s="48" customFormat="1" ht="18" customHeight="1" x14ac:dyDescent="0.25">
      <c r="A237" s="1437" t="s">
        <v>1388</v>
      </c>
      <c r="B237" s="1437" t="s">
        <v>163</v>
      </c>
      <c r="C237" s="44" t="s">
        <v>1981</v>
      </c>
      <c r="D237" s="1356"/>
      <c r="E237" s="125"/>
      <c r="F237" s="125"/>
      <c r="G237" s="125"/>
      <c r="H237" s="381" t="s">
        <v>308</v>
      </c>
      <c r="I237" s="141">
        <v>231060</v>
      </c>
      <c r="J237" s="141">
        <v>1000000</v>
      </c>
      <c r="K237" s="141">
        <v>219060</v>
      </c>
      <c r="L237" s="141">
        <f t="shared" si="2"/>
        <v>780940</v>
      </c>
      <c r="M237" s="141">
        <v>1000000</v>
      </c>
      <c r="N237" s="141">
        <v>265810</v>
      </c>
      <c r="O237" s="141"/>
      <c r="P237" s="141">
        <v>1000000</v>
      </c>
      <c r="Q237" s="141">
        <v>1000000</v>
      </c>
      <c r="R237" s="122">
        <v>1000000</v>
      </c>
      <c r="S237" s="239"/>
      <c r="T237" s="1477"/>
      <c r="U237" s="169"/>
      <c r="V237" s="169"/>
      <c r="W237" s="169"/>
      <c r="X237" s="169"/>
      <c r="Y237" s="169"/>
      <c r="Z237" s="169"/>
    </row>
    <row r="238" spans="1:26" s="48" customFormat="1" ht="18" customHeight="1" x14ac:dyDescent="0.25">
      <c r="A238" s="573" t="s">
        <v>1388</v>
      </c>
      <c r="B238" s="573" t="s">
        <v>163</v>
      </c>
      <c r="C238" s="44" t="s">
        <v>1985</v>
      </c>
      <c r="D238" s="1356"/>
      <c r="E238" s="125"/>
      <c r="F238" s="125"/>
      <c r="G238" s="125"/>
      <c r="H238" s="381" t="s">
        <v>308</v>
      </c>
      <c r="I238" s="141">
        <v>0</v>
      </c>
      <c r="J238" s="141">
        <v>800000</v>
      </c>
      <c r="K238" s="141"/>
      <c r="L238" s="141">
        <f t="shared" si="2"/>
        <v>800000</v>
      </c>
      <c r="M238" s="141">
        <v>800000</v>
      </c>
      <c r="N238" s="141"/>
      <c r="O238" s="141"/>
      <c r="P238" s="141">
        <v>500000</v>
      </c>
      <c r="Q238" s="141">
        <v>500000</v>
      </c>
      <c r="R238" s="122">
        <f>500000+395165.7</f>
        <v>895165.7</v>
      </c>
      <c r="S238" s="239"/>
      <c r="T238" s="1477"/>
      <c r="U238" s="169"/>
      <c r="V238" s="169"/>
      <c r="W238" s="169"/>
      <c r="X238" s="169"/>
      <c r="Y238" s="169"/>
      <c r="Z238" s="169"/>
    </row>
    <row r="239" spans="1:26" s="48" customFormat="1" ht="18" customHeight="1" x14ac:dyDescent="0.25">
      <c r="A239" s="961" t="s">
        <v>1388</v>
      </c>
      <c r="B239" s="961" t="s">
        <v>163</v>
      </c>
      <c r="C239" s="180" t="s">
        <v>1592</v>
      </c>
      <c r="D239" s="1356"/>
      <c r="E239" s="125"/>
      <c r="F239" s="125"/>
      <c r="G239" s="125"/>
      <c r="H239" s="381"/>
      <c r="I239" s="141"/>
      <c r="J239" s="141"/>
      <c r="K239" s="141"/>
      <c r="L239" s="141"/>
      <c r="M239" s="141"/>
      <c r="N239" s="141"/>
      <c r="O239" s="141"/>
      <c r="P239" s="141">
        <v>300000</v>
      </c>
      <c r="Q239" s="141">
        <v>300000</v>
      </c>
      <c r="R239" s="122">
        <v>300000</v>
      </c>
      <c r="S239" s="1456">
        <f>SUM(R237:R239)</f>
        <v>2195165.7000000002</v>
      </c>
      <c r="T239" s="1478"/>
      <c r="U239" s="169"/>
      <c r="V239" s="169"/>
      <c r="W239" s="169"/>
      <c r="X239" s="169"/>
      <c r="Y239" s="169"/>
      <c r="Z239" s="169"/>
    </row>
    <row r="240" spans="1:26" s="48" customFormat="1" ht="18" customHeight="1" x14ac:dyDescent="0.25">
      <c r="A240" s="961" t="s">
        <v>1388</v>
      </c>
      <c r="B240" s="961" t="s">
        <v>163</v>
      </c>
      <c r="C240" s="1368" t="s">
        <v>1593</v>
      </c>
      <c r="D240" s="1359"/>
      <c r="E240" s="1361"/>
      <c r="F240" s="174"/>
      <c r="G240" s="174"/>
      <c r="H240" s="1389"/>
      <c r="I240" s="141"/>
      <c r="J240" s="122"/>
      <c r="K240" s="141"/>
      <c r="L240" s="141"/>
      <c r="M240" s="122"/>
      <c r="N240" s="122"/>
      <c r="O240" s="122"/>
      <c r="P240" s="122">
        <v>200000</v>
      </c>
      <c r="Q240" s="122">
        <v>200000</v>
      </c>
      <c r="R240" s="122">
        <v>200000</v>
      </c>
      <c r="S240" s="239"/>
      <c r="T240" s="1478"/>
      <c r="U240" s="169"/>
      <c r="V240" s="169"/>
      <c r="W240" s="169"/>
      <c r="X240" s="169"/>
      <c r="Y240" s="169"/>
      <c r="Z240" s="169"/>
    </row>
    <row r="241" spans="1:26" s="136" customFormat="1" ht="18" customHeight="1" x14ac:dyDescent="0.25">
      <c r="A241" s="961" t="s">
        <v>1388</v>
      </c>
      <c r="B241" s="961" t="s">
        <v>163</v>
      </c>
      <c r="C241" s="44" t="s">
        <v>178</v>
      </c>
      <c r="D241" s="1355"/>
      <c r="E241" s="113"/>
      <c r="F241" s="113"/>
      <c r="G241" s="113"/>
      <c r="H241" s="221" t="s">
        <v>179</v>
      </c>
      <c r="I241" s="141">
        <v>0</v>
      </c>
      <c r="J241" s="141">
        <v>30000</v>
      </c>
      <c r="K241" s="141"/>
      <c r="L241" s="141">
        <f t="shared" ref="L241:L247" si="3">M241-K241</f>
        <v>30000</v>
      </c>
      <c r="M241" s="141">
        <v>30000</v>
      </c>
      <c r="N241" s="141">
        <v>0</v>
      </c>
      <c r="O241" s="141"/>
      <c r="P241" s="141">
        <v>30000</v>
      </c>
      <c r="Q241" s="141">
        <v>30000</v>
      </c>
      <c r="R241" s="122">
        <v>30000</v>
      </c>
      <c r="S241" s="239"/>
      <c r="T241" s="1478"/>
      <c r="U241" s="927"/>
      <c r="V241" s="927"/>
      <c r="W241" s="927"/>
      <c r="X241" s="927"/>
      <c r="Y241" s="927"/>
      <c r="Z241" s="927"/>
    </row>
    <row r="242" spans="1:26" s="136" customFormat="1" ht="18" customHeight="1" x14ac:dyDescent="0.25">
      <c r="A242" s="961" t="s">
        <v>1388</v>
      </c>
      <c r="B242" s="961" t="s">
        <v>163</v>
      </c>
      <c r="C242" s="44" t="s">
        <v>178</v>
      </c>
      <c r="D242" s="1355"/>
      <c r="E242" s="170"/>
      <c r="F242" s="170"/>
      <c r="G242" s="170"/>
      <c r="H242" s="231" t="s">
        <v>167</v>
      </c>
      <c r="I242" s="122">
        <v>0</v>
      </c>
      <c r="J242" s="122">
        <v>30000</v>
      </c>
      <c r="K242" s="122"/>
      <c r="L242" s="141">
        <f t="shared" si="3"/>
        <v>30000</v>
      </c>
      <c r="M242" s="122">
        <v>30000</v>
      </c>
      <c r="N242" s="122"/>
      <c r="O242" s="122"/>
      <c r="P242" s="122">
        <v>30000</v>
      </c>
      <c r="Q242" s="122">
        <v>30000</v>
      </c>
      <c r="R242" s="122">
        <v>30000</v>
      </c>
      <c r="S242" s="239"/>
      <c r="T242" s="1478"/>
      <c r="U242" s="927"/>
      <c r="V242" s="927"/>
      <c r="W242" s="927"/>
      <c r="X242" s="927"/>
      <c r="Y242" s="927"/>
      <c r="Z242" s="927"/>
    </row>
    <row r="243" spans="1:26" s="136" customFormat="1" ht="18" customHeight="1" x14ac:dyDescent="0.25">
      <c r="A243" s="961" t="s">
        <v>1388</v>
      </c>
      <c r="B243" s="961" t="s">
        <v>163</v>
      </c>
      <c r="C243" s="44" t="s">
        <v>178</v>
      </c>
      <c r="D243" s="1356"/>
      <c r="E243" s="125"/>
      <c r="F243" s="125"/>
      <c r="G243" s="125"/>
      <c r="H243" s="221" t="s">
        <v>179</v>
      </c>
      <c r="I243" s="141">
        <v>42000</v>
      </c>
      <c r="J243" s="122">
        <v>84000</v>
      </c>
      <c r="K243" s="141">
        <v>32262.68</v>
      </c>
      <c r="L243" s="141">
        <f t="shared" si="3"/>
        <v>51737.32</v>
      </c>
      <c r="M243" s="122">
        <v>84000</v>
      </c>
      <c r="N243" s="122">
        <v>45350.239999999998</v>
      </c>
      <c r="O243" s="122"/>
      <c r="P243" s="122">
        <v>84000</v>
      </c>
      <c r="Q243" s="122">
        <v>84000</v>
      </c>
      <c r="R243" s="122">
        <v>84000</v>
      </c>
      <c r="S243" s="239"/>
      <c r="T243" s="1478"/>
      <c r="U243" s="927"/>
      <c r="V243" s="927"/>
      <c r="W243" s="927"/>
      <c r="X243" s="927"/>
      <c r="Y243" s="927"/>
      <c r="Z243" s="927"/>
    </row>
    <row r="244" spans="1:26" s="48" customFormat="1" ht="18" customHeight="1" x14ac:dyDescent="0.25">
      <c r="A244" s="1404" t="s">
        <v>1388</v>
      </c>
      <c r="B244" s="1404" t="s">
        <v>163</v>
      </c>
      <c r="C244" s="44" t="s">
        <v>178</v>
      </c>
      <c r="D244" s="1355"/>
      <c r="E244" s="113"/>
      <c r="F244" s="113"/>
      <c r="G244" s="113"/>
      <c r="H244" s="221" t="s">
        <v>179</v>
      </c>
      <c r="I244" s="141">
        <v>42000</v>
      </c>
      <c r="J244" s="141">
        <v>42000</v>
      </c>
      <c r="K244" s="141">
        <v>14000</v>
      </c>
      <c r="L244" s="141">
        <f t="shared" si="3"/>
        <v>28000</v>
      </c>
      <c r="M244" s="141">
        <v>42000</v>
      </c>
      <c r="N244" s="141">
        <v>21000</v>
      </c>
      <c r="O244" s="141"/>
      <c r="P244" s="141">
        <v>42000</v>
      </c>
      <c r="Q244" s="141">
        <v>42000</v>
      </c>
      <c r="R244" s="122">
        <v>42000</v>
      </c>
      <c r="S244" s="239"/>
      <c r="T244" s="1478"/>
      <c r="U244" s="169"/>
      <c r="V244" s="169"/>
      <c r="W244" s="169"/>
      <c r="X244" s="169"/>
      <c r="Y244" s="169"/>
      <c r="Z244" s="169"/>
    </row>
    <row r="245" spans="1:26" s="48" customFormat="1" ht="18" customHeight="1" x14ac:dyDescent="0.25">
      <c r="A245" s="1404" t="s">
        <v>1388</v>
      </c>
      <c r="B245" s="1404" t="s">
        <v>163</v>
      </c>
      <c r="C245" s="44" t="s">
        <v>178</v>
      </c>
      <c r="D245" s="1355"/>
      <c r="E245" s="113"/>
      <c r="F245" s="113"/>
      <c r="G245" s="113"/>
      <c r="H245" s="221" t="s">
        <v>179</v>
      </c>
      <c r="I245" s="141">
        <v>42000</v>
      </c>
      <c r="J245" s="141">
        <v>42000</v>
      </c>
      <c r="K245" s="141">
        <v>26594</v>
      </c>
      <c r="L245" s="141">
        <f t="shared" si="3"/>
        <v>15406</v>
      </c>
      <c r="M245" s="141">
        <v>42000</v>
      </c>
      <c r="N245" s="141">
        <v>30792</v>
      </c>
      <c r="O245" s="141"/>
      <c r="P245" s="141">
        <v>72000</v>
      </c>
      <c r="Q245" s="141">
        <v>72000</v>
      </c>
      <c r="R245" s="122">
        <v>72000</v>
      </c>
      <c r="S245" s="239"/>
      <c r="T245" s="1478"/>
      <c r="U245" s="169"/>
      <c r="V245" s="169"/>
      <c r="W245" s="169"/>
      <c r="X245" s="169"/>
      <c r="Y245" s="169"/>
      <c r="Z245" s="169"/>
    </row>
    <row r="246" spans="1:26" s="48" customFormat="1" ht="18" customHeight="1" x14ac:dyDescent="0.25">
      <c r="A246" s="1439" t="s">
        <v>1388</v>
      </c>
      <c r="B246" s="1439" t="s">
        <v>163</v>
      </c>
      <c r="C246" s="44" t="s">
        <v>178</v>
      </c>
      <c r="D246" s="1356"/>
      <c r="E246" s="125"/>
      <c r="F246" s="125"/>
      <c r="G246" s="125"/>
      <c r="H246" s="221" t="s">
        <v>179</v>
      </c>
      <c r="I246" s="141">
        <v>42000</v>
      </c>
      <c r="J246" s="141">
        <v>42000</v>
      </c>
      <c r="K246" s="141">
        <v>14000</v>
      </c>
      <c r="L246" s="141">
        <f t="shared" si="3"/>
        <v>28000</v>
      </c>
      <c r="M246" s="141">
        <v>42000</v>
      </c>
      <c r="N246" s="141">
        <v>21000</v>
      </c>
      <c r="O246" s="141"/>
      <c r="P246" s="141">
        <v>42000</v>
      </c>
      <c r="Q246" s="141">
        <v>42000</v>
      </c>
      <c r="R246" s="122">
        <v>42000</v>
      </c>
      <c r="S246" s="1456"/>
      <c r="T246" s="1477"/>
      <c r="U246" s="169"/>
      <c r="V246" s="169"/>
      <c r="W246" s="169"/>
      <c r="X246" s="169"/>
      <c r="Y246" s="169"/>
      <c r="Z246" s="169"/>
    </row>
    <row r="247" spans="1:26" s="1377" customFormat="1" ht="18" customHeight="1" x14ac:dyDescent="0.25">
      <c r="A247" s="1437" t="s">
        <v>1388</v>
      </c>
      <c r="B247" s="1437" t="s">
        <v>163</v>
      </c>
      <c r="C247" s="44" t="s">
        <v>178</v>
      </c>
      <c r="D247" s="1356"/>
      <c r="E247" s="125"/>
      <c r="F247" s="125"/>
      <c r="G247" s="125"/>
      <c r="H247" s="381"/>
      <c r="I247" s="141">
        <v>26208</v>
      </c>
      <c r="J247" s="141">
        <v>30000</v>
      </c>
      <c r="K247" s="141">
        <v>10080</v>
      </c>
      <c r="L247" s="141">
        <f t="shared" si="3"/>
        <v>19920</v>
      </c>
      <c r="M247" s="141">
        <v>30000</v>
      </c>
      <c r="N247" s="141">
        <v>14112</v>
      </c>
      <c r="O247" s="141"/>
      <c r="P247" s="141">
        <v>30000</v>
      </c>
      <c r="Q247" s="141">
        <v>30000</v>
      </c>
      <c r="R247" s="122">
        <v>30000</v>
      </c>
      <c r="S247" s="1456">
        <f>SUM(R241:R247)</f>
        <v>330000</v>
      </c>
      <c r="T247" s="1481"/>
      <c r="U247" s="1459"/>
      <c r="V247" s="1459"/>
      <c r="W247" s="1459"/>
      <c r="X247" s="1459"/>
      <c r="Y247" s="1459"/>
      <c r="Z247" s="1459"/>
    </row>
    <row r="248" spans="1:26" ht="18" x14ac:dyDescent="0.25">
      <c r="A248" s="961" t="s">
        <v>1388</v>
      </c>
      <c r="B248" s="961" t="s">
        <v>163</v>
      </c>
      <c r="C248" s="44" t="s">
        <v>166</v>
      </c>
      <c r="D248" s="1355"/>
      <c r="E248" s="113"/>
      <c r="F248" s="113"/>
      <c r="G248" s="113"/>
      <c r="H248" s="221"/>
      <c r="I248" s="141">
        <v>0</v>
      </c>
      <c r="J248" s="141">
        <v>0</v>
      </c>
      <c r="K248" s="141">
        <v>0</v>
      </c>
      <c r="L248" s="141">
        <v>0</v>
      </c>
      <c r="M248" s="141">
        <v>0</v>
      </c>
      <c r="N248" s="141">
        <v>0</v>
      </c>
      <c r="O248" s="141"/>
      <c r="P248" s="141"/>
      <c r="Q248" s="141"/>
      <c r="R248" s="122">
        <v>50000</v>
      </c>
    </row>
    <row r="249" spans="1:26" ht="18" x14ac:dyDescent="0.25">
      <c r="A249" s="961" t="s">
        <v>1388</v>
      </c>
      <c r="B249" s="961" t="s">
        <v>163</v>
      </c>
      <c r="C249" s="44" t="s">
        <v>166</v>
      </c>
      <c r="D249" s="1355"/>
      <c r="E249" s="113"/>
      <c r="F249" s="113"/>
      <c r="G249" s="113"/>
      <c r="H249" s="221"/>
      <c r="I249" s="141"/>
      <c r="J249" s="141"/>
      <c r="K249" s="141"/>
      <c r="L249" s="141"/>
      <c r="M249" s="141"/>
      <c r="N249" s="141"/>
      <c r="O249" s="141"/>
      <c r="P249" s="141"/>
      <c r="Q249" s="141"/>
      <c r="R249" s="122">
        <v>20000</v>
      </c>
    </row>
    <row r="250" spans="1:26" ht="18" x14ac:dyDescent="0.25">
      <c r="A250" s="961" t="s">
        <v>1388</v>
      </c>
      <c r="B250" s="961" t="s">
        <v>163</v>
      </c>
      <c r="C250" s="44" t="s">
        <v>166</v>
      </c>
      <c r="D250" s="1356"/>
      <c r="E250" s="125"/>
      <c r="F250" s="125"/>
      <c r="G250" s="125"/>
      <c r="H250" s="221" t="s">
        <v>293</v>
      </c>
      <c r="I250" s="141">
        <v>0</v>
      </c>
      <c r="J250" s="141">
        <v>50000</v>
      </c>
      <c r="K250" s="141">
        <v>359176.25</v>
      </c>
      <c r="L250" s="141">
        <f>M250-K250</f>
        <v>-309176.25</v>
      </c>
      <c r="M250" s="141">
        <v>50000</v>
      </c>
      <c r="N250" s="141">
        <v>4800</v>
      </c>
      <c r="O250" s="141"/>
      <c r="P250" s="141">
        <v>50000</v>
      </c>
      <c r="Q250" s="141">
        <v>50000</v>
      </c>
      <c r="R250" s="122">
        <v>50000</v>
      </c>
    </row>
    <row r="251" spans="1:26" ht="18" x14ac:dyDescent="0.25">
      <c r="A251" s="1404" t="s">
        <v>1388</v>
      </c>
      <c r="B251" s="1404" t="s">
        <v>163</v>
      </c>
      <c r="C251" s="44" t="s">
        <v>166</v>
      </c>
      <c r="D251" s="1355"/>
      <c r="E251" s="113"/>
      <c r="F251" s="113"/>
      <c r="G251" s="113"/>
      <c r="H251" s="221"/>
      <c r="I251" s="141"/>
      <c r="J251" s="141"/>
      <c r="K251" s="141"/>
      <c r="L251" s="141"/>
      <c r="M251" s="141"/>
      <c r="N251" s="141"/>
      <c r="O251" s="141"/>
      <c r="P251" s="141"/>
      <c r="Q251" s="141"/>
      <c r="R251" s="122">
        <v>50000</v>
      </c>
    </row>
    <row r="252" spans="1:26" ht="18" x14ac:dyDescent="0.25">
      <c r="A252" s="1404" t="s">
        <v>1388</v>
      </c>
      <c r="B252" s="1404" t="s">
        <v>163</v>
      </c>
      <c r="C252" s="44" t="s">
        <v>166</v>
      </c>
      <c r="D252" s="1355"/>
      <c r="E252" s="113"/>
      <c r="F252" s="113"/>
      <c r="G252" s="113"/>
      <c r="H252" s="221"/>
      <c r="I252" s="141">
        <v>0</v>
      </c>
      <c r="J252" s="141">
        <v>0</v>
      </c>
      <c r="K252" s="141">
        <v>0</v>
      </c>
      <c r="L252" s="141">
        <v>0</v>
      </c>
      <c r="M252" s="141">
        <v>0</v>
      </c>
      <c r="N252" s="141">
        <v>0</v>
      </c>
      <c r="O252" s="141"/>
      <c r="P252" s="141"/>
      <c r="Q252" s="141"/>
      <c r="R252" s="122">
        <v>50000</v>
      </c>
    </row>
    <row r="253" spans="1:26" ht="18" x14ac:dyDescent="0.25">
      <c r="A253" s="1439" t="s">
        <v>1388</v>
      </c>
      <c r="B253" s="1439" t="s">
        <v>163</v>
      </c>
      <c r="C253" s="44" t="s">
        <v>166</v>
      </c>
      <c r="D253" s="1356"/>
      <c r="E253" s="125"/>
      <c r="F253" s="125"/>
      <c r="G253" s="125"/>
      <c r="H253" s="221"/>
      <c r="I253" s="141"/>
      <c r="J253" s="141"/>
      <c r="K253" s="141"/>
      <c r="L253" s="141"/>
      <c r="M253" s="141"/>
      <c r="N253" s="141"/>
      <c r="O253" s="141"/>
      <c r="P253" s="141"/>
      <c r="Q253" s="141"/>
      <c r="R253" s="122">
        <v>50000</v>
      </c>
    </row>
    <row r="254" spans="1:26" ht="18" x14ac:dyDescent="0.25">
      <c r="A254" s="1437" t="s">
        <v>1388</v>
      </c>
      <c r="B254" s="1437" t="s">
        <v>163</v>
      </c>
      <c r="C254" s="1356" t="s">
        <v>166</v>
      </c>
      <c r="D254" s="1355"/>
      <c r="E254" s="1355"/>
      <c r="F254" s="1355"/>
      <c r="G254" s="1355"/>
      <c r="H254" s="380"/>
      <c r="I254" s="141"/>
      <c r="J254" s="141"/>
      <c r="K254" s="141"/>
      <c r="L254" s="141"/>
      <c r="M254" s="141"/>
      <c r="N254" s="141"/>
      <c r="O254" s="141"/>
      <c r="P254" s="141"/>
      <c r="Q254" s="141"/>
      <c r="R254" s="122">
        <v>50000</v>
      </c>
    </row>
    <row r="255" spans="1:26" ht="18" x14ac:dyDescent="0.25">
      <c r="A255" s="573" t="s">
        <v>1388</v>
      </c>
      <c r="B255" s="573" t="s">
        <v>163</v>
      </c>
      <c r="C255" s="44" t="s">
        <v>166</v>
      </c>
      <c r="D255" s="1356"/>
      <c r="E255" s="125"/>
      <c r="F255" s="125"/>
      <c r="G255" s="125"/>
      <c r="H255" s="381"/>
      <c r="I255" s="141"/>
      <c r="J255" s="141"/>
      <c r="K255" s="141"/>
      <c r="L255" s="141"/>
      <c r="M255" s="141"/>
      <c r="N255" s="141"/>
      <c r="O255" s="141"/>
      <c r="P255" s="141"/>
      <c r="Q255" s="141"/>
      <c r="R255" s="122">
        <v>50000</v>
      </c>
    </row>
    <row r="256" spans="1:26" ht="18" x14ac:dyDescent="0.25">
      <c r="A256" s="1439" t="s">
        <v>1388</v>
      </c>
      <c r="B256" s="1439" t="s">
        <v>163</v>
      </c>
      <c r="C256" s="44" t="s">
        <v>166</v>
      </c>
      <c r="D256" s="1356"/>
      <c r="E256" s="125"/>
      <c r="F256" s="125"/>
      <c r="G256" s="125"/>
      <c r="H256" s="381"/>
      <c r="I256" s="141"/>
      <c r="J256" s="141"/>
      <c r="K256" s="141"/>
      <c r="L256" s="141"/>
      <c r="M256" s="141"/>
      <c r="N256" s="141"/>
      <c r="O256" s="141"/>
      <c r="P256" s="141"/>
      <c r="Q256" s="141"/>
      <c r="R256" s="122">
        <v>50000</v>
      </c>
      <c r="S256" s="239">
        <f>SUM(R248:R256)</f>
        <v>420000</v>
      </c>
    </row>
    <row r="257" spans="1:19" ht="18" x14ac:dyDescent="0.25">
      <c r="A257" s="961" t="s">
        <v>1388</v>
      </c>
      <c r="B257" s="961" t="s">
        <v>163</v>
      </c>
      <c r="C257" s="44" t="s">
        <v>353</v>
      </c>
      <c r="D257" s="1355"/>
      <c r="E257" s="113"/>
      <c r="F257" s="113"/>
      <c r="G257" s="113"/>
      <c r="H257" s="221" t="s">
        <v>165</v>
      </c>
      <c r="I257" s="141">
        <v>0</v>
      </c>
      <c r="J257" s="141">
        <v>10000</v>
      </c>
      <c r="K257" s="141"/>
      <c r="L257" s="141">
        <f t="shared" ref="L257:L262" si="4">M257-K257</f>
        <v>10000</v>
      </c>
      <c r="M257" s="141">
        <v>10000</v>
      </c>
      <c r="N257" s="141">
        <v>0</v>
      </c>
      <c r="O257" s="141"/>
      <c r="P257" s="141">
        <v>200000</v>
      </c>
      <c r="Q257" s="141">
        <v>200000</v>
      </c>
      <c r="R257" s="122">
        <v>200000</v>
      </c>
    </row>
    <row r="258" spans="1:19" ht="18" x14ac:dyDescent="0.25">
      <c r="A258" s="961" t="s">
        <v>1388</v>
      </c>
      <c r="B258" s="961" t="s">
        <v>163</v>
      </c>
      <c r="C258" s="44" t="s">
        <v>353</v>
      </c>
      <c r="D258" s="1355"/>
      <c r="E258" s="113"/>
      <c r="F258" s="113"/>
      <c r="G258" s="113"/>
      <c r="H258" s="221" t="s">
        <v>165</v>
      </c>
      <c r="I258" s="141">
        <v>0</v>
      </c>
      <c r="J258" s="141">
        <v>20000</v>
      </c>
      <c r="K258" s="141">
        <v>1500</v>
      </c>
      <c r="L258" s="141">
        <f t="shared" si="4"/>
        <v>18500</v>
      </c>
      <c r="M258" s="141">
        <v>20000</v>
      </c>
      <c r="N258" s="141">
        <v>2940</v>
      </c>
      <c r="O258" s="141"/>
      <c r="P258" s="141">
        <v>20000</v>
      </c>
      <c r="Q258" s="141">
        <v>20000</v>
      </c>
      <c r="R258" s="122">
        <v>20000</v>
      </c>
    </row>
    <row r="259" spans="1:19" ht="18" x14ac:dyDescent="0.25">
      <c r="A259" s="961" t="s">
        <v>1388</v>
      </c>
      <c r="B259" s="961" t="s">
        <v>163</v>
      </c>
      <c r="C259" s="44" t="s">
        <v>353</v>
      </c>
      <c r="D259" s="1356"/>
      <c r="E259" s="125"/>
      <c r="F259" s="125"/>
      <c r="G259" s="125"/>
      <c r="H259" s="221" t="s">
        <v>165</v>
      </c>
      <c r="I259" s="141">
        <v>590713</v>
      </c>
      <c r="J259" s="141">
        <v>932000</v>
      </c>
      <c r="K259" s="141">
        <v>225300</v>
      </c>
      <c r="L259" s="141">
        <f t="shared" si="4"/>
        <v>706700</v>
      </c>
      <c r="M259" s="141">
        <v>932000</v>
      </c>
      <c r="N259" s="141">
        <v>398793</v>
      </c>
      <c r="O259" s="141"/>
      <c r="P259" s="141">
        <v>940000</v>
      </c>
      <c r="Q259" s="141">
        <v>940000</v>
      </c>
      <c r="R259" s="122">
        <v>940000</v>
      </c>
    </row>
    <row r="260" spans="1:19" ht="18" x14ac:dyDescent="0.25">
      <c r="A260" s="1404" t="s">
        <v>1388</v>
      </c>
      <c r="B260" s="1404" t="s">
        <v>163</v>
      </c>
      <c r="C260" s="44" t="s">
        <v>353</v>
      </c>
      <c r="D260" s="1355"/>
      <c r="E260" s="113"/>
      <c r="F260" s="113"/>
      <c r="G260" s="113"/>
      <c r="H260" s="221" t="s">
        <v>165</v>
      </c>
      <c r="I260" s="141">
        <v>0</v>
      </c>
      <c r="J260" s="141">
        <v>30000</v>
      </c>
      <c r="K260" s="141">
        <v>750</v>
      </c>
      <c r="L260" s="141">
        <f t="shared" si="4"/>
        <v>29250</v>
      </c>
      <c r="M260" s="141">
        <v>30000</v>
      </c>
      <c r="N260" s="141">
        <v>750</v>
      </c>
      <c r="O260" s="141"/>
      <c r="P260" s="141">
        <v>50000</v>
      </c>
      <c r="Q260" s="141">
        <v>50000</v>
      </c>
      <c r="R260" s="122">
        <v>50000</v>
      </c>
    </row>
    <row r="261" spans="1:19" ht="18" x14ac:dyDescent="0.25">
      <c r="A261" s="1404" t="s">
        <v>1388</v>
      </c>
      <c r="B261" s="1404" t="s">
        <v>163</v>
      </c>
      <c r="C261" s="44" t="s">
        <v>353</v>
      </c>
      <c r="D261" s="1355"/>
      <c r="E261" s="113"/>
      <c r="F261" s="113"/>
      <c r="G261" s="113"/>
      <c r="H261" s="221" t="s">
        <v>165</v>
      </c>
      <c r="I261" s="141">
        <v>0</v>
      </c>
      <c r="J261" s="141">
        <v>75000</v>
      </c>
      <c r="K261" s="141">
        <v>1800</v>
      </c>
      <c r="L261" s="141">
        <f t="shared" si="4"/>
        <v>73200</v>
      </c>
      <c r="M261" s="141">
        <v>75000</v>
      </c>
      <c r="N261" s="141">
        <v>3300</v>
      </c>
      <c r="O261" s="141"/>
      <c r="P261" s="141">
        <v>200000</v>
      </c>
      <c r="Q261" s="141">
        <v>200000</v>
      </c>
      <c r="R261" s="122">
        <v>200000</v>
      </c>
    </row>
    <row r="262" spans="1:19" ht="18" x14ac:dyDescent="0.25">
      <c r="A262" s="1439" t="s">
        <v>1388</v>
      </c>
      <c r="B262" s="1439" t="s">
        <v>163</v>
      </c>
      <c r="C262" s="44" t="s">
        <v>353</v>
      </c>
      <c r="D262" s="1356"/>
      <c r="E262" s="125"/>
      <c r="F262" s="125"/>
      <c r="G262" s="125"/>
      <c r="H262" s="221" t="s">
        <v>165</v>
      </c>
      <c r="I262" s="141">
        <v>0</v>
      </c>
      <c r="J262" s="141">
        <v>35000</v>
      </c>
      <c r="K262" s="141">
        <v>14520</v>
      </c>
      <c r="L262" s="141">
        <f t="shared" si="4"/>
        <v>20480</v>
      </c>
      <c r="M262" s="141">
        <v>35000</v>
      </c>
      <c r="N262" s="141">
        <v>14520</v>
      </c>
      <c r="O262" s="141"/>
      <c r="P262" s="141">
        <v>115800</v>
      </c>
      <c r="Q262" s="141">
        <v>115800</v>
      </c>
      <c r="R262" s="122">
        <v>115800</v>
      </c>
    </row>
    <row r="263" spans="1:19" ht="18" x14ac:dyDescent="0.25">
      <c r="A263" s="1437" t="s">
        <v>1388</v>
      </c>
      <c r="B263" s="1437" t="s">
        <v>163</v>
      </c>
      <c r="C263" s="1356" t="s">
        <v>353</v>
      </c>
      <c r="D263" s="1355"/>
      <c r="E263" s="1355"/>
      <c r="F263" s="1355"/>
      <c r="G263" s="1355"/>
      <c r="H263" s="380"/>
      <c r="I263" s="141"/>
      <c r="J263" s="141"/>
      <c r="K263" s="141"/>
      <c r="L263" s="141"/>
      <c r="M263" s="141"/>
      <c r="N263" s="141"/>
      <c r="O263" s="141"/>
      <c r="P263" s="141"/>
      <c r="Q263" s="141"/>
      <c r="R263" s="122">
        <v>50000</v>
      </c>
    </row>
    <row r="264" spans="1:19" ht="18" x14ac:dyDescent="0.25">
      <c r="A264" s="573" t="s">
        <v>1388</v>
      </c>
      <c r="B264" s="573" t="s">
        <v>163</v>
      </c>
      <c r="C264" s="44" t="s">
        <v>353</v>
      </c>
      <c r="D264" s="1356"/>
      <c r="E264" s="125"/>
      <c r="F264" s="125"/>
      <c r="G264" s="125"/>
      <c r="H264" s="381" t="s">
        <v>165</v>
      </c>
      <c r="I264" s="141"/>
      <c r="J264" s="141">
        <v>30000</v>
      </c>
      <c r="K264" s="141"/>
      <c r="L264" s="141">
        <f>M264-K264</f>
        <v>30000</v>
      </c>
      <c r="M264" s="141">
        <v>30000</v>
      </c>
      <c r="N264" s="141">
        <v>2100</v>
      </c>
      <c r="O264" s="141"/>
      <c r="P264" s="141">
        <v>30000</v>
      </c>
      <c r="Q264" s="141">
        <v>30000</v>
      </c>
      <c r="R264" s="122">
        <v>30000</v>
      </c>
    </row>
    <row r="265" spans="1:19" ht="18" x14ac:dyDescent="0.25">
      <c r="A265" s="1439" t="s">
        <v>1388</v>
      </c>
      <c r="B265" s="1439" t="s">
        <v>163</v>
      </c>
      <c r="C265" s="44" t="s">
        <v>353</v>
      </c>
      <c r="D265" s="1356"/>
      <c r="E265" s="125"/>
      <c r="F265" s="125"/>
      <c r="G265" s="125"/>
      <c r="H265" s="381" t="s">
        <v>165</v>
      </c>
      <c r="I265" s="141"/>
      <c r="J265" s="141">
        <v>30000</v>
      </c>
      <c r="K265" s="141"/>
      <c r="L265" s="141">
        <f>M265-K265</f>
        <v>30000</v>
      </c>
      <c r="M265" s="141">
        <v>30000</v>
      </c>
      <c r="N265" s="141"/>
      <c r="O265" s="141"/>
      <c r="P265" s="141">
        <v>30000</v>
      </c>
      <c r="Q265" s="141">
        <v>30000</v>
      </c>
      <c r="R265" s="122">
        <v>30000</v>
      </c>
      <c r="S265" s="239">
        <f>SUM(R257:R265)</f>
        <v>1635800</v>
      </c>
    </row>
    <row r="266" spans="1:19" ht="18" x14ac:dyDescent="0.25">
      <c r="A266" s="1404" t="s">
        <v>1388</v>
      </c>
      <c r="B266" s="1404" t="s">
        <v>163</v>
      </c>
      <c r="C266" s="44" t="s">
        <v>382</v>
      </c>
      <c r="D266" s="1355"/>
      <c r="E266" s="113"/>
      <c r="F266" s="113"/>
      <c r="G266" s="113"/>
      <c r="H266" s="221" t="s">
        <v>383</v>
      </c>
      <c r="I266" s="141">
        <v>0</v>
      </c>
      <c r="J266" s="141">
        <v>35000</v>
      </c>
      <c r="K266" s="141"/>
      <c r="L266" s="141">
        <f>M266-K266</f>
        <v>35000</v>
      </c>
      <c r="M266" s="141">
        <v>35000</v>
      </c>
      <c r="N266" s="141">
        <v>0</v>
      </c>
      <c r="O266" s="141"/>
      <c r="P266" s="141">
        <v>35000</v>
      </c>
      <c r="Q266" s="141">
        <v>35000</v>
      </c>
      <c r="R266" s="122">
        <v>35000</v>
      </c>
    </row>
    <row r="267" spans="1:19" ht="18" x14ac:dyDescent="0.25">
      <c r="A267" s="1441" t="s">
        <v>1388</v>
      </c>
      <c r="B267" s="1441" t="s">
        <v>2019</v>
      </c>
      <c r="C267" s="206" t="s">
        <v>1570</v>
      </c>
      <c r="D267" s="1355"/>
      <c r="E267" s="303"/>
      <c r="F267" s="199"/>
      <c r="G267" s="38"/>
      <c r="H267" s="381"/>
      <c r="I267" s="141">
        <v>0</v>
      </c>
      <c r="J267" s="141">
        <v>0</v>
      </c>
      <c r="K267" s="141">
        <v>0</v>
      </c>
      <c r="L267" s="141">
        <v>0</v>
      </c>
      <c r="M267" s="141">
        <v>0</v>
      </c>
      <c r="N267" s="141">
        <v>0</v>
      </c>
      <c r="O267" s="141"/>
      <c r="P267" s="141">
        <v>3000000</v>
      </c>
      <c r="Q267" s="141">
        <v>3000000</v>
      </c>
      <c r="R267" s="122">
        <v>3000000</v>
      </c>
    </row>
    <row r="268" spans="1:19" ht="18" x14ac:dyDescent="0.25">
      <c r="A268" s="1441" t="s">
        <v>1388</v>
      </c>
      <c r="B268" s="1441" t="s">
        <v>2019</v>
      </c>
      <c r="C268" s="206" t="s">
        <v>1571</v>
      </c>
      <c r="D268" s="1355"/>
      <c r="E268" s="184"/>
      <c r="F268" s="184"/>
      <c r="G268" s="184"/>
      <c r="H268" s="381"/>
      <c r="I268" s="141">
        <v>0</v>
      </c>
      <c r="J268" s="141">
        <v>0</v>
      </c>
      <c r="K268" s="141">
        <v>0</v>
      </c>
      <c r="L268" s="141">
        <v>0</v>
      </c>
      <c r="M268" s="141">
        <v>0</v>
      </c>
      <c r="N268" s="141">
        <v>0</v>
      </c>
      <c r="O268" s="141"/>
      <c r="P268" s="141">
        <v>300000</v>
      </c>
      <c r="Q268" s="141">
        <v>300000</v>
      </c>
      <c r="R268" s="122">
        <v>200000</v>
      </c>
    </row>
    <row r="269" spans="1:19" ht="18" x14ac:dyDescent="0.25">
      <c r="A269" s="1441" t="s">
        <v>1388</v>
      </c>
      <c r="B269" s="1441" t="s">
        <v>2019</v>
      </c>
      <c r="C269" s="206" t="s">
        <v>1572</v>
      </c>
      <c r="D269" s="1355"/>
      <c r="E269" s="421"/>
      <c r="F269" s="184"/>
      <c r="G269" s="421"/>
      <c r="H269" s="381"/>
      <c r="I269" s="141">
        <v>0</v>
      </c>
      <c r="J269" s="141">
        <v>0</v>
      </c>
      <c r="K269" s="141">
        <v>0</v>
      </c>
      <c r="L269" s="141">
        <v>0</v>
      </c>
      <c r="M269" s="141">
        <v>0</v>
      </c>
      <c r="N269" s="141">
        <v>0</v>
      </c>
      <c r="O269" s="141"/>
      <c r="P269" s="141">
        <v>240000</v>
      </c>
      <c r="Q269" s="141">
        <v>240000</v>
      </c>
      <c r="R269" s="122">
        <v>150000</v>
      </c>
    </row>
    <row r="270" spans="1:19" ht="18" x14ac:dyDescent="0.25">
      <c r="A270" s="1441" t="s">
        <v>1388</v>
      </c>
      <c r="B270" s="1441" t="s">
        <v>2019</v>
      </c>
      <c r="C270" s="206" t="s">
        <v>1573</v>
      </c>
      <c r="D270" s="1355"/>
      <c r="E270" s="421"/>
      <c r="F270" s="184"/>
      <c r="G270" s="421"/>
      <c r="H270" s="381"/>
      <c r="I270" s="141">
        <v>0</v>
      </c>
      <c r="J270" s="141">
        <v>0</v>
      </c>
      <c r="K270" s="141">
        <v>0</v>
      </c>
      <c r="L270" s="141">
        <v>0</v>
      </c>
      <c r="M270" s="141">
        <v>0</v>
      </c>
      <c r="N270" s="141">
        <v>0</v>
      </c>
      <c r="O270" s="141"/>
      <c r="P270" s="141">
        <v>42000</v>
      </c>
      <c r="Q270" s="141">
        <v>42000</v>
      </c>
      <c r="R270" s="122">
        <v>42000</v>
      </c>
    </row>
    <row r="271" spans="1:19" ht="18" x14ac:dyDescent="0.25">
      <c r="A271" s="1441" t="s">
        <v>1388</v>
      </c>
      <c r="B271" s="1441" t="s">
        <v>2019</v>
      </c>
      <c r="C271" s="206" t="s">
        <v>2090</v>
      </c>
      <c r="D271" s="1355"/>
      <c r="E271" s="421"/>
      <c r="F271" s="184"/>
      <c r="G271" s="421"/>
      <c r="H271" s="381"/>
      <c r="I271" s="141">
        <v>0</v>
      </c>
      <c r="J271" s="141">
        <v>0</v>
      </c>
      <c r="K271" s="141">
        <v>0</v>
      </c>
      <c r="L271" s="141">
        <v>0</v>
      </c>
      <c r="M271" s="141">
        <v>0</v>
      </c>
      <c r="N271" s="141">
        <v>0</v>
      </c>
      <c r="O271" s="141"/>
      <c r="P271" s="141">
        <v>213000</v>
      </c>
      <c r="Q271" s="141">
        <v>213000</v>
      </c>
      <c r="R271" s="122">
        <v>213000</v>
      </c>
    </row>
    <row r="272" spans="1:19" ht="18" x14ac:dyDescent="0.25">
      <c r="A272" s="1441" t="s">
        <v>1388</v>
      </c>
      <c r="B272" s="1441" t="s">
        <v>2019</v>
      </c>
      <c r="C272" s="206" t="s">
        <v>1575</v>
      </c>
      <c r="D272" s="1355"/>
      <c r="E272" s="421"/>
      <c r="F272" s="184"/>
      <c r="G272" s="421"/>
      <c r="H272" s="381"/>
      <c r="I272" s="141">
        <v>0</v>
      </c>
      <c r="J272" s="141">
        <v>0</v>
      </c>
      <c r="K272" s="141">
        <v>0</v>
      </c>
      <c r="L272" s="141">
        <v>0</v>
      </c>
      <c r="M272" s="141">
        <v>0</v>
      </c>
      <c r="N272" s="141">
        <v>0</v>
      </c>
      <c r="O272" s="141"/>
      <c r="P272" s="141">
        <v>45000</v>
      </c>
      <c r="Q272" s="141">
        <v>45000</v>
      </c>
      <c r="R272" s="122">
        <v>45000</v>
      </c>
    </row>
    <row r="273" spans="1:26" ht="18" x14ac:dyDescent="0.25">
      <c r="A273" s="1441" t="s">
        <v>1388</v>
      </c>
      <c r="B273" s="1441" t="s">
        <v>2019</v>
      </c>
      <c r="C273" s="206" t="s">
        <v>1576</v>
      </c>
      <c r="D273" s="1355"/>
      <c r="E273" s="421"/>
      <c r="F273" s="184"/>
      <c r="G273" s="421"/>
      <c r="H273" s="381"/>
      <c r="I273" s="141">
        <v>0</v>
      </c>
      <c r="J273" s="141">
        <v>0</v>
      </c>
      <c r="K273" s="141">
        <v>0</v>
      </c>
      <c r="L273" s="141">
        <v>0</v>
      </c>
      <c r="M273" s="141">
        <v>0</v>
      </c>
      <c r="N273" s="141">
        <v>0</v>
      </c>
      <c r="O273" s="141"/>
      <c r="P273" s="141">
        <v>67000</v>
      </c>
      <c r="Q273" s="141">
        <v>67000</v>
      </c>
      <c r="R273" s="122">
        <v>67000</v>
      </c>
    </row>
    <row r="274" spans="1:26" s="10" customFormat="1" ht="18" customHeight="1" x14ac:dyDescent="0.25">
      <c r="A274" s="1441" t="s">
        <v>1388</v>
      </c>
      <c r="B274" s="1441" t="s">
        <v>2019</v>
      </c>
      <c r="C274" s="206" t="s">
        <v>1578</v>
      </c>
      <c r="D274" s="1355"/>
      <c r="E274" s="421"/>
      <c r="F274" s="184"/>
      <c r="G274" s="421"/>
      <c r="H274" s="381"/>
      <c r="I274" s="141">
        <v>0</v>
      </c>
      <c r="J274" s="141">
        <v>0</v>
      </c>
      <c r="K274" s="141">
        <v>0</v>
      </c>
      <c r="L274" s="141">
        <v>0</v>
      </c>
      <c r="M274" s="141">
        <v>0</v>
      </c>
      <c r="N274" s="141">
        <v>0</v>
      </c>
      <c r="O274" s="141"/>
      <c r="P274" s="141">
        <v>59000</v>
      </c>
      <c r="Q274" s="141">
        <v>59000</v>
      </c>
      <c r="R274" s="122">
        <v>59000</v>
      </c>
      <c r="S274" s="239"/>
      <c r="T274" s="1476"/>
      <c r="U274" s="146"/>
    </row>
    <row r="275" spans="1:26" s="10" customFormat="1" ht="18" customHeight="1" x14ac:dyDescent="0.25">
      <c r="A275" s="1441" t="s">
        <v>1388</v>
      </c>
      <c r="B275" s="1441" t="s">
        <v>2019</v>
      </c>
      <c r="C275" s="206" t="s">
        <v>1579</v>
      </c>
      <c r="D275" s="1355"/>
      <c r="E275" s="421"/>
      <c r="F275" s="184"/>
      <c r="G275" s="421"/>
      <c r="H275" s="381"/>
      <c r="I275" s="141">
        <v>0</v>
      </c>
      <c r="J275" s="141">
        <v>0</v>
      </c>
      <c r="K275" s="141">
        <v>0</v>
      </c>
      <c r="L275" s="141">
        <v>0</v>
      </c>
      <c r="M275" s="141">
        <v>0</v>
      </c>
      <c r="N275" s="141">
        <v>0</v>
      </c>
      <c r="O275" s="141"/>
      <c r="P275" s="141">
        <v>250000</v>
      </c>
      <c r="Q275" s="141">
        <v>250000</v>
      </c>
      <c r="R275" s="122">
        <v>250000</v>
      </c>
      <c r="S275" s="239"/>
      <c r="T275" s="1476"/>
      <c r="U275" s="146"/>
    </row>
    <row r="276" spans="1:26" s="10" customFormat="1" ht="18" customHeight="1" x14ac:dyDescent="0.25">
      <c r="A276" s="1441" t="s">
        <v>1388</v>
      </c>
      <c r="B276" s="1441" t="s">
        <v>2019</v>
      </c>
      <c r="C276" s="206" t="s">
        <v>1580</v>
      </c>
      <c r="D276" s="1355"/>
      <c r="E276" s="421"/>
      <c r="F276" s="184"/>
      <c r="G276" s="421"/>
      <c r="H276" s="381"/>
      <c r="I276" s="141">
        <v>0</v>
      </c>
      <c r="J276" s="141">
        <v>0</v>
      </c>
      <c r="K276" s="141">
        <v>0</v>
      </c>
      <c r="L276" s="141">
        <v>0</v>
      </c>
      <c r="M276" s="141">
        <v>0</v>
      </c>
      <c r="N276" s="141">
        <v>0</v>
      </c>
      <c r="O276" s="141"/>
      <c r="P276" s="141">
        <v>460000</v>
      </c>
      <c r="Q276" s="141">
        <v>460000</v>
      </c>
      <c r="R276" s="122">
        <v>460000</v>
      </c>
      <c r="S276" s="1450"/>
      <c r="T276" s="1476"/>
      <c r="U276" s="146"/>
    </row>
    <row r="277" spans="1:26" s="7" customFormat="1" ht="18" customHeight="1" x14ac:dyDescent="0.25">
      <c r="A277" s="1441" t="s">
        <v>1388</v>
      </c>
      <c r="B277" s="1441" t="s">
        <v>2019</v>
      </c>
      <c r="C277" s="206" t="s">
        <v>1581</v>
      </c>
      <c r="D277" s="1355"/>
      <c r="E277" s="421"/>
      <c r="F277" s="184"/>
      <c r="G277" s="421"/>
      <c r="H277" s="381"/>
      <c r="I277" s="141">
        <v>0</v>
      </c>
      <c r="J277" s="141">
        <v>0</v>
      </c>
      <c r="K277" s="141">
        <v>0</v>
      </c>
      <c r="L277" s="141">
        <v>0</v>
      </c>
      <c r="M277" s="141">
        <v>0</v>
      </c>
      <c r="N277" s="141">
        <v>0</v>
      </c>
      <c r="O277" s="141"/>
      <c r="P277" s="141">
        <v>2479500</v>
      </c>
      <c r="Q277" s="141">
        <v>2479500</v>
      </c>
      <c r="R277" s="122">
        <v>2000000</v>
      </c>
      <c r="S277" s="1460"/>
      <c r="T277" s="1475"/>
      <c r="U277" s="1380"/>
      <c r="V277" s="1380"/>
      <c r="W277" s="1380"/>
      <c r="X277" s="1380"/>
      <c r="Y277" s="1380"/>
      <c r="Z277" s="1380"/>
    </row>
    <row r="278" spans="1:26" ht="18" x14ac:dyDescent="0.25">
      <c r="A278" s="1441" t="s">
        <v>1388</v>
      </c>
      <c r="B278" s="1441" t="s">
        <v>2019</v>
      </c>
      <c r="C278" s="206" t="s">
        <v>1582</v>
      </c>
      <c r="D278" s="1355"/>
      <c r="E278" s="204"/>
      <c r="F278" s="184"/>
      <c r="G278" s="204"/>
      <c r="H278" s="381"/>
      <c r="I278" s="141">
        <v>0</v>
      </c>
      <c r="J278" s="141">
        <v>0</v>
      </c>
      <c r="K278" s="141">
        <v>0</v>
      </c>
      <c r="L278" s="141">
        <v>0</v>
      </c>
      <c r="M278" s="141">
        <v>0</v>
      </c>
      <c r="N278" s="141">
        <v>0</v>
      </c>
      <c r="O278" s="141"/>
      <c r="P278" s="141">
        <v>1670000</v>
      </c>
      <c r="Q278" s="141">
        <v>1670000</v>
      </c>
      <c r="R278" s="122">
        <v>1670000</v>
      </c>
      <c r="S278" s="1394"/>
    </row>
    <row r="279" spans="1:26" s="142" customFormat="1" ht="20.100000000000001" customHeight="1" x14ac:dyDescent="0.3">
      <c r="A279" s="1441" t="s">
        <v>1388</v>
      </c>
      <c r="B279" s="1441" t="s">
        <v>2019</v>
      </c>
      <c r="C279" s="1366" t="s">
        <v>1583</v>
      </c>
      <c r="D279" s="1355"/>
      <c r="E279" s="204"/>
      <c r="F279" s="422"/>
      <c r="G279" s="204"/>
      <c r="H279" s="381"/>
      <c r="I279" s="141">
        <v>0</v>
      </c>
      <c r="J279" s="141">
        <v>0</v>
      </c>
      <c r="K279" s="141">
        <v>0</v>
      </c>
      <c r="L279" s="141">
        <v>0</v>
      </c>
      <c r="M279" s="141">
        <v>0</v>
      </c>
      <c r="N279" s="141">
        <v>0</v>
      </c>
      <c r="O279" s="141"/>
      <c r="P279" s="141">
        <v>4821000</v>
      </c>
      <c r="Q279" s="141">
        <v>4821000</v>
      </c>
      <c r="R279" s="122"/>
      <c r="S279" s="1456"/>
      <c r="T279" s="1482"/>
      <c r="U279" s="1461"/>
      <c r="V279" s="1461"/>
      <c r="W279" s="1461"/>
      <c r="X279" s="1461"/>
      <c r="Y279" s="1461"/>
      <c r="Z279" s="1461"/>
    </row>
    <row r="280" spans="1:26" s="142" customFormat="1" ht="20.100000000000001" customHeight="1" x14ac:dyDescent="0.3">
      <c r="A280" s="1441" t="s">
        <v>1388</v>
      </c>
      <c r="B280" s="1441" t="s">
        <v>2019</v>
      </c>
      <c r="C280" s="1497" t="s">
        <v>2091</v>
      </c>
      <c r="D280" s="1496"/>
      <c r="E280" s="204"/>
      <c r="F280" s="422"/>
      <c r="G280" s="204"/>
      <c r="H280" s="381"/>
      <c r="I280" s="141"/>
      <c r="J280" s="141"/>
      <c r="K280" s="141"/>
      <c r="L280" s="141"/>
      <c r="M280" s="141"/>
      <c r="N280" s="141"/>
      <c r="O280" s="141"/>
      <c r="P280" s="141"/>
      <c r="Q280" s="141"/>
      <c r="R280" s="122">
        <v>1821000</v>
      </c>
      <c r="S280" s="1456"/>
      <c r="T280" s="1482"/>
      <c r="U280" s="1461"/>
      <c r="V280" s="1461"/>
      <c r="W280" s="1461"/>
      <c r="X280" s="1461"/>
      <c r="Y280" s="1461"/>
      <c r="Z280" s="1461"/>
    </row>
    <row r="281" spans="1:26" s="48" customFormat="1" ht="18.75" customHeight="1" x14ac:dyDescent="0.25">
      <c r="A281" s="1441" t="s">
        <v>1388</v>
      </c>
      <c r="B281" s="1441" t="s">
        <v>2019</v>
      </c>
      <c r="C281" s="1366" t="s">
        <v>1584</v>
      </c>
      <c r="D281" s="1355"/>
      <c r="E281" s="204"/>
      <c r="F281" s="422"/>
      <c r="G281" s="204"/>
      <c r="H281" s="381"/>
      <c r="I281" s="141">
        <v>0</v>
      </c>
      <c r="J281" s="141">
        <v>0</v>
      </c>
      <c r="K281" s="141">
        <v>0</v>
      </c>
      <c r="L281" s="141">
        <v>0</v>
      </c>
      <c r="M281" s="141">
        <v>0</v>
      </c>
      <c r="N281" s="141">
        <v>0</v>
      </c>
      <c r="O281" s="141"/>
      <c r="P281" s="141">
        <v>400000</v>
      </c>
      <c r="Q281" s="141">
        <v>400000</v>
      </c>
      <c r="R281" s="122">
        <v>400000</v>
      </c>
      <c r="S281" s="1701"/>
      <c r="T281" s="1477"/>
      <c r="U281" s="169"/>
      <c r="V281" s="169"/>
      <c r="W281" s="169"/>
      <c r="X281" s="169"/>
      <c r="Y281" s="169"/>
      <c r="Z281" s="169"/>
    </row>
    <row r="282" spans="1:26" s="1153" customFormat="1" ht="18.75" customHeight="1" x14ac:dyDescent="0.25">
      <c r="A282" s="1441" t="s">
        <v>1388</v>
      </c>
      <c r="B282" s="1441" t="s">
        <v>2019</v>
      </c>
      <c r="C282" s="206" t="s">
        <v>1585</v>
      </c>
      <c r="D282" s="1355"/>
      <c r="E282" s="184"/>
      <c r="F282" s="184"/>
      <c r="G282" s="184"/>
      <c r="H282" s="381"/>
      <c r="I282" s="141">
        <v>0</v>
      </c>
      <c r="J282" s="141">
        <v>0</v>
      </c>
      <c r="K282" s="141">
        <v>0</v>
      </c>
      <c r="L282" s="141">
        <v>0</v>
      </c>
      <c r="M282" s="141">
        <v>0</v>
      </c>
      <c r="N282" s="141">
        <v>0</v>
      </c>
      <c r="O282" s="141"/>
      <c r="P282" s="141">
        <v>120000</v>
      </c>
      <c r="Q282" s="141">
        <v>120000</v>
      </c>
      <c r="R282" s="122">
        <v>120000</v>
      </c>
      <c r="S282" s="1701"/>
      <c r="T282" s="1483"/>
      <c r="U282" s="1256"/>
      <c r="V282" s="1256"/>
      <c r="W282" s="1256"/>
      <c r="X282" s="1256"/>
      <c r="Y282" s="1256"/>
      <c r="Z282" s="1256"/>
    </row>
    <row r="283" spans="1:26" s="48" customFormat="1" ht="18" customHeight="1" x14ac:dyDescent="0.25">
      <c r="A283" s="1441" t="s">
        <v>1388</v>
      </c>
      <c r="B283" s="1441" t="s">
        <v>2019</v>
      </c>
      <c r="C283" s="206" t="s">
        <v>1586</v>
      </c>
      <c r="D283" s="1355"/>
      <c r="E283" s="204"/>
      <c r="F283" s="184"/>
      <c r="G283" s="204"/>
      <c r="H283" s="381"/>
      <c r="I283" s="141">
        <v>0</v>
      </c>
      <c r="J283" s="141">
        <v>0</v>
      </c>
      <c r="K283" s="141">
        <v>0</v>
      </c>
      <c r="L283" s="141">
        <v>0</v>
      </c>
      <c r="M283" s="141">
        <v>0</v>
      </c>
      <c r="N283" s="141">
        <v>0</v>
      </c>
      <c r="O283" s="141"/>
      <c r="P283" s="141">
        <v>170000</v>
      </c>
      <c r="Q283" s="141">
        <v>170000</v>
      </c>
      <c r="R283" s="122">
        <v>170000</v>
      </c>
      <c r="S283" s="239"/>
      <c r="T283" s="1477"/>
      <c r="U283" s="169"/>
      <c r="V283" s="169"/>
      <c r="W283" s="169"/>
      <c r="X283" s="169"/>
      <c r="Y283" s="169"/>
      <c r="Z283" s="169"/>
    </row>
    <row r="284" spans="1:26" s="48" customFormat="1" ht="18" customHeight="1" x14ac:dyDescent="0.25">
      <c r="A284" s="1441" t="s">
        <v>1388</v>
      </c>
      <c r="B284" s="1441" t="s">
        <v>2019</v>
      </c>
      <c r="C284" s="206" t="s">
        <v>1587</v>
      </c>
      <c r="D284" s="1355"/>
      <c r="E284" s="204"/>
      <c r="F284" s="184"/>
      <c r="G284" s="204"/>
      <c r="H284" s="381"/>
      <c r="I284" s="141">
        <v>0</v>
      </c>
      <c r="J284" s="141">
        <v>0</v>
      </c>
      <c r="K284" s="141">
        <v>0</v>
      </c>
      <c r="L284" s="141">
        <v>0</v>
      </c>
      <c r="M284" s="141">
        <v>0</v>
      </c>
      <c r="N284" s="141">
        <v>0</v>
      </c>
      <c r="O284" s="141"/>
      <c r="P284" s="141">
        <v>1160000</v>
      </c>
      <c r="Q284" s="141">
        <v>1160000</v>
      </c>
      <c r="R284" s="122">
        <v>1000000</v>
      </c>
      <c r="S284" s="239"/>
      <c r="T284" s="1477"/>
      <c r="U284" s="169"/>
      <c r="V284" s="169"/>
      <c r="W284" s="169"/>
      <c r="X284" s="169"/>
      <c r="Y284" s="169"/>
      <c r="Z284" s="169"/>
    </row>
    <row r="285" spans="1:26" s="48" customFormat="1" ht="18" customHeight="1" x14ac:dyDescent="0.25">
      <c r="A285" s="1441" t="s">
        <v>1388</v>
      </c>
      <c r="B285" s="1441" t="s">
        <v>2019</v>
      </c>
      <c r="C285" s="206" t="s">
        <v>1588</v>
      </c>
      <c r="D285" s="1355"/>
      <c r="E285" s="393"/>
      <c r="F285" s="184"/>
      <c r="G285" s="393"/>
      <c r="H285" s="381"/>
      <c r="I285" s="141">
        <v>0</v>
      </c>
      <c r="J285" s="141">
        <v>0</v>
      </c>
      <c r="K285" s="141">
        <v>0</v>
      </c>
      <c r="L285" s="141">
        <v>0</v>
      </c>
      <c r="M285" s="141">
        <v>0</v>
      </c>
      <c r="N285" s="141">
        <v>0</v>
      </c>
      <c r="O285" s="141"/>
      <c r="P285" s="141">
        <v>80000</v>
      </c>
      <c r="Q285" s="141">
        <v>80000</v>
      </c>
      <c r="R285" s="122">
        <v>80000</v>
      </c>
      <c r="S285" s="239"/>
      <c r="T285" s="1477"/>
      <c r="U285" s="169"/>
      <c r="V285" s="169"/>
      <c r="W285" s="169"/>
      <c r="X285" s="169"/>
      <c r="Y285" s="169"/>
      <c r="Z285" s="169"/>
    </row>
    <row r="286" spans="1:26" s="48" customFormat="1" ht="18" customHeight="1" x14ac:dyDescent="0.25">
      <c r="A286" s="1443" t="s">
        <v>1388</v>
      </c>
      <c r="B286" s="1443" t="s">
        <v>2019</v>
      </c>
      <c r="C286" s="44" t="s">
        <v>1594</v>
      </c>
      <c r="D286" s="1356"/>
      <c r="E286" s="402"/>
      <c r="F286" s="125"/>
      <c r="G286" s="125"/>
      <c r="H286" s="381"/>
      <c r="I286" s="141"/>
      <c r="J286" s="141"/>
      <c r="K286" s="141"/>
      <c r="L286" s="141"/>
      <c r="M286" s="141"/>
      <c r="N286" s="141"/>
      <c r="O286" s="141"/>
      <c r="P286" s="141">
        <v>100000</v>
      </c>
      <c r="Q286" s="141">
        <v>100000</v>
      </c>
      <c r="R286" s="122">
        <v>100000</v>
      </c>
      <c r="S286" s="239"/>
      <c r="T286" s="1477"/>
      <c r="U286" s="169"/>
      <c r="V286" s="169"/>
      <c r="W286" s="169"/>
      <c r="X286" s="169"/>
      <c r="Y286" s="169"/>
      <c r="Z286" s="169"/>
    </row>
    <row r="287" spans="1:26" s="48" customFormat="1" ht="18" customHeight="1" x14ac:dyDescent="0.25">
      <c r="A287" s="1443" t="s">
        <v>1388</v>
      </c>
      <c r="B287" s="1443" t="s">
        <v>2019</v>
      </c>
      <c r="C287" s="44" t="s">
        <v>1595</v>
      </c>
      <c r="D287" s="1356"/>
      <c r="E287" s="402"/>
      <c r="F287" s="125"/>
      <c r="G287" s="125"/>
      <c r="H287" s="381"/>
      <c r="I287" s="141"/>
      <c r="J287" s="141"/>
      <c r="K287" s="141"/>
      <c r="L287" s="141"/>
      <c r="M287" s="141"/>
      <c r="N287" s="141"/>
      <c r="O287" s="141"/>
      <c r="P287" s="141"/>
      <c r="Q287" s="141"/>
      <c r="R287" s="122"/>
      <c r="S287" s="239"/>
      <c r="T287" s="1477"/>
      <c r="U287" s="169"/>
      <c r="V287" s="169"/>
      <c r="W287" s="169"/>
      <c r="X287" s="169"/>
      <c r="Y287" s="169"/>
      <c r="Z287" s="169"/>
    </row>
    <row r="288" spans="1:26" s="48" customFormat="1" ht="18" customHeight="1" x14ac:dyDescent="0.25">
      <c r="A288" s="1443" t="s">
        <v>1388</v>
      </c>
      <c r="B288" s="1443" t="s">
        <v>2019</v>
      </c>
      <c r="C288" s="44" t="s">
        <v>1596</v>
      </c>
      <c r="D288" s="1356"/>
      <c r="E288" s="402"/>
      <c r="F288" s="125"/>
      <c r="G288" s="125"/>
      <c r="H288" s="381"/>
      <c r="I288" s="141"/>
      <c r="J288" s="141"/>
      <c r="K288" s="141"/>
      <c r="L288" s="141"/>
      <c r="M288" s="141"/>
      <c r="N288" s="141"/>
      <c r="O288" s="141"/>
      <c r="P288" s="141">
        <v>20000</v>
      </c>
      <c r="Q288" s="141">
        <v>20000</v>
      </c>
      <c r="R288" s="122">
        <v>20000</v>
      </c>
      <c r="S288" s="239"/>
      <c r="T288" s="1477"/>
      <c r="U288" s="169"/>
      <c r="V288" s="169"/>
      <c r="W288" s="169"/>
      <c r="X288" s="169"/>
      <c r="Y288" s="169"/>
      <c r="Z288" s="169"/>
    </row>
    <row r="289" spans="1:26" s="48" customFormat="1" ht="18" customHeight="1" x14ac:dyDescent="0.25">
      <c r="A289" s="1443" t="s">
        <v>1388</v>
      </c>
      <c r="B289" s="1443" t="s">
        <v>2019</v>
      </c>
      <c r="C289" s="1369" t="s">
        <v>1597</v>
      </c>
      <c r="D289" s="1356"/>
      <c r="E289" s="1351"/>
      <c r="F289" s="125"/>
      <c r="G289" s="125"/>
      <c r="H289" s="381"/>
      <c r="I289" s="141"/>
      <c r="J289" s="141"/>
      <c r="K289" s="141"/>
      <c r="L289" s="141"/>
      <c r="M289" s="141"/>
      <c r="N289" s="141"/>
      <c r="O289" s="141"/>
      <c r="P289" s="141">
        <v>500000</v>
      </c>
      <c r="Q289" s="141">
        <v>500000</v>
      </c>
      <c r="R289" s="122">
        <v>500000</v>
      </c>
      <c r="S289" s="239"/>
      <c r="T289" s="1477"/>
      <c r="U289" s="169"/>
      <c r="V289" s="169"/>
      <c r="W289" s="169"/>
      <c r="X289" s="169"/>
      <c r="Y289" s="169"/>
      <c r="Z289" s="169"/>
    </row>
    <row r="290" spans="1:26" s="48" customFormat="1" ht="18" customHeight="1" x14ac:dyDescent="0.25">
      <c r="A290" s="1443" t="s">
        <v>1388</v>
      </c>
      <c r="B290" s="1443" t="s">
        <v>2019</v>
      </c>
      <c r="C290" s="1369" t="s">
        <v>1598</v>
      </c>
      <c r="D290" s="1356"/>
      <c r="E290" s="1351"/>
      <c r="F290" s="125"/>
      <c r="G290" s="125"/>
      <c r="H290" s="381"/>
      <c r="I290" s="141"/>
      <c r="J290" s="141"/>
      <c r="K290" s="141"/>
      <c r="L290" s="141"/>
      <c r="M290" s="141"/>
      <c r="N290" s="141"/>
      <c r="O290" s="141"/>
      <c r="P290" s="141">
        <v>860000</v>
      </c>
      <c r="Q290" s="141">
        <v>860000</v>
      </c>
      <c r="R290" s="122">
        <v>860000</v>
      </c>
      <c r="S290" s="239"/>
      <c r="T290" s="1477"/>
      <c r="U290" s="169"/>
      <c r="V290" s="169"/>
      <c r="W290" s="169"/>
      <c r="X290" s="169"/>
      <c r="Y290" s="169"/>
      <c r="Z290" s="169"/>
    </row>
    <row r="291" spans="1:26" s="48" customFormat="1" ht="18" customHeight="1" x14ac:dyDescent="0.25">
      <c r="A291" s="1443" t="s">
        <v>1388</v>
      </c>
      <c r="B291" s="1443" t="s">
        <v>2019</v>
      </c>
      <c r="C291" s="44" t="s">
        <v>1599</v>
      </c>
      <c r="D291" s="1356"/>
      <c r="E291" s="402"/>
      <c r="F291" s="125"/>
      <c r="G291" s="125"/>
      <c r="H291" s="381"/>
      <c r="I291" s="141"/>
      <c r="J291" s="141"/>
      <c r="K291" s="141"/>
      <c r="L291" s="141"/>
      <c r="M291" s="141"/>
      <c r="N291" s="141"/>
      <c r="O291" s="141"/>
      <c r="P291" s="141">
        <v>20000</v>
      </c>
      <c r="Q291" s="141">
        <v>20000</v>
      </c>
      <c r="R291" s="122">
        <v>20000</v>
      </c>
      <c r="S291" s="239"/>
      <c r="T291" s="1477"/>
      <c r="U291" s="169"/>
      <c r="V291" s="169"/>
      <c r="W291" s="169"/>
      <c r="X291" s="169"/>
      <c r="Y291" s="169"/>
      <c r="Z291" s="169"/>
    </row>
    <row r="292" spans="1:26" s="48" customFormat="1" ht="18" customHeight="1" x14ac:dyDescent="0.25">
      <c r="A292" s="1443" t="s">
        <v>1388</v>
      </c>
      <c r="B292" s="1443" t="s">
        <v>2019</v>
      </c>
      <c r="C292" s="44" t="s">
        <v>1600</v>
      </c>
      <c r="D292" s="1356"/>
      <c r="E292" s="402"/>
      <c r="F292" s="125"/>
      <c r="G292" s="125"/>
      <c r="H292" s="381"/>
      <c r="I292" s="141"/>
      <c r="J292" s="141"/>
      <c r="K292" s="141"/>
      <c r="L292" s="141"/>
      <c r="M292" s="141"/>
      <c r="N292" s="141"/>
      <c r="O292" s="141"/>
      <c r="P292" s="141">
        <v>10000</v>
      </c>
      <c r="Q292" s="141">
        <v>10000</v>
      </c>
      <c r="R292" s="122">
        <v>10000</v>
      </c>
      <c r="S292" s="239"/>
      <c r="T292" s="1477"/>
      <c r="U292" s="169"/>
      <c r="V292" s="169"/>
      <c r="W292" s="169"/>
      <c r="X292" s="169"/>
      <c r="Y292" s="169"/>
      <c r="Z292" s="169"/>
    </row>
    <row r="293" spans="1:26" s="48" customFormat="1" ht="18" customHeight="1" x14ac:dyDescent="0.25">
      <c r="A293" s="1443" t="s">
        <v>1388</v>
      </c>
      <c r="B293" s="1443" t="s">
        <v>2019</v>
      </c>
      <c r="C293" s="44" t="s">
        <v>1601</v>
      </c>
      <c r="D293" s="1356"/>
      <c r="E293" s="402"/>
      <c r="F293" s="125"/>
      <c r="G293" s="125"/>
      <c r="H293" s="381"/>
      <c r="I293" s="141"/>
      <c r="J293" s="141"/>
      <c r="K293" s="141"/>
      <c r="L293" s="141"/>
      <c r="M293" s="141"/>
      <c r="N293" s="141"/>
      <c r="O293" s="141"/>
      <c r="P293" s="141">
        <v>100000</v>
      </c>
      <c r="Q293" s="141">
        <v>100000</v>
      </c>
      <c r="R293" s="122">
        <v>100000</v>
      </c>
      <c r="S293" s="239"/>
      <c r="T293" s="1477"/>
      <c r="U293" s="169"/>
      <c r="V293" s="169"/>
      <c r="W293" s="169"/>
      <c r="X293" s="169"/>
      <c r="Y293" s="169"/>
      <c r="Z293" s="169"/>
    </row>
    <row r="294" spans="1:26" s="48" customFormat="1" ht="18" customHeight="1" x14ac:dyDescent="0.25">
      <c r="A294" s="1443" t="s">
        <v>1388</v>
      </c>
      <c r="B294" s="1443" t="s">
        <v>2019</v>
      </c>
      <c r="C294" s="1369" t="s">
        <v>1602</v>
      </c>
      <c r="D294" s="1356"/>
      <c r="E294" s="1351"/>
      <c r="F294" s="125"/>
      <c r="G294" s="125"/>
      <c r="H294" s="381"/>
      <c r="I294" s="141"/>
      <c r="J294" s="141"/>
      <c r="K294" s="141"/>
      <c r="L294" s="141"/>
      <c r="M294" s="141"/>
      <c r="N294" s="141"/>
      <c r="O294" s="141"/>
      <c r="P294" s="141">
        <v>30000</v>
      </c>
      <c r="Q294" s="141">
        <v>30000</v>
      </c>
      <c r="R294" s="122">
        <v>30000</v>
      </c>
      <c r="S294" s="239"/>
      <c r="T294" s="1477"/>
      <c r="U294" s="169"/>
      <c r="V294" s="169"/>
      <c r="W294" s="169"/>
      <c r="X294" s="169"/>
      <c r="Y294" s="169"/>
      <c r="Z294" s="169"/>
    </row>
    <row r="295" spans="1:26" s="48" customFormat="1" ht="18" customHeight="1" x14ac:dyDescent="0.25">
      <c r="A295" s="1443" t="s">
        <v>1388</v>
      </c>
      <c r="B295" s="1443" t="s">
        <v>2019</v>
      </c>
      <c r="C295" s="44" t="s">
        <v>1603</v>
      </c>
      <c r="D295" s="1356"/>
      <c r="E295" s="402"/>
      <c r="F295" s="125"/>
      <c r="G295" s="125"/>
      <c r="H295" s="381"/>
      <c r="I295" s="141"/>
      <c r="J295" s="141"/>
      <c r="K295" s="141"/>
      <c r="L295" s="141"/>
      <c r="M295" s="141"/>
      <c r="N295" s="141"/>
      <c r="O295" s="141"/>
      <c r="P295" s="141">
        <v>100000</v>
      </c>
      <c r="Q295" s="141">
        <v>100000</v>
      </c>
      <c r="R295" s="122">
        <v>100000</v>
      </c>
      <c r="S295" s="239"/>
      <c r="T295" s="1477"/>
      <c r="U295" s="169"/>
      <c r="V295" s="169"/>
      <c r="W295" s="169"/>
      <c r="X295" s="169"/>
      <c r="Y295" s="169"/>
      <c r="Z295" s="169"/>
    </row>
    <row r="296" spans="1:26" s="48" customFormat="1" ht="18" customHeight="1" x14ac:dyDescent="0.25">
      <c r="A296" s="1443" t="s">
        <v>1388</v>
      </c>
      <c r="B296" s="1443" t="s">
        <v>2019</v>
      </c>
      <c r="C296" s="44" t="s">
        <v>1604</v>
      </c>
      <c r="D296" s="1356"/>
      <c r="E296" s="402"/>
      <c r="F296" s="125"/>
      <c r="G296" s="125"/>
      <c r="H296" s="381"/>
      <c r="I296" s="141"/>
      <c r="J296" s="141"/>
      <c r="K296" s="141"/>
      <c r="L296" s="141"/>
      <c r="M296" s="141"/>
      <c r="N296" s="141"/>
      <c r="O296" s="141"/>
      <c r="P296" s="141">
        <v>20000</v>
      </c>
      <c r="Q296" s="141">
        <v>20000</v>
      </c>
      <c r="R296" s="122">
        <v>20000</v>
      </c>
      <c r="S296" s="239"/>
      <c r="T296" s="1477"/>
      <c r="U296" s="169"/>
      <c r="V296" s="169"/>
      <c r="W296" s="169"/>
      <c r="X296" s="169"/>
      <c r="Y296" s="169"/>
      <c r="Z296" s="169"/>
    </row>
    <row r="297" spans="1:26" s="48" customFormat="1" ht="18" customHeight="1" x14ac:dyDescent="0.25">
      <c r="A297" s="1443" t="s">
        <v>1388</v>
      </c>
      <c r="B297" s="1443" t="s">
        <v>2019</v>
      </c>
      <c r="C297" s="652" t="s">
        <v>1605</v>
      </c>
      <c r="D297" s="652"/>
      <c r="E297" s="652"/>
      <c r="F297" s="192"/>
      <c r="G297" s="192"/>
      <c r="H297" s="1389"/>
      <c r="I297" s="141"/>
      <c r="J297" s="122"/>
      <c r="K297" s="141"/>
      <c r="L297" s="141"/>
      <c r="M297" s="122"/>
      <c r="N297" s="122"/>
      <c r="O297" s="122"/>
      <c r="P297" s="122">
        <v>50000</v>
      </c>
      <c r="Q297" s="122">
        <v>50000</v>
      </c>
      <c r="R297" s="122">
        <v>50000</v>
      </c>
      <c r="S297" s="239"/>
      <c r="T297" s="1477"/>
      <c r="U297" s="169"/>
      <c r="V297" s="169"/>
      <c r="W297" s="169"/>
      <c r="X297" s="169"/>
      <c r="Y297" s="169"/>
      <c r="Z297" s="169"/>
    </row>
    <row r="298" spans="1:26" s="48" customFormat="1" ht="18" customHeight="1" x14ac:dyDescent="0.25">
      <c r="A298" s="1443" t="s">
        <v>1388</v>
      </c>
      <c r="B298" s="1443" t="s">
        <v>2019</v>
      </c>
      <c r="C298" s="652" t="s">
        <v>1606</v>
      </c>
      <c r="D298" s="652"/>
      <c r="E298" s="652"/>
      <c r="F298" s="192"/>
      <c r="G298" s="192"/>
      <c r="H298" s="1389"/>
      <c r="I298" s="141"/>
      <c r="J298" s="122"/>
      <c r="K298" s="141"/>
      <c r="L298" s="141"/>
      <c r="M298" s="122"/>
      <c r="N298" s="122"/>
      <c r="O298" s="122"/>
      <c r="P298" s="122">
        <v>205000</v>
      </c>
      <c r="Q298" s="122">
        <v>205000</v>
      </c>
      <c r="R298" s="122">
        <v>205000</v>
      </c>
      <c r="S298" s="239"/>
      <c r="T298" s="1477"/>
      <c r="U298" s="169"/>
      <c r="V298" s="169"/>
      <c r="W298" s="169"/>
      <c r="X298" s="169"/>
      <c r="Y298" s="169"/>
      <c r="Z298" s="169"/>
    </row>
    <row r="299" spans="1:26" s="48" customFormat="1" ht="18" customHeight="1" x14ac:dyDescent="0.25">
      <c r="A299" s="961" t="s">
        <v>1388</v>
      </c>
      <c r="B299" s="961" t="s">
        <v>2019</v>
      </c>
      <c r="C299" s="1368" t="s">
        <v>1702</v>
      </c>
      <c r="D299" s="1356"/>
      <c r="E299" s="1368"/>
      <c r="F299" s="1368"/>
      <c r="G299" s="1368"/>
      <c r="H299" s="221"/>
      <c r="I299" s="141"/>
      <c r="J299" s="141"/>
      <c r="K299" s="141"/>
      <c r="L299" s="141"/>
      <c r="M299" s="141"/>
      <c r="N299" s="141"/>
      <c r="O299" s="141"/>
      <c r="P299" s="141"/>
      <c r="Q299" s="141"/>
      <c r="S299" s="239"/>
      <c r="T299" s="1397">
        <v>500000</v>
      </c>
      <c r="U299" s="169"/>
      <c r="V299" s="169"/>
      <c r="W299" s="169"/>
      <c r="X299" s="169"/>
      <c r="Y299" s="169"/>
      <c r="Z299" s="169"/>
    </row>
    <row r="300" spans="1:26" s="48" customFormat="1" ht="18" customHeight="1" x14ac:dyDescent="0.25">
      <c r="A300" s="961" t="s">
        <v>1388</v>
      </c>
      <c r="B300" s="961" t="s">
        <v>2019</v>
      </c>
      <c r="C300" s="1368" t="s">
        <v>1703</v>
      </c>
      <c r="D300" s="1359"/>
      <c r="E300" s="1368"/>
      <c r="F300" s="1368"/>
      <c r="G300" s="1368"/>
      <c r="H300" s="1389"/>
      <c r="I300" s="141"/>
      <c r="J300" s="141"/>
      <c r="K300" s="141"/>
      <c r="L300" s="141"/>
      <c r="M300" s="141"/>
      <c r="N300" s="141"/>
      <c r="O300" s="141"/>
      <c r="P300" s="141">
        <v>500000</v>
      </c>
      <c r="Q300" s="141">
        <v>500000</v>
      </c>
      <c r="R300" s="122">
        <v>500000</v>
      </c>
      <c r="S300" s="239"/>
      <c r="T300" s="1477"/>
      <c r="U300" s="169"/>
      <c r="V300" s="169"/>
      <c r="W300" s="169"/>
      <c r="X300" s="169"/>
      <c r="Y300" s="169"/>
      <c r="Z300" s="169"/>
    </row>
    <row r="301" spans="1:26" s="48" customFormat="1" ht="18" customHeight="1" x14ac:dyDescent="0.25">
      <c r="A301" s="961" t="s">
        <v>1388</v>
      </c>
      <c r="B301" s="961" t="s">
        <v>2019</v>
      </c>
      <c r="C301" s="1368" t="s">
        <v>1704</v>
      </c>
      <c r="D301" s="1359"/>
      <c r="E301" s="1361"/>
      <c r="F301" s="427"/>
      <c r="G301" s="427"/>
      <c r="H301" s="1389"/>
      <c r="I301" s="141"/>
      <c r="J301" s="141"/>
      <c r="K301" s="141"/>
      <c r="L301" s="141"/>
      <c r="M301" s="141"/>
      <c r="N301" s="141"/>
      <c r="O301" s="141"/>
      <c r="P301" s="141">
        <v>200000</v>
      </c>
      <c r="Q301" s="141">
        <v>200000</v>
      </c>
      <c r="R301" s="122">
        <v>200000</v>
      </c>
      <c r="S301" s="239"/>
      <c r="T301" s="1477"/>
      <c r="U301" s="169"/>
      <c r="V301" s="169"/>
      <c r="W301" s="169"/>
      <c r="X301" s="169"/>
      <c r="Y301" s="169"/>
      <c r="Z301" s="169"/>
    </row>
    <row r="302" spans="1:26" s="48" customFormat="1" ht="18" customHeight="1" x14ac:dyDescent="0.25">
      <c r="A302" s="961" t="s">
        <v>1388</v>
      </c>
      <c r="B302" s="961" t="s">
        <v>2019</v>
      </c>
      <c r="C302" s="206" t="s">
        <v>1705</v>
      </c>
      <c r="D302" s="1355"/>
      <c r="E302" s="303"/>
      <c r="F302" s="199"/>
      <c r="G302" s="199"/>
      <c r="H302" s="381"/>
      <c r="I302" s="141"/>
      <c r="J302" s="141"/>
      <c r="K302" s="141"/>
      <c r="L302" s="141"/>
      <c r="M302" s="141"/>
      <c r="N302" s="141"/>
      <c r="O302" s="141"/>
      <c r="P302" s="141">
        <v>300000</v>
      </c>
      <c r="Q302" s="141">
        <v>300000</v>
      </c>
      <c r="R302" s="122">
        <v>300000</v>
      </c>
      <c r="S302" s="1456"/>
      <c r="T302" s="1477"/>
      <c r="U302" s="169"/>
      <c r="V302" s="169"/>
      <c r="W302" s="169"/>
      <c r="X302" s="169"/>
      <c r="Y302" s="169"/>
      <c r="Z302" s="169"/>
    </row>
    <row r="303" spans="1:26" s="48" customFormat="1" ht="18" customHeight="1" x14ac:dyDescent="0.25">
      <c r="A303" s="961" t="s">
        <v>1388</v>
      </c>
      <c r="B303" s="961" t="s">
        <v>2019</v>
      </c>
      <c r="C303" s="206" t="s">
        <v>1706</v>
      </c>
      <c r="D303" s="1355"/>
      <c r="E303" s="303"/>
      <c r="F303" s="199"/>
      <c r="G303" s="199"/>
      <c r="H303" s="381"/>
      <c r="I303" s="141"/>
      <c r="J303" s="141"/>
      <c r="K303" s="141"/>
      <c r="L303" s="141"/>
      <c r="M303" s="141"/>
      <c r="N303" s="141"/>
      <c r="O303" s="141"/>
      <c r="P303" s="141">
        <v>500000</v>
      </c>
      <c r="Q303" s="141">
        <v>500000</v>
      </c>
      <c r="R303" s="122">
        <v>500000</v>
      </c>
      <c r="S303" s="1456"/>
      <c r="T303" s="1477"/>
      <c r="U303" s="169"/>
      <c r="V303" s="169"/>
      <c r="W303" s="169"/>
      <c r="X303" s="169"/>
      <c r="Y303" s="169"/>
      <c r="Z303" s="169"/>
    </row>
    <row r="304" spans="1:26" s="48" customFormat="1" ht="18" customHeight="1" x14ac:dyDescent="0.25">
      <c r="A304" s="961" t="s">
        <v>1388</v>
      </c>
      <c r="B304" s="961" t="s">
        <v>2019</v>
      </c>
      <c r="C304" s="1368" t="s">
        <v>1707</v>
      </c>
      <c r="D304" s="1359"/>
      <c r="E304" s="1362"/>
      <c r="F304" s="427"/>
      <c r="G304" s="427"/>
      <c r="H304" s="1389"/>
      <c r="I304" s="141"/>
      <c r="J304" s="141"/>
      <c r="K304" s="141"/>
      <c r="L304" s="141"/>
      <c r="M304" s="141"/>
      <c r="N304" s="141"/>
      <c r="O304" s="141"/>
      <c r="P304" s="141">
        <v>100000</v>
      </c>
      <c r="Q304" s="141">
        <v>100000</v>
      </c>
      <c r="R304" s="122">
        <v>100000</v>
      </c>
      <c r="S304" s="239"/>
      <c r="T304" s="1477"/>
      <c r="U304" s="169"/>
      <c r="V304" s="169"/>
      <c r="W304" s="169"/>
      <c r="X304" s="169"/>
      <c r="Y304" s="169"/>
      <c r="Z304" s="169"/>
    </row>
    <row r="305" spans="1:26" s="48" customFormat="1" ht="18" customHeight="1" x14ac:dyDescent="0.25">
      <c r="A305" s="961" t="s">
        <v>1388</v>
      </c>
      <c r="B305" s="961" t="s">
        <v>2019</v>
      </c>
      <c r="C305" s="180" t="s">
        <v>1708</v>
      </c>
      <c r="D305" s="1351"/>
      <c r="E305" s="1340"/>
      <c r="F305" s="180"/>
      <c r="G305" s="38"/>
      <c r="H305" s="1391"/>
      <c r="I305" s="122"/>
      <c r="J305" s="122"/>
      <c r="K305" s="122"/>
      <c r="L305" s="122"/>
      <c r="M305" s="122"/>
      <c r="N305" s="122"/>
      <c r="O305" s="122"/>
      <c r="P305" s="122">
        <v>6000000</v>
      </c>
      <c r="Q305" s="122">
        <v>6000000</v>
      </c>
      <c r="R305" s="122">
        <v>6000000</v>
      </c>
      <c r="S305" s="239"/>
      <c r="T305" s="1477"/>
      <c r="U305" s="169"/>
      <c r="V305" s="169"/>
      <c r="W305" s="169"/>
      <c r="X305" s="169"/>
      <c r="Y305" s="169"/>
      <c r="Z305" s="169"/>
    </row>
    <row r="306" spans="1:26" s="48" customFormat="1" ht="18" customHeight="1" x14ac:dyDescent="0.25">
      <c r="A306" s="961" t="s">
        <v>1388</v>
      </c>
      <c r="B306" s="961" t="s">
        <v>2019</v>
      </c>
      <c r="C306" s="1368" t="s">
        <v>1709</v>
      </c>
      <c r="D306" s="1361"/>
      <c r="E306" s="1361"/>
      <c r="F306" s="180"/>
      <c r="G306" s="180"/>
      <c r="H306" s="1393"/>
      <c r="I306" s="122"/>
      <c r="J306" s="122"/>
      <c r="K306" s="122"/>
      <c r="L306" s="122"/>
      <c r="M306" s="122"/>
      <c r="N306" s="122"/>
      <c r="O306" s="122"/>
      <c r="P306" s="122">
        <v>2000000</v>
      </c>
      <c r="Q306" s="122">
        <v>2000000</v>
      </c>
      <c r="R306" s="122">
        <v>2000000</v>
      </c>
      <c r="S306" s="239"/>
      <c r="T306" s="1477"/>
      <c r="U306" s="169"/>
      <c r="V306" s="169"/>
      <c r="W306" s="169"/>
      <c r="X306" s="169"/>
      <c r="Y306" s="169"/>
      <c r="Z306" s="169"/>
    </row>
    <row r="307" spans="1:26" s="48" customFormat="1" ht="18" customHeight="1" x14ac:dyDescent="0.25">
      <c r="A307" s="573" t="s">
        <v>1388</v>
      </c>
      <c r="B307" s="573" t="s">
        <v>2019</v>
      </c>
      <c r="C307" s="206" t="s">
        <v>1711</v>
      </c>
      <c r="D307" s="124"/>
      <c r="E307" s="199"/>
      <c r="F307" s="199"/>
      <c r="G307" s="199"/>
      <c r="H307" s="381"/>
      <c r="I307" s="141"/>
      <c r="J307" s="141"/>
      <c r="K307" s="141"/>
      <c r="L307" s="141"/>
      <c r="M307" s="141"/>
      <c r="N307" s="141"/>
      <c r="O307" s="141"/>
      <c r="P307" s="141">
        <v>1000000</v>
      </c>
      <c r="Q307" s="141">
        <v>1000000</v>
      </c>
      <c r="R307" s="122">
        <v>1000000</v>
      </c>
      <c r="S307" s="239"/>
      <c r="T307" s="1477"/>
      <c r="U307" s="169"/>
      <c r="V307" s="169"/>
      <c r="W307" s="169"/>
      <c r="X307" s="169"/>
      <c r="Y307" s="169"/>
      <c r="Z307" s="169"/>
    </row>
    <row r="308" spans="1:26" s="48" customFormat="1" ht="18" customHeight="1" x14ac:dyDescent="0.25">
      <c r="A308" s="573" t="s">
        <v>1388</v>
      </c>
      <c r="B308" s="573" t="s">
        <v>2019</v>
      </c>
      <c r="C308" s="206" t="s">
        <v>1712</v>
      </c>
      <c r="D308" s="124"/>
      <c r="E308" s="199"/>
      <c r="F308" s="199"/>
      <c r="G308" s="199"/>
      <c r="H308" s="381"/>
      <c r="I308" s="141"/>
      <c r="J308" s="141"/>
      <c r="K308" s="141"/>
      <c r="L308" s="141"/>
      <c r="M308" s="141"/>
      <c r="N308" s="141"/>
      <c r="O308" s="141"/>
      <c r="P308" s="141">
        <v>350000</v>
      </c>
      <c r="Q308" s="141">
        <v>350000</v>
      </c>
      <c r="R308" s="122">
        <v>350000</v>
      </c>
      <c r="S308" s="239"/>
      <c r="T308" s="1477"/>
      <c r="U308" s="169"/>
      <c r="V308" s="169"/>
      <c r="W308" s="169"/>
      <c r="X308" s="169"/>
      <c r="Y308" s="169"/>
      <c r="Z308" s="169"/>
    </row>
    <row r="309" spans="1:26" s="48" customFormat="1" ht="18" customHeight="1" x14ac:dyDescent="0.25">
      <c r="A309" s="573" t="s">
        <v>1388</v>
      </c>
      <c r="B309" s="573" t="s">
        <v>2019</v>
      </c>
      <c r="C309" s="206" t="s">
        <v>1713</v>
      </c>
      <c r="D309" s="124"/>
      <c r="E309" s="199"/>
      <c r="F309" s="199"/>
      <c r="G309" s="199"/>
      <c r="H309" s="381"/>
      <c r="I309" s="141"/>
      <c r="J309" s="141"/>
      <c r="K309" s="141"/>
      <c r="L309" s="141"/>
      <c r="M309" s="141"/>
      <c r="N309" s="141"/>
      <c r="O309" s="141"/>
      <c r="P309" s="141">
        <v>5000000</v>
      </c>
      <c r="Q309" s="141">
        <v>5000000</v>
      </c>
      <c r="R309" s="122">
        <v>5000000</v>
      </c>
      <c r="S309" s="239"/>
      <c r="T309" s="1477"/>
      <c r="U309" s="169"/>
      <c r="V309" s="169"/>
      <c r="W309" s="169"/>
      <c r="X309" s="169"/>
      <c r="Y309" s="169"/>
      <c r="Z309" s="169"/>
    </row>
    <row r="310" spans="1:26" s="48" customFormat="1" ht="18" customHeight="1" x14ac:dyDescent="0.25">
      <c r="A310" s="573" t="s">
        <v>1388</v>
      </c>
      <c r="B310" s="573" t="s">
        <v>2019</v>
      </c>
      <c r="C310" s="206" t="s">
        <v>1714</v>
      </c>
      <c r="D310" s="124"/>
      <c r="E310" s="199"/>
      <c r="F310" s="199"/>
      <c r="G310" s="199"/>
      <c r="H310" s="381"/>
      <c r="I310" s="141"/>
      <c r="J310" s="141"/>
      <c r="K310" s="141"/>
      <c r="L310" s="141"/>
      <c r="M310" s="141"/>
      <c r="N310" s="141"/>
      <c r="O310" s="141"/>
      <c r="P310" s="141">
        <v>500000</v>
      </c>
      <c r="Q310" s="141">
        <v>500000</v>
      </c>
      <c r="R310" s="122">
        <v>500000</v>
      </c>
      <c r="S310" s="239"/>
      <c r="T310" s="1477"/>
      <c r="U310" s="169"/>
      <c r="V310" s="169"/>
      <c r="W310" s="169"/>
      <c r="X310" s="169"/>
      <c r="Y310" s="169"/>
      <c r="Z310" s="169"/>
    </row>
    <row r="311" spans="1:26" s="48" customFormat="1" ht="18" customHeight="1" x14ac:dyDescent="0.25">
      <c r="A311" s="573" t="s">
        <v>1388</v>
      </c>
      <c r="B311" s="573" t="s">
        <v>2019</v>
      </c>
      <c r="C311" s="206" t="s">
        <v>1715</v>
      </c>
      <c r="D311" s="124"/>
      <c r="E311" s="199"/>
      <c r="F311" s="199"/>
      <c r="G311" s="199"/>
      <c r="H311" s="381"/>
      <c r="I311" s="141"/>
      <c r="J311" s="141"/>
      <c r="K311" s="141"/>
      <c r="L311" s="141"/>
      <c r="M311" s="141"/>
      <c r="N311" s="141"/>
      <c r="O311" s="141"/>
      <c r="P311" s="141">
        <v>6000000</v>
      </c>
      <c r="Q311" s="141">
        <v>6000000</v>
      </c>
      <c r="R311" s="122">
        <v>1000000</v>
      </c>
      <c r="S311" s="239"/>
      <c r="T311" s="1477"/>
      <c r="U311" s="169"/>
      <c r="V311" s="169"/>
      <c r="W311" s="169"/>
      <c r="X311" s="169"/>
      <c r="Y311" s="169"/>
      <c r="Z311" s="169"/>
    </row>
    <row r="312" spans="1:26" s="48" customFormat="1" ht="18" customHeight="1" x14ac:dyDescent="0.25">
      <c r="A312" s="573" t="s">
        <v>1388</v>
      </c>
      <c r="B312" s="573" t="s">
        <v>2019</v>
      </c>
      <c r="C312" s="206" t="s">
        <v>1716</v>
      </c>
      <c r="D312" s="124"/>
      <c r="E312" s="199"/>
      <c r="F312" s="199"/>
      <c r="G312" s="199"/>
      <c r="H312" s="381"/>
      <c r="I312" s="141"/>
      <c r="J312" s="141"/>
      <c r="K312" s="141"/>
      <c r="L312" s="141"/>
      <c r="M312" s="141"/>
      <c r="N312" s="141"/>
      <c r="O312" s="141"/>
      <c r="P312" s="141">
        <v>500000</v>
      </c>
      <c r="Q312" s="141">
        <v>500000</v>
      </c>
      <c r="R312" s="122">
        <v>500000</v>
      </c>
      <c r="S312" s="239"/>
      <c r="T312" s="1478"/>
      <c r="U312" s="169"/>
      <c r="V312" s="169"/>
      <c r="W312" s="169"/>
      <c r="X312" s="169"/>
      <c r="Y312" s="169"/>
      <c r="Z312" s="169"/>
    </row>
    <row r="313" spans="1:26" s="48" customFormat="1" ht="18" customHeight="1" x14ac:dyDescent="0.25">
      <c r="A313" s="573" t="s">
        <v>1388</v>
      </c>
      <c r="B313" s="573" t="s">
        <v>2019</v>
      </c>
      <c r="C313" s="1366" t="s">
        <v>1717</v>
      </c>
      <c r="D313" s="124"/>
      <c r="E313" s="1357"/>
      <c r="F313" s="199"/>
      <c r="G313" s="199"/>
      <c r="H313" s="381"/>
      <c r="I313" s="141"/>
      <c r="J313" s="141"/>
      <c r="K313" s="141"/>
      <c r="L313" s="141"/>
      <c r="M313" s="141"/>
      <c r="N313" s="141"/>
      <c r="O313" s="141"/>
      <c r="P313" s="141">
        <v>500000</v>
      </c>
      <c r="Q313" s="141">
        <v>500000</v>
      </c>
      <c r="R313" s="122">
        <v>500000</v>
      </c>
      <c r="S313" s="239"/>
      <c r="T313" s="1478"/>
      <c r="U313" s="169"/>
      <c r="V313" s="169"/>
      <c r="W313" s="169"/>
      <c r="X313" s="169"/>
      <c r="Y313" s="169"/>
      <c r="Z313" s="169"/>
    </row>
    <row r="314" spans="1:26" ht="18" x14ac:dyDescent="0.25">
      <c r="A314" s="573" t="s">
        <v>1388</v>
      </c>
      <c r="B314" s="573" t="s">
        <v>2019</v>
      </c>
      <c r="C314" s="1368" t="s">
        <v>1718</v>
      </c>
      <c r="D314" s="124"/>
      <c r="E314" s="1361"/>
      <c r="F314" s="199"/>
      <c r="G314" s="199"/>
      <c r="H314" s="381"/>
      <c r="I314" s="141"/>
      <c r="J314" s="141"/>
      <c r="K314" s="141"/>
      <c r="L314" s="141"/>
      <c r="M314" s="141"/>
      <c r="N314" s="141"/>
      <c r="O314" s="141"/>
      <c r="P314" s="141"/>
      <c r="Q314" s="141"/>
      <c r="R314" s="122">
        <v>1500000</v>
      </c>
    </row>
    <row r="315" spans="1:26" ht="18" x14ac:dyDescent="0.25">
      <c r="A315" s="1439" t="s">
        <v>1388</v>
      </c>
      <c r="B315" s="1439" t="s">
        <v>2019</v>
      </c>
      <c r="C315" s="1368" t="s">
        <v>1720</v>
      </c>
      <c r="D315" s="1356"/>
      <c r="E315" s="1361"/>
      <c r="F315" s="125"/>
      <c r="G315" s="125"/>
      <c r="H315" s="221"/>
      <c r="I315" s="141"/>
      <c r="J315" s="141"/>
      <c r="K315" s="141"/>
      <c r="L315" s="141"/>
      <c r="M315" s="141"/>
      <c r="N315" s="141"/>
      <c r="O315" s="141"/>
      <c r="P315" s="141"/>
      <c r="Q315" s="141"/>
      <c r="R315" s="122">
        <v>500000</v>
      </c>
      <c r="S315" s="239">
        <f>SUM(R267:R315)</f>
        <v>34212000</v>
      </c>
    </row>
    <row r="316" spans="1:26" ht="18" x14ac:dyDescent="0.25">
      <c r="A316" s="1439"/>
      <c r="B316" s="1439"/>
      <c r="C316" s="1368"/>
      <c r="D316" s="1356"/>
      <c r="E316" s="1361"/>
      <c r="F316" s="125"/>
      <c r="G316" s="125"/>
      <c r="H316" s="221"/>
      <c r="I316" s="141"/>
      <c r="J316" s="141"/>
      <c r="K316" s="141"/>
      <c r="L316" s="141"/>
      <c r="M316" s="141"/>
      <c r="N316" s="141"/>
      <c r="O316" s="141"/>
      <c r="P316" s="141"/>
      <c r="Q316" s="141"/>
      <c r="R316" s="122"/>
    </row>
    <row r="317" spans="1:26" ht="18" x14ac:dyDescent="0.25">
      <c r="A317" s="1439"/>
      <c r="B317" s="1439"/>
      <c r="C317" s="1368"/>
      <c r="D317" s="1356"/>
      <c r="E317" s="1361"/>
      <c r="F317" s="125"/>
      <c r="G317" s="125"/>
      <c r="H317" s="221"/>
      <c r="I317" s="141"/>
      <c r="J317" s="141"/>
      <c r="K317" s="141"/>
      <c r="L317" s="141"/>
      <c r="M317" s="141"/>
      <c r="N317" s="141"/>
      <c r="O317" s="141"/>
      <c r="P317" s="141"/>
      <c r="Q317" s="141"/>
      <c r="R317" s="122"/>
    </row>
    <row r="318" spans="1:26" ht="18" x14ac:dyDescent="0.25">
      <c r="A318" s="1439"/>
      <c r="B318" s="1439"/>
      <c r="C318" s="1368"/>
      <c r="D318" s="1356"/>
      <c r="E318" s="1361"/>
      <c r="F318" s="125"/>
      <c r="G318" s="125"/>
      <c r="H318" s="221"/>
      <c r="I318" s="141"/>
      <c r="J318" s="141"/>
      <c r="K318" s="141"/>
      <c r="L318" s="141"/>
      <c r="M318" s="141"/>
      <c r="N318" s="141"/>
      <c r="O318" s="141"/>
      <c r="P318" s="141"/>
      <c r="Q318" s="141"/>
      <c r="R318" s="122"/>
    </row>
    <row r="319" spans="1:26" ht="18" x14ac:dyDescent="0.25">
      <c r="A319" s="961" t="s">
        <v>1386</v>
      </c>
      <c r="B319" s="961" t="s">
        <v>163</v>
      </c>
      <c r="C319" s="44" t="s">
        <v>399</v>
      </c>
      <c r="D319" s="1356"/>
      <c r="E319" s="125"/>
      <c r="F319" s="125"/>
      <c r="G319" s="125"/>
      <c r="H319" s="221" t="s">
        <v>395</v>
      </c>
      <c r="I319" s="141">
        <v>517818.5</v>
      </c>
      <c r="J319" s="141">
        <v>760000</v>
      </c>
      <c r="K319" s="141"/>
      <c r="L319" s="141">
        <f t="shared" ref="L319:L325" si="5">M319-K319</f>
        <v>760000</v>
      </c>
      <c r="M319" s="141">
        <v>760000</v>
      </c>
      <c r="N319" s="141">
        <v>401537.4</v>
      </c>
      <c r="O319" s="141"/>
      <c r="P319" s="141">
        <v>760000</v>
      </c>
      <c r="Q319" s="141">
        <v>760000</v>
      </c>
      <c r="R319" s="122">
        <v>760000</v>
      </c>
    </row>
    <row r="320" spans="1:26" ht="18" x14ac:dyDescent="0.25">
      <c r="A320" s="961" t="s">
        <v>1386</v>
      </c>
      <c r="B320" s="961" t="s">
        <v>163</v>
      </c>
      <c r="C320" s="180" t="s">
        <v>398</v>
      </c>
      <c r="D320" s="652"/>
      <c r="E320" s="225"/>
      <c r="F320" s="225"/>
      <c r="G320" s="225"/>
      <c r="H320" s="1234" t="s">
        <v>395</v>
      </c>
      <c r="I320" s="141">
        <v>29018</v>
      </c>
      <c r="J320" s="141">
        <v>52400</v>
      </c>
      <c r="K320" s="141">
        <v>28182</v>
      </c>
      <c r="L320" s="141">
        <f t="shared" si="5"/>
        <v>24218</v>
      </c>
      <c r="M320" s="141">
        <v>52400</v>
      </c>
      <c r="N320" s="141">
        <v>35840</v>
      </c>
      <c r="O320" s="141"/>
      <c r="P320" s="141">
        <v>55900</v>
      </c>
      <c r="Q320" s="141">
        <v>55900</v>
      </c>
      <c r="R320" s="122">
        <v>55900</v>
      </c>
    </row>
    <row r="321" spans="1:26" s="48" customFormat="1" ht="18" customHeight="1" x14ac:dyDescent="0.25">
      <c r="A321" s="961" t="s">
        <v>1386</v>
      </c>
      <c r="B321" s="961" t="s">
        <v>163</v>
      </c>
      <c r="C321" s="180" t="s">
        <v>397</v>
      </c>
      <c r="D321" s="652"/>
      <c r="E321" s="225"/>
      <c r="F321" s="225"/>
      <c r="G321" s="225"/>
      <c r="H321" s="1234" t="s">
        <v>395</v>
      </c>
      <c r="I321" s="141">
        <v>433277.98</v>
      </c>
      <c r="J321" s="141">
        <v>1465000</v>
      </c>
      <c r="K321" s="141">
        <v>365948.54</v>
      </c>
      <c r="L321" s="141">
        <f t="shared" si="5"/>
        <v>1099051.46</v>
      </c>
      <c r="M321" s="141">
        <v>1465000</v>
      </c>
      <c r="N321" s="141">
        <v>376655.31</v>
      </c>
      <c r="O321" s="141"/>
      <c r="P321" s="141">
        <v>1465000</v>
      </c>
      <c r="Q321" s="141">
        <v>1465000</v>
      </c>
      <c r="R321" s="122">
        <v>1465000</v>
      </c>
      <c r="S321" s="1456"/>
      <c r="T321" s="1478"/>
      <c r="U321" s="169"/>
      <c r="V321" s="169"/>
      <c r="W321" s="169"/>
      <c r="X321" s="169"/>
      <c r="Y321" s="169"/>
      <c r="Z321" s="169"/>
    </row>
    <row r="322" spans="1:26" s="48" customFormat="1" ht="18" customHeight="1" x14ac:dyDescent="0.25">
      <c r="A322" s="961" t="s">
        <v>1386</v>
      </c>
      <c r="B322" s="961" t="s">
        <v>163</v>
      </c>
      <c r="C322" s="180" t="s">
        <v>396</v>
      </c>
      <c r="D322" s="652"/>
      <c r="E322" s="225"/>
      <c r="F322" s="225"/>
      <c r="G322" s="225"/>
      <c r="H322" s="1234" t="s">
        <v>395</v>
      </c>
      <c r="I322" s="141">
        <v>107982.54</v>
      </c>
      <c r="J322" s="141">
        <v>304000</v>
      </c>
      <c r="K322" s="141">
        <v>66250</v>
      </c>
      <c r="L322" s="141">
        <f t="shared" si="5"/>
        <v>237750</v>
      </c>
      <c r="M322" s="141">
        <v>304000</v>
      </c>
      <c r="N322" s="141">
        <v>71070</v>
      </c>
      <c r="O322" s="141"/>
      <c r="P322" s="141">
        <v>339000</v>
      </c>
      <c r="Q322" s="141">
        <v>339000</v>
      </c>
      <c r="R322" s="122">
        <v>339000</v>
      </c>
      <c r="S322" s="1456"/>
      <c r="T322" s="1478"/>
      <c r="U322" s="169"/>
      <c r="V322" s="169"/>
      <c r="W322" s="169"/>
      <c r="X322" s="169"/>
      <c r="Y322" s="169"/>
      <c r="Z322" s="169"/>
    </row>
    <row r="323" spans="1:26" s="48" customFormat="1" ht="18" customHeight="1" x14ac:dyDescent="0.25">
      <c r="A323" s="1439" t="s">
        <v>1386</v>
      </c>
      <c r="B323" s="1439" t="s">
        <v>163</v>
      </c>
      <c r="C323" s="44" t="s">
        <v>426</v>
      </c>
      <c r="D323" s="1356"/>
      <c r="E323" s="125"/>
      <c r="F323" s="125"/>
      <c r="G323" s="125"/>
      <c r="H323" s="221" t="s">
        <v>427</v>
      </c>
      <c r="I323" s="141">
        <v>790832</v>
      </c>
      <c r="J323" s="141">
        <v>1432325</v>
      </c>
      <c r="K323" s="141"/>
      <c r="L323" s="141">
        <f t="shared" si="5"/>
        <v>1432325</v>
      </c>
      <c r="M323" s="141">
        <v>1432325</v>
      </c>
      <c r="N323" s="141"/>
      <c r="O323" s="141"/>
      <c r="P323" s="141">
        <v>956025</v>
      </c>
      <c r="Q323" s="141">
        <v>956025</v>
      </c>
      <c r="R323" s="122">
        <v>956025</v>
      </c>
      <c r="S323" s="239"/>
      <c r="T323" s="1478"/>
      <c r="U323" s="169"/>
      <c r="V323" s="169"/>
      <c r="W323" s="169"/>
      <c r="X323" s="169"/>
      <c r="Y323" s="169"/>
      <c r="Z323" s="169"/>
    </row>
    <row r="324" spans="1:26" s="146" customFormat="1" ht="18" customHeight="1" x14ac:dyDescent="0.25">
      <c r="A324" s="961" t="s">
        <v>1386</v>
      </c>
      <c r="B324" s="961" t="s">
        <v>163</v>
      </c>
      <c r="C324" s="44" t="s">
        <v>190</v>
      </c>
      <c r="D324" s="1355"/>
      <c r="E324" s="113"/>
      <c r="F324" s="113"/>
      <c r="G324" s="113"/>
      <c r="H324" s="381" t="s">
        <v>191</v>
      </c>
      <c r="I324" s="141">
        <v>0</v>
      </c>
      <c r="J324" s="141">
        <v>120000</v>
      </c>
      <c r="K324" s="141"/>
      <c r="L324" s="141">
        <f t="shared" si="5"/>
        <v>120000</v>
      </c>
      <c r="M324" s="141">
        <v>120000</v>
      </c>
      <c r="N324" s="141">
        <v>0</v>
      </c>
      <c r="O324" s="141"/>
      <c r="P324" s="141">
        <v>250000</v>
      </c>
      <c r="Q324" s="141">
        <v>250000</v>
      </c>
      <c r="R324" s="122">
        <v>120000</v>
      </c>
      <c r="S324" s="239"/>
      <c r="T324" s="1476"/>
    </row>
    <row r="325" spans="1:26" s="48" customFormat="1" ht="18" customHeight="1" x14ac:dyDescent="0.25">
      <c r="A325" s="961" t="s">
        <v>1386</v>
      </c>
      <c r="B325" s="961" t="s">
        <v>163</v>
      </c>
      <c r="C325" s="206" t="s">
        <v>190</v>
      </c>
      <c r="D325" s="1355"/>
      <c r="E325" s="184"/>
      <c r="F325" s="184"/>
      <c r="G325" s="184"/>
      <c r="H325" s="221" t="s">
        <v>191</v>
      </c>
      <c r="I325" s="141">
        <v>0</v>
      </c>
      <c r="J325" s="141">
        <v>150000</v>
      </c>
      <c r="K325" s="141"/>
      <c r="L325" s="141">
        <f t="shared" si="5"/>
        <v>150000</v>
      </c>
      <c r="M325" s="141">
        <v>150000</v>
      </c>
      <c r="N325" s="141"/>
      <c r="O325" s="141"/>
      <c r="P325" s="141">
        <v>150000</v>
      </c>
      <c r="Q325" s="141">
        <v>150000</v>
      </c>
      <c r="R325" s="122">
        <v>50000</v>
      </c>
      <c r="S325" s="239">
        <f>SUM(R324:R325)</f>
        <v>170000</v>
      </c>
      <c r="T325" s="1478"/>
      <c r="U325" s="169"/>
      <c r="V325" s="169"/>
      <c r="W325" s="169"/>
      <c r="X325" s="169"/>
      <c r="Y325" s="169"/>
      <c r="Z325" s="169"/>
    </row>
    <row r="326" spans="1:26" s="48" customFormat="1" ht="18" customHeight="1" x14ac:dyDescent="0.25">
      <c r="A326" s="961" t="s">
        <v>1386</v>
      </c>
      <c r="B326" s="961" t="s">
        <v>163</v>
      </c>
      <c r="C326" s="1368" t="s">
        <v>1547</v>
      </c>
      <c r="D326" s="1359"/>
      <c r="E326" s="1361"/>
      <c r="F326" s="1361"/>
      <c r="G326" s="192"/>
      <c r="H326" s="1389"/>
      <c r="I326" s="141">
        <v>0</v>
      </c>
      <c r="J326" s="141"/>
      <c r="K326" s="141"/>
      <c r="L326" s="141"/>
      <c r="M326" s="141">
        <v>0</v>
      </c>
      <c r="N326" s="141">
        <v>0</v>
      </c>
      <c r="O326" s="141"/>
      <c r="P326" s="141">
        <v>500000</v>
      </c>
      <c r="Q326" s="141">
        <v>500000</v>
      </c>
      <c r="R326" s="122">
        <v>350000</v>
      </c>
      <c r="S326" s="1456"/>
      <c r="T326" s="1477"/>
      <c r="U326" s="169"/>
      <c r="V326" s="169"/>
      <c r="W326" s="169"/>
      <c r="X326" s="169"/>
      <c r="Y326" s="169"/>
      <c r="Z326" s="169"/>
    </row>
    <row r="327" spans="1:26" s="146" customFormat="1" ht="18" x14ac:dyDescent="0.25">
      <c r="A327" s="1440" t="s">
        <v>1386</v>
      </c>
      <c r="B327" s="1440" t="s">
        <v>163</v>
      </c>
      <c r="C327" s="44" t="s">
        <v>1562</v>
      </c>
      <c r="D327" s="1355"/>
      <c r="E327" s="125"/>
      <c r="F327" s="125"/>
      <c r="G327" s="125"/>
      <c r="H327" s="221" t="s">
        <v>218</v>
      </c>
      <c r="I327" s="141">
        <v>0</v>
      </c>
      <c r="J327" s="141">
        <v>7200</v>
      </c>
      <c r="K327" s="141"/>
      <c r="L327" s="141">
        <f>M327-K327</f>
        <v>7200</v>
      </c>
      <c r="M327" s="141">
        <v>7200</v>
      </c>
      <c r="N327" s="141">
        <v>0</v>
      </c>
      <c r="O327" s="141"/>
      <c r="P327" s="141"/>
      <c r="Q327" s="141"/>
      <c r="R327" s="141">
        <v>0</v>
      </c>
      <c r="S327" s="1456"/>
      <c r="T327" s="1476"/>
    </row>
    <row r="328" spans="1:26" s="146" customFormat="1" ht="18" x14ac:dyDescent="0.25">
      <c r="A328" s="573" t="s">
        <v>1386</v>
      </c>
      <c r="B328" s="573" t="s">
        <v>163</v>
      </c>
      <c r="C328" s="206" t="s">
        <v>1562</v>
      </c>
      <c r="D328" s="1355"/>
      <c r="E328" s="125"/>
      <c r="F328" s="199"/>
      <c r="G328" s="1355"/>
      <c r="H328" s="381"/>
      <c r="I328" s="141"/>
      <c r="J328" s="141"/>
      <c r="K328" s="141"/>
      <c r="L328" s="141"/>
      <c r="M328" s="141"/>
      <c r="N328" s="141"/>
      <c r="O328" s="141"/>
      <c r="P328" s="141"/>
      <c r="Q328" s="141"/>
      <c r="R328" s="122">
        <v>7200</v>
      </c>
      <c r="S328" s="239"/>
      <c r="T328" s="1476"/>
    </row>
    <row r="329" spans="1:26" s="7" customFormat="1" ht="15" customHeight="1" x14ac:dyDescent="0.25">
      <c r="A329" s="1439" t="s">
        <v>1386</v>
      </c>
      <c r="B329" s="1439" t="s">
        <v>163</v>
      </c>
      <c r="C329" s="44" t="s">
        <v>1562</v>
      </c>
      <c r="D329" s="1356"/>
      <c r="E329" s="125"/>
      <c r="F329" s="125"/>
      <c r="G329" s="125"/>
      <c r="H329" s="221" t="s">
        <v>218</v>
      </c>
      <c r="I329" s="141">
        <v>5640</v>
      </c>
      <c r="J329" s="141">
        <v>5700</v>
      </c>
      <c r="K329" s="141">
        <v>2630</v>
      </c>
      <c r="L329" s="141">
        <f>M329-K329</f>
        <v>3070</v>
      </c>
      <c r="M329" s="141">
        <v>5700</v>
      </c>
      <c r="N329" s="141">
        <v>3340</v>
      </c>
      <c r="O329" s="141"/>
      <c r="P329" s="141">
        <v>5700</v>
      </c>
      <c r="Q329" s="141">
        <v>5700</v>
      </c>
      <c r="R329" s="122">
        <v>5700</v>
      </c>
      <c r="S329" s="239">
        <f>SUM(R327:R329)</f>
        <v>12900</v>
      </c>
      <c r="T329" s="1475"/>
      <c r="U329" s="1380"/>
      <c r="V329" s="1380"/>
      <c r="W329" s="1380"/>
      <c r="X329" s="1380"/>
      <c r="Y329" s="1380"/>
      <c r="Z329" s="1380"/>
    </row>
    <row r="330" spans="1:26" s="7" customFormat="1" ht="15" customHeight="1" x14ac:dyDescent="0.25">
      <c r="A330" s="961" t="s">
        <v>1386</v>
      </c>
      <c r="B330" s="961" t="s">
        <v>163</v>
      </c>
      <c r="C330" s="44" t="s">
        <v>1550</v>
      </c>
      <c r="D330" s="1355"/>
      <c r="E330" s="113"/>
      <c r="F330" s="113"/>
      <c r="G330" s="113"/>
      <c r="H330" s="381"/>
      <c r="I330" s="141"/>
      <c r="J330" s="141"/>
      <c r="K330" s="141"/>
      <c r="L330" s="141"/>
      <c r="M330" s="141">
        <v>2000000</v>
      </c>
      <c r="N330" s="141">
        <v>500000</v>
      </c>
      <c r="O330" s="141"/>
      <c r="P330" s="141">
        <v>1500000</v>
      </c>
      <c r="Q330" s="141">
        <v>1500000</v>
      </c>
      <c r="R330" s="122">
        <v>1000000</v>
      </c>
      <c r="S330" s="239"/>
      <c r="T330" s="1475"/>
      <c r="U330" s="1380"/>
      <c r="V330" s="1380"/>
      <c r="W330" s="1380"/>
      <c r="X330" s="1380"/>
      <c r="Y330" s="1380"/>
      <c r="Z330" s="1380"/>
    </row>
    <row r="331" spans="1:26" s="7" customFormat="1" ht="15" customHeight="1" x14ac:dyDescent="0.25">
      <c r="A331" s="961" t="s">
        <v>1386</v>
      </c>
      <c r="B331" s="961" t="s">
        <v>163</v>
      </c>
      <c r="C331" s="44" t="s">
        <v>384</v>
      </c>
      <c r="D331" s="1356"/>
      <c r="E331" s="125"/>
      <c r="F331" s="125"/>
      <c r="G331" s="125"/>
      <c r="H331" s="1402" t="s">
        <v>385</v>
      </c>
      <c r="I331" s="141">
        <v>6349846.2199999997</v>
      </c>
      <c r="J331" s="141">
        <v>6000000</v>
      </c>
      <c r="K331" s="141">
        <v>4102764.98</v>
      </c>
      <c r="L331" s="141">
        <f>M331-K331</f>
        <v>1923285.27</v>
      </c>
      <c r="M331" s="141">
        <v>6026050.25</v>
      </c>
      <c r="N331" s="141">
        <v>6026050.25</v>
      </c>
      <c r="O331" s="141"/>
      <c r="P331" s="141">
        <v>10000000</v>
      </c>
      <c r="Q331" s="141">
        <v>10000000</v>
      </c>
      <c r="R331" s="122">
        <v>10000000</v>
      </c>
      <c r="S331" s="239"/>
      <c r="T331" s="1475"/>
      <c r="U331" s="1380"/>
      <c r="V331" s="1380"/>
      <c r="W331" s="1380"/>
      <c r="X331" s="1380"/>
      <c r="Y331" s="1380"/>
      <c r="Z331" s="1380"/>
    </row>
    <row r="332" spans="1:26" s="7" customFormat="1" ht="15" customHeight="1" x14ac:dyDescent="0.25">
      <c r="A332" s="961" t="s">
        <v>1386</v>
      </c>
      <c r="B332" s="961" t="s">
        <v>163</v>
      </c>
      <c r="C332" s="44" t="s">
        <v>184</v>
      </c>
      <c r="D332" s="1355"/>
      <c r="E332" s="113"/>
      <c r="F332" s="113"/>
      <c r="G332" s="113"/>
      <c r="H332" s="381" t="s">
        <v>185</v>
      </c>
      <c r="I332" s="141">
        <v>0</v>
      </c>
      <c r="J332" s="141">
        <v>232912.19</v>
      </c>
      <c r="K332" s="141"/>
      <c r="L332" s="141">
        <f>M332-K332</f>
        <v>232912.19</v>
      </c>
      <c r="M332" s="141">
        <v>232912.19</v>
      </c>
      <c r="N332" s="141">
        <v>0</v>
      </c>
      <c r="O332" s="141"/>
      <c r="P332" s="122">
        <v>251928</v>
      </c>
      <c r="Q332" s="122">
        <v>251928</v>
      </c>
      <c r="R332" s="122">
        <v>251928</v>
      </c>
      <c r="S332" s="239"/>
      <c r="T332" s="1475"/>
      <c r="U332" s="1380"/>
      <c r="V332" s="1380"/>
      <c r="W332" s="1380"/>
      <c r="X332" s="1380"/>
      <c r="Y332" s="1380"/>
      <c r="Z332" s="1380"/>
    </row>
    <row r="333" spans="1:26" s="7" customFormat="1" ht="15" customHeight="1" x14ac:dyDescent="0.25">
      <c r="A333" s="1439" t="s">
        <v>1386</v>
      </c>
      <c r="B333" s="1439" t="s">
        <v>163</v>
      </c>
      <c r="C333" s="44" t="s">
        <v>430</v>
      </c>
      <c r="D333" s="1356"/>
      <c r="E333" s="125"/>
      <c r="F333" s="125"/>
      <c r="G333" s="125"/>
      <c r="H333" s="221" t="s">
        <v>431</v>
      </c>
      <c r="I333" s="141">
        <v>314400</v>
      </c>
      <c r="J333" s="141">
        <v>400000</v>
      </c>
      <c r="K333" s="141">
        <v>28800</v>
      </c>
      <c r="L333" s="141">
        <f>M333-K333</f>
        <v>371200</v>
      </c>
      <c r="M333" s="141">
        <v>400000</v>
      </c>
      <c r="N333" s="141">
        <v>28800</v>
      </c>
      <c r="O333" s="141"/>
      <c r="P333" s="141">
        <v>475000</v>
      </c>
      <c r="Q333" s="141">
        <v>475000</v>
      </c>
      <c r="R333" s="122">
        <v>475000</v>
      </c>
      <c r="S333" s="239"/>
      <c r="T333" s="1475"/>
      <c r="U333" s="1380"/>
      <c r="V333" s="1380"/>
      <c r="W333" s="1380"/>
      <c r="X333" s="1380"/>
      <c r="Y333" s="1380"/>
      <c r="Z333" s="1380"/>
    </row>
    <row r="334" spans="1:26" s="7" customFormat="1" ht="15" customHeight="1" x14ac:dyDescent="0.25">
      <c r="A334" s="961" t="s">
        <v>1386</v>
      </c>
      <c r="B334" s="961" t="s">
        <v>163</v>
      </c>
      <c r="C334" s="44" t="s">
        <v>1615</v>
      </c>
      <c r="D334" s="1355"/>
      <c r="E334" s="170"/>
      <c r="F334" s="170"/>
      <c r="G334" s="170"/>
      <c r="H334" s="231"/>
      <c r="I334" s="122"/>
      <c r="J334" s="122"/>
      <c r="K334" s="122"/>
      <c r="L334" s="141"/>
      <c r="M334" s="122"/>
      <c r="N334" s="122"/>
      <c r="O334" s="122"/>
      <c r="P334" s="122"/>
      <c r="Q334" s="122"/>
      <c r="R334" s="122">
        <v>600000</v>
      </c>
      <c r="S334" s="239" t="s">
        <v>2084</v>
      </c>
      <c r="T334" s="1475"/>
      <c r="U334" s="1380"/>
      <c r="V334" s="1380"/>
      <c r="W334" s="1380"/>
      <c r="X334" s="1380"/>
      <c r="Y334" s="1380"/>
      <c r="Z334" s="1380"/>
    </row>
    <row r="335" spans="1:26" s="7" customFormat="1" ht="15" customHeight="1" x14ac:dyDescent="0.25">
      <c r="A335" s="961" t="s">
        <v>1386</v>
      </c>
      <c r="B335" s="961" t="s">
        <v>163</v>
      </c>
      <c r="C335" s="44" t="s">
        <v>172</v>
      </c>
      <c r="D335" s="1355"/>
      <c r="E335" s="113"/>
      <c r="F335" s="113"/>
      <c r="G335" s="113"/>
      <c r="H335" s="381" t="s">
        <v>173</v>
      </c>
      <c r="I335" s="141">
        <v>789986.61</v>
      </c>
      <c r="J335" s="141">
        <v>1500000</v>
      </c>
      <c r="K335" s="141">
        <v>803345.17</v>
      </c>
      <c r="L335" s="141">
        <f>M335-K335</f>
        <v>1696654.83</v>
      </c>
      <c r="M335" s="141">
        <v>2500000</v>
      </c>
      <c r="N335" s="141">
        <v>1355208.08</v>
      </c>
      <c r="O335" s="141"/>
      <c r="P335" s="141"/>
      <c r="Q335" s="141"/>
      <c r="R335" s="122">
        <v>1000000</v>
      </c>
      <c r="S335" s="7" t="s">
        <v>2089</v>
      </c>
      <c r="T335" s="1475"/>
      <c r="U335" s="1380"/>
      <c r="V335" s="1380"/>
      <c r="W335" s="1380"/>
      <c r="X335" s="1380"/>
      <c r="Y335" s="1380"/>
      <c r="Z335" s="1380"/>
    </row>
    <row r="336" spans="1:26" s="7" customFormat="1" ht="15" customHeight="1" x14ac:dyDescent="0.25">
      <c r="A336" s="961" t="s">
        <v>1386</v>
      </c>
      <c r="B336" s="961" t="s">
        <v>163</v>
      </c>
      <c r="C336" s="206" t="s">
        <v>295</v>
      </c>
      <c r="D336" s="1355"/>
      <c r="E336" s="184"/>
      <c r="F336" s="184"/>
      <c r="G336" s="184"/>
      <c r="H336" s="221" t="s">
        <v>173</v>
      </c>
      <c r="I336" s="141">
        <v>171267.5</v>
      </c>
      <c r="J336" s="141">
        <v>250000</v>
      </c>
      <c r="K336" s="141">
        <v>97151.8</v>
      </c>
      <c r="L336" s="141">
        <f>M336-K336</f>
        <v>152848.20000000001</v>
      </c>
      <c r="M336" s="141">
        <v>250000</v>
      </c>
      <c r="N336" s="141">
        <v>137606.20000000001</v>
      </c>
      <c r="O336" s="141"/>
      <c r="P336" s="141">
        <v>250000</v>
      </c>
      <c r="Q336" s="141">
        <v>250000</v>
      </c>
      <c r="R336" s="122">
        <v>250000</v>
      </c>
      <c r="S336" s="239" t="s">
        <v>2085</v>
      </c>
      <c r="T336" s="1475"/>
      <c r="U336" s="1380"/>
      <c r="V336" s="1380"/>
      <c r="W336" s="1380"/>
      <c r="X336" s="1380"/>
      <c r="Y336" s="1380"/>
      <c r="Z336" s="1380"/>
    </row>
    <row r="337" spans="1:26" s="7" customFormat="1" ht="15" customHeight="1" x14ac:dyDescent="0.25">
      <c r="A337" s="573" t="s">
        <v>1386</v>
      </c>
      <c r="B337" s="573" t="s">
        <v>163</v>
      </c>
      <c r="C337" s="206" t="s">
        <v>295</v>
      </c>
      <c r="D337" s="1355"/>
      <c r="E337" s="184"/>
      <c r="F337" s="184"/>
      <c r="G337" s="184"/>
      <c r="H337" s="221" t="s">
        <v>173</v>
      </c>
      <c r="I337" s="141">
        <v>48298.55</v>
      </c>
      <c r="J337" s="141">
        <v>200000</v>
      </c>
      <c r="K337" s="141">
        <v>31085.05</v>
      </c>
      <c r="L337" s="141">
        <f>M337-K337</f>
        <v>168914.95</v>
      </c>
      <c r="M337" s="141">
        <v>200000</v>
      </c>
      <c r="N337" s="141">
        <v>47644.6</v>
      </c>
      <c r="O337" s="141"/>
      <c r="P337" s="141">
        <v>200000</v>
      </c>
      <c r="Q337" s="141">
        <v>200000</v>
      </c>
      <c r="R337" s="122">
        <v>200000</v>
      </c>
      <c r="S337" s="239" t="s">
        <v>2086</v>
      </c>
      <c r="T337" s="1475"/>
      <c r="U337" s="1380"/>
      <c r="V337" s="1380"/>
      <c r="W337" s="1380"/>
      <c r="X337" s="1380"/>
      <c r="Y337" s="1380"/>
      <c r="Z337" s="1380"/>
    </row>
    <row r="338" spans="1:26" s="7" customFormat="1" ht="15" customHeight="1" x14ac:dyDescent="0.25">
      <c r="A338" s="573" t="s">
        <v>1386</v>
      </c>
      <c r="B338" s="573" t="s">
        <v>163</v>
      </c>
      <c r="C338" s="206" t="s">
        <v>295</v>
      </c>
      <c r="D338" s="1355"/>
      <c r="E338" s="184"/>
      <c r="F338" s="184"/>
      <c r="G338" s="184"/>
      <c r="H338" s="221" t="s">
        <v>173</v>
      </c>
      <c r="I338" s="141">
        <v>3251.16</v>
      </c>
      <c r="J338" s="141">
        <v>100000</v>
      </c>
      <c r="K338" s="141">
        <v>4973.6499999999996</v>
      </c>
      <c r="L338" s="141">
        <f>M338-K338</f>
        <v>95026.35</v>
      </c>
      <c r="M338" s="141">
        <v>100000</v>
      </c>
      <c r="N338" s="141">
        <v>21313.25</v>
      </c>
      <c r="O338" s="141"/>
      <c r="P338" s="141">
        <v>100000</v>
      </c>
      <c r="Q338" s="141">
        <v>100000</v>
      </c>
      <c r="R338" s="122">
        <v>100000</v>
      </c>
      <c r="S338" s="239" t="s">
        <v>2087</v>
      </c>
      <c r="T338" s="1475"/>
      <c r="U338" s="1380"/>
      <c r="V338" s="1380"/>
      <c r="W338" s="1380"/>
      <c r="X338" s="1380"/>
      <c r="Y338" s="1380"/>
      <c r="Z338" s="1380"/>
    </row>
    <row r="339" spans="1:26" s="7" customFormat="1" ht="15" customHeight="1" x14ac:dyDescent="0.25">
      <c r="A339" s="1489" t="s">
        <v>1386</v>
      </c>
      <c r="B339" s="1489" t="s">
        <v>163</v>
      </c>
      <c r="C339" s="1491" t="s">
        <v>295</v>
      </c>
      <c r="D339" s="1492"/>
      <c r="E339" s="1493"/>
      <c r="F339" s="1493"/>
      <c r="G339" s="1493"/>
      <c r="H339" s="1494"/>
      <c r="I339" s="1398"/>
      <c r="J339" s="1398"/>
      <c r="K339" s="1398"/>
      <c r="L339" s="1398"/>
      <c r="M339" s="1398"/>
      <c r="N339" s="1398"/>
      <c r="O339" s="1398"/>
      <c r="P339" s="1398"/>
      <c r="Q339" s="1398"/>
      <c r="R339" s="1397">
        <v>202080</v>
      </c>
      <c r="S339" s="1457"/>
      <c r="T339" s="1475"/>
      <c r="U339" s="1380"/>
      <c r="V339" s="1380"/>
      <c r="W339" s="1380"/>
      <c r="X339" s="1380"/>
      <c r="Y339" s="1380"/>
      <c r="Z339" s="1380"/>
    </row>
    <row r="340" spans="1:26" s="7" customFormat="1" ht="15" customHeight="1" x14ac:dyDescent="0.25">
      <c r="A340" s="1489" t="s">
        <v>1386</v>
      </c>
      <c r="B340" s="1489" t="s">
        <v>163</v>
      </c>
      <c r="C340" s="1491" t="s">
        <v>295</v>
      </c>
      <c r="D340" s="1492"/>
      <c r="E340" s="1493"/>
      <c r="F340" s="1493"/>
      <c r="G340" s="1493"/>
      <c r="H340" s="1494"/>
      <c r="I340" s="1398"/>
      <c r="J340" s="1398"/>
      <c r="K340" s="1398"/>
      <c r="L340" s="1398"/>
      <c r="M340" s="1398"/>
      <c r="N340" s="1398"/>
      <c r="O340" s="1398"/>
      <c r="P340" s="1398"/>
      <c r="Q340" s="1398"/>
      <c r="R340" s="1397">
        <v>124800</v>
      </c>
      <c r="S340" s="1457"/>
      <c r="T340" s="1475"/>
      <c r="U340" s="1380"/>
      <c r="V340" s="1380"/>
      <c r="W340" s="1380"/>
      <c r="X340" s="1380"/>
      <c r="Y340" s="1380"/>
      <c r="Z340" s="1380"/>
    </row>
    <row r="341" spans="1:26" s="7" customFormat="1" ht="15" customHeight="1" x14ac:dyDescent="0.25">
      <c r="A341" s="1489" t="s">
        <v>1386</v>
      </c>
      <c r="B341" s="1489" t="s">
        <v>163</v>
      </c>
      <c r="C341" s="1491" t="s">
        <v>295</v>
      </c>
      <c r="D341" s="1492"/>
      <c r="E341" s="1493"/>
      <c r="F341" s="1493"/>
      <c r="G341" s="1493"/>
      <c r="H341" s="1494"/>
      <c r="I341" s="1398"/>
      <c r="J341" s="1398"/>
      <c r="K341" s="1398"/>
      <c r="L341" s="1398"/>
      <c r="M341" s="1398"/>
      <c r="N341" s="1398"/>
      <c r="O341" s="1398"/>
      <c r="P341" s="1398"/>
      <c r="Q341" s="1398"/>
      <c r="R341" s="1397">
        <v>45000</v>
      </c>
      <c r="S341" s="1457"/>
      <c r="T341" s="1475"/>
      <c r="U341" s="1380"/>
      <c r="V341" s="1380"/>
      <c r="W341" s="1380"/>
      <c r="X341" s="1380"/>
      <c r="Y341" s="1380"/>
      <c r="Z341" s="1380"/>
    </row>
    <row r="342" spans="1:26" s="7" customFormat="1" ht="15" customHeight="1" x14ac:dyDescent="0.25">
      <c r="A342" s="1489" t="s">
        <v>1386</v>
      </c>
      <c r="B342" s="1489" t="s">
        <v>163</v>
      </c>
      <c r="C342" s="1491" t="s">
        <v>295</v>
      </c>
      <c r="D342" s="1492"/>
      <c r="E342" s="1493"/>
      <c r="F342" s="1493"/>
      <c r="G342" s="1493"/>
      <c r="H342" s="1494"/>
      <c r="I342" s="1398"/>
      <c r="J342" s="1398"/>
      <c r="K342" s="1398"/>
      <c r="L342" s="1398"/>
      <c r="M342" s="1398"/>
      <c r="N342" s="1398"/>
      <c r="O342" s="1398"/>
      <c r="P342" s="1398"/>
      <c r="Q342" s="1398"/>
      <c r="R342" s="1397">
        <v>65000</v>
      </c>
      <c r="S342" s="1457"/>
      <c r="T342" s="1475"/>
      <c r="U342" s="1380"/>
      <c r="V342" s="1380"/>
      <c r="W342" s="1380"/>
      <c r="X342" s="1380"/>
      <c r="Y342" s="1380"/>
      <c r="Z342" s="1380"/>
    </row>
    <row r="343" spans="1:26" s="7" customFormat="1" ht="15" customHeight="1" x14ac:dyDescent="0.25">
      <c r="A343" s="1489" t="s">
        <v>1386</v>
      </c>
      <c r="B343" s="1489" t="s">
        <v>163</v>
      </c>
      <c r="C343" s="1491" t="s">
        <v>295</v>
      </c>
      <c r="D343" s="1492"/>
      <c r="E343" s="1493"/>
      <c r="F343" s="1493"/>
      <c r="G343" s="1493"/>
      <c r="H343" s="1494"/>
      <c r="I343" s="1398"/>
      <c r="J343" s="1398"/>
      <c r="K343" s="1398"/>
      <c r="L343" s="1398"/>
      <c r="M343" s="1398"/>
      <c r="N343" s="1398"/>
      <c r="O343" s="1398"/>
      <c r="P343" s="1398"/>
      <c r="Q343" s="1398"/>
      <c r="R343" s="1397">
        <v>50000</v>
      </c>
      <c r="S343" s="1457"/>
      <c r="T343" s="1475"/>
      <c r="U343" s="1380"/>
      <c r="V343" s="1380"/>
      <c r="W343" s="1380"/>
      <c r="X343" s="1380"/>
      <c r="Y343" s="1380"/>
      <c r="Z343" s="1380"/>
    </row>
    <row r="344" spans="1:26" s="7" customFormat="1" ht="15" customHeight="1" x14ac:dyDescent="0.25">
      <c r="A344" s="1489" t="s">
        <v>1386</v>
      </c>
      <c r="B344" s="1489" t="s">
        <v>163</v>
      </c>
      <c r="C344" s="1491" t="s">
        <v>295</v>
      </c>
      <c r="D344" s="1492"/>
      <c r="E344" s="1493"/>
      <c r="F344" s="1493"/>
      <c r="G344" s="1493"/>
      <c r="H344" s="1494"/>
      <c r="I344" s="1398"/>
      <c r="J344" s="1398"/>
      <c r="K344" s="1398"/>
      <c r="L344" s="1398"/>
      <c r="M344" s="1398"/>
      <c r="N344" s="1398"/>
      <c r="O344" s="1398"/>
      <c r="P344" s="1398"/>
      <c r="Q344" s="1398"/>
      <c r="R344" s="1397">
        <v>10000</v>
      </c>
      <c r="S344" s="1457"/>
      <c r="T344" s="1475"/>
      <c r="U344" s="1380"/>
      <c r="V344" s="1380"/>
      <c r="W344" s="1380"/>
      <c r="X344" s="1380"/>
      <c r="Y344" s="1380"/>
      <c r="Z344" s="1380"/>
    </row>
    <row r="345" spans="1:26" s="7" customFormat="1" ht="15" customHeight="1" x14ac:dyDescent="0.25">
      <c r="A345" s="1489" t="s">
        <v>1386</v>
      </c>
      <c r="B345" s="1489" t="s">
        <v>163</v>
      </c>
      <c r="C345" s="1491" t="s">
        <v>295</v>
      </c>
      <c r="D345" s="1492"/>
      <c r="E345" s="1493"/>
      <c r="F345" s="1493"/>
      <c r="G345" s="1493"/>
      <c r="H345" s="1494"/>
      <c r="I345" s="1398"/>
      <c r="J345" s="1398"/>
      <c r="K345" s="1398"/>
      <c r="L345" s="1398"/>
      <c r="M345" s="1398"/>
      <c r="N345" s="1398"/>
      <c r="O345" s="1398"/>
      <c r="P345" s="1398"/>
      <c r="Q345" s="1398"/>
      <c r="R345" s="1397">
        <v>30000</v>
      </c>
      <c r="S345" s="1457"/>
      <c r="T345" s="1475"/>
      <c r="U345" s="1380"/>
      <c r="V345" s="1380"/>
      <c r="W345" s="1380"/>
      <c r="X345" s="1380"/>
      <c r="Y345" s="1380"/>
      <c r="Z345" s="1380"/>
    </row>
    <row r="346" spans="1:26" s="7" customFormat="1" ht="15" customHeight="1" x14ac:dyDescent="0.25">
      <c r="A346" s="1489" t="s">
        <v>1386</v>
      </c>
      <c r="B346" s="1489" t="s">
        <v>163</v>
      </c>
      <c r="C346" s="1491" t="s">
        <v>295</v>
      </c>
      <c r="D346" s="1492"/>
      <c r="E346" s="1493"/>
      <c r="F346" s="1493"/>
      <c r="G346" s="1493"/>
      <c r="H346" s="1494"/>
      <c r="I346" s="1398"/>
      <c r="J346" s="1398"/>
      <c r="K346" s="1398"/>
      <c r="L346" s="1398"/>
      <c r="M346" s="1398"/>
      <c r="N346" s="1398"/>
      <c r="O346" s="1398"/>
      <c r="P346" s="1398"/>
      <c r="Q346" s="1398"/>
      <c r="R346" s="1397">
        <v>100000</v>
      </c>
      <c r="S346" s="1457"/>
      <c r="T346" s="1475"/>
      <c r="U346" s="1380"/>
      <c r="V346" s="1380"/>
      <c r="W346" s="1380"/>
      <c r="X346" s="1380"/>
      <c r="Y346" s="1380"/>
      <c r="Z346" s="1380"/>
    </row>
    <row r="347" spans="1:26" s="7" customFormat="1" ht="15" customHeight="1" x14ac:dyDescent="0.25">
      <c r="A347" s="1489" t="s">
        <v>1386</v>
      </c>
      <c r="B347" s="1489" t="s">
        <v>163</v>
      </c>
      <c r="C347" s="1491" t="s">
        <v>295</v>
      </c>
      <c r="D347" s="1492"/>
      <c r="E347" s="1493"/>
      <c r="F347" s="1493"/>
      <c r="G347" s="1493"/>
      <c r="H347" s="1494"/>
      <c r="I347" s="1398"/>
      <c r="J347" s="1398"/>
      <c r="K347" s="1398"/>
      <c r="L347" s="1398"/>
      <c r="M347" s="1398"/>
      <c r="N347" s="1398"/>
      <c r="O347" s="1398"/>
      <c r="P347" s="1398"/>
      <c r="Q347" s="1398"/>
      <c r="R347" s="1397">
        <v>25000</v>
      </c>
      <c r="S347" s="1457"/>
      <c r="T347" s="1475"/>
      <c r="U347" s="1380"/>
      <c r="V347" s="1380"/>
      <c r="W347" s="1380"/>
      <c r="X347" s="1380"/>
      <c r="Y347" s="1380"/>
      <c r="Z347" s="1380"/>
    </row>
    <row r="348" spans="1:26" s="7" customFormat="1" ht="15" customHeight="1" x14ac:dyDescent="0.25">
      <c r="A348" s="1489" t="s">
        <v>1386</v>
      </c>
      <c r="B348" s="1489" t="s">
        <v>163</v>
      </c>
      <c r="C348" s="1491" t="s">
        <v>295</v>
      </c>
      <c r="D348" s="1492"/>
      <c r="E348" s="1493"/>
      <c r="F348" s="1493"/>
      <c r="G348" s="1493"/>
      <c r="H348" s="1494"/>
      <c r="I348" s="1398"/>
      <c r="J348" s="1398"/>
      <c r="K348" s="1398"/>
      <c r="L348" s="1398"/>
      <c r="M348" s="1398"/>
      <c r="N348" s="1398"/>
      <c r="O348" s="1398"/>
      <c r="P348" s="1398"/>
      <c r="Q348" s="1398"/>
      <c r="R348" s="1397">
        <v>45000</v>
      </c>
      <c r="S348" s="1457"/>
      <c r="T348" s="1475"/>
      <c r="U348" s="1380"/>
      <c r="V348" s="1380"/>
      <c r="W348" s="1380"/>
      <c r="X348" s="1380"/>
      <c r="Y348" s="1380"/>
      <c r="Z348" s="1380"/>
    </row>
    <row r="349" spans="1:26" s="7" customFormat="1" ht="15" customHeight="1" x14ac:dyDescent="0.25">
      <c r="A349" s="1489" t="s">
        <v>1386</v>
      </c>
      <c r="B349" s="1489" t="s">
        <v>163</v>
      </c>
      <c r="C349" s="1491" t="s">
        <v>295</v>
      </c>
      <c r="D349" s="1492"/>
      <c r="E349" s="1493"/>
      <c r="F349" s="1493"/>
      <c r="G349" s="1493"/>
      <c r="H349" s="1494"/>
      <c r="I349" s="1398"/>
      <c r="J349" s="1398"/>
      <c r="K349" s="1398"/>
      <c r="L349" s="1398"/>
      <c r="M349" s="1398"/>
      <c r="N349" s="1398"/>
      <c r="O349" s="1398"/>
      <c r="P349" s="1398"/>
      <c r="Q349" s="1398"/>
      <c r="R349" s="1397">
        <v>125000</v>
      </c>
      <c r="S349" s="1457"/>
      <c r="T349" s="1475"/>
      <c r="U349" s="1380"/>
      <c r="V349" s="1380"/>
      <c r="W349" s="1380"/>
      <c r="X349" s="1380"/>
      <c r="Y349" s="1380"/>
      <c r="Z349" s="1380"/>
    </row>
    <row r="350" spans="1:26" s="7" customFormat="1" ht="15" customHeight="1" x14ac:dyDescent="0.25">
      <c r="A350" s="1489" t="s">
        <v>1386</v>
      </c>
      <c r="B350" s="1489" t="s">
        <v>163</v>
      </c>
      <c r="C350" s="1491" t="s">
        <v>295</v>
      </c>
      <c r="D350" s="1492"/>
      <c r="E350" s="1493"/>
      <c r="F350" s="1493"/>
      <c r="G350" s="1493"/>
      <c r="H350" s="1494"/>
      <c r="I350" s="1398"/>
      <c r="J350" s="1398"/>
      <c r="K350" s="1398"/>
      <c r="L350" s="1398"/>
      <c r="M350" s="1398"/>
      <c r="N350" s="1398"/>
      <c r="O350" s="1398"/>
      <c r="P350" s="1398"/>
      <c r="Q350" s="1398"/>
      <c r="R350" s="1397">
        <v>156000</v>
      </c>
      <c r="S350" s="1457"/>
      <c r="T350" s="1475"/>
      <c r="U350" s="1380"/>
      <c r="V350" s="1380"/>
      <c r="W350" s="1380"/>
      <c r="X350" s="1380"/>
      <c r="Y350" s="1380"/>
      <c r="Z350" s="1380"/>
    </row>
    <row r="351" spans="1:26" s="7" customFormat="1" ht="15" customHeight="1" x14ac:dyDescent="0.25">
      <c r="A351" s="1489" t="s">
        <v>1386</v>
      </c>
      <c r="B351" s="1489" t="s">
        <v>163</v>
      </c>
      <c r="C351" s="1491" t="s">
        <v>295</v>
      </c>
      <c r="D351" s="1492"/>
      <c r="E351" s="1493"/>
      <c r="F351" s="1493"/>
      <c r="G351" s="1493"/>
      <c r="H351" s="1494"/>
      <c r="I351" s="1398"/>
      <c r="J351" s="1398"/>
      <c r="K351" s="1398"/>
      <c r="L351" s="1398"/>
      <c r="M351" s="1398"/>
      <c r="N351" s="1398"/>
      <c r="O351" s="1398"/>
      <c r="P351" s="1398"/>
      <c r="Q351" s="1398"/>
      <c r="R351" s="1397">
        <v>15000</v>
      </c>
      <c r="S351" s="1457"/>
      <c r="T351" s="1475"/>
      <c r="U351" s="1380"/>
      <c r="V351" s="1380"/>
      <c r="W351" s="1380"/>
      <c r="X351" s="1380"/>
      <c r="Y351" s="1380"/>
      <c r="Z351" s="1380"/>
    </row>
    <row r="352" spans="1:26" s="7" customFormat="1" ht="15" customHeight="1" x14ac:dyDescent="0.25">
      <c r="A352" s="961" t="s">
        <v>1386</v>
      </c>
      <c r="B352" s="961" t="s">
        <v>163</v>
      </c>
      <c r="C352" s="44" t="s">
        <v>172</v>
      </c>
      <c r="D352" s="1356"/>
      <c r="E352" s="125"/>
      <c r="F352" s="125"/>
      <c r="G352" s="125"/>
      <c r="H352" s="221"/>
      <c r="I352" s="141">
        <f>2142927.32+172115+83852.65</f>
        <v>2398894.9699999997</v>
      </c>
      <c r="J352" s="141"/>
      <c r="K352" s="141"/>
      <c r="L352" s="141"/>
      <c r="M352" s="141">
        <f>4195000+600000+150000</f>
        <v>4945000</v>
      </c>
      <c r="N352" s="141">
        <f>1349980.4+144416+23567.8</f>
        <v>1517964.2</v>
      </c>
      <c r="O352" s="141"/>
      <c r="P352" s="141"/>
      <c r="Q352" s="141"/>
      <c r="R352" s="1397">
        <f>500000+1700000+600000+150000+70000+70000+160000</f>
        <v>3250000</v>
      </c>
      <c r="S352" s="239">
        <f>SUM(R334:R352)</f>
        <v>6392880</v>
      </c>
      <c r="T352" s="1475" t="s">
        <v>2088</v>
      </c>
      <c r="U352" s="1380"/>
      <c r="V352" s="1380"/>
      <c r="W352" s="1380"/>
      <c r="X352" s="1380"/>
      <c r="Y352" s="1380"/>
      <c r="Z352" s="1380"/>
    </row>
    <row r="353" spans="1:26" s="7" customFormat="1" ht="15" customHeight="1" x14ac:dyDescent="0.25">
      <c r="A353" s="573" t="s">
        <v>1386</v>
      </c>
      <c r="B353" s="573" t="s">
        <v>163</v>
      </c>
      <c r="C353" s="206" t="s">
        <v>314</v>
      </c>
      <c r="D353" s="1355"/>
      <c r="E353" s="184"/>
      <c r="F353" s="184"/>
      <c r="G353" s="184"/>
      <c r="H353" s="221" t="s">
        <v>183</v>
      </c>
      <c r="I353" s="141">
        <v>23990</v>
      </c>
      <c r="J353" s="141">
        <v>72000</v>
      </c>
      <c r="K353" s="141">
        <v>11995</v>
      </c>
      <c r="L353" s="141">
        <f>M353-K353</f>
        <v>60005</v>
      </c>
      <c r="M353" s="141">
        <v>72000</v>
      </c>
      <c r="N353" s="141">
        <v>19192</v>
      </c>
      <c r="O353" s="141"/>
      <c r="P353" s="141">
        <v>72000</v>
      </c>
      <c r="Q353" s="141">
        <v>72000</v>
      </c>
      <c r="R353" s="122">
        <v>72000</v>
      </c>
      <c r="S353" s="239"/>
      <c r="T353" s="1475"/>
      <c r="U353" s="1380"/>
      <c r="V353" s="1380"/>
      <c r="W353" s="1380"/>
      <c r="X353" s="1380"/>
      <c r="Y353" s="1380"/>
      <c r="Z353" s="1380"/>
    </row>
    <row r="354" spans="1:26" s="7" customFormat="1" ht="15" customHeight="1" x14ac:dyDescent="0.25">
      <c r="A354" s="961" t="s">
        <v>1386</v>
      </c>
      <c r="B354" s="961" t="s">
        <v>163</v>
      </c>
      <c r="C354" s="44" t="s">
        <v>182</v>
      </c>
      <c r="D354" s="1355"/>
      <c r="E354" s="113"/>
      <c r="F354" s="113"/>
      <c r="G354" s="113"/>
      <c r="H354" s="381"/>
      <c r="I354" s="141">
        <v>0</v>
      </c>
      <c r="J354" s="141"/>
      <c r="K354" s="141"/>
      <c r="L354" s="141"/>
      <c r="M354" s="141">
        <v>0</v>
      </c>
      <c r="N354" s="141">
        <v>0</v>
      </c>
      <c r="O354" s="141"/>
      <c r="P354" s="141"/>
      <c r="Q354" s="141"/>
      <c r="R354" s="122">
        <v>48000</v>
      </c>
      <c r="S354" s="239"/>
      <c r="T354" s="1475"/>
      <c r="U354" s="1380"/>
      <c r="V354" s="1380"/>
      <c r="W354" s="1380"/>
      <c r="X354" s="1380"/>
      <c r="Y354" s="1380"/>
      <c r="Z354" s="1380"/>
    </row>
    <row r="355" spans="1:26" s="7" customFormat="1" ht="15" customHeight="1" x14ac:dyDescent="0.25">
      <c r="A355" s="961" t="s">
        <v>1386</v>
      </c>
      <c r="B355" s="961" t="s">
        <v>163</v>
      </c>
      <c r="C355" s="44" t="s">
        <v>182</v>
      </c>
      <c r="D355" s="1355"/>
      <c r="E355" s="113"/>
      <c r="F355" s="113"/>
      <c r="G355" s="113"/>
      <c r="H355" s="381" t="s">
        <v>183</v>
      </c>
      <c r="I355" s="141">
        <v>27648.71</v>
      </c>
      <c r="J355" s="141">
        <v>48000</v>
      </c>
      <c r="K355" s="141">
        <v>11760</v>
      </c>
      <c r="L355" s="141">
        <f t="shared" ref="L355:L386" si="6">M355-K355</f>
        <v>36240</v>
      </c>
      <c r="M355" s="141">
        <v>48000</v>
      </c>
      <c r="N355" s="141">
        <v>19600</v>
      </c>
      <c r="O355" s="141"/>
      <c r="P355" s="141">
        <v>48000</v>
      </c>
      <c r="Q355" s="141">
        <v>48000</v>
      </c>
      <c r="R355" s="122">
        <v>48000</v>
      </c>
      <c r="S355" s="239"/>
      <c r="T355" s="1475"/>
      <c r="U355" s="1380"/>
      <c r="V355" s="1380"/>
      <c r="W355" s="1380"/>
      <c r="X355" s="1380"/>
      <c r="Y355" s="1380"/>
      <c r="Z355" s="1380"/>
    </row>
    <row r="356" spans="1:26" s="7" customFormat="1" ht="15" customHeight="1" x14ac:dyDescent="0.25">
      <c r="A356" s="961" t="s">
        <v>1386</v>
      </c>
      <c r="B356" s="961" t="s">
        <v>163</v>
      </c>
      <c r="C356" s="44" t="s">
        <v>182</v>
      </c>
      <c r="D356" s="1355"/>
      <c r="E356" s="113"/>
      <c r="F356" s="113"/>
      <c r="G356" s="113"/>
      <c r="H356" s="221" t="s">
        <v>183</v>
      </c>
      <c r="I356" s="141">
        <v>18648.8</v>
      </c>
      <c r="J356" s="122">
        <v>42000</v>
      </c>
      <c r="K356" s="141">
        <v>19600</v>
      </c>
      <c r="L356" s="141">
        <f t="shared" si="6"/>
        <v>22400</v>
      </c>
      <c r="M356" s="122">
        <v>42000</v>
      </c>
      <c r="N356" s="122">
        <v>27440</v>
      </c>
      <c r="O356" s="122"/>
      <c r="P356" s="122">
        <v>48000</v>
      </c>
      <c r="Q356" s="122">
        <v>48000</v>
      </c>
      <c r="R356" s="122">
        <v>48000</v>
      </c>
      <c r="S356" s="239"/>
      <c r="T356" s="1475"/>
      <c r="U356" s="1380"/>
      <c r="V356" s="1380"/>
      <c r="W356" s="1380"/>
      <c r="X356" s="1380"/>
      <c r="Y356" s="1380"/>
      <c r="Z356" s="1380"/>
    </row>
    <row r="357" spans="1:26" s="7" customFormat="1" ht="15" customHeight="1" x14ac:dyDescent="0.25">
      <c r="A357" s="961" t="s">
        <v>1386</v>
      </c>
      <c r="B357" s="961" t="s">
        <v>163</v>
      </c>
      <c r="C357" s="44" t="s">
        <v>182</v>
      </c>
      <c r="D357" s="1355"/>
      <c r="E357" s="170"/>
      <c r="F357" s="170"/>
      <c r="G357" s="170"/>
      <c r="H357" s="231" t="s">
        <v>183</v>
      </c>
      <c r="I357" s="122">
        <v>26388</v>
      </c>
      <c r="J357" s="122">
        <v>30000</v>
      </c>
      <c r="K357" s="122">
        <v>10995</v>
      </c>
      <c r="L357" s="141">
        <f t="shared" si="6"/>
        <v>19005</v>
      </c>
      <c r="M357" s="122">
        <v>30000</v>
      </c>
      <c r="N357" s="122">
        <v>15393</v>
      </c>
      <c r="O357" s="122"/>
      <c r="P357" s="122">
        <v>40000</v>
      </c>
      <c r="Q357" s="122">
        <v>40000</v>
      </c>
      <c r="R357" s="122">
        <v>40000</v>
      </c>
      <c r="S357" s="239"/>
      <c r="T357" s="1475"/>
      <c r="U357" s="1380"/>
      <c r="V357" s="1380"/>
      <c r="W357" s="1380"/>
      <c r="X357" s="1380"/>
      <c r="Y357" s="1380"/>
      <c r="Z357" s="1380"/>
    </row>
    <row r="358" spans="1:26" s="7" customFormat="1" ht="15" customHeight="1" x14ac:dyDescent="0.25">
      <c r="A358" s="961" t="s">
        <v>1386</v>
      </c>
      <c r="B358" s="961" t="s">
        <v>163</v>
      </c>
      <c r="C358" s="44" t="s">
        <v>182</v>
      </c>
      <c r="D358" s="1355"/>
      <c r="E358" s="113"/>
      <c r="F358" s="113"/>
      <c r="G358" s="113"/>
      <c r="H358" s="221" t="s">
        <v>183</v>
      </c>
      <c r="I358" s="141">
        <v>70447.360000000001</v>
      </c>
      <c r="J358" s="141">
        <v>72000</v>
      </c>
      <c r="K358" s="141">
        <v>16586.34</v>
      </c>
      <c r="L358" s="141">
        <f t="shared" si="6"/>
        <v>55413.66</v>
      </c>
      <c r="M358" s="141">
        <v>72000</v>
      </c>
      <c r="N358" s="141">
        <v>27643.9</v>
      </c>
      <c r="O358" s="141"/>
      <c r="P358" s="141">
        <v>72000</v>
      </c>
      <c r="Q358" s="141">
        <v>72000</v>
      </c>
      <c r="R358" s="122">
        <v>72000</v>
      </c>
      <c r="S358" s="239"/>
      <c r="T358" s="1475"/>
      <c r="U358" s="1380"/>
      <c r="V358" s="1380"/>
      <c r="W358" s="1380"/>
      <c r="X358" s="1380"/>
      <c r="Y358" s="1380"/>
      <c r="Z358" s="1380"/>
    </row>
    <row r="359" spans="1:26" s="7" customFormat="1" ht="15" customHeight="1" x14ac:dyDescent="0.25">
      <c r="A359" s="573" t="s">
        <v>1386</v>
      </c>
      <c r="B359" s="573" t="s">
        <v>163</v>
      </c>
      <c r="C359" s="44" t="s">
        <v>182</v>
      </c>
      <c r="D359" s="1355"/>
      <c r="E359" s="113"/>
      <c r="F359" s="113"/>
      <c r="G359" s="113"/>
      <c r="H359" s="221" t="s">
        <v>183</v>
      </c>
      <c r="I359" s="141">
        <v>0</v>
      </c>
      <c r="J359" s="141">
        <v>72000</v>
      </c>
      <c r="K359" s="141"/>
      <c r="L359" s="141">
        <f t="shared" si="6"/>
        <v>72000</v>
      </c>
      <c r="M359" s="141">
        <v>72000</v>
      </c>
      <c r="N359" s="141"/>
      <c r="O359" s="141"/>
      <c r="P359" s="141">
        <v>72000</v>
      </c>
      <c r="Q359" s="141">
        <v>72000</v>
      </c>
      <c r="R359" s="122">
        <v>72000</v>
      </c>
      <c r="S359" s="239"/>
      <c r="T359" s="1475"/>
      <c r="U359" s="1380"/>
      <c r="V359" s="1380"/>
      <c r="W359" s="1380"/>
      <c r="X359" s="1380"/>
      <c r="Y359" s="1380"/>
      <c r="Z359" s="1380"/>
    </row>
    <row r="360" spans="1:26" s="7" customFormat="1" ht="15" customHeight="1" x14ac:dyDescent="0.25">
      <c r="A360" s="573" t="s">
        <v>1386</v>
      </c>
      <c r="B360" s="573" t="s">
        <v>163</v>
      </c>
      <c r="C360" s="206" t="s">
        <v>182</v>
      </c>
      <c r="D360" s="1355"/>
      <c r="E360" s="184"/>
      <c r="F360" s="184"/>
      <c r="G360" s="184"/>
      <c r="H360" s="381" t="s">
        <v>183</v>
      </c>
      <c r="I360" s="141">
        <v>0</v>
      </c>
      <c r="J360" s="141">
        <v>42000</v>
      </c>
      <c r="K360" s="141">
        <v>12175.12</v>
      </c>
      <c r="L360" s="141">
        <f t="shared" si="6"/>
        <v>29824.879999999997</v>
      </c>
      <c r="M360" s="141">
        <v>42000</v>
      </c>
      <c r="N360" s="141">
        <v>18262.68</v>
      </c>
      <c r="O360" s="141"/>
      <c r="P360" s="141">
        <v>42000</v>
      </c>
      <c r="Q360" s="141">
        <v>42000</v>
      </c>
      <c r="R360" s="122">
        <v>42000</v>
      </c>
      <c r="S360" s="239"/>
      <c r="T360" s="1475"/>
      <c r="U360" s="1380"/>
      <c r="V360" s="1380"/>
      <c r="W360" s="1380"/>
      <c r="X360" s="1380"/>
      <c r="Y360" s="1380"/>
      <c r="Z360" s="1380"/>
    </row>
    <row r="361" spans="1:26" s="7" customFormat="1" ht="15" customHeight="1" x14ac:dyDescent="0.25">
      <c r="A361" s="961" t="s">
        <v>1386</v>
      </c>
      <c r="B361" s="961" t="s">
        <v>163</v>
      </c>
      <c r="C361" s="44" t="s">
        <v>182</v>
      </c>
      <c r="D361" s="1355"/>
      <c r="E361" s="113"/>
      <c r="F361" s="113"/>
      <c r="G361" s="113"/>
      <c r="H361" s="381" t="s">
        <v>183</v>
      </c>
      <c r="I361" s="141">
        <v>31315.52</v>
      </c>
      <c r="J361" s="141">
        <v>42000</v>
      </c>
      <c r="K361" s="141">
        <v>7840</v>
      </c>
      <c r="L361" s="141">
        <f t="shared" si="6"/>
        <v>34160</v>
      </c>
      <c r="M361" s="141">
        <v>42000</v>
      </c>
      <c r="N361" s="141">
        <v>15680</v>
      </c>
      <c r="O361" s="141"/>
      <c r="P361" s="141">
        <v>42000</v>
      </c>
      <c r="Q361" s="141">
        <v>42000</v>
      </c>
      <c r="R361" s="122">
        <v>42000</v>
      </c>
      <c r="S361" s="239"/>
      <c r="T361" s="1475"/>
      <c r="U361" s="1380"/>
      <c r="V361" s="1380"/>
      <c r="W361" s="1380"/>
      <c r="X361" s="1380"/>
      <c r="Y361" s="1380"/>
      <c r="Z361" s="1380"/>
    </row>
    <row r="362" spans="1:26" s="7" customFormat="1" ht="15" customHeight="1" x14ac:dyDescent="0.2">
      <c r="A362" s="445" t="s">
        <v>1386</v>
      </c>
      <c r="B362" s="445" t="s">
        <v>163</v>
      </c>
      <c r="C362" s="44" t="s">
        <v>182</v>
      </c>
      <c r="D362" s="1355"/>
      <c r="E362" s="113"/>
      <c r="F362" s="113"/>
      <c r="G362" s="113"/>
      <c r="H362" s="221" t="s">
        <v>183</v>
      </c>
      <c r="I362" s="141">
        <v>3920</v>
      </c>
      <c r="J362" s="141">
        <v>36000</v>
      </c>
      <c r="K362" s="141">
        <v>11760</v>
      </c>
      <c r="L362" s="141">
        <f t="shared" si="6"/>
        <v>24240</v>
      </c>
      <c r="M362" s="141">
        <v>36000</v>
      </c>
      <c r="N362" s="141">
        <v>19600</v>
      </c>
      <c r="O362" s="141"/>
      <c r="P362" s="141">
        <v>50000</v>
      </c>
      <c r="Q362" s="141">
        <v>50000</v>
      </c>
      <c r="R362" s="122">
        <v>50000</v>
      </c>
      <c r="S362" s="239"/>
      <c r="T362" s="1475"/>
      <c r="U362" s="1380"/>
      <c r="V362" s="1380"/>
      <c r="W362" s="1380"/>
      <c r="X362" s="1380"/>
      <c r="Y362" s="1380"/>
      <c r="Z362" s="1380"/>
    </row>
    <row r="363" spans="1:26" s="7" customFormat="1" ht="15" customHeight="1" x14ac:dyDescent="0.25">
      <c r="A363" s="961" t="s">
        <v>1386</v>
      </c>
      <c r="B363" s="961" t="s">
        <v>163</v>
      </c>
      <c r="C363" s="44" t="s">
        <v>182</v>
      </c>
      <c r="D363" s="1356"/>
      <c r="E363" s="125"/>
      <c r="F363" s="125"/>
      <c r="G363" s="125"/>
      <c r="H363" s="221" t="s">
        <v>183</v>
      </c>
      <c r="I363" s="141">
        <v>36525.360000000001</v>
      </c>
      <c r="J363" s="141">
        <v>42000</v>
      </c>
      <c r="K363" s="141">
        <v>18262.68</v>
      </c>
      <c r="L363" s="141">
        <f t="shared" si="6"/>
        <v>23737.32</v>
      </c>
      <c r="M363" s="141">
        <v>42000</v>
      </c>
      <c r="N363" s="141">
        <v>24350.240000000002</v>
      </c>
      <c r="O363" s="141"/>
      <c r="P363" s="141">
        <v>84000</v>
      </c>
      <c r="Q363" s="141">
        <v>84000</v>
      </c>
      <c r="R363" s="122">
        <v>84000</v>
      </c>
      <c r="S363" s="239"/>
      <c r="T363" s="1475"/>
      <c r="U363" s="1380"/>
      <c r="V363" s="1380"/>
      <c r="W363" s="1380"/>
      <c r="X363" s="1380"/>
      <c r="Y363" s="1380"/>
      <c r="Z363" s="1380"/>
    </row>
    <row r="364" spans="1:26" s="7" customFormat="1" ht="15" customHeight="1" x14ac:dyDescent="0.25">
      <c r="A364" s="1439" t="s">
        <v>1386</v>
      </c>
      <c r="B364" s="1439" t="s">
        <v>163</v>
      </c>
      <c r="C364" s="44" t="s">
        <v>182</v>
      </c>
      <c r="D364" s="1356"/>
      <c r="E364" s="125"/>
      <c r="F364" s="125"/>
      <c r="G364" s="125"/>
      <c r="H364" s="221" t="s">
        <v>183</v>
      </c>
      <c r="I364" s="141">
        <v>26388</v>
      </c>
      <c r="J364" s="122">
        <v>54000</v>
      </c>
      <c r="K364" s="141">
        <v>34777.32</v>
      </c>
      <c r="L364" s="141">
        <f t="shared" si="6"/>
        <v>19222.68</v>
      </c>
      <c r="M364" s="122">
        <v>54000</v>
      </c>
      <c r="N364" s="122">
        <v>38867.32</v>
      </c>
      <c r="O364" s="122"/>
      <c r="P364" s="122">
        <v>27000</v>
      </c>
      <c r="Q364" s="122">
        <v>27000</v>
      </c>
      <c r="R364" s="122">
        <v>27000</v>
      </c>
      <c r="S364" s="239">
        <f>SUM(R353:R364)</f>
        <v>645000</v>
      </c>
      <c r="T364" s="1475"/>
      <c r="U364" s="1380"/>
      <c r="V364" s="1380"/>
      <c r="W364" s="1380"/>
      <c r="X364" s="1380"/>
      <c r="Y364" s="1380"/>
      <c r="Z364" s="1380"/>
    </row>
    <row r="365" spans="1:26" s="7" customFormat="1" ht="15" customHeight="1" x14ac:dyDescent="0.25">
      <c r="A365" s="961" t="s">
        <v>1386</v>
      </c>
      <c r="B365" s="961" t="s">
        <v>163</v>
      </c>
      <c r="C365" s="206" t="s">
        <v>299</v>
      </c>
      <c r="D365" s="1355"/>
      <c r="E365" s="184"/>
      <c r="F365" s="184"/>
      <c r="G365" s="184"/>
      <c r="H365" s="221" t="s">
        <v>237</v>
      </c>
      <c r="I365" s="141">
        <v>0</v>
      </c>
      <c r="J365" s="141">
        <v>20000</v>
      </c>
      <c r="K365" s="141"/>
      <c r="L365" s="141">
        <f t="shared" si="6"/>
        <v>40000</v>
      </c>
      <c r="M365" s="141">
        <v>40000</v>
      </c>
      <c r="N365" s="141">
        <v>30500</v>
      </c>
      <c r="O365" s="141"/>
      <c r="P365" s="141">
        <v>50000</v>
      </c>
      <c r="Q365" s="141">
        <v>50000</v>
      </c>
      <c r="R365" s="122">
        <v>50000</v>
      </c>
      <c r="S365" s="239"/>
      <c r="T365" s="1475"/>
      <c r="U365" s="1380"/>
      <c r="V365" s="1380"/>
      <c r="W365" s="1380"/>
      <c r="X365" s="1380"/>
      <c r="Y365" s="1380"/>
      <c r="Z365" s="1380"/>
    </row>
    <row r="366" spans="1:26" s="7" customFormat="1" ht="15" customHeight="1" x14ac:dyDescent="0.25">
      <c r="A366" s="573" t="s">
        <v>1386</v>
      </c>
      <c r="B366" s="573" t="s">
        <v>163</v>
      </c>
      <c r="C366" s="206" t="s">
        <v>299</v>
      </c>
      <c r="D366" s="1355"/>
      <c r="E366" s="184"/>
      <c r="F366" s="184"/>
      <c r="G366" s="184"/>
      <c r="H366" s="221" t="s">
        <v>237</v>
      </c>
      <c r="I366" s="141">
        <v>0</v>
      </c>
      <c r="J366" s="141">
        <v>125000</v>
      </c>
      <c r="K366" s="141"/>
      <c r="L366" s="141">
        <f t="shared" si="6"/>
        <v>125000</v>
      </c>
      <c r="M366" s="141">
        <v>125000</v>
      </c>
      <c r="N366" s="141">
        <v>81600</v>
      </c>
      <c r="O366" s="141"/>
      <c r="P366" s="141">
        <v>150000</v>
      </c>
      <c r="Q366" s="141">
        <v>150000</v>
      </c>
      <c r="R366" s="122">
        <v>150000</v>
      </c>
      <c r="S366" s="239"/>
      <c r="T366" s="1475"/>
      <c r="U366" s="1380"/>
      <c r="V366" s="1380"/>
      <c r="W366" s="1380"/>
      <c r="X366" s="1380"/>
      <c r="Y366" s="1380"/>
      <c r="Z366" s="1380"/>
    </row>
    <row r="367" spans="1:26" s="7" customFormat="1" ht="15" customHeight="1" x14ac:dyDescent="0.25">
      <c r="A367" s="961" t="s">
        <v>1386</v>
      </c>
      <c r="B367" s="961" t="s">
        <v>163</v>
      </c>
      <c r="C367" s="44" t="s">
        <v>196</v>
      </c>
      <c r="D367" s="1355"/>
      <c r="E367" s="113"/>
      <c r="F367" s="113"/>
      <c r="G367" s="113"/>
      <c r="H367" s="381" t="s">
        <v>197</v>
      </c>
      <c r="I367" s="141">
        <v>180000</v>
      </c>
      <c r="J367" s="141">
        <v>300000</v>
      </c>
      <c r="K367" s="141">
        <v>230000</v>
      </c>
      <c r="L367" s="141">
        <f t="shared" si="6"/>
        <v>70000</v>
      </c>
      <c r="M367" s="141">
        <v>300000</v>
      </c>
      <c r="N367" s="141">
        <v>230000</v>
      </c>
      <c r="O367" s="141"/>
      <c r="P367" s="141">
        <v>400000</v>
      </c>
      <c r="Q367" s="141">
        <v>400000</v>
      </c>
      <c r="R367" s="122">
        <v>300000</v>
      </c>
      <c r="S367" s="1456">
        <f>SUM(R365:R367)</f>
        <v>500000</v>
      </c>
      <c r="T367" s="1475"/>
      <c r="U367" s="1380"/>
      <c r="V367" s="1380"/>
      <c r="W367" s="1380"/>
      <c r="X367" s="1380"/>
      <c r="Y367" s="1380"/>
      <c r="Z367" s="1380"/>
    </row>
    <row r="368" spans="1:26" s="48" customFormat="1" ht="17.25" customHeight="1" x14ac:dyDescent="0.25">
      <c r="A368" s="961" t="s">
        <v>1386</v>
      </c>
      <c r="B368" s="961" t="s">
        <v>163</v>
      </c>
      <c r="C368" s="44" t="s">
        <v>168</v>
      </c>
      <c r="D368" s="1355"/>
      <c r="E368" s="113"/>
      <c r="F368" s="113"/>
      <c r="G368" s="113"/>
      <c r="H368" s="381" t="s">
        <v>169</v>
      </c>
      <c r="I368" s="141">
        <v>2924196.25</v>
      </c>
      <c r="J368" s="141">
        <v>3355695</v>
      </c>
      <c r="K368" s="141">
        <v>1677104.75</v>
      </c>
      <c r="L368" s="141">
        <f t="shared" si="6"/>
        <v>1678590.25</v>
      </c>
      <c r="M368" s="141">
        <v>3355695</v>
      </c>
      <c r="N368" s="141">
        <v>1685256.95</v>
      </c>
      <c r="O368" s="141"/>
      <c r="P368" s="141">
        <v>3287884</v>
      </c>
      <c r="Q368" s="141">
        <v>3287884</v>
      </c>
      <c r="R368" s="122">
        <f>3287884+585000</f>
        <v>3872884</v>
      </c>
      <c r="S368" s="1701"/>
      <c r="T368" s="1477"/>
      <c r="U368" s="169"/>
      <c r="V368" s="169"/>
      <c r="W368" s="169"/>
      <c r="X368" s="169"/>
      <c r="Y368" s="169"/>
      <c r="Z368" s="169"/>
    </row>
    <row r="369" spans="1:26" s="1153" customFormat="1" ht="17.25" customHeight="1" x14ac:dyDescent="0.25">
      <c r="A369" s="1440" t="s">
        <v>1386</v>
      </c>
      <c r="B369" s="1440" t="s">
        <v>163</v>
      </c>
      <c r="C369" s="44" t="s">
        <v>168</v>
      </c>
      <c r="D369" s="1355"/>
      <c r="E369" s="125"/>
      <c r="F369" s="125"/>
      <c r="G369" s="125"/>
      <c r="H369" s="221" t="s">
        <v>169</v>
      </c>
      <c r="I369" s="141">
        <v>42755</v>
      </c>
      <c r="J369" s="141">
        <v>64245</v>
      </c>
      <c r="K369" s="141">
        <v>35007</v>
      </c>
      <c r="L369" s="141">
        <f t="shared" si="6"/>
        <v>29238</v>
      </c>
      <c r="M369" s="141">
        <v>64245</v>
      </c>
      <c r="N369" s="141">
        <v>35133.14</v>
      </c>
      <c r="O369" s="141"/>
      <c r="P369" s="141">
        <v>63091</v>
      </c>
      <c r="Q369" s="141">
        <v>63091</v>
      </c>
      <c r="R369" s="122">
        <v>63091</v>
      </c>
      <c r="S369" s="1701"/>
      <c r="T369" s="1483"/>
      <c r="U369" s="1256"/>
      <c r="V369" s="1256"/>
      <c r="W369" s="1256"/>
      <c r="X369" s="1256"/>
      <c r="Y369" s="1256"/>
      <c r="Z369" s="1256"/>
    </row>
    <row r="370" spans="1:26" s="48" customFormat="1" ht="18" customHeight="1" x14ac:dyDescent="0.25">
      <c r="A370" s="961" t="s">
        <v>1386</v>
      </c>
      <c r="B370" s="961" t="s">
        <v>163</v>
      </c>
      <c r="C370" s="44" t="s">
        <v>168</v>
      </c>
      <c r="D370" s="1355"/>
      <c r="E370" s="113"/>
      <c r="F370" s="113"/>
      <c r="G370" s="113"/>
      <c r="H370" s="381" t="s">
        <v>169</v>
      </c>
      <c r="I370" s="141">
        <v>22037</v>
      </c>
      <c r="J370" s="141">
        <v>92714</v>
      </c>
      <c r="K370" s="141">
        <v>52971</v>
      </c>
      <c r="L370" s="141">
        <f t="shared" si="6"/>
        <v>39743</v>
      </c>
      <c r="M370" s="141">
        <v>92714</v>
      </c>
      <c r="N370" s="141">
        <v>52971</v>
      </c>
      <c r="O370" s="141"/>
      <c r="P370" s="141">
        <v>93941.5</v>
      </c>
      <c r="Q370" s="141">
        <v>93941.5</v>
      </c>
      <c r="R370" s="122">
        <v>93941.5</v>
      </c>
      <c r="S370" s="239"/>
      <c r="T370" s="1477"/>
      <c r="U370" s="169"/>
      <c r="V370" s="169"/>
      <c r="W370" s="169"/>
      <c r="X370" s="169"/>
      <c r="Y370" s="169"/>
      <c r="Z370" s="169"/>
    </row>
    <row r="371" spans="1:26" s="48" customFormat="1" ht="18" customHeight="1" x14ac:dyDescent="0.25">
      <c r="A371" s="961" t="s">
        <v>1386</v>
      </c>
      <c r="B371" s="961" t="s">
        <v>163</v>
      </c>
      <c r="C371" s="44" t="s">
        <v>168</v>
      </c>
      <c r="D371" s="1355"/>
      <c r="E371" s="113"/>
      <c r="F371" s="113"/>
      <c r="G371" s="113"/>
      <c r="H371" s="381" t="s">
        <v>169</v>
      </c>
      <c r="I371" s="141">
        <v>203881</v>
      </c>
      <c r="J371" s="141">
        <v>234235</v>
      </c>
      <c r="K371" s="141">
        <v>208969.25</v>
      </c>
      <c r="L371" s="141">
        <f t="shared" si="6"/>
        <v>25265.75</v>
      </c>
      <c r="M371" s="141">
        <v>234235</v>
      </c>
      <c r="N371" s="141">
        <v>208969.25</v>
      </c>
      <c r="O371" s="141"/>
      <c r="P371" s="141">
        <v>110762.5</v>
      </c>
      <c r="Q371" s="141">
        <v>110762.5</v>
      </c>
      <c r="R371" s="122">
        <v>110762.5</v>
      </c>
      <c r="S371" s="239"/>
      <c r="T371" s="1477"/>
      <c r="U371" s="169"/>
      <c r="V371" s="169"/>
      <c r="W371" s="169"/>
      <c r="X371" s="169"/>
      <c r="Y371" s="169"/>
      <c r="Z371" s="169"/>
    </row>
    <row r="372" spans="1:26" s="48" customFormat="1" ht="18" customHeight="1" x14ac:dyDescent="0.25">
      <c r="A372" s="961" t="s">
        <v>1386</v>
      </c>
      <c r="B372" s="961" t="s">
        <v>163</v>
      </c>
      <c r="C372" s="44" t="s">
        <v>168</v>
      </c>
      <c r="D372" s="1355"/>
      <c r="E372" s="113"/>
      <c r="F372" s="113"/>
      <c r="G372" s="113"/>
      <c r="H372" s="221" t="s">
        <v>169</v>
      </c>
      <c r="I372" s="141">
        <v>325494</v>
      </c>
      <c r="J372" s="141">
        <v>543095.1</v>
      </c>
      <c r="K372" s="141">
        <v>307420.25</v>
      </c>
      <c r="L372" s="141">
        <f t="shared" si="6"/>
        <v>235674.84999999998</v>
      </c>
      <c r="M372" s="141">
        <v>543095.1</v>
      </c>
      <c r="N372" s="141">
        <v>415491.57</v>
      </c>
      <c r="O372" s="141"/>
      <c r="P372" s="141">
        <v>770608.9</v>
      </c>
      <c r="Q372" s="141">
        <v>770608.9</v>
      </c>
      <c r="R372" s="122">
        <v>770608.9</v>
      </c>
      <c r="S372" s="239"/>
      <c r="T372" s="1477"/>
      <c r="U372" s="169"/>
      <c r="V372" s="169"/>
      <c r="W372" s="169"/>
      <c r="X372" s="169"/>
      <c r="Y372" s="169"/>
      <c r="Z372" s="169"/>
    </row>
    <row r="373" spans="1:26" s="48" customFormat="1" ht="18" customHeight="1" x14ac:dyDescent="0.25">
      <c r="A373" s="961" t="s">
        <v>1386</v>
      </c>
      <c r="B373" s="961" t="s">
        <v>163</v>
      </c>
      <c r="C373" s="44" t="s">
        <v>168</v>
      </c>
      <c r="D373" s="1355"/>
      <c r="E373" s="113"/>
      <c r="F373" s="113"/>
      <c r="G373" s="113"/>
      <c r="H373" s="221" t="s">
        <v>169</v>
      </c>
      <c r="I373" s="141">
        <v>107394</v>
      </c>
      <c r="J373" s="141">
        <v>129613</v>
      </c>
      <c r="K373" s="141">
        <v>66498</v>
      </c>
      <c r="L373" s="141">
        <f t="shared" si="6"/>
        <v>63115</v>
      </c>
      <c r="M373" s="141">
        <v>129613</v>
      </c>
      <c r="N373" s="141">
        <v>66813.350000000006</v>
      </c>
      <c r="O373" s="141"/>
      <c r="P373" s="141">
        <v>100011</v>
      </c>
      <c r="Q373" s="141">
        <v>100011</v>
      </c>
      <c r="R373" s="122">
        <v>100011</v>
      </c>
      <c r="S373" s="239"/>
      <c r="T373" s="1477"/>
      <c r="U373" s="169"/>
      <c r="V373" s="169"/>
      <c r="W373" s="169"/>
      <c r="X373" s="169"/>
      <c r="Y373" s="169"/>
      <c r="Z373" s="169"/>
    </row>
    <row r="374" spans="1:26" s="48" customFormat="1" ht="18" customHeight="1" x14ac:dyDescent="0.25">
      <c r="A374" s="961" t="s">
        <v>1386</v>
      </c>
      <c r="B374" s="961" t="s">
        <v>163</v>
      </c>
      <c r="C374" s="206" t="s">
        <v>294</v>
      </c>
      <c r="D374" s="1355"/>
      <c r="E374" s="184"/>
      <c r="F374" s="184"/>
      <c r="G374" s="184"/>
      <c r="H374" s="221" t="s">
        <v>169</v>
      </c>
      <c r="I374" s="141">
        <v>279029.5</v>
      </c>
      <c r="J374" s="141">
        <v>350000</v>
      </c>
      <c r="K374" s="141">
        <v>164321</v>
      </c>
      <c r="L374" s="141">
        <f t="shared" si="6"/>
        <v>185679</v>
      </c>
      <c r="M374" s="141">
        <v>350000</v>
      </c>
      <c r="N374" s="141">
        <v>165535.70000000001</v>
      </c>
      <c r="O374" s="141"/>
      <c r="P374" s="141">
        <v>350000</v>
      </c>
      <c r="Q374" s="141">
        <v>350000</v>
      </c>
      <c r="R374" s="122">
        <v>350000</v>
      </c>
      <c r="S374" s="239"/>
      <c r="T374" s="1477"/>
      <c r="U374" s="169"/>
      <c r="V374" s="169"/>
      <c r="W374" s="169"/>
      <c r="X374" s="169"/>
      <c r="Y374" s="169"/>
      <c r="Z374" s="169"/>
    </row>
    <row r="375" spans="1:26" s="48" customFormat="1" ht="18" customHeight="1" x14ac:dyDescent="0.25">
      <c r="A375" s="573" t="s">
        <v>1386</v>
      </c>
      <c r="B375" s="573" t="s">
        <v>163</v>
      </c>
      <c r="C375" s="206" t="s">
        <v>294</v>
      </c>
      <c r="D375" s="1355"/>
      <c r="E375" s="184"/>
      <c r="F375" s="184"/>
      <c r="G375" s="184"/>
      <c r="H375" s="221" t="s">
        <v>169</v>
      </c>
      <c r="I375" s="141">
        <v>2252494.25</v>
      </c>
      <c r="J375" s="141">
        <v>2640000</v>
      </c>
      <c r="K375" s="141">
        <v>1310450.5</v>
      </c>
      <c r="L375" s="141">
        <f t="shared" si="6"/>
        <v>1329549.5</v>
      </c>
      <c r="M375" s="141">
        <v>2640000</v>
      </c>
      <c r="N375" s="141">
        <v>1315074.33</v>
      </c>
      <c r="O375" s="141"/>
      <c r="P375" s="141">
        <v>2640000</v>
      </c>
      <c r="Q375" s="141">
        <v>2640000</v>
      </c>
      <c r="R375" s="122">
        <v>2400000</v>
      </c>
      <c r="S375" s="239"/>
      <c r="T375" s="1477"/>
      <c r="U375" s="169"/>
      <c r="V375" s="169"/>
      <c r="W375" s="169"/>
      <c r="X375" s="169"/>
      <c r="Y375" s="169"/>
      <c r="Z375" s="169"/>
    </row>
    <row r="376" spans="1:26" s="48" customFormat="1" ht="18" customHeight="1" x14ac:dyDescent="0.25">
      <c r="A376" s="573" t="s">
        <v>1386</v>
      </c>
      <c r="B376" s="573" t="s">
        <v>163</v>
      </c>
      <c r="C376" s="206" t="s">
        <v>294</v>
      </c>
      <c r="D376" s="1355"/>
      <c r="E376" s="184"/>
      <c r="F376" s="184"/>
      <c r="G376" s="184"/>
      <c r="H376" s="221" t="s">
        <v>169</v>
      </c>
      <c r="I376" s="141">
        <v>911794.85</v>
      </c>
      <c r="J376" s="141">
        <v>2000000</v>
      </c>
      <c r="K376" s="141">
        <v>391997</v>
      </c>
      <c r="L376" s="141">
        <f t="shared" si="6"/>
        <v>1608003</v>
      </c>
      <c r="M376" s="141">
        <v>2000000</v>
      </c>
      <c r="N376" s="141">
        <v>392173.26</v>
      </c>
      <c r="O376" s="141"/>
      <c r="P376" s="141">
        <v>2000000</v>
      </c>
      <c r="Q376" s="141">
        <v>2000000</v>
      </c>
      <c r="R376" s="122">
        <v>2000000</v>
      </c>
      <c r="S376" s="239"/>
      <c r="T376" s="1477"/>
      <c r="U376" s="169"/>
      <c r="V376" s="169"/>
      <c r="W376" s="169"/>
      <c r="X376" s="169"/>
      <c r="Y376" s="169"/>
      <c r="Z376" s="169"/>
    </row>
    <row r="377" spans="1:26" s="48" customFormat="1" ht="18" customHeight="1" x14ac:dyDescent="0.25">
      <c r="A377" s="573" t="s">
        <v>1386</v>
      </c>
      <c r="B377" s="573" t="s">
        <v>163</v>
      </c>
      <c r="C377" s="206" t="s">
        <v>294</v>
      </c>
      <c r="D377" s="1355"/>
      <c r="E377" s="184"/>
      <c r="F377" s="184"/>
      <c r="G377" s="184"/>
      <c r="H377" s="221" t="s">
        <v>169</v>
      </c>
      <c r="I377" s="141">
        <v>0</v>
      </c>
      <c r="J377" s="122">
        <v>68000</v>
      </c>
      <c r="K377" s="141">
        <v>36056</v>
      </c>
      <c r="L377" s="141">
        <f t="shared" si="6"/>
        <v>31944</v>
      </c>
      <c r="M377" s="122">
        <v>68000</v>
      </c>
      <c r="N377" s="122">
        <v>36056</v>
      </c>
      <c r="O377" s="122"/>
      <c r="P377" s="122">
        <v>68000</v>
      </c>
      <c r="Q377" s="122">
        <v>68000</v>
      </c>
      <c r="R377" s="122">
        <v>68000</v>
      </c>
      <c r="S377" s="239"/>
      <c r="T377" s="1477"/>
      <c r="U377" s="169"/>
      <c r="V377" s="169"/>
      <c r="W377" s="169"/>
      <c r="X377" s="169"/>
      <c r="Y377" s="169"/>
      <c r="Z377" s="169"/>
    </row>
    <row r="378" spans="1:26" s="48" customFormat="1" ht="18" customHeight="1" x14ac:dyDescent="0.25">
      <c r="A378" s="573" t="s">
        <v>1386</v>
      </c>
      <c r="B378" s="573" t="s">
        <v>163</v>
      </c>
      <c r="C378" s="206" t="s">
        <v>294</v>
      </c>
      <c r="D378" s="381"/>
      <c r="E378" s="184"/>
      <c r="F378" s="184"/>
      <c r="G378" s="184"/>
      <c r="H378" s="381" t="s">
        <v>169</v>
      </c>
      <c r="I378" s="141">
        <v>0</v>
      </c>
      <c r="J378" s="122">
        <v>10000</v>
      </c>
      <c r="K378" s="141"/>
      <c r="L378" s="141">
        <f t="shared" si="6"/>
        <v>10000</v>
      </c>
      <c r="M378" s="122">
        <v>10000</v>
      </c>
      <c r="N378" s="122"/>
      <c r="O378" s="122"/>
      <c r="P378" s="122">
        <v>10000</v>
      </c>
      <c r="Q378" s="122">
        <v>10000</v>
      </c>
      <c r="R378" s="122">
        <v>10000</v>
      </c>
      <c r="S378" s="239"/>
      <c r="T378" s="1477"/>
      <c r="U378" s="169"/>
      <c r="V378" s="169"/>
      <c r="W378" s="169"/>
      <c r="X378" s="169"/>
      <c r="Y378" s="169"/>
      <c r="Z378" s="169"/>
    </row>
    <row r="379" spans="1:26" s="48" customFormat="1" ht="18" customHeight="1" x14ac:dyDescent="0.25">
      <c r="A379" s="573" t="s">
        <v>1386</v>
      </c>
      <c r="B379" s="573" t="s">
        <v>163</v>
      </c>
      <c r="C379" s="206" t="s">
        <v>294</v>
      </c>
      <c r="D379" s="1355"/>
      <c r="E379" s="184"/>
      <c r="F379" s="184"/>
      <c r="G379" s="184"/>
      <c r="H379" s="381" t="s">
        <v>169</v>
      </c>
      <c r="I379" s="141">
        <v>114935.75</v>
      </c>
      <c r="J379" s="141">
        <v>168481</v>
      </c>
      <c r="K379" s="141">
        <v>108163</v>
      </c>
      <c r="L379" s="141">
        <f t="shared" si="6"/>
        <v>60318</v>
      </c>
      <c r="M379" s="141">
        <v>168481</v>
      </c>
      <c r="N379" s="141">
        <v>108360.59</v>
      </c>
      <c r="O379" s="141"/>
      <c r="P379" s="141">
        <v>148014.5</v>
      </c>
      <c r="Q379" s="141">
        <v>148014.5</v>
      </c>
      <c r="R379" s="122">
        <v>148014.5</v>
      </c>
      <c r="S379" s="239"/>
      <c r="T379" s="1477"/>
      <c r="U379" s="169"/>
      <c r="V379" s="169"/>
      <c r="W379" s="169"/>
      <c r="X379" s="169"/>
      <c r="Y379" s="169"/>
      <c r="Z379" s="169"/>
    </row>
    <row r="380" spans="1:26" s="48" customFormat="1" ht="18" customHeight="1" x14ac:dyDescent="0.25">
      <c r="A380" s="573" t="s">
        <v>1386</v>
      </c>
      <c r="B380" s="573" t="s">
        <v>163</v>
      </c>
      <c r="C380" s="206" t="s">
        <v>294</v>
      </c>
      <c r="D380" s="1355"/>
      <c r="E380" s="184"/>
      <c r="F380" s="184"/>
      <c r="G380" s="184"/>
      <c r="H380" s="381" t="s">
        <v>169</v>
      </c>
      <c r="I380" s="141">
        <v>186806.75</v>
      </c>
      <c r="J380" s="141">
        <v>641000</v>
      </c>
      <c r="K380" s="141">
        <v>274910.5</v>
      </c>
      <c r="L380" s="141">
        <f t="shared" si="6"/>
        <v>416089.5</v>
      </c>
      <c r="M380" s="141">
        <v>691000</v>
      </c>
      <c r="N380" s="141">
        <v>276365.33</v>
      </c>
      <c r="O380" s="141"/>
      <c r="P380" s="141">
        <v>725000</v>
      </c>
      <c r="Q380" s="141">
        <v>725000</v>
      </c>
      <c r="R380" s="122">
        <v>725000</v>
      </c>
      <c r="S380" s="239"/>
      <c r="T380" s="1477"/>
      <c r="U380" s="169"/>
      <c r="V380" s="169"/>
      <c r="W380" s="169"/>
      <c r="X380" s="169"/>
      <c r="Y380" s="169"/>
      <c r="Z380" s="169"/>
    </row>
    <row r="381" spans="1:26" s="48" customFormat="1" ht="18" customHeight="1" x14ac:dyDescent="0.25">
      <c r="A381" s="961" t="s">
        <v>1386</v>
      </c>
      <c r="B381" s="961" t="s">
        <v>163</v>
      </c>
      <c r="C381" s="44" t="s">
        <v>168</v>
      </c>
      <c r="D381" s="1355"/>
      <c r="E381" s="113"/>
      <c r="F381" s="113"/>
      <c r="G381" s="113"/>
      <c r="H381" s="381" t="s">
        <v>169</v>
      </c>
      <c r="I381" s="141">
        <v>236736.5</v>
      </c>
      <c r="J381" s="141">
        <v>239599</v>
      </c>
      <c r="K381" s="141">
        <v>140409.5</v>
      </c>
      <c r="L381" s="141">
        <f t="shared" si="6"/>
        <v>99189.5</v>
      </c>
      <c r="M381" s="141">
        <v>239599</v>
      </c>
      <c r="N381" s="141">
        <v>140443.51999999999</v>
      </c>
      <c r="O381" s="141"/>
      <c r="P381" s="141">
        <v>208978.5</v>
      </c>
      <c r="Q381" s="141">
        <v>208978.5</v>
      </c>
      <c r="R381" s="122">
        <v>208978.5</v>
      </c>
      <c r="S381" s="239"/>
      <c r="T381" s="1477"/>
      <c r="U381" s="169"/>
      <c r="V381" s="169"/>
      <c r="W381" s="169"/>
      <c r="X381" s="169"/>
      <c r="Y381" s="169"/>
      <c r="Z381" s="169"/>
    </row>
    <row r="382" spans="1:26" s="48" customFormat="1" ht="18" customHeight="1" x14ac:dyDescent="0.2">
      <c r="A382" s="445" t="s">
        <v>1386</v>
      </c>
      <c r="B382" s="445" t="s">
        <v>163</v>
      </c>
      <c r="C382" s="44" t="s">
        <v>168</v>
      </c>
      <c r="D382" s="1355"/>
      <c r="E382" s="113"/>
      <c r="F382" s="113"/>
      <c r="G382" s="113"/>
      <c r="H382" s="221" t="s">
        <v>169</v>
      </c>
      <c r="I382" s="141">
        <v>307962.25</v>
      </c>
      <c r="J382" s="141">
        <v>378061</v>
      </c>
      <c r="K382" s="141">
        <v>277185.25</v>
      </c>
      <c r="L382" s="141">
        <f t="shared" si="6"/>
        <v>100875.75</v>
      </c>
      <c r="M382" s="141">
        <v>378061</v>
      </c>
      <c r="N382" s="141">
        <v>277185.25</v>
      </c>
      <c r="O382" s="141"/>
      <c r="P382" s="141">
        <v>242176</v>
      </c>
      <c r="Q382" s="141">
        <v>242176</v>
      </c>
      <c r="R382" s="122">
        <v>242176</v>
      </c>
      <c r="S382" s="239"/>
      <c r="T382" s="1477"/>
      <c r="U382" s="169"/>
      <c r="V382" s="169"/>
      <c r="W382" s="169"/>
      <c r="X382" s="169"/>
      <c r="Y382" s="169"/>
      <c r="Z382" s="169"/>
    </row>
    <row r="383" spans="1:26" s="48" customFormat="1" ht="18" customHeight="1" x14ac:dyDescent="0.25">
      <c r="A383" s="961" t="s">
        <v>1386</v>
      </c>
      <c r="B383" s="961" t="s">
        <v>163</v>
      </c>
      <c r="C383" s="44" t="s">
        <v>168</v>
      </c>
      <c r="D383" s="1356"/>
      <c r="E383" s="125"/>
      <c r="F383" s="125"/>
      <c r="G383" s="125"/>
      <c r="H383" s="221" t="s">
        <v>169</v>
      </c>
      <c r="I383" s="141">
        <v>487478.5</v>
      </c>
      <c r="J383" s="141">
        <v>372200</v>
      </c>
      <c r="K383" s="141">
        <v>285907.5</v>
      </c>
      <c r="L383" s="141">
        <f t="shared" si="6"/>
        <v>86292.5</v>
      </c>
      <c r="M383" s="141">
        <v>372200</v>
      </c>
      <c r="N383" s="141">
        <v>286077.59999999998</v>
      </c>
      <c r="O383" s="141"/>
      <c r="P383" s="141">
        <v>426152.5</v>
      </c>
      <c r="Q383" s="141">
        <v>426152.5</v>
      </c>
      <c r="R383" s="122">
        <v>426152.5</v>
      </c>
      <c r="S383" s="239"/>
      <c r="T383" s="1477"/>
      <c r="U383" s="169"/>
      <c r="V383" s="169"/>
      <c r="W383" s="169"/>
      <c r="X383" s="169"/>
      <c r="Y383" s="169"/>
      <c r="Z383" s="169"/>
    </row>
    <row r="384" spans="1:26" s="48" customFormat="1" ht="18" customHeight="1" x14ac:dyDescent="0.25">
      <c r="A384" s="1439" t="s">
        <v>1386</v>
      </c>
      <c r="B384" s="1439" t="s">
        <v>163</v>
      </c>
      <c r="C384" s="44" t="s">
        <v>168</v>
      </c>
      <c r="D384" s="1356"/>
      <c r="E384" s="125"/>
      <c r="F384" s="125"/>
      <c r="G384" s="125"/>
      <c r="H384" s="221" t="s">
        <v>169</v>
      </c>
      <c r="I384" s="141">
        <v>329765</v>
      </c>
      <c r="J384" s="141">
        <v>332049</v>
      </c>
      <c r="K384" s="141">
        <v>262785</v>
      </c>
      <c r="L384" s="141">
        <f t="shared" si="6"/>
        <v>69264</v>
      </c>
      <c r="M384" s="141">
        <v>332049</v>
      </c>
      <c r="N384" s="141">
        <v>262785</v>
      </c>
      <c r="O384" s="141"/>
      <c r="P384" s="141">
        <v>240976</v>
      </c>
      <c r="Q384" s="141">
        <v>240976</v>
      </c>
      <c r="R384" s="122">
        <v>240976</v>
      </c>
      <c r="S384" s="239"/>
      <c r="T384" s="1477"/>
      <c r="U384" s="169"/>
      <c r="V384" s="169"/>
      <c r="W384" s="169"/>
      <c r="X384" s="169"/>
      <c r="Y384" s="169"/>
      <c r="Z384" s="169"/>
    </row>
    <row r="385" spans="1:26" s="48" customFormat="1" ht="18" customHeight="1" x14ac:dyDescent="0.25">
      <c r="A385" s="1439" t="s">
        <v>1386</v>
      </c>
      <c r="B385" s="1439" t="s">
        <v>163</v>
      </c>
      <c r="C385" s="44" t="s">
        <v>168</v>
      </c>
      <c r="D385" s="1356"/>
      <c r="E385" s="125"/>
      <c r="F385" s="125"/>
      <c r="G385" s="125"/>
      <c r="H385" s="221" t="s">
        <v>169</v>
      </c>
      <c r="I385" s="141">
        <v>342534.5</v>
      </c>
      <c r="J385" s="141">
        <v>698338</v>
      </c>
      <c r="K385" s="141">
        <v>440277</v>
      </c>
      <c r="L385" s="141">
        <f t="shared" si="6"/>
        <v>258061</v>
      </c>
      <c r="M385" s="141">
        <v>698338</v>
      </c>
      <c r="N385" s="141">
        <v>440277</v>
      </c>
      <c r="O385" s="141"/>
      <c r="P385" s="141">
        <v>160973.5</v>
      </c>
      <c r="Q385" s="141">
        <v>160973.5</v>
      </c>
      <c r="R385" s="122">
        <v>160973.5</v>
      </c>
      <c r="S385" s="239"/>
      <c r="T385" s="1477"/>
      <c r="U385" s="169"/>
      <c r="V385" s="169"/>
      <c r="W385" s="169"/>
      <c r="X385" s="169"/>
      <c r="Y385" s="169"/>
      <c r="Z385" s="169"/>
    </row>
    <row r="386" spans="1:26" s="48" customFormat="1" ht="18" customHeight="1" x14ac:dyDescent="0.25">
      <c r="A386" s="1439" t="s">
        <v>1386</v>
      </c>
      <c r="B386" s="1439" t="s">
        <v>163</v>
      </c>
      <c r="C386" s="44" t="s">
        <v>168</v>
      </c>
      <c r="D386" s="1356"/>
      <c r="E386" s="125"/>
      <c r="F386" s="125"/>
      <c r="G386" s="125"/>
      <c r="H386" s="221" t="s">
        <v>169</v>
      </c>
      <c r="I386" s="141">
        <v>130799</v>
      </c>
      <c r="J386" s="141">
        <v>199035</v>
      </c>
      <c r="K386" s="141">
        <v>178329.5</v>
      </c>
      <c r="L386" s="141">
        <f t="shared" si="6"/>
        <v>20705.5</v>
      </c>
      <c r="M386" s="141">
        <v>199035</v>
      </c>
      <c r="N386" s="141">
        <v>185009.5</v>
      </c>
      <c r="O386" s="141"/>
      <c r="P386" s="141">
        <v>192318.5</v>
      </c>
      <c r="Q386" s="141">
        <v>192318.5</v>
      </c>
      <c r="R386" s="122">
        <v>192318.5</v>
      </c>
      <c r="S386" s="239">
        <f>SUM(R368:R386)</f>
        <v>12183888.4</v>
      </c>
      <c r="T386" s="1477"/>
      <c r="U386" s="169"/>
      <c r="V386" s="169"/>
      <c r="W386" s="169"/>
      <c r="X386" s="169"/>
      <c r="Y386" s="169"/>
      <c r="Z386" s="169"/>
    </row>
    <row r="387" spans="1:26" s="48" customFormat="1" ht="18" customHeight="1" x14ac:dyDescent="0.25">
      <c r="A387" s="961" t="s">
        <v>1386</v>
      </c>
      <c r="B387" s="961" t="s">
        <v>163</v>
      </c>
      <c r="C387" s="206" t="s">
        <v>300</v>
      </c>
      <c r="D387" s="1355"/>
      <c r="E387" s="184"/>
      <c r="F387" s="184"/>
      <c r="G387" s="184"/>
      <c r="H387" s="221" t="s">
        <v>199</v>
      </c>
      <c r="I387" s="141">
        <v>23715.759999999998</v>
      </c>
      <c r="J387" s="141">
        <v>1000000</v>
      </c>
      <c r="K387" s="141">
        <v>69835.91</v>
      </c>
      <c r="L387" s="141">
        <f t="shared" ref="L387:L392" si="7">M387-K387</f>
        <v>510164.08999999997</v>
      </c>
      <c r="M387" s="141">
        <v>580000</v>
      </c>
      <c r="N387" s="141">
        <v>106082.65</v>
      </c>
      <c r="O387" s="141"/>
      <c r="P387" s="141">
        <v>1000000</v>
      </c>
      <c r="Q387" s="141">
        <v>1000000</v>
      </c>
      <c r="R387" s="122">
        <v>750000</v>
      </c>
      <c r="S387" s="239"/>
      <c r="T387" s="1477"/>
      <c r="U387" s="169"/>
      <c r="V387" s="169"/>
      <c r="W387" s="169"/>
      <c r="X387" s="169"/>
      <c r="Y387" s="169"/>
      <c r="Z387" s="169"/>
    </row>
    <row r="388" spans="1:26" s="48" customFormat="1" ht="18" customHeight="1" x14ac:dyDescent="0.25">
      <c r="A388" s="573" t="s">
        <v>1386</v>
      </c>
      <c r="B388" s="573" t="s">
        <v>163</v>
      </c>
      <c r="C388" s="206" t="s">
        <v>300</v>
      </c>
      <c r="D388" s="1355"/>
      <c r="E388" s="184"/>
      <c r="F388" s="184"/>
      <c r="G388" s="184"/>
      <c r="H388" s="221" t="s">
        <v>199</v>
      </c>
      <c r="I388" s="141">
        <v>0</v>
      </c>
      <c r="J388" s="141">
        <v>200000</v>
      </c>
      <c r="K388" s="141"/>
      <c r="L388" s="141">
        <f t="shared" si="7"/>
        <v>200000</v>
      </c>
      <c r="M388" s="141">
        <v>200000</v>
      </c>
      <c r="N388" s="141"/>
      <c r="O388" s="141"/>
      <c r="P388" s="141">
        <v>200000</v>
      </c>
      <c r="Q388" s="141">
        <v>200000</v>
      </c>
      <c r="R388" s="122">
        <v>200000</v>
      </c>
      <c r="S388" s="239"/>
      <c r="T388" s="1477"/>
      <c r="U388" s="169"/>
      <c r="V388" s="169"/>
      <c r="W388" s="169"/>
      <c r="X388" s="169"/>
      <c r="Y388" s="169"/>
      <c r="Z388" s="169"/>
    </row>
    <row r="389" spans="1:26" s="48" customFormat="1" ht="18" customHeight="1" x14ac:dyDescent="0.25">
      <c r="A389" s="573" t="s">
        <v>1386</v>
      </c>
      <c r="B389" s="573" t="s">
        <v>163</v>
      </c>
      <c r="C389" s="206" t="s">
        <v>300</v>
      </c>
      <c r="D389" s="1355"/>
      <c r="E389" s="184"/>
      <c r="F389" s="184"/>
      <c r="G389" s="184"/>
      <c r="H389" s="221" t="s">
        <v>199</v>
      </c>
      <c r="I389" s="141">
        <v>0</v>
      </c>
      <c r="J389" s="122">
        <v>150000</v>
      </c>
      <c r="K389" s="141"/>
      <c r="L389" s="141">
        <f t="shared" si="7"/>
        <v>150000</v>
      </c>
      <c r="M389" s="122">
        <v>150000</v>
      </c>
      <c r="N389" s="122"/>
      <c r="O389" s="122"/>
      <c r="P389" s="122">
        <v>150000</v>
      </c>
      <c r="Q389" s="122">
        <v>150000</v>
      </c>
      <c r="R389" s="122">
        <v>150000</v>
      </c>
      <c r="S389" s="239"/>
      <c r="T389" s="1477"/>
      <c r="U389" s="169"/>
      <c r="V389" s="169"/>
      <c r="W389" s="169"/>
      <c r="X389" s="169"/>
      <c r="Y389" s="169"/>
      <c r="Z389" s="169"/>
    </row>
    <row r="390" spans="1:26" s="48" customFormat="1" ht="18" customHeight="1" x14ac:dyDescent="0.25">
      <c r="A390" s="573" t="s">
        <v>1386</v>
      </c>
      <c r="B390" s="573" t="s">
        <v>163</v>
      </c>
      <c r="C390" s="206" t="s">
        <v>300</v>
      </c>
      <c r="D390" s="381"/>
      <c r="E390" s="184"/>
      <c r="F390" s="184"/>
      <c r="G390" s="184"/>
      <c r="H390" s="381" t="s">
        <v>199</v>
      </c>
      <c r="I390" s="141">
        <v>0</v>
      </c>
      <c r="J390" s="122">
        <v>46600</v>
      </c>
      <c r="K390" s="141"/>
      <c r="L390" s="141">
        <f t="shared" si="7"/>
        <v>46600</v>
      </c>
      <c r="M390" s="122">
        <v>46600</v>
      </c>
      <c r="N390" s="122"/>
      <c r="O390" s="122"/>
      <c r="P390" s="122">
        <v>46600</v>
      </c>
      <c r="Q390" s="122">
        <v>46600</v>
      </c>
      <c r="R390" s="122">
        <v>46600</v>
      </c>
      <c r="S390" s="1456"/>
      <c r="T390" s="1477"/>
      <c r="U390" s="169"/>
      <c r="V390" s="169"/>
      <c r="W390" s="169"/>
      <c r="X390" s="169"/>
      <c r="Y390" s="169"/>
      <c r="Z390" s="169"/>
    </row>
    <row r="391" spans="1:26" s="48" customFormat="1" ht="18" customHeight="1" x14ac:dyDescent="0.25">
      <c r="A391" s="573" t="s">
        <v>1386</v>
      </c>
      <c r="B391" s="573" t="s">
        <v>163</v>
      </c>
      <c r="C391" s="206" t="s">
        <v>1619</v>
      </c>
      <c r="D391" s="1355"/>
      <c r="E391" s="184"/>
      <c r="F391" s="184"/>
      <c r="G391" s="184"/>
      <c r="H391" s="381" t="s">
        <v>199</v>
      </c>
      <c r="I391" s="141">
        <v>0</v>
      </c>
      <c r="J391" s="141">
        <v>145000</v>
      </c>
      <c r="K391" s="141"/>
      <c r="L391" s="141">
        <f t="shared" si="7"/>
        <v>145000</v>
      </c>
      <c r="M391" s="141">
        <v>145000</v>
      </c>
      <c r="N391" s="141"/>
      <c r="O391" s="141"/>
      <c r="P391" s="141">
        <v>149628</v>
      </c>
      <c r="Q391" s="141">
        <v>149628</v>
      </c>
      <c r="R391" s="122">
        <v>149628</v>
      </c>
      <c r="S391" s="1456"/>
      <c r="T391" s="1477"/>
      <c r="U391" s="169"/>
      <c r="V391" s="169"/>
      <c r="W391" s="169"/>
      <c r="X391" s="169"/>
      <c r="Y391" s="169"/>
      <c r="Z391" s="169"/>
    </row>
    <row r="392" spans="1:26" s="48" customFormat="1" ht="18" customHeight="1" x14ac:dyDescent="0.25">
      <c r="A392" s="573" t="s">
        <v>1386</v>
      </c>
      <c r="B392" s="573" t="s">
        <v>163</v>
      </c>
      <c r="C392" s="206" t="s">
        <v>1619</v>
      </c>
      <c r="D392" s="1355"/>
      <c r="E392" s="184"/>
      <c r="F392" s="184"/>
      <c r="G392" s="184"/>
      <c r="H392" s="381" t="s">
        <v>199</v>
      </c>
      <c r="I392" s="141">
        <v>0</v>
      </c>
      <c r="J392" s="141">
        <v>375310.76</v>
      </c>
      <c r="K392" s="141"/>
      <c r="L392" s="141">
        <f t="shared" si="7"/>
        <v>375310.76</v>
      </c>
      <c r="M392" s="141">
        <v>375310.76</v>
      </c>
      <c r="N392" s="141">
        <v>0</v>
      </c>
      <c r="O392" s="141"/>
      <c r="P392" s="141">
        <v>375310.76</v>
      </c>
      <c r="Q392" s="141">
        <v>375310.76</v>
      </c>
      <c r="R392" s="122">
        <f>375310.76+127783.76</f>
        <v>503094.52</v>
      </c>
      <c r="S392" s="239"/>
      <c r="T392" s="1477"/>
      <c r="U392" s="169"/>
      <c r="V392" s="169"/>
      <c r="W392" s="169"/>
      <c r="X392" s="169"/>
      <c r="Y392" s="169"/>
      <c r="Z392" s="169"/>
    </row>
    <row r="393" spans="1:26" s="48" customFormat="1" ht="18" customHeight="1" x14ac:dyDescent="0.25">
      <c r="A393" s="573" t="s">
        <v>1386</v>
      </c>
      <c r="B393" s="573" t="s">
        <v>163</v>
      </c>
      <c r="C393" s="206" t="s">
        <v>1618</v>
      </c>
      <c r="D393" s="1355"/>
      <c r="E393" s="184"/>
      <c r="F393" s="184"/>
      <c r="G393" s="184"/>
      <c r="H393" s="221"/>
      <c r="I393" s="141"/>
      <c r="J393" s="141"/>
      <c r="K393" s="141"/>
      <c r="L393" s="141"/>
      <c r="M393" s="141"/>
      <c r="N393" s="141"/>
      <c r="O393" s="141"/>
      <c r="P393" s="141"/>
      <c r="Q393" s="141"/>
      <c r="R393" s="122">
        <v>500000</v>
      </c>
      <c r="S393" s="239"/>
      <c r="T393" s="1477"/>
      <c r="U393" s="169"/>
      <c r="V393" s="169"/>
      <c r="W393" s="169"/>
      <c r="X393" s="169"/>
      <c r="Y393" s="169"/>
      <c r="Z393" s="169"/>
    </row>
    <row r="394" spans="1:26" s="48" customFormat="1" ht="18" customHeight="1" x14ac:dyDescent="0.25">
      <c r="A394" s="961" t="s">
        <v>1386</v>
      </c>
      <c r="B394" s="961" t="s">
        <v>163</v>
      </c>
      <c r="C394" s="44" t="s">
        <v>198</v>
      </c>
      <c r="D394" s="1355"/>
      <c r="E394" s="113"/>
      <c r="F394" s="113"/>
      <c r="G394" s="113"/>
      <c r="H394" s="381" t="s">
        <v>199</v>
      </c>
      <c r="I394" s="141">
        <v>931020.06</v>
      </c>
      <c r="J394" s="141">
        <v>3000000</v>
      </c>
      <c r="K394" s="141">
        <v>336594.28</v>
      </c>
      <c r="L394" s="141">
        <f t="shared" ref="L394:L433" si="8">M394-K394</f>
        <v>4663405.72</v>
      </c>
      <c r="M394" s="141">
        <v>5000000</v>
      </c>
      <c r="N394" s="141">
        <v>488217.91</v>
      </c>
      <c r="O394" s="141"/>
      <c r="P394" s="141">
        <v>1505621.76</v>
      </c>
      <c r="Q394" s="141">
        <v>1505621.76</v>
      </c>
      <c r="R394" s="122">
        <v>2609621.7599999998</v>
      </c>
      <c r="S394" s="239"/>
      <c r="T394" s="1477"/>
      <c r="U394" s="169"/>
      <c r="V394" s="169"/>
      <c r="W394" s="169"/>
      <c r="X394" s="169"/>
      <c r="Y394" s="169"/>
      <c r="Z394" s="169"/>
    </row>
    <row r="395" spans="1:26" s="48" customFormat="1" ht="18" customHeight="1" x14ac:dyDescent="0.25">
      <c r="A395" s="1440" t="s">
        <v>1386</v>
      </c>
      <c r="B395" s="1440" t="s">
        <v>163</v>
      </c>
      <c r="C395" s="44" t="s">
        <v>198</v>
      </c>
      <c r="D395" s="1355"/>
      <c r="E395" s="125"/>
      <c r="F395" s="125"/>
      <c r="G395" s="125"/>
      <c r="H395" s="221" t="s">
        <v>199</v>
      </c>
      <c r="I395" s="141">
        <v>1164351.99</v>
      </c>
      <c r="J395" s="141">
        <v>3055235.04</v>
      </c>
      <c r="K395" s="141">
        <v>480391.56</v>
      </c>
      <c r="L395" s="141">
        <f t="shared" si="8"/>
        <v>2574843.48</v>
      </c>
      <c r="M395" s="141">
        <v>3055235.04</v>
      </c>
      <c r="N395" s="141">
        <v>659097.74</v>
      </c>
      <c r="O395" s="141"/>
      <c r="P395" s="141">
        <v>3174824.64</v>
      </c>
      <c r="Q395" s="141">
        <v>3174824.64</v>
      </c>
      <c r="R395" s="122">
        <v>3174824.64</v>
      </c>
      <c r="S395" s="239"/>
      <c r="T395" s="1477"/>
      <c r="U395" s="169"/>
      <c r="V395" s="169"/>
      <c r="W395" s="169"/>
      <c r="X395" s="169"/>
      <c r="Y395" s="169"/>
      <c r="Z395" s="169"/>
    </row>
    <row r="396" spans="1:26" s="48" customFormat="1" ht="17.100000000000001" customHeight="1" x14ac:dyDescent="0.25">
      <c r="A396" s="961" t="s">
        <v>1386</v>
      </c>
      <c r="B396" s="961" t="s">
        <v>163</v>
      </c>
      <c r="C396" s="44" t="s">
        <v>198</v>
      </c>
      <c r="D396" s="1355"/>
      <c r="E396" s="113"/>
      <c r="F396" s="113"/>
      <c r="G396" s="113"/>
      <c r="H396" s="381" t="s">
        <v>199</v>
      </c>
      <c r="I396" s="141">
        <v>0</v>
      </c>
      <c r="J396" s="141">
        <v>5000</v>
      </c>
      <c r="K396" s="141"/>
      <c r="L396" s="141">
        <f t="shared" si="8"/>
        <v>5000</v>
      </c>
      <c r="M396" s="141">
        <v>5000</v>
      </c>
      <c r="N396" s="141">
        <v>0</v>
      </c>
      <c r="O396" s="141"/>
      <c r="P396" s="141">
        <v>5000</v>
      </c>
      <c r="Q396" s="141">
        <v>5000</v>
      </c>
      <c r="R396" s="122">
        <v>5000</v>
      </c>
      <c r="S396" s="239"/>
      <c r="T396" s="1478"/>
      <c r="U396" s="169"/>
      <c r="V396" s="169"/>
      <c r="W396" s="169"/>
      <c r="X396" s="169"/>
      <c r="Y396" s="169"/>
      <c r="Z396" s="169"/>
    </row>
    <row r="397" spans="1:26" s="48" customFormat="1" ht="18" customHeight="1" x14ac:dyDescent="0.25">
      <c r="A397" s="961" t="s">
        <v>1386</v>
      </c>
      <c r="B397" s="961" t="s">
        <v>163</v>
      </c>
      <c r="C397" s="44" t="s">
        <v>198</v>
      </c>
      <c r="D397" s="1355"/>
      <c r="E397" s="113"/>
      <c r="F397" s="113"/>
      <c r="G397" s="113"/>
      <c r="H397" s="381" t="s">
        <v>199</v>
      </c>
      <c r="I397" s="141">
        <v>276363.87</v>
      </c>
      <c r="J397" s="141">
        <v>470953.44</v>
      </c>
      <c r="K397" s="141">
        <v>114748.05</v>
      </c>
      <c r="L397" s="141">
        <f t="shared" si="8"/>
        <v>356205.39</v>
      </c>
      <c r="M397" s="141">
        <v>470953.44</v>
      </c>
      <c r="N397" s="141">
        <v>155436.66</v>
      </c>
      <c r="O397" s="141"/>
      <c r="P397" s="141">
        <v>489757.68</v>
      </c>
      <c r="Q397" s="141">
        <v>489757.68</v>
      </c>
      <c r="R397" s="122">
        <v>489757.68</v>
      </c>
      <c r="S397" s="239"/>
      <c r="T397" s="1477"/>
      <c r="U397" s="169"/>
      <c r="V397" s="169"/>
      <c r="W397" s="169"/>
      <c r="X397" s="169"/>
      <c r="Y397" s="169"/>
      <c r="Z397" s="169"/>
    </row>
    <row r="398" spans="1:26" s="48" customFormat="1" ht="18" customHeight="1" x14ac:dyDescent="0.25">
      <c r="A398" s="961" t="s">
        <v>1386</v>
      </c>
      <c r="B398" s="961" t="s">
        <v>163</v>
      </c>
      <c r="C398" s="44" t="s">
        <v>198</v>
      </c>
      <c r="D398" s="1355"/>
      <c r="E398" s="113"/>
      <c r="F398" s="113"/>
      <c r="G398" s="113"/>
      <c r="H398" s="221" t="s">
        <v>199</v>
      </c>
      <c r="I398" s="141">
        <v>306890.99</v>
      </c>
      <c r="J398" s="141">
        <v>615600</v>
      </c>
      <c r="K398" s="141">
        <v>170082.22</v>
      </c>
      <c r="L398" s="141">
        <f t="shared" si="8"/>
        <v>445517.78</v>
      </c>
      <c r="M398" s="141">
        <v>615600</v>
      </c>
      <c r="N398" s="141">
        <v>231948.4</v>
      </c>
      <c r="O398" s="141"/>
      <c r="P398" s="141">
        <v>672000</v>
      </c>
      <c r="Q398" s="141">
        <v>672000</v>
      </c>
      <c r="R398" s="122">
        <v>672000</v>
      </c>
      <c r="S398" s="239"/>
      <c r="T398" s="1477"/>
      <c r="U398" s="169"/>
      <c r="V398" s="169"/>
      <c r="W398" s="169"/>
      <c r="X398" s="169"/>
      <c r="Y398" s="169"/>
      <c r="Z398" s="169"/>
    </row>
    <row r="399" spans="1:26" s="48" customFormat="1" ht="18" customHeight="1" x14ac:dyDescent="0.25">
      <c r="A399" s="961" t="s">
        <v>1386</v>
      </c>
      <c r="B399" s="961" t="s">
        <v>163</v>
      </c>
      <c r="C399" s="44" t="s">
        <v>198</v>
      </c>
      <c r="D399" s="1355"/>
      <c r="E399" s="113"/>
      <c r="F399" s="113"/>
      <c r="G399" s="113"/>
      <c r="H399" s="221" t="s">
        <v>199</v>
      </c>
      <c r="I399" s="141">
        <v>421647.6</v>
      </c>
      <c r="J399" s="141">
        <v>1360194.72</v>
      </c>
      <c r="K399" s="141">
        <v>171182.15</v>
      </c>
      <c r="L399" s="141">
        <f t="shared" si="8"/>
        <v>1189012.57</v>
      </c>
      <c r="M399" s="141">
        <v>1360194.72</v>
      </c>
      <c r="N399" s="141">
        <v>240608.99</v>
      </c>
      <c r="O399" s="141"/>
      <c r="P399" s="141">
        <v>1653880.32</v>
      </c>
      <c r="Q399" s="141">
        <v>1653880.32</v>
      </c>
      <c r="R399" s="122">
        <v>1653880.32</v>
      </c>
      <c r="S399" s="239"/>
      <c r="T399" s="1478"/>
      <c r="U399" s="169"/>
      <c r="V399" s="169"/>
      <c r="W399" s="169"/>
      <c r="X399" s="169"/>
      <c r="Y399" s="169"/>
      <c r="Z399" s="169"/>
    </row>
    <row r="400" spans="1:26" s="48" customFormat="1" ht="18" customHeight="1" x14ac:dyDescent="0.25">
      <c r="A400" s="961" t="s">
        <v>1386</v>
      </c>
      <c r="B400" s="961" t="s">
        <v>163</v>
      </c>
      <c r="C400" s="44" t="s">
        <v>198</v>
      </c>
      <c r="D400" s="1355"/>
      <c r="E400" s="113"/>
      <c r="F400" s="113"/>
      <c r="G400" s="113"/>
      <c r="H400" s="381" t="s">
        <v>199</v>
      </c>
      <c r="I400" s="141">
        <v>35268.300000000003</v>
      </c>
      <c r="J400" s="141">
        <v>257000</v>
      </c>
      <c r="K400" s="141"/>
      <c r="L400" s="141">
        <f t="shared" si="8"/>
        <v>257000</v>
      </c>
      <c r="M400" s="141">
        <v>257000</v>
      </c>
      <c r="N400" s="141"/>
      <c r="O400" s="141"/>
      <c r="P400" s="141">
        <v>333041.28000000003</v>
      </c>
      <c r="Q400" s="141">
        <v>333041.28000000003</v>
      </c>
      <c r="R400" s="122">
        <v>333041.28000000003</v>
      </c>
      <c r="S400" s="239"/>
      <c r="T400" s="1477"/>
      <c r="U400" s="169"/>
      <c r="V400" s="169"/>
      <c r="W400" s="169"/>
      <c r="X400" s="169"/>
      <c r="Y400" s="169"/>
      <c r="Z400" s="169"/>
    </row>
    <row r="401" spans="1:26" s="48" customFormat="1" ht="18" customHeight="1" x14ac:dyDescent="0.2">
      <c r="A401" s="445" t="s">
        <v>1386</v>
      </c>
      <c r="B401" s="445" t="s">
        <v>163</v>
      </c>
      <c r="C401" s="44" t="s">
        <v>198</v>
      </c>
      <c r="D401" s="1355"/>
      <c r="E401" s="113"/>
      <c r="F401" s="113"/>
      <c r="G401" s="113"/>
      <c r="H401" s="221" t="s">
        <v>199</v>
      </c>
      <c r="I401" s="141">
        <v>379276.21</v>
      </c>
      <c r="J401" s="141">
        <v>519261.64</v>
      </c>
      <c r="K401" s="141">
        <v>256254.15</v>
      </c>
      <c r="L401" s="141">
        <f t="shared" si="8"/>
        <v>263007.49</v>
      </c>
      <c r="M401" s="141">
        <v>519261.64</v>
      </c>
      <c r="N401" s="141">
        <v>291872.02</v>
      </c>
      <c r="O401" s="141"/>
      <c r="P401" s="141">
        <v>564993</v>
      </c>
      <c r="Q401" s="141">
        <v>564993</v>
      </c>
      <c r="R401" s="122">
        <v>564993</v>
      </c>
      <c r="S401" s="239"/>
      <c r="T401" s="1478"/>
      <c r="U401" s="169"/>
      <c r="V401" s="169"/>
      <c r="W401" s="169"/>
      <c r="X401" s="169"/>
      <c r="Y401" s="169"/>
      <c r="Z401" s="169"/>
    </row>
    <row r="402" spans="1:26" s="48" customFormat="1" ht="18" customHeight="1" x14ac:dyDescent="0.25">
      <c r="A402" s="961" t="s">
        <v>1386</v>
      </c>
      <c r="B402" s="961" t="s">
        <v>163</v>
      </c>
      <c r="C402" s="44" t="s">
        <v>198</v>
      </c>
      <c r="D402" s="1356"/>
      <c r="E402" s="125"/>
      <c r="F402" s="125"/>
      <c r="G402" s="125"/>
      <c r="H402" s="221" t="s">
        <v>199</v>
      </c>
      <c r="I402" s="141">
        <v>2099196.0099999998</v>
      </c>
      <c r="J402" s="141">
        <v>4375332</v>
      </c>
      <c r="K402" s="141">
        <v>1021430.9</v>
      </c>
      <c r="L402" s="141">
        <f t="shared" si="8"/>
        <v>3327850.85</v>
      </c>
      <c r="M402" s="141">
        <v>4349281.75</v>
      </c>
      <c r="N402" s="141">
        <v>1628845.66</v>
      </c>
      <c r="O402" s="141"/>
      <c r="P402" s="141">
        <v>4375332</v>
      </c>
      <c r="Q402" s="141">
        <v>4375332</v>
      </c>
      <c r="R402" s="122">
        <v>4375332</v>
      </c>
      <c r="S402" s="239"/>
      <c r="T402" s="1477"/>
      <c r="U402" s="169"/>
      <c r="V402" s="169"/>
      <c r="W402" s="169"/>
      <c r="X402" s="169"/>
      <c r="Y402" s="169"/>
      <c r="Z402" s="169"/>
    </row>
    <row r="403" spans="1:26" s="146" customFormat="1" ht="15.75" customHeight="1" x14ac:dyDescent="0.25">
      <c r="A403" s="1439" t="s">
        <v>1386</v>
      </c>
      <c r="B403" s="1439" t="s">
        <v>163</v>
      </c>
      <c r="C403" s="44" t="s">
        <v>198</v>
      </c>
      <c r="D403" s="1356"/>
      <c r="E403" s="125"/>
      <c r="F403" s="125"/>
      <c r="G403" s="125"/>
      <c r="H403" s="221" t="s">
        <v>199</v>
      </c>
      <c r="I403" s="141">
        <v>7574.4</v>
      </c>
      <c r="J403" s="141">
        <v>156984.48000000001</v>
      </c>
      <c r="K403" s="141">
        <v>48613.69</v>
      </c>
      <c r="L403" s="141">
        <f t="shared" si="8"/>
        <v>108370.79000000001</v>
      </c>
      <c r="M403" s="141">
        <v>156984.48000000001</v>
      </c>
      <c r="N403" s="141">
        <v>68957.990000000005</v>
      </c>
      <c r="O403" s="141"/>
      <c r="P403" s="141">
        <v>156984.48000000001</v>
      </c>
      <c r="Q403" s="141">
        <v>156984.48000000001</v>
      </c>
      <c r="R403" s="122">
        <v>156984.48000000001</v>
      </c>
      <c r="S403" s="239"/>
      <c r="T403" s="1476"/>
    </row>
    <row r="404" spans="1:26" s="146" customFormat="1" ht="18" x14ac:dyDescent="0.25">
      <c r="A404" s="1439" t="s">
        <v>1386</v>
      </c>
      <c r="B404" s="1439" t="s">
        <v>163</v>
      </c>
      <c r="C404" s="44" t="s">
        <v>198</v>
      </c>
      <c r="D404" s="1356"/>
      <c r="E404" s="125"/>
      <c r="F404" s="125"/>
      <c r="G404" s="125"/>
      <c r="H404" s="221" t="s">
        <v>199</v>
      </c>
      <c r="I404" s="141">
        <v>131179.57</v>
      </c>
      <c r="J404" s="141">
        <v>319968.96000000002</v>
      </c>
      <c r="K404" s="141">
        <v>54782.94</v>
      </c>
      <c r="L404" s="141">
        <f t="shared" si="8"/>
        <v>265186.02</v>
      </c>
      <c r="M404" s="141">
        <v>319968.96000000002</v>
      </c>
      <c r="N404" s="141">
        <v>75127.240000000005</v>
      </c>
      <c r="O404" s="141"/>
      <c r="P404" s="141">
        <v>328698.56</v>
      </c>
      <c r="Q404" s="141">
        <v>328698.56</v>
      </c>
      <c r="R404" s="122">
        <f>320698.56+4000</f>
        <v>324698.56</v>
      </c>
      <c r="S404" s="239"/>
      <c r="T404" s="1476"/>
    </row>
    <row r="405" spans="1:26" s="146" customFormat="1" ht="18" x14ac:dyDescent="0.25">
      <c r="A405" s="1439" t="s">
        <v>1386</v>
      </c>
      <c r="B405" s="1439" t="s">
        <v>163</v>
      </c>
      <c r="C405" s="44" t="s">
        <v>1569</v>
      </c>
      <c r="D405" s="1356"/>
      <c r="E405" s="125"/>
      <c r="F405" s="125"/>
      <c r="G405" s="125"/>
      <c r="H405" s="221" t="s">
        <v>199</v>
      </c>
      <c r="I405" s="141">
        <v>384350.97</v>
      </c>
      <c r="J405" s="141">
        <v>470953.44</v>
      </c>
      <c r="K405" s="141">
        <v>193611.36</v>
      </c>
      <c r="L405" s="141">
        <f t="shared" si="8"/>
        <v>277342.08000000002</v>
      </c>
      <c r="M405" s="141">
        <v>470953.44</v>
      </c>
      <c r="N405" s="141">
        <v>248324.24</v>
      </c>
      <c r="O405" s="141"/>
      <c r="P405" s="141">
        <v>489757.68</v>
      </c>
      <c r="Q405" s="141">
        <v>489757.68</v>
      </c>
      <c r="R405" s="122">
        <v>489757.68</v>
      </c>
      <c r="S405" s="239">
        <f>SUM(R387:R405)</f>
        <v>17149213.920000002</v>
      </c>
      <c r="T405" s="1476"/>
    </row>
    <row r="406" spans="1:26" s="146" customFormat="1" ht="18" x14ac:dyDescent="0.25">
      <c r="A406" s="961" t="s">
        <v>1386</v>
      </c>
      <c r="B406" s="961" t="s">
        <v>163</v>
      </c>
      <c r="C406" s="44" t="s">
        <v>170</v>
      </c>
      <c r="D406" s="1355"/>
      <c r="E406" s="113"/>
      <c r="F406" s="113"/>
      <c r="G406" s="113"/>
      <c r="H406" s="381" t="s">
        <v>171</v>
      </c>
      <c r="I406" s="141">
        <f>874417+197610</f>
        <v>1072027</v>
      </c>
      <c r="J406" s="122">
        <v>2039927</v>
      </c>
      <c r="K406" s="141"/>
      <c r="L406" s="141">
        <f t="shared" si="8"/>
        <v>2039927</v>
      </c>
      <c r="M406" s="122">
        <v>2039927</v>
      </c>
      <c r="N406" s="122">
        <v>503595</v>
      </c>
      <c r="O406" s="122"/>
      <c r="P406" s="122">
        <v>2359396.5</v>
      </c>
      <c r="Q406" s="122">
        <v>2359396.5</v>
      </c>
      <c r="R406" s="122">
        <f>2359396.5+900000</f>
        <v>3259396.5</v>
      </c>
      <c r="S406" s="239"/>
      <c r="T406" s="1476"/>
    </row>
    <row r="407" spans="1:26" s="146" customFormat="1" ht="18" x14ac:dyDescent="0.25">
      <c r="A407" s="961" t="s">
        <v>1386</v>
      </c>
      <c r="B407" s="961" t="s">
        <v>163</v>
      </c>
      <c r="C407" s="1369" t="s">
        <v>248</v>
      </c>
      <c r="D407" s="1355"/>
      <c r="E407" s="1355"/>
      <c r="F407" s="1355"/>
      <c r="G407" s="1355"/>
      <c r="H407" s="381" t="s">
        <v>171</v>
      </c>
      <c r="I407" s="141">
        <f>29900+14340</f>
        <v>44240</v>
      </c>
      <c r="J407" s="141">
        <v>56070</v>
      </c>
      <c r="K407" s="141"/>
      <c r="L407" s="141">
        <f t="shared" si="8"/>
        <v>56070</v>
      </c>
      <c r="M407" s="141">
        <v>56070</v>
      </c>
      <c r="N407" s="141">
        <v>8730</v>
      </c>
      <c r="O407" s="141"/>
      <c r="P407" s="141">
        <v>79960</v>
      </c>
      <c r="Q407" s="141">
        <v>79960</v>
      </c>
      <c r="R407" s="122">
        <v>79960</v>
      </c>
      <c r="S407" s="239"/>
      <c r="T407" s="1476"/>
    </row>
    <row r="408" spans="1:26" s="146" customFormat="1" ht="18" x14ac:dyDescent="0.25">
      <c r="A408" s="961" t="s">
        <v>1386</v>
      </c>
      <c r="B408" s="961" t="s">
        <v>163</v>
      </c>
      <c r="C408" s="44" t="s">
        <v>170</v>
      </c>
      <c r="D408" s="1355"/>
      <c r="E408" s="113"/>
      <c r="F408" s="113"/>
      <c r="G408" s="113"/>
      <c r="H408" s="221" t="s">
        <v>171</v>
      </c>
      <c r="I408" s="141">
        <v>178749</v>
      </c>
      <c r="J408" s="141">
        <v>160974</v>
      </c>
      <c r="K408" s="141"/>
      <c r="L408" s="141">
        <f t="shared" si="8"/>
        <v>160974</v>
      </c>
      <c r="M408" s="141">
        <v>160974</v>
      </c>
      <c r="N408" s="141">
        <v>83801.8</v>
      </c>
      <c r="O408" s="141"/>
      <c r="P408" s="141">
        <v>130335.2</v>
      </c>
      <c r="Q408" s="141">
        <v>130335.2</v>
      </c>
      <c r="R408" s="122">
        <v>130335.2</v>
      </c>
      <c r="S408" s="239"/>
      <c r="T408" s="1476"/>
    </row>
    <row r="409" spans="1:26" s="146" customFormat="1" ht="18" x14ac:dyDescent="0.25">
      <c r="A409" s="573" t="s">
        <v>1386</v>
      </c>
      <c r="B409" s="573" t="s">
        <v>163</v>
      </c>
      <c r="C409" s="206" t="s">
        <v>170</v>
      </c>
      <c r="D409" s="1355"/>
      <c r="E409" s="184"/>
      <c r="F409" s="184"/>
      <c r="G409" s="184"/>
      <c r="H409" s="381" t="s">
        <v>171</v>
      </c>
      <c r="I409" s="141">
        <f>24270+9930+54000</f>
        <v>88200</v>
      </c>
      <c r="J409" s="141">
        <v>323314</v>
      </c>
      <c r="K409" s="141"/>
      <c r="L409" s="141">
        <f t="shared" si="8"/>
        <v>323314</v>
      </c>
      <c r="M409" s="141">
        <v>323314</v>
      </c>
      <c r="N409" s="141">
        <v>10492</v>
      </c>
      <c r="O409" s="141"/>
      <c r="P409" s="141">
        <v>286982.40000000002</v>
      </c>
      <c r="Q409" s="141">
        <v>286982.40000000002</v>
      </c>
      <c r="R409" s="122">
        <v>286982.40000000002</v>
      </c>
      <c r="S409" s="239"/>
      <c r="T409" s="1476"/>
    </row>
    <row r="410" spans="1:26" s="146" customFormat="1" ht="18" x14ac:dyDescent="0.25">
      <c r="A410" s="961" t="s">
        <v>1386</v>
      </c>
      <c r="B410" s="961" t="s">
        <v>163</v>
      </c>
      <c r="C410" s="44" t="s">
        <v>170</v>
      </c>
      <c r="D410" s="1355"/>
      <c r="E410" s="113"/>
      <c r="F410" s="113"/>
      <c r="G410" s="113"/>
      <c r="H410" s="381" t="s">
        <v>171</v>
      </c>
      <c r="I410" s="141">
        <f>20955+2500</f>
        <v>23455</v>
      </c>
      <c r="J410" s="141">
        <v>26245</v>
      </c>
      <c r="K410" s="141"/>
      <c r="L410" s="141">
        <f t="shared" si="8"/>
        <v>26245</v>
      </c>
      <c r="M410" s="141">
        <v>26245</v>
      </c>
      <c r="N410" s="141">
        <v>9410</v>
      </c>
      <c r="O410" s="141"/>
      <c r="P410" s="141">
        <v>28002</v>
      </c>
      <c r="Q410" s="141">
        <v>28002</v>
      </c>
      <c r="R410" s="122">
        <v>28002</v>
      </c>
      <c r="S410" s="239"/>
      <c r="T410" s="1476"/>
    </row>
    <row r="411" spans="1:26" s="146" customFormat="1" ht="18" x14ac:dyDescent="0.25">
      <c r="A411" s="1440" t="s">
        <v>1386</v>
      </c>
      <c r="B411" s="1440" t="s">
        <v>163</v>
      </c>
      <c r="C411" s="44" t="s">
        <v>213</v>
      </c>
      <c r="D411" s="1355"/>
      <c r="E411" s="125"/>
      <c r="F411" s="125"/>
      <c r="G411" s="125"/>
      <c r="H411" s="221" t="s">
        <v>171</v>
      </c>
      <c r="I411" s="141">
        <f>26590+250332+19940</f>
        <v>296862</v>
      </c>
      <c r="J411" s="141">
        <v>669129</v>
      </c>
      <c r="K411" s="141">
        <v>1650</v>
      </c>
      <c r="L411" s="141">
        <f t="shared" si="8"/>
        <v>667479</v>
      </c>
      <c r="M411" s="141">
        <v>669129</v>
      </c>
      <c r="N411" s="141">
        <v>17312</v>
      </c>
      <c r="O411" s="141"/>
      <c r="P411" s="141">
        <f>548881.5+8000+5000</f>
        <v>561881.5</v>
      </c>
      <c r="Q411" s="141">
        <f>548881.5+8000+5000</f>
        <v>561881.5</v>
      </c>
      <c r="R411" s="122">
        <f>548881.5+8000+5000</f>
        <v>561881.5</v>
      </c>
      <c r="S411" s="239"/>
      <c r="T411" s="1476"/>
    </row>
    <row r="412" spans="1:26" s="146" customFormat="1" ht="18" x14ac:dyDescent="0.25">
      <c r="A412" s="961" t="s">
        <v>1386</v>
      </c>
      <c r="B412" s="961" t="s">
        <v>163</v>
      </c>
      <c r="C412" s="44" t="s">
        <v>213</v>
      </c>
      <c r="D412" s="1355"/>
      <c r="E412" s="113"/>
      <c r="F412" s="113"/>
      <c r="G412" s="113"/>
      <c r="H412" s="381" t="s">
        <v>171</v>
      </c>
      <c r="I412" s="141">
        <v>17410</v>
      </c>
      <c r="J412" s="141">
        <v>31200</v>
      </c>
      <c r="K412" s="141"/>
      <c r="L412" s="141">
        <f t="shared" si="8"/>
        <v>31200</v>
      </c>
      <c r="M412" s="141">
        <v>31200</v>
      </c>
      <c r="N412" s="141">
        <v>0</v>
      </c>
      <c r="O412" s="141"/>
      <c r="P412" s="122">
        <v>34078</v>
      </c>
      <c r="Q412" s="122">
        <v>34078</v>
      </c>
      <c r="R412" s="122">
        <v>11616</v>
      </c>
      <c r="S412" s="239"/>
      <c r="T412" s="1476"/>
    </row>
    <row r="413" spans="1:26" s="146" customFormat="1" ht="18" x14ac:dyDescent="0.25">
      <c r="A413" s="961" t="s">
        <v>1386</v>
      </c>
      <c r="B413" s="961" t="s">
        <v>163</v>
      </c>
      <c r="C413" s="44" t="s">
        <v>213</v>
      </c>
      <c r="D413" s="1355"/>
      <c r="E413" s="113"/>
      <c r="F413" s="113"/>
      <c r="G413" s="113"/>
      <c r="H413" s="221" t="s">
        <v>171</v>
      </c>
      <c r="I413" s="141">
        <v>4840</v>
      </c>
      <c r="J413" s="141">
        <f>10380+12000</f>
        <v>22380</v>
      </c>
      <c r="K413" s="141"/>
      <c r="L413" s="141">
        <f t="shared" si="8"/>
        <v>22380</v>
      </c>
      <c r="M413" s="141">
        <f>10380+12000</f>
        <v>22380</v>
      </c>
      <c r="N413" s="141">
        <v>6450</v>
      </c>
      <c r="O413" s="141"/>
      <c r="P413" s="141">
        <f>9935+50000+25000+50000</f>
        <v>134935</v>
      </c>
      <c r="Q413" s="141">
        <f>9935+50000+25000+50000</f>
        <v>134935</v>
      </c>
      <c r="R413" s="122">
        <f>9935+50000+25000+50000</f>
        <v>134935</v>
      </c>
      <c r="S413" s="239"/>
      <c r="T413" s="1476"/>
    </row>
    <row r="414" spans="1:26" s="146" customFormat="1" ht="18" x14ac:dyDescent="0.25">
      <c r="A414" s="961" t="s">
        <v>1386</v>
      </c>
      <c r="B414" s="961" t="s">
        <v>163</v>
      </c>
      <c r="C414" s="206" t="s">
        <v>213</v>
      </c>
      <c r="D414" s="1355"/>
      <c r="E414" s="184"/>
      <c r="F414" s="184"/>
      <c r="G414" s="184"/>
      <c r="H414" s="221" t="s">
        <v>171</v>
      </c>
      <c r="I414" s="141">
        <f>87171+19685</f>
        <v>106856</v>
      </c>
      <c r="J414" s="141">
        <v>80000</v>
      </c>
      <c r="K414" s="141"/>
      <c r="L414" s="141">
        <f t="shared" si="8"/>
        <v>480000</v>
      </c>
      <c r="M414" s="141">
        <v>480000</v>
      </c>
      <c r="N414" s="141">
        <v>88875</v>
      </c>
      <c r="O414" s="141"/>
      <c r="P414" s="141">
        <f>630000+50000</f>
        <v>680000</v>
      </c>
      <c r="Q414" s="141">
        <f>630000+50000</f>
        <v>680000</v>
      </c>
      <c r="R414" s="122">
        <f>630000+50000</f>
        <v>680000</v>
      </c>
      <c r="S414" s="239"/>
      <c r="T414" s="1476"/>
    </row>
    <row r="415" spans="1:26" s="146" customFormat="1" ht="18" x14ac:dyDescent="0.25">
      <c r="A415" s="573" t="s">
        <v>1386</v>
      </c>
      <c r="B415" s="573" t="s">
        <v>163</v>
      </c>
      <c r="C415" s="206" t="s">
        <v>213</v>
      </c>
      <c r="D415" s="1355"/>
      <c r="E415" s="184"/>
      <c r="F415" s="184"/>
      <c r="G415" s="184"/>
      <c r="H415" s="221" t="s">
        <v>171</v>
      </c>
      <c r="I415" s="141">
        <v>59970</v>
      </c>
      <c r="J415" s="141">
        <v>180000</v>
      </c>
      <c r="K415" s="141"/>
      <c r="L415" s="141">
        <f t="shared" si="8"/>
        <v>180000</v>
      </c>
      <c r="M415" s="141">
        <v>180000</v>
      </c>
      <c r="N415" s="141">
        <v>31464.799999999999</v>
      </c>
      <c r="O415" s="141"/>
      <c r="P415" s="141">
        <v>755000</v>
      </c>
      <c r="Q415" s="141">
        <v>755000</v>
      </c>
      <c r="R415" s="122">
        <v>755000</v>
      </c>
      <c r="S415" s="239"/>
      <c r="T415" s="1476"/>
    </row>
    <row r="416" spans="1:26" s="146" customFormat="1" ht="18" x14ac:dyDescent="0.25">
      <c r="A416" s="573" t="s">
        <v>1386</v>
      </c>
      <c r="B416" s="573" t="s">
        <v>163</v>
      </c>
      <c r="C416" s="206" t="s">
        <v>213</v>
      </c>
      <c r="D416" s="1355"/>
      <c r="E416" s="184"/>
      <c r="F416" s="184"/>
      <c r="G416" s="184"/>
      <c r="H416" s="221" t="s">
        <v>171</v>
      </c>
      <c r="I416" s="141">
        <v>49955</v>
      </c>
      <c r="J416" s="141">
        <v>120000</v>
      </c>
      <c r="K416" s="141"/>
      <c r="L416" s="141">
        <f t="shared" si="8"/>
        <v>120000</v>
      </c>
      <c r="M416" s="141">
        <v>120000</v>
      </c>
      <c r="N416" s="141">
        <v>28261</v>
      </c>
      <c r="O416" s="141"/>
      <c r="P416" s="141">
        <v>350000</v>
      </c>
      <c r="Q416" s="141">
        <v>350000</v>
      </c>
      <c r="R416" s="122">
        <v>350000</v>
      </c>
      <c r="S416" s="239"/>
      <c r="T416" s="1476"/>
    </row>
    <row r="417" spans="1:26" s="146" customFormat="1" ht="18" x14ac:dyDescent="0.25">
      <c r="A417" s="573" t="s">
        <v>1386</v>
      </c>
      <c r="B417" s="573" t="s">
        <v>163</v>
      </c>
      <c r="C417" s="206" t="s">
        <v>213</v>
      </c>
      <c r="D417" s="1355"/>
      <c r="E417" s="184"/>
      <c r="F417" s="184"/>
      <c r="G417" s="184"/>
      <c r="H417" s="221" t="s">
        <v>171</v>
      </c>
      <c r="I417" s="141">
        <v>0</v>
      </c>
      <c r="J417" s="122">
        <v>8000</v>
      </c>
      <c r="K417" s="141"/>
      <c r="L417" s="141">
        <f t="shared" si="8"/>
        <v>8000</v>
      </c>
      <c r="M417" s="122">
        <v>8000</v>
      </c>
      <c r="N417" s="122">
        <v>7400</v>
      </c>
      <c r="O417" s="122"/>
      <c r="P417" s="122">
        <v>40000</v>
      </c>
      <c r="Q417" s="122">
        <v>40000</v>
      </c>
      <c r="R417" s="122">
        <v>40000</v>
      </c>
      <c r="S417" s="239"/>
      <c r="T417" s="1476"/>
    </row>
    <row r="418" spans="1:26" s="146" customFormat="1" ht="18" x14ac:dyDescent="0.25">
      <c r="A418" s="573" t="s">
        <v>1386</v>
      </c>
      <c r="B418" s="573" t="s">
        <v>163</v>
      </c>
      <c r="C418" s="206" t="s">
        <v>213</v>
      </c>
      <c r="D418" s="1355"/>
      <c r="E418" s="184"/>
      <c r="F418" s="184"/>
      <c r="G418" s="184"/>
      <c r="H418" s="381" t="s">
        <v>171</v>
      </c>
      <c r="I418" s="141">
        <f>2618+2000+23047</f>
        <v>27665</v>
      </c>
      <c r="J418" s="141">
        <f>27000+2500</f>
        <v>29500</v>
      </c>
      <c r="K418" s="141"/>
      <c r="L418" s="141">
        <f t="shared" si="8"/>
        <v>29500</v>
      </c>
      <c r="M418" s="141">
        <f>27000+2500</f>
        <v>29500</v>
      </c>
      <c r="N418" s="141">
        <v>13636.8</v>
      </c>
      <c r="O418" s="141"/>
      <c r="P418" s="141">
        <v>70000</v>
      </c>
      <c r="Q418" s="141">
        <v>70000</v>
      </c>
      <c r="R418" s="122">
        <f>70000+250000</f>
        <v>320000</v>
      </c>
      <c r="S418" s="239"/>
      <c r="T418" s="1476"/>
    </row>
    <row r="419" spans="1:26" s="146" customFormat="1" ht="18" x14ac:dyDescent="0.25">
      <c r="A419" s="445" t="s">
        <v>1386</v>
      </c>
      <c r="B419" s="445" t="s">
        <v>163</v>
      </c>
      <c r="C419" s="44" t="s">
        <v>213</v>
      </c>
      <c r="D419" s="1355"/>
      <c r="E419" s="113"/>
      <c r="F419" s="113"/>
      <c r="G419" s="113"/>
      <c r="H419" s="221" t="s">
        <v>171</v>
      </c>
      <c r="I419" s="141">
        <f>10020+4000</f>
        <v>14020</v>
      </c>
      <c r="J419" s="141">
        <v>94793</v>
      </c>
      <c r="K419" s="141"/>
      <c r="L419" s="141">
        <f t="shared" si="8"/>
        <v>94793</v>
      </c>
      <c r="M419" s="141">
        <v>94793</v>
      </c>
      <c r="N419" s="141">
        <v>3300</v>
      </c>
      <c r="O419" s="141"/>
      <c r="P419" s="141">
        <v>118695.4</v>
      </c>
      <c r="Q419" s="141">
        <v>118695.4</v>
      </c>
      <c r="R419" s="122">
        <v>118695.4</v>
      </c>
      <c r="S419" s="239"/>
      <c r="T419" s="1476"/>
    </row>
    <row r="420" spans="1:26" s="146" customFormat="1" ht="18" x14ac:dyDescent="0.25">
      <c r="A420" s="961" t="s">
        <v>1386</v>
      </c>
      <c r="B420" s="961" t="s">
        <v>163</v>
      </c>
      <c r="C420" s="44" t="s">
        <v>288</v>
      </c>
      <c r="D420" s="1356"/>
      <c r="E420" s="125"/>
      <c r="F420" s="125"/>
      <c r="G420" s="125"/>
      <c r="H420" s="221" t="s">
        <v>171</v>
      </c>
      <c r="I420" s="141">
        <f>469539+392900+31050</f>
        <v>893489</v>
      </c>
      <c r="J420" s="141">
        <v>6910600</v>
      </c>
      <c r="K420" s="141"/>
      <c r="L420" s="141">
        <f t="shared" si="8"/>
        <v>6910600</v>
      </c>
      <c r="M420" s="141">
        <v>6910600</v>
      </c>
      <c r="N420" s="141">
        <v>375855</v>
      </c>
      <c r="O420" s="141"/>
      <c r="P420" s="141">
        <f>3589902+824200</f>
        <v>4414102</v>
      </c>
      <c r="Q420" s="141">
        <f>3589902+824200</f>
        <v>4414102</v>
      </c>
      <c r="R420" s="122">
        <v>8476602</v>
      </c>
      <c r="S420" s="239"/>
      <c r="T420" s="1476"/>
    </row>
    <row r="421" spans="1:26" s="146" customFormat="1" ht="18" x14ac:dyDescent="0.25">
      <c r="A421" s="1439" t="s">
        <v>1386</v>
      </c>
      <c r="B421" s="1439" t="s">
        <v>163</v>
      </c>
      <c r="C421" s="44" t="s">
        <v>288</v>
      </c>
      <c r="D421" s="1356"/>
      <c r="E421" s="125"/>
      <c r="F421" s="125"/>
      <c r="G421" s="125"/>
      <c r="H421" s="221" t="s">
        <v>171</v>
      </c>
      <c r="I421" s="141">
        <f>40000+7200+7800+33242</f>
        <v>88242</v>
      </c>
      <c r="J421" s="141">
        <v>73552</v>
      </c>
      <c r="K421" s="141"/>
      <c r="L421" s="141">
        <f t="shared" si="8"/>
        <v>73552</v>
      </c>
      <c r="M421" s="141">
        <v>73552</v>
      </c>
      <c r="N421" s="141">
        <v>48672</v>
      </c>
      <c r="O421" s="141"/>
      <c r="P421" s="141">
        <f>53162.5+34000+10000+6500+8000</f>
        <v>111662.5</v>
      </c>
      <c r="Q421" s="141">
        <f>53162.5+34000+10000+6500+8000</f>
        <v>111662.5</v>
      </c>
      <c r="R421" s="122">
        <f>53162.5+34000+10000+6500+8000</f>
        <v>111662.5</v>
      </c>
      <c r="S421" s="239"/>
      <c r="T421" s="1476"/>
    </row>
    <row r="422" spans="1:26" s="48" customFormat="1" ht="18" customHeight="1" x14ac:dyDescent="0.25">
      <c r="A422" s="1439" t="s">
        <v>1386</v>
      </c>
      <c r="B422" s="1439" t="s">
        <v>163</v>
      </c>
      <c r="C422" s="44" t="s">
        <v>288</v>
      </c>
      <c r="D422" s="1356"/>
      <c r="E422" s="125"/>
      <c r="F422" s="125"/>
      <c r="G422" s="125"/>
      <c r="H422" s="221" t="s">
        <v>171</v>
      </c>
      <c r="I422" s="141">
        <f>114000+52930</f>
        <v>166930</v>
      </c>
      <c r="J422" s="141">
        <v>121650</v>
      </c>
      <c r="K422" s="141"/>
      <c r="L422" s="141">
        <f t="shared" si="8"/>
        <v>121650</v>
      </c>
      <c r="M422" s="141">
        <v>121650</v>
      </c>
      <c r="N422" s="141">
        <v>24600</v>
      </c>
      <c r="O422" s="141"/>
      <c r="P422" s="141">
        <v>482857</v>
      </c>
      <c r="Q422" s="141">
        <v>482857</v>
      </c>
      <c r="R422" s="122">
        <v>482857</v>
      </c>
      <c r="S422" s="1456"/>
      <c r="T422" s="1478"/>
      <c r="U422" s="169"/>
      <c r="V422" s="169"/>
      <c r="W422" s="169"/>
      <c r="X422" s="169"/>
      <c r="Y422" s="169"/>
      <c r="Z422" s="169"/>
    </row>
    <row r="423" spans="1:26" s="48" customFormat="1" ht="21" customHeight="1" x14ac:dyDescent="0.25">
      <c r="A423" s="1439" t="s">
        <v>1386</v>
      </c>
      <c r="B423" s="1439" t="s">
        <v>163</v>
      </c>
      <c r="C423" s="44" t="s">
        <v>213</v>
      </c>
      <c r="D423" s="1356"/>
      <c r="E423" s="125"/>
      <c r="F423" s="125"/>
      <c r="G423" s="125"/>
      <c r="H423" s="221" t="s">
        <v>171</v>
      </c>
      <c r="I423" s="141">
        <f>4582+5500</f>
        <v>10082</v>
      </c>
      <c r="J423" s="141">
        <v>110974</v>
      </c>
      <c r="K423" s="141"/>
      <c r="L423" s="141">
        <f t="shared" si="8"/>
        <v>110974</v>
      </c>
      <c r="M423" s="141">
        <v>110974</v>
      </c>
      <c r="N423" s="141">
        <v>14864</v>
      </c>
      <c r="O423" s="141"/>
      <c r="P423" s="141">
        <v>82341</v>
      </c>
      <c r="Q423" s="141">
        <v>82341</v>
      </c>
      <c r="R423" s="122">
        <v>82341</v>
      </c>
      <c r="S423" s="1464">
        <f>SUM(R406:R423)</f>
        <v>15910266.5</v>
      </c>
      <c r="T423" s="1478"/>
      <c r="U423" s="169"/>
      <c r="V423" s="169"/>
      <c r="W423" s="169"/>
      <c r="X423" s="169"/>
      <c r="Y423" s="169"/>
      <c r="Z423" s="169"/>
    </row>
    <row r="424" spans="1:26" s="48" customFormat="1" ht="18" customHeight="1" x14ac:dyDescent="0.25">
      <c r="A424" s="961" t="s">
        <v>1386</v>
      </c>
      <c r="B424" s="961" t="s">
        <v>163</v>
      </c>
      <c r="C424" s="206" t="s">
        <v>296</v>
      </c>
      <c r="D424" s="1355"/>
      <c r="E424" s="184"/>
      <c r="F424" s="184"/>
      <c r="G424" s="184"/>
      <c r="H424" s="221" t="s">
        <v>177</v>
      </c>
      <c r="I424" s="141">
        <v>0</v>
      </c>
      <c r="J424" s="141">
        <v>15000</v>
      </c>
      <c r="K424" s="141"/>
      <c r="L424" s="141">
        <f t="shared" si="8"/>
        <v>15000</v>
      </c>
      <c r="M424" s="141">
        <v>15000</v>
      </c>
      <c r="N424" s="141"/>
      <c r="O424" s="141"/>
      <c r="P424" s="141">
        <v>15000</v>
      </c>
      <c r="Q424" s="141">
        <v>15000</v>
      </c>
      <c r="R424" s="122">
        <v>15000</v>
      </c>
      <c r="S424" s="239"/>
      <c r="T424" s="1478"/>
      <c r="U424" s="169"/>
      <c r="V424" s="169"/>
      <c r="W424" s="169"/>
      <c r="X424" s="169"/>
      <c r="Y424" s="169"/>
      <c r="Z424" s="169"/>
    </row>
    <row r="425" spans="1:26" s="136" customFormat="1" ht="18" customHeight="1" x14ac:dyDescent="0.25">
      <c r="A425" s="573" t="s">
        <v>1386</v>
      </c>
      <c r="B425" s="573" t="s">
        <v>163</v>
      </c>
      <c r="C425" s="206" t="s">
        <v>296</v>
      </c>
      <c r="D425" s="1355"/>
      <c r="E425" s="184"/>
      <c r="F425" s="184"/>
      <c r="G425" s="184"/>
      <c r="H425" s="221" t="s">
        <v>177</v>
      </c>
      <c r="I425" s="141">
        <v>0</v>
      </c>
      <c r="J425" s="141">
        <v>15000</v>
      </c>
      <c r="K425" s="141"/>
      <c r="L425" s="141">
        <f t="shared" si="8"/>
        <v>15000</v>
      </c>
      <c r="M425" s="141">
        <v>15000</v>
      </c>
      <c r="N425" s="141"/>
      <c r="O425" s="141"/>
      <c r="P425" s="141">
        <v>15000</v>
      </c>
      <c r="Q425" s="141">
        <v>15000</v>
      </c>
      <c r="R425" s="122">
        <v>15000</v>
      </c>
      <c r="S425" s="239"/>
      <c r="T425" s="1478"/>
      <c r="U425" s="927"/>
      <c r="V425" s="927"/>
      <c r="W425" s="927"/>
      <c r="X425" s="927"/>
      <c r="Y425" s="927"/>
      <c r="Z425" s="927"/>
    </row>
    <row r="426" spans="1:26" s="136" customFormat="1" ht="18" customHeight="1" x14ac:dyDescent="0.25">
      <c r="A426" s="573" t="s">
        <v>1386</v>
      </c>
      <c r="B426" s="573" t="s">
        <v>163</v>
      </c>
      <c r="C426" s="206" t="s">
        <v>296</v>
      </c>
      <c r="D426" s="1355"/>
      <c r="E426" s="184"/>
      <c r="F426" s="184"/>
      <c r="G426" s="184"/>
      <c r="H426" s="221" t="s">
        <v>177</v>
      </c>
      <c r="I426" s="141">
        <v>0</v>
      </c>
      <c r="J426" s="141">
        <v>15000</v>
      </c>
      <c r="K426" s="141"/>
      <c r="L426" s="141">
        <f t="shared" si="8"/>
        <v>15000</v>
      </c>
      <c r="M426" s="141">
        <v>15000</v>
      </c>
      <c r="N426" s="141"/>
      <c r="O426" s="141"/>
      <c r="P426" s="141">
        <v>15000</v>
      </c>
      <c r="Q426" s="141">
        <v>15000</v>
      </c>
      <c r="R426" s="122">
        <v>15000</v>
      </c>
      <c r="S426" s="239"/>
      <c r="T426" s="1478"/>
      <c r="U426" s="927"/>
      <c r="V426" s="927"/>
      <c r="W426" s="927"/>
      <c r="X426" s="927"/>
      <c r="Y426" s="927"/>
      <c r="Z426" s="927"/>
    </row>
    <row r="427" spans="1:26" s="136" customFormat="1" ht="18" customHeight="1" x14ac:dyDescent="0.25">
      <c r="A427" s="573" t="s">
        <v>1386</v>
      </c>
      <c r="B427" s="573" t="s">
        <v>163</v>
      </c>
      <c r="C427" s="206" t="s">
        <v>296</v>
      </c>
      <c r="D427" s="1355"/>
      <c r="E427" s="184"/>
      <c r="F427" s="184"/>
      <c r="G427" s="184"/>
      <c r="H427" s="221" t="s">
        <v>177</v>
      </c>
      <c r="I427" s="141">
        <v>0</v>
      </c>
      <c r="J427" s="122">
        <v>10000</v>
      </c>
      <c r="K427" s="141"/>
      <c r="L427" s="141">
        <f t="shared" si="8"/>
        <v>10000</v>
      </c>
      <c r="M427" s="122">
        <v>10000</v>
      </c>
      <c r="N427" s="122"/>
      <c r="O427" s="122"/>
      <c r="P427" s="122">
        <v>10000</v>
      </c>
      <c r="Q427" s="122">
        <v>10000</v>
      </c>
      <c r="R427" s="122">
        <v>10000</v>
      </c>
      <c r="S427" s="239"/>
      <c r="T427" s="1478"/>
      <c r="U427" s="927"/>
      <c r="V427" s="927"/>
      <c r="W427" s="927"/>
      <c r="X427" s="927"/>
      <c r="Y427" s="927"/>
      <c r="Z427" s="927"/>
    </row>
    <row r="428" spans="1:26" s="136" customFormat="1" ht="18" customHeight="1" x14ac:dyDescent="0.25">
      <c r="A428" s="573" t="s">
        <v>1386</v>
      </c>
      <c r="B428" s="573" t="s">
        <v>163</v>
      </c>
      <c r="C428" s="206" t="s">
        <v>296</v>
      </c>
      <c r="D428" s="1355"/>
      <c r="E428" s="184"/>
      <c r="F428" s="184"/>
      <c r="G428" s="184"/>
      <c r="H428" s="381" t="s">
        <v>177</v>
      </c>
      <c r="I428" s="141">
        <v>0</v>
      </c>
      <c r="J428" s="141">
        <v>1000</v>
      </c>
      <c r="K428" s="141"/>
      <c r="L428" s="141">
        <f t="shared" si="8"/>
        <v>1000</v>
      </c>
      <c r="M428" s="141">
        <v>1000</v>
      </c>
      <c r="N428" s="141">
        <v>0</v>
      </c>
      <c r="O428" s="141"/>
      <c r="P428" s="141">
        <v>1000</v>
      </c>
      <c r="Q428" s="141">
        <v>1000</v>
      </c>
      <c r="R428" s="122">
        <v>1000</v>
      </c>
      <c r="S428" s="239"/>
      <c r="T428" s="1478"/>
      <c r="U428" s="927"/>
      <c r="V428" s="927"/>
      <c r="W428" s="927"/>
      <c r="X428" s="927"/>
      <c r="Y428" s="927"/>
      <c r="Z428" s="927"/>
    </row>
    <row r="429" spans="1:26" s="48" customFormat="1" ht="18" customHeight="1" x14ac:dyDescent="0.25">
      <c r="A429" s="961" t="s">
        <v>1386</v>
      </c>
      <c r="B429" s="961" t="s">
        <v>163</v>
      </c>
      <c r="C429" s="44" t="s">
        <v>176</v>
      </c>
      <c r="D429" s="1355"/>
      <c r="E429" s="113"/>
      <c r="F429" s="113"/>
      <c r="G429" s="113"/>
      <c r="H429" s="381" t="s">
        <v>177</v>
      </c>
      <c r="I429" s="141">
        <v>0</v>
      </c>
      <c r="J429" s="141">
        <v>5000</v>
      </c>
      <c r="K429" s="141"/>
      <c r="L429" s="141">
        <f t="shared" si="8"/>
        <v>5000</v>
      </c>
      <c r="M429" s="141">
        <v>5000</v>
      </c>
      <c r="N429" s="141">
        <v>0</v>
      </c>
      <c r="O429" s="141"/>
      <c r="P429" s="141">
        <v>5000</v>
      </c>
      <c r="Q429" s="141">
        <v>5000</v>
      </c>
      <c r="R429" s="122">
        <v>5000</v>
      </c>
      <c r="S429" s="1456"/>
      <c r="T429" s="1477"/>
      <c r="U429" s="169"/>
      <c r="V429" s="169"/>
      <c r="W429" s="169"/>
      <c r="X429" s="169"/>
      <c r="Y429" s="169"/>
      <c r="Z429" s="169"/>
    </row>
    <row r="430" spans="1:26" s="281" customFormat="1" ht="18" x14ac:dyDescent="0.25">
      <c r="A430" s="961" t="s">
        <v>1386</v>
      </c>
      <c r="B430" s="961" t="s">
        <v>163</v>
      </c>
      <c r="C430" s="44" t="s">
        <v>176</v>
      </c>
      <c r="D430" s="1355"/>
      <c r="E430" s="113"/>
      <c r="F430" s="113"/>
      <c r="G430" s="113"/>
      <c r="H430" s="381" t="s">
        <v>177</v>
      </c>
      <c r="I430" s="141">
        <v>0</v>
      </c>
      <c r="J430" s="141">
        <v>1000</v>
      </c>
      <c r="K430" s="141"/>
      <c r="L430" s="141">
        <f t="shared" si="8"/>
        <v>1000</v>
      </c>
      <c r="M430" s="141">
        <v>1000</v>
      </c>
      <c r="N430" s="141"/>
      <c r="O430" s="141"/>
      <c r="P430" s="141">
        <v>1000</v>
      </c>
      <c r="Q430" s="141">
        <v>1000</v>
      </c>
      <c r="R430" s="122">
        <v>1000</v>
      </c>
      <c r="S430" s="1456"/>
      <c r="T430" s="1484"/>
      <c r="U430" s="282"/>
      <c r="V430" s="282"/>
      <c r="W430" s="282"/>
      <c r="X430" s="282"/>
      <c r="Y430" s="282"/>
      <c r="Z430" s="282"/>
    </row>
    <row r="431" spans="1:26" s="9" customFormat="1" ht="18" x14ac:dyDescent="0.25">
      <c r="A431" s="1439" t="s">
        <v>1386</v>
      </c>
      <c r="B431" s="1439" t="s">
        <v>163</v>
      </c>
      <c r="C431" s="44" t="s">
        <v>176</v>
      </c>
      <c r="D431" s="1356"/>
      <c r="E431" s="125"/>
      <c r="F431" s="125"/>
      <c r="G431" s="125"/>
      <c r="H431" s="221" t="s">
        <v>177</v>
      </c>
      <c r="I431" s="141">
        <v>1210</v>
      </c>
      <c r="J431" s="141">
        <v>15000</v>
      </c>
      <c r="K431" s="141"/>
      <c r="L431" s="141">
        <f t="shared" si="8"/>
        <v>15000</v>
      </c>
      <c r="M431" s="141">
        <v>15000</v>
      </c>
      <c r="N431" s="141"/>
      <c r="O431" s="141"/>
      <c r="P431" s="141">
        <v>15000</v>
      </c>
      <c r="Q431" s="141">
        <v>15000</v>
      </c>
      <c r="R431" s="122">
        <v>15000</v>
      </c>
      <c r="S431" s="239"/>
      <c r="T431" s="1476"/>
      <c r="U431" s="146"/>
    </row>
    <row r="432" spans="1:26" s="9" customFormat="1" ht="18" x14ac:dyDescent="0.25">
      <c r="A432" s="1439" t="s">
        <v>1386</v>
      </c>
      <c r="B432" s="1439" t="s">
        <v>163</v>
      </c>
      <c r="C432" s="44" t="s">
        <v>176</v>
      </c>
      <c r="D432" s="1356"/>
      <c r="E432" s="125"/>
      <c r="F432" s="125"/>
      <c r="G432" s="125"/>
      <c r="H432" s="221" t="s">
        <v>177</v>
      </c>
      <c r="I432" s="141">
        <v>660</v>
      </c>
      <c r="J432" s="141">
        <v>5000</v>
      </c>
      <c r="K432" s="141"/>
      <c r="L432" s="141">
        <f t="shared" si="8"/>
        <v>5000</v>
      </c>
      <c r="M432" s="141">
        <v>5000</v>
      </c>
      <c r="N432" s="141"/>
      <c r="O432" s="141"/>
      <c r="P432" s="141">
        <v>5000</v>
      </c>
      <c r="Q432" s="141">
        <v>5000</v>
      </c>
      <c r="R432" s="122">
        <v>5000</v>
      </c>
      <c r="S432" s="239"/>
      <c r="T432" s="1476"/>
      <c r="U432" s="146"/>
    </row>
    <row r="433" spans="1:26" s="9" customFormat="1" ht="18" x14ac:dyDescent="0.25">
      <c r="A433" s="1439" t="s">
        <v>1386</v>
      </c>
      <c r="B433" s="1439" t="s">
        <v>163</v>
      </c>
      <c r="C433" s="44" t="s">
        <v>176</v>
      </c>
      <c r="D433" s="1356"/>
      <c r="E433" s="125"/>
      <c r="F433" s="125"/>
      <c r="G433" s="125"/>
      <c r="H433" s="221" t="s">
        <v>177</v>
      </c>
      <c r="I433" s="141">
        <v>2950</v>
      </c>
      <c r="J433" s="141">
        <v>10000</v>
      </c>
      <c r="K433" s="141"/>
      <c r="L433" s="141">
        <f t="shared" si="8"/>
        <v>10000</v>
      </c>
      <c r="M433" s="141">
        <v>10000</v>
      </c>
      <c r="N433" s="141">
        <v>6070</v>
      </c>
      <c r="O433" s="141"/>
      <c r="P433" s="141">
        <v>10000</v>
      </c>
      <c r="Q433" s="141">
        <v>10000</v>
      </c>
      <c r="R433" s="122">
        <v>10000</v>
      </c>
      <c r="S433" s="239"/>
      <c r="T433" s="1476"/>
      <c r="U433" s="146"/>
    </row>
    <row r="434" spans="1:26" s="9" customFormat="1" ht="18" x14ac:dyDescent="0.25">
      <c r="A434" s="961" t="s">
        <v>1386</v>
      </c>
      <c r="B434" s="961" t="s">
        <v>163</v>
      </c>
      <c r="C434" s="44" t="s">
        <v>1549</v>
      </c>
      <c r="D434" s="1355"/>
      <c r="E434" s="113"/>
      <c r="F434" s="113"/>
      <c r="G434" s="113"/>
      <c r="H434" s="381"/>
      <c r="I434" s="141">
        <v>0</v>
      </c>
      <c r="J434" s="141"/>
      <c r="K434" s="141"/>
      <c r="L434" s="141"/>
      <c r="M434" s="141">
        <v>0</v>
      </c>
      <c r="N434" s="141">
        <v>0</v>
      </c>
      <c r="O434" s="141"/>
      <c r="P434" s="141"/>
      <c r="Q434" s="141"/>
      <c r="R434" s="122">
        <v>20000</v>
      </c>
      <c r="S434" s="239">
        <f>SUM(R424:R434)</f>
        <v>112000</v>
      </c>
      <c r="T434" s="1476"/>
      <c r="U434" s="146"/>
    </row>
    <row r="435" spans="1:26" ht="18" customHeight="1" x14ac:dyDescent="0.25">
      <c r="A435" s="573" t="s">
        <v>1386</v>
      </c>
      <c r="B435" s="573" t="s">
        <v>163</v>
      </c>
      <c r="C435" s="206" t="s">
        <v>309</v>
      </c>
      <c r="D435" s="1355"/>
      <c r="E435" s="184"/>
      <c r="F435" s="184"/>
      <c r="G435" s="184"/>
      <c r="H435" s="221" t="s">
        <v>282</v>
      </c>
      <c r="I435" s="141">
        <v>105000</v>
      </c>
      <c r="J435" s="141">
        <v>500000</v>
      </c>
      <c r="K435" s="141"/>
      <c r="L435" s="141">
        <f t="shared" ref="L435:L441" si="9">M435-K435</f>
        <v>500000</v>
      </c>
      <c r="M435" s="141">
        <v>500000</v>
      </c>
      <c r="N435" s="141"/>
      <c r="O435" s="141"/>
      <c r="P435" s="141">
        <v>500000</v>
      </c>
      <c r="Q435" s="141">
        <v>500000</v>
      </c>
      <c r="R435" s="122">
        <v>300000</v>
      </c>
    </row>
    <row r="436" spans="1:26" ht="18" customHeight="1" x14ac:dyDescent="0.25">
      <c r="A436" s="573" t="s">
        <v>1386</v>
      </c>
      <c r="B436" s="573" t="s">
        <v>163</v>
      </c>
      <c r="C436" s="206" t="s">
        <v>331</v>
      </c>
      <c r="D436" s="1355"/>
      <c r="E436" s="184"/>
      <c r="F436" s="184"/>
      <c r="G436" s="184"/>
      <c r="H436" s="381" t="s">
        <v>282</v>
      </c>
      <c r="I436" s="141">
        <v>0</v>
      </c>
      <c r="J436" s="141">
        <v>100000</v>
      </c>
      <c r="K436" s="141"/>
      <c r="L436" s="141">
        <f t="shared" si="9"/>
        <v>100000</v>
      </c>
      <c r="M436" s="141">
        <v>100000</v>
      </c>
      <c r="N436" s="141"/>
      <c r="O436" s="141"/>
      <c r="P436" s="141">
        <v>100000</v>
      </c>
      <c r="Q436" s="141">
        <v>100000</v>
      </c>
      <c r="R436" s="122">
        <v>100000</v>
      </c>
    </row>
    <row r="437" spans="1:26" ht="18" customHeight="1" x14ac:dyDescent="0.25">
      <c r="A437" s="573" t="s">
        <v>1386</v>
      </c>
      <c r="B437" s="573" t="s">
        <v>163</v>
      </c>
      <c r="C437" s="206" t="s">
        <v>331</v>
      </c>
      <c r="D437" s="1355"/>
      <c r="E437" s="204"/>
      <c r="F437" s="204"/>
      <c r="G437" s="204"/>
      <c r="H437" s="1391"/>
      <c r="I437" s="122">
        <v>0</v>
      </c>
      <c r="J437" s="122">
        <v>50000</v>
      </c>
      <c r="K437" s="122"/>
      <c r="L437" s="141">
        <f t="shared" si="9"/>
        <v>50000</v>
      </c>
      <c r="M437" s="122">
        <v>50000</v>
      </c>
      <c r="N437" s="141">
        <v>0</v>
      </c>
      <c r="O437" s="122"/>
      <c r="P437" s="122">
        <v>50000</v>
      </c>
      <c r="Q437" s="122">
        <v>50000</v>
      </c>
      <c r="R437" s="122">
        <v>50000</v>
      </c>
      <c r="S437" s="1450">
        <f>SUM(R435:R437)</f>
        <v>450000</v>
      </c>
    </row>
    <row r="438" spans="1:26" s="7" customFormat="1" ht="18" customHeight="1" x14ac:dyDescent="0.25">
      <c r="A438" s="961" t="s">
        <v>1386</v>
      </c>
      <c r="B438" s="961" t="s">
        <v>163</v>
      </c>
      <c r="C438" s="206" t="s">
        <v>298</v>
      </c>
      <c r="D438" s="1355"/>
      <c r="E438" s="184"/>
      <c r="F438" s="184"/>
      <c r="G438" s="184"/>
      <c r="H438" s="221" t="s">
        <v>189</v>
      </c>
      <c r="I438" s="141">
        <v>5775</v>
      </c>
      <c r="J438" s="141">
        <v>350000</v>
      </c>
      <c r="K438" s="141"/>
      <c r="L438" s="141">
        <f t="shared" si="9"/>
        <v>350000</v>
      </c>
      <c r="M438" s="141">
        <v>350000</v>
      </c>
      <c r="N438" s="141"/>
      <c r="O438" s="141"/>
      <c r="P438" s="141">
        <v>350000</v>
      </c>
      <c r="Q438" s="141">
        <v>350000</v>
      </c>
      <c r="R438" s="122">
        <v>200000</v>
      </c>
      <c r="S438" s="1460"/>
      <c r="T438" s="1475"/>
      <c r="U438" s="1380"/>
      <c r="V438" s="1380"/>
      <c r="W438" s="1380"/>
      <c r="X438" s="1380"/>
      <c r="Y438" s="1380"/>
      <c r="Z438" s="1380"/>
    </row>
    <row r="439" spans="1:26" ht="18" x14ac:dyDescent="0.25">
      <c r="A439" s="573" t="s">
        <v>1386</v>
      </c>
      <c r="B439" s="573" t="s">
        <v>163</v>
      </c>
      <c r="C439" s="206" t="s">
        <v>298</v>
      </c>
      <c r="D439" s="1355"/>
      <c r="E439" s="184"/>
      <c r="F439" s="184"/>
      <c r="G439" s="184"/>
      <c r="H439" s="221" t="s">
        <v>189</v>
      </c>
      <c r="I439" s="141">
        <v>38450</v>
      </c>
      <c r="J439" s="141">
        <v>200000</v>
      </c>
      <c r="K439" s="141"/>
      <c r="L439" s="141">
        <f t="shared" si="9"/>
        <v>200000</v>
      </c>
      <c r="M439" s="141">
        <v>200000</v>
      </c>
      <c r="N439" s="141"/>
      <c r="O439" s="141"/>
      <c r="P439" s="141">
        <v>200000</v>
      </c>
      <c r="Q439" s="141">
        <v>200000</v>
      </c>
      <c r="R439" s="122">
        <v>100000</v>
      </c>
    </row>
    <row r="440" spans="1:26" s="142" customFormat="1" ht="17.25" customHeight="1" x14ac:dyDescent="0.3">
      <c r="A440" s="573" t="s">
        <v>1386</v>
      </c>
      <c r="B440" s="573" t="s">
        <v>163</v>
      </c>
      <c r="C440" s="206" t="s">
        <v>298</v>
      </c>
      <c r="D440" s="1355"/>
      <c r="E440" s="184"/>
      <c r="F440" s="184"/>
      <c r="G440" s="184"/>
      <c r="H440" s="221" t="s">
        <v>189</v>
      </c>
      <c r="I440" s="141">
        <v>0</v>
      </c>
      <c r="J440" s="141">
        <v>100000</v>
      </c>
      <c r="K440" s="141"/>
      <c r="L440" s="141">
        <f t="shared" si="9"/>
        <v>100000</v>
      </c>
      <c r="M440" s="141">
        <v>100000</v>
      </c>
      <c r="N440" s="141"/>
      <c r="O440" s="141"/>
      <c r="P440" s="141">
        <v>200000</v>
      </c>
      <c r="Q440" s="141">
        <v>200000</v>
      </c>
      <c r="R440" s="122">
        <v>200000</v>
      </c>
      <c r="S440" s="1456">
        <f>SUM(R438:R440)</f>
        <v>500000</v>
      </c>
      <c r="T440" s="1482"/>
      <c r="U440" s="1461"/>
      <c r="V440" s="1461"/>
      <c r="W440" s="1461"/>
      <c r="X440" s="1461"/>
      <c r="Y440" s="1461"/>
      <c r="Z440" s="1461"/>
    </row>
    <row r="441" spans="1:26" s="48" customFormat="1" ht="21.75" customHeight="1" x14ac:dyDescent="0.25">
      <c r="A441" s="961" t="s">
        <v>1386</v>
      </c>
      <c r="B441" s="961" t="s">
        <v>163</v>
      </c>
      <c r="C441" s="44" t="s">
        <v>186</v>
      </c>
      <c r="D441" s="1355"/>
      <c r="E441" s="113"/>
      <c r="F441" s="113"/>
      <c r="G441" s="113"/>
      <c r="H441" s="381" t="s">
        <v>187</v>
      </c>
      <c r="I441" s="141">
        <v>48531.56</v>
      </c>
      <c r="J441" s="141">
        <v>200000</v>
      </c>
      <c r="K441" s="141"/>
      <c r="L441" s="141">
        <f t="shared" si="9"/>
        <v>200000</v>
      </c>
      <c r="M441" s="141">
        <v>200000</v>
      </c>
      <c r="N441" s="141">
        <v>0</v>
      </c>
      <c r="O441" s="141"/>
      <c r="P441" s="141">
        <v>300000</v>
      </c>
      <c r="Q441" s="141">
        <v>300000</v>
      </c>
      <c r="R441" s="122">
        <v>100000</v>
      </c>
      <c r="S441" s="1701"/>
      <c r="T441" s="1477"/>
      <c r="U441" s="169"/>
      <c r="V441" s="169"/>
      <c r="W441" s="169"/>
      <c r="X441" s="169"/>
      <c r="Y441" s="169"/>
      <c r="Z441" s="169"/>
    </row>
    <row r="442" spans="1:26" s="1153" customFormat="1" ht="19.5" customHeight="1" x14ac:dyDescent="0.25">
      <c r="A442" s="1440" t="s">
        <v>1386</v>
      </c>
      <c r="B442" s="1440" t="s">
        <v>163</v>
      </c>
      <c r="C442" s="44" t="s">
        <v>186</v>
      </c>
      <c r="D442" s="1355"/>
      <c r="E442" s="125"/>
      <c r="F442" s="125"/>
      <c r="G442" s="125"/>
      <c r="H442" s="221"/>
      <c r="I442" s="141">
        <v>0</v>
      </c>
      <c r="J442" s="141"/>
      <c r="K442" s="141"/>
      <c r="L442" s="141"/>
      <c r="M442" s="141">
        <v>0</v>
      </c>
      <c r="N442" s="141">
        <v>0</v>
      </c>
      <c r="O442" s="141"/>
      <c r="P442" s="141"/>
      <c r="Q442" s="141"/>
      <c r="R442" s="122">
        <v>25000</v>
      </c>
      <c r="S442" s="1701"/>
      <c r="T442" s="1483"/>
      <c r="U442" s="1256"/>
      <c r="V442" s="1256"/>
      <c r="W442" s="1256"/>
      <c r="X442" s="1256"/>
      <c r="Y442" s="1256"/>
      <c r="Z442" s="1256"/>
    </row>
    <row r="443" spans="1:26" s="48" customFormat="1" ht="18" customHeight="1" x14ac:dyDescent="0.25">
      <c r="A443" s="961" t="s">
        <v>1386</v>
      </c>
      <c r="B443" s="961" t="s">
        <v>163</v>
      </c>
      <c r="C443" s="44" t="s">
        <v>186</v>
      </c>
      <c r="D443" s="1355"/>
      <c r="E443" s="113"/>
      <c r="F443" s="113"/>
      <c r="G443" s="113"/>
      <c r="H443" s="381" t="s">
        <v>187</v>
      </c>
      <c r="I443" s="141">
        <v>0</v>
      </c>
      <c r="J443" s="141">
        <v>10000</v>
      </c>
      <c r="K443" s="141"/>
      <c r="L443" s="141">
        <f>M443-K443</f>
        <v>10000</v>
      </c>
      <c r="M443" s="141">
        <v>10000</v>
      </c>
      <c r="N443" s="141">
        <v>0</v>
      </c>
      <c r="O443" s="141"/>
      <c r="P443" s="141">
        <v>10000</v>
      </c>
      <c r="Q443" s="141">
        <v>10000</v>
      </c>
      <c r="R443" s="122">
        <v>10000</v>
      </c>
      <c r="S443" s="239"/>
      <c r="T443" s="1477"/>
      <c r="U443" s="169"/>
      <c r="V443" s="169"/>
      <c r="W443" s="169"/>
      <c r="X443" s="169"/>
      <c r="Y443" s="169"/>
      <c r="Z443" s="169"/>
    </row>
    <row r="444" spans="1:26" s="48" customFormat="1" ht="18" customHeight="1" x14ac:dyDescent="0.25">
      <c r="A444" s="961" t="s">
        <v>1386</v>
      </c>
      <c r="B444" s="961" t="s">
        <v>163</v>
      </c>
      <c r="C444" s="44" t="s">
        <v>186</v>
      </c>
      <c r="D444" s="1355"/>
      <c r="E444" s="113"/>
      <c r="F444" s="113"/>
      <c r="G444" s="113"/>
      <c r="H444" s="381" t="s">
        <v>187</v>
      </c>
      <c r="I444" s="141">
        <v>0</v>
      </c>
      <c r="J444" s="141">
        <v>15000</v>
      </c>
      <c r="K444" s="141"/>
      <c r="L444" s="141">
        <f>M444-K444</f>
        <v>15000</v>
      </c>
      <c r="M444" s="141">
        <v>15000</v>
      </c>
      <c r="N444" s="141"/>
      <c r="O444" s="141"/>
      <c r="P444" s="141">
        <v>15000</v>
      </c>
      <c r="Q444" s="141">
        <v>15000</v>
      </c>
      <c r="R444" s="122">
        <v>15000</v>
      </c>
      <c r="S444" s="239"/>
      <c r="T444" s="1477"/>
      <c r="U444" s="169"/>
      <c r="V444" s="169"/>
      <c r="W444" s="169"/>
      <c r="X444" s="169"/>
      <c r="Y444" s="169"/>
      <c r="Z444" s="169"/>
    </row>
    <row r="445" spans="1:26" s="48" customFormat="1" ht="18" customHeight="1" x14ac:dyDescent="0.25">
      <c r="A445" s="961" t="s">
        <v>1386</v>
      </c>
      <c r="B445" s="961" t="s">
        <v>163</v>
      </c>
      <c r="C445" s="44" t="s">
        <v>186</v>
      </c>
      <c r="D445" s="1355"/>
      <c r="E445" s="113"/>
      <c r="F445" s="113"/>
      <c r="G445" s="113"/>
      <c r="H445" s="221" t="s">
        <v>187</v>
      </c>
      <c r="I445" s="141">
        <v>88508.64</v>
      </c>
      <c r="J445" s="141">
        <v>110000</v>
      </c>
      <c r="K445" s="141"/>
      <c r="L445" s="141">
        <f>M445-K445</f>
        <v>110000</v>
      </c>
      <c r="M445" s="141">
        <v>110000</v>
      </c>
      <c r="N445" s="141">
        <v>0</v>
      </c>
      <c r="O445" s="141"/>
      <c r="P445" s="141">
        <v>150000</v>
      </c>
      <c r="Q445" s="141">
        <v>150000</v>
      </c>
      <c r="R445" s="122">
        <v>150000</v>
      </c>
      <c r="S445" s="239"/>
      <c r="T445" s="1477"/>
      <c r="U445" s="169"/>
      <c r="V445" s="169"/>
      <c r="W445" s="169"/>
      <c r="X445" s="169"/>
      <c r="Y445" s="169"/>
      <c r="Z445" s="169"/>
    </row>
    <row r="446" spans="1:26" s="48" customFormat="1" ht="18" customHeight="1" x14ac:dyDescent="0.25">
      <c r="A446" s="961" t="s">
        <v>1386</v>
      </c>
      <c r="B446" s="961" t="s">
        <v>163</v>
      </c>
      <c r="C446" s="44" t="s">
        <v>186</v>
      </c>
      <c r="D446" s="1355"/>
      <c r="E446" s="170"/>
      <c r="F446" s="170"/>
      <c r="G446" s="170"/>
      <c r="H446" s="231"/>
      <c r="I446" s="122"/>
      <c r="J446" s="122"/>
      <c r="K446" s="122"/>
      <c r="L446" s="141"/>
      <c r="M446" s="122"/>
      <c r="N446" s="122"/>
      <c r="O446" s="122"/>
      <c r="P446" s="122"/>
      <c r="Q446" s="122"/>
      <c r="R446" s="122">
        <v>200000</v>
      </c>
      <c r="S446" s="239"/>
      <c r="T446" s="1477"/>
      <c r="U446" s="169"/>
      <c r="V446" s="169"/>
      <c r="W446" s="169"/>
      <c r="X446" s="169"/>
      <c r="Y446" s="169"/>
      <c r="Z446" s="169"/>
    </row>
    <row r="447" spans="1:26" s="48" customFormat="1" ht="18" customHeight="1" x14ac:dyDescent="0.25">
      <c r="A447" s="961" t="s">
        <v>1386</v>
      </c>
      <c r="B447" s="961" t="s">
        <v>163</v>
      </c>
      <c r="C447" s="44" t="s">
        <v>186</v>
      </c>
      <c r="D447" s="1355"/>
      <c r="E447" s="113"/>
      <c r="F447" s="113"/>
      <c r="G447" s="113"/>
      <c r="H447" s="381" t="s">
        <v>187</v>
      </c>
      <c r="I447" s="141">
        <v>11044.12</v>
      </c>
      <c r="J447" s="141">
        <v>50000</v>
      </c>
      <c r="K447" s="141">
        <v>14790.16</v>
      </c>
      <c r="L447" s="141">
        <f t="shared" ref="L447:L460" si="10">M447-K447</f>
        <v>35209.839999999997</v>
      </c>
      <c r="M447" s="141">
        <v>50000</v>
      </c>
      <c r="N447" s="141">
        <v>14790.16</v>
      </c>
      <c r="O447" s="141"/>
      <c r="P447" s="141">
        <v>50000</v>
      </c>
      <c r="Q447" s="141">
        <v>50000</v>
      </c>
      <c r="R447" s="122">
        <v>50000</v>
      </c>
      <c r="S447" s="239"/>
      <c r="T447" s="1477"/>
      <c r="U447" s="169"/>
      <c r="V447" s="169"/>
      <c r="W447" s="169"/>
      <c r="X447" s="169"/>
      <c r="Y447" s="169"/>
      <c r="Z447" s="169"/>
    </row>
    <row r="448" spans="1:26" s="48" customFormat="1" ht="18" customHeight="1" x14ac:dyDescent="0.2">
      <c r="A448" s="445" t="s">
        <v>1386</v>
      </c>
      <c r="B448" s="445" t="s">
        <v>163</v>
      </c>
      <c r="C448" s="44" t="s">
        <v>186</v>
      </c>
      <c r="D448" s="1355"/>
      <c r="E448" s="113"/>
      <c r="F448" s="113"/>
      <c r="G448" s="113"/>
      <c r="H448" s="221"/>
      <c r="I448" s="141">
        <v>0</v>
      </c>
      <c r="J448" s="141">
        <v>5000</v>
      </c>
      <c r="K448" s="141"/>
      <c r="L448" s="141">
        <f t="shared" si="10"/>
        <v>5000</v>
      </c>
      <c r="M448" s="141">
        <v>5000</v>
      </c>
      <c r="N448" s="141"/>
      <c r="O448" s="141"/>
      <c r="P448" s="141">
        <v>30000</v>
      </c>
      <c r="Q448" s="141">
        <v>30000</v>
      </c>
      <c r="R448" s="122">
        <v>30000</v>
      </c>
      <c r="S448" s="239"/>
      <c r="T448" s="1477"/>
      <c r="U448" s="169"/>
      <c r="V448" s="169"/>
      <c r="W448" s="169"/>
      <c r="X448" s="169"/>
      <c r="Y448" s="169"/>
      <c r="Z448" s="169"/>
    </row>
    <row r="449" spans="1:26" s="48" customFormat="1" ht="18" customHeight="1" x14ac:dyDescent="0.25">
      <c r="A449" s="1439" t="s">
        <v>1386</v>
      </c>
      <c r="B449" s="1439" t="s">
        <v>163</v>
      </c>
      <c r="C449" s="44" t="s">
        <v>186</v>
      </c>
      <c r="D449" s="1356"/>
      <c r="E449" s="125"/>
      <c r="F449" s="125"/>
      <c r="G449" s="125"/>
      <c r="H449" s="221"/>
      <c r="I449" s="141">
        <v>0</v>
      </c>
      <c r="J449" s="141">
        <v>50000</v>
      </c>
      <c r="K449" s="141"/>
      <c r="L449" s="141">
        <f t="shared" si="10"/>
        <v>50000</v>
      </c>
      <c r="M449" s="141">
        <v>50000</v>
      </c>
      <c r="N449" s="141"/>
      <c r="O449" s="141"/>
      <c r="P449" s="141">
        <v>70000</v>
      </c>
      <c r="Q449" s="141">
        <v>70000</v>
      </c>
      <c r="R449" s="122">
        <v>70000</v>
      </c>
      <c r="S449" s="239"/>
      <c r="T449" s="1477"/>
      <c r="U449" s="169"/>
      <c r="V449" s="169"/>
      <c r="W449" s="169"/>
      <c r="X449" s="169"/>
      <c r="Y449" s="169"/>
      <c r="Z449" s="169"/>
    </row>
    <row r="450" spans="1:26" s="48" customFormat="1" ht="18" customHeight="1" x14ac:dyDescent="0.25">
      <c r="A450" s="1439" t="s">
        <v>1386</v>
      </c>
      <c r="B450" s="1439" t="s">
        <v>163</v>
      </c>
      <c r="C450" s="44" t="s">
        <v>186</v>
      </c>
      <c r="D450" s="1356"/>
      <c r="E450" s="125"/>
      <c r="F450" s="125"/>
      <c r="G450" s="125"/>
      <c r="H450" s="221" t="s">
        <v>187</v>
      </c>
      <c r="I450" s="141">
        <v>0</v>
      </c>
      <c r="J450" s="141">
        <v>50000</v>
      </c>
      <c r="K450" s="141"/>
      <c r="L450" s="141">
        <f t="shared" si="10"/>
        <v>50000</v>
      </c>
      <c r="M450" s="141">
        <v>50000</v>
      </c>
      <c r="N450" s="141"/>
      <c r="O450" s="141"/>
      <c r="P450" s="141">
        <v>50000</v>
      </c>
      <c r="Q450" s="141">
        <v>50000</v>
      </c>
      <c r="R450" s="122">
        <f>50000+50000</f>
        <v>100000</v>
      </c>
      <c r="S450" s="239"/>
      <c r="T450" s="1477"/>
      <c r="U450" s="169"/>
      <c r="V450" s="169"/>
      <c r="W450" s="169"/>
      <c r="X450" s="169"/>
      <c r="Y450" s="169"/>
      <c r="Z450" s="169"/>
    </row>
    <row r="451" spans="1:26" s="48" customFormat="1" ht="18" customHeight="1" x14ac:dyDescent="0.25">
      <c r="A451" s="1439" t="s">
        <v>1386</v>
      </c>
      <c r="B451" s="1439" t="s">
        <v>163</v>
      </c>
      <c r="C451" s="44" t="s">
        <v>186</v>
      </c>
      <c r="D451" s="1356"/>
      <c r="E451" s="125"/>
      <c r="F451" s="125"/>
      <c r="G451" s="125"/>
      <c r="H451" s="221" t="s">
        <v>187</v>
      </c>
      <c r="I451" s="141">
        <v>0</v>
      </c>
      <c r="J451" s="141">
        <v>10000</v>
      </c>
      <c r="K451" s="141"/>
      <c r="L451" s="141">
        <f t="shared" si="10"/>
        <v>10000</v>
      </c>
      <c r="M451" s="141">
        <v>10000</v>
      </c>
      <c r="N451" s="141"/>
      <c r="O451" s="141"/>
      <c r="P451" s="141">
        <v>10000</v>
      </c>
      <c r="Q451" s="141">
        <v>10000</v>
      </c>
      <c r="R451" s="122">
        <v>10000</v>
      </c>
      <c r="S451" s="239"/>
      <c r="T451" s="1477"/>
      <c r="U451" s="169"/>
      <c r="V451" s="169"/>
      <c r="W451" s="169"/>
      <c r="X451" s="169"/>
      <c r="Y451" s="169"/>
      <c r="Z451" s="169"/>
    </row>
    <row r="452" spans="1:26" s="48" customFormat="1" ht="18" customHeight="1" x14ac:dyDescent="0.25">
      <c r="A452" s="961" t="s">
        <v>1386</v>
      </c>
      <c r="B452" s="961" t="s">
        <v>163</v>
      </c>
      <c r="C452" s="44" t="s">
        <v>386</v>
      </c>
      <c r="D452" s="1356"/>
      <c r="E452" s="125"/>
      <c r="F452" s="125"/>
      <c r="G452" s="125"/>
      <c r="H452" s="221" t="s">
        <v>187</v>
      </c>
      <c r="I452" s="141">
        <v>196637.12</v>
      </c>
      <c r="J452" s="122">
        <v>700000</v>
      </c>
      <c r="K452" s="141">
        <v>3700</v>
      </c>
      <c r="L452" s="141">
        <f t="shared" si="10"/>
        <v>1196300</v>
      </c>
      <c r="M452" s="122">
        <f>700000+300000+200000</f>
        <v>1200000</v>
      </c>
      <c r="N452" s="122">
        <f>21487.12+299420</f>
        <v>320907.12</v>
      </c>
      <c r="O452" s="122"/>
      <c r="P452" s="122">
        <v>700000</v>
      </c>
      <c r="Q452" s="122">
        <v>700000</v>
      </c>
      <c r="R452" s="122">
        <v>1280000</v>
      </c>
      <c r="S452" s="239"/>
      <c r="T452" s="1477"/>
      <c r="U452" s="169"/>
      <c r="V452" s="169"/>
      <c r="W452" s="169"/>
      <c r="X452" s="169"/>
      <c r="Y452" s="169"/>
      <c r="Z452" s="169"/>
    </row>
    <row r="453" spans="1:26" s="48" customFormat="1" ht="18" customHeight="1" x14ac:dyDescent="0.25">
      <c r="A453" s="961" t="s">
        <v>1386</v>
      </c>
      <c r="B453" s="961" t="s">
        <v>163</v>
      </c>
      <c r="C453" s="206" t="s">
        <v>297</v>
      </c>
      <c r="D453" s="1355"/>
      <c r="E453" s="184"/>
      <c r="F453" s="184"/>
      <c r="G453" s="184"/>
      <c r="H453" s="221" t="s">
        <v>187</v>
      </c>
      <c r="I453" s="141">
        <v>0</v>
      </c>
      <c r="J453" s="141">
        <v>100000</v>
      </c>
      <c r="K453" s="141"/>
      <c r="L453" s="141">
        <f t="shared" si="10"/>
        <v>100000</v>
      </c>
      <c r="M453" s="141">
        <v>100000</v>
      </c>
      <c r="N453" s="141"/>
      <c r="O453" s="141"/>
      <c r="P453" s="141">
        <v>100000</v>
      </c>
      <c r="Q453" s="141">
        <v>100000</v>
      </c>
      <c r="R453" s="122">
        <v>100000</v>
      </c>
      <c r="S453" s="239"/>
      <c r="T453" s="1477"/>
      <c r="U453" s="169"/>
      <c r="V453" s="169"/>
      <c r="W453" s="169"/>
      <c r="X453" s="169"/>
      <c r="Y453" s="169"/>
      <c r="Z453" s="169"/>
    </row>
    <row r="454" spans="1:26" s="48" customFormat="1" ht="18" customHeight="1" x14ac:dyDescent="0.25">
      <c r="A454" s="573" t="s">
        <v>1386</v>
      </c>
      <c r="B454" s="573" t="s">
        <v>163</v>
      </c>
      <c r="C454" s="206" t="s">
        <v>297</v>
      </c>
      <c r="D454" s="1355"/>
      <c r="E454" s="184"/>
      <c r="F454" s="184"/>
      <c r="G454" s="184"/>
      <c r="H454" s="221" t="s">
        <v>187</v>
      </c>
      <c r="I454" s="141">
        <v>770</v>
      </c>
      <c r="J454" s="141">
        <v>200000</v>
      </c>
      <c r="K454" s="141"/>
      <c r="L454" s="141">
        <f t="shared" si="10"/>
        <v>200000</v>
      </c>
      <c r="M454" s="141">
        <v>200000</v>
      </c>
      <c r="N454" s="141"/>
      <c r="O454" s="141"/>
      <c r="P454" s="141">
        <v>200000</v>
      </c>
      <c r="Q454" s="141">
        <v>200000</v>
      </c>
      <c r="R454" s="122">
        <v>100000</v>
      </c>
      <c r="S454" s="239"/>
      <c r="T454" s="1477"/>
      <c r="U454" s="169"/>
      <c r="V454" s="169"/>
      <c r="W454" s="169"/>
      <c r="X454" s="169"/>
      <c r="Y454" s="169"/>
      <c r="Z454" s="169"/>
    </row>
    <row r="455" spans="1:26" s="48" customFormat="1" ht="18" customHeight="1" x14ac:dyDescent="0.25">
      <c r="A455" s="573" t="s">
        <v>1386</v>
      </c>
      <c r="B455" s="573" t="s">
        <v>163</v>
      </c>
      <c r="C455" s="206" t="s">
        <v>297</v>
      </c>
      <c r="D455" s="1355"/>
      <c r="E455" s="184"/>
      <c r="F455" s="184"/>
      <c r="G455" s="184"/>
      <c r="H455" s="221" t="s">
        <v>187</v>
      </c>
      <c r="I455" s="141">
        <v>0</v>
      </c>
      <c r="J455" s="141">
        <v>250000</v>
      </c>
      <c r="K455" s="141"/>
      <c r="L455" s="141">
        <f t="shared" si="10"/>
        <v>250000</v>
      </c>
      <c r="M455" s="141">
        <v>250000</v>
      </c>
      <c r="N455" s="141"/>
      <c r="O455" s="141"/>
      <c r="P455" s="141">
        <v>100000</v>
      </c>
      <c r="Q455" s="141">
        <v>100000</v>
      </c>
      <c r="R455" s="122">
        <v>100000</v>
      </c>
      <c r="S455" s="239"/>
      <c r="T455" s="1477"/>
      <c r="U455" s="169"/>
      <c r="V455" s="169"/>
      <c r="W455" s="169"/>
      <c r="X455" s="169"/>
      <c r="Y455" s="169"/>
      <c r="Z455" s="169"/>
    </row>
    <row r="456" spans="1:26" s="48" customFormat="1" ht="18" customHeight="1" x14ac:dyDescent="0.25">
      <c r="A456" s="573" t="s">
        <v>1386</v>
      </c>
      <c r="B456" s="573" t="s">
        <v>163</v>
      </c>
      <c r="C456" s="206" t="s">
        <v>297</v>
      </c>
      <c r="D456" s="1355"/>
      <c r="E456" s="184"/>
      <c r="F456" s="184"/>
      <c r="G456" s="184"/>
      <c r="H456" s="221" t="s">
        <v>187</v>
      </c>
      <c r="I456" s="141">
        <v>0</v>
      </c>
      <c r="J456" s="122">
        <v>10000</v>
      </c>
      <c r="K456" s="141"/>
      <c r="L456" s="141">
        <f t="shared" si="10"/>
        <v>10000</v>
      </c>
      <c r="M456" s="122">
        <v>10000</v>
      </c>
      <c r="N456" s="122"/>
      <c r="O456" s="122"/>
      <c r="P456" s="122">
        <v>10000</v>
      </c>
      <c r="Q456" s="122">
        <v>10000</v>
      </c>
      <c r="R456" s="122">
        <v>10000</v>
      </c>
      <c r="S456" s="239"/>
      <c r="T456" s="1477"/>
      <c r="U456" s="169"/>
      <c r="V456" s="169"/>
      <c r="W456" s="169"/>
      <c r="X456" s="169"/>
      <c r="Y456" s="169"/>
      <c r="Z456" s="169"/>
    </row>
    <row r="457" spans="1:26" s="48" customFormat="1" ht="18" customHeight="1" x14ac:dyDescent="0.25">
      <c r="A457" s="573" t="s">
        <v>1386</v>
      </c>
      <c r="B457" s="573" t="s">
        <v>163</v>
      </c>
      <c r="C457" s="206" t="s">
        <v>297</v>
      </c>
      <c r="D457" s="1355"/>
      <c r="E457" s="184"/>
      <c r="F457" s="184"/>
      <c r="G457" s="184"/>
      <c r="H457" s="381" t="s">
        <v>187</v>
      </c>
      <c r="I457" s="141">
        <v>7500</v>
      </c>
      <c r="J457" s="141">
        <v>25000</v>
      </c>
      <c r="K457" s="141"/>
      <c r="L457" s="141">
        <f t="shared" si="10"/>
        <v>25000</v>
      </c>
      <c r="M457" s="141">
        <v>25000</v>
      </c>
      <c r="N457" s="141"/>
      <c r="O457" s="141"/>
      <c r="P457" s="141">
        <v>25000</v>
      </c>
      <c r="Q457" s="141">
        <v>25000</v>
      </c>
      <c r="R457" s="122">
        <v>25000</v>
      </c>
      <c r="S457" s="239"/>
      <c r="T457" s="1477"/>
      <c r="U457" s="169"/>
      <c r="V457" s="169"/>
      <c r="W457" s="169"/>
      <c r="X457" s="169"/>
      <c r="Y457" s="169"/>
      <c r="Z457" s="169"/>
    </row>
    <row r="458" spans="1:26" s="48" customFormat="1" ht="18" customHeight="1" x14ac:dyDescent="0.25">
      <c r="A458" s="573" t="s">
        <v>1386</v>
      </c>
      <c r="B458" s="573" t="s">
        <v>163</v>
      </c>
      <c r="C458" s="206" t="s">
        <v>297</v>
      </c>
      <c r="D458" s="1355"/>
      <c r="E458" s="204"/>
      <c r="F458" s="204"/>
      <c r="G458" s="204"/>
      <c r="H458" s="1391" t="s">
        <v>187</v>
      </c>
      <c r="I458" s="122">
        <v>24258</v>
      </c>
      <c r="J458" s="122">
        <v>80000</v>
      </c>
      <c r="K458" s="122"/>
      <c r="L458" s="141">
        <f t="shared" si="10"/>
        <v>80000</v>
      </c>
      <c r="M458" s="122">
        <v>80000</v>
      </c>
      <c r="N458" s="141">
        <v>0</v>
      </c>
      <c r="O458" s="122"/>
      <c r="P458" s="122">
        <v>120000</v>
      </c>
      <c r="Q458" s="122">
        <v>120000</v>
      </c>
      <c r="R458" s="122">
        <v>120000</v>
      </c>
      <c r="S458" s="239">
        <f>SUM(R441:R458)</f>
        <v>2495000</v>
      </c>
      <c r="T458" s="1477"/>
      <c r="U458" s="169"/>
      <c r="V458" s="169"/>
      <c r="W458" s="169"/>
      <c r="X458" s="169"/>
      <c r="Y458" s="169"/>
      <c r="Z458" s="169"/>
    </row>
    <row r="459" spans="1:26" s="48" customFormat="1" ht="18" customHeight="1" x14ac:dyDescent="0.25">
      <c r="A459" s="961" t="s">
        <v>1386</v>
      </c>
      <c r="B459" s="961" t="s">
        <v>163</v>
      </c>
      <c r="C459" s="44" t="s">
        <v>188</v>
      </c>
      <c r="D459" s="1355"/>
      <c r="E459" s="113"/>
      <c r="F459" s="113"/>
      <c r="G459" s="113"/>
      <c r="H459" s="381" t="s">
        <v>189</v>
      </c>
      <c r="I459" s="141">
        <v>94001.24</v>
      </c>
      <c r="J459" s="141">
        <v>800000</v>
      </c>
      <c r="K459" s="141">
        <v>393</v>
      </c>
      <c r="L459" s="141">
        <f t="shared" si="10"/>
        <v>799607</v>
      </c>
      <c r="M459" s="141">
        <v>800000</v>
      </c>
      <c r="N459" s="141">
        <v>213</v>
      </c>
      <c r="O459" s="141"/>
      <c r="P459" s="141">
        <v>1000000</v>
      </c>
      <c r="Q459" s="141">
        <v>1000000</v>
      </c>
      <c r="R459" s="122">
        <v>300000</v>
      </c>
      <c r="S459" s="1456"/>
      <c r="T459" s="1477"/>
      <c r="U459" s="169"/>
      <c r="V459" s="169"/>
      <c r="W459" s="169"/>
      <c r="X459" s="169"/>
      <c r="Y459" s="169"/>
      <c r="Z459" s="169"/>
    </row>
    <row r="460" spans="1:26" s="48" customFormat="1" ht="18" customHeight="1" x14ac:dyDescent="0.25">
      <c r="A460" s="961" t="s">
        <v>1386</v>
      </c>
      <c r="B460" s="961" t="s">
        <v>163</v>
      </c>
      <c r="C460" s="44" t="s">
        <v>392</v>
      </c>
      <c r="D460" s="1356"/>
      <c r="E460" s="125"/>
      <c r="F460" s="125"/>
      <c r="G460" s="125"/>
      <c r="H460" s="221" t="s">
        <v>189</v>
      </c>
      <c r="I460" s="141">
        <v>963122.9</v>
      </c>
      <c r="J460" s="122">
        <v>6753266</v>
      </c>
      <c r="K460" s="141">
        <v>59405.72</v>
      </c>
      <c r="L460" s="141">
        <f t="shared" si="10"/>
        <v>6693860.2800000003</v>
      </c>
      <c r="M460" s="122">
        <v>6753266</v>
      </c>
      <c r="N460" s="122">
        <v>123022.24</v>
      </c>
      <c r="O460" s="122"/>
      <c r="P460" s="122">
        <v>7522796</v>
      </c>
      <c r="Q460" s="122">
        <v>7522796</v>
      </c>
      <c r="R460" s="122">
        <v>7522796</v>
      </c>
      <c r="S460" s="239"/>
      <c r="T460" s="1477"/>
      <c r="U460" s="169"/>
      <c r="V460" s="169"/>
      <c r="W460" s="169"/>
      <c r="X460" s="169"/>
      <c r="Y460" s="169"/>
      <c r="Z460" s="169"/>
    </row>
    <row r="461" spans="1:26" s="48" customFormat="1" ht="18" customHeight="1" x14ac:dyDescent="0.25">
      <c r="A461" s="961" t="s">
        <v>1386</v>
      </c>
      <c r="B461" s="961" t="s">
        <v>163</v>
      </c>
      <c r="C461" s="44" t="s">
        <v>1518</v>
      </c>
      <c r="D461" s="1355"/>
      <c r="E461" s="170"/>
      <c r="F461" s="170"/>
      <c r="G461" s="170"/>
      <c r="H461" s="231"/>
      <c r="I461" s="122"/>
      <c r="J461" s="122"/>
      <c r="K461" s="122"/>
      <c r="L461" s="141"/>
      <c r="M461" s="122"/>
      <c r="N461" s="122"/>
      <c r="O461" s="122"/>
      <c r="P461" s="122"/>
      <c r="Q461" s="122"/>
      <c r="R461" s="122">
        <v>300000</v>
      </c>
      <c r="S461" s="239">
        <f>SUM(R459:R461)</f>
        <v>8122796</v>
      </c>
      <c r="T461" s="1477"/>
      <c r="U461" s="169"/>
      <c r="V461" s="169"/>
      <c r="W461" s="169"/>
      <c r="X461" s="169"/>
      <c r="Y461" s="169"/>
      <c r="Z461" s="169"/>
    </row>
    <row r="462" spans="1:26" s="48" customFormat="1" ht="18" customHeight="1" x14ac:dyDescent="0.25">
      <c r="A462" s="961" t="s">
        <v>1386</v>
      </c>
      <c r="B462" s="961" t="s">
        <v>163</v>
      </c>
      <c r="C462" s="1369" t="s">
        <v>1634</v>
      </c>
      <c r="D462" s="1356"/>
      <c r="E462" s="1351"/>
      <c r="F462" s="1351"/>
      <c r="G462" s="125"/>
      <c r="H462" s="221" t="s">
        <v>391</v>
      </c>
      <c r="I462" s="141">
        <v>344365</v>
      </c>
      <c r="J462" s="122">
        <v>500000</v>
      </c>
      <c r="K462" s="141"/>
      <c r="L462" s="141">
        <f>M462-K462</f>
        <v>500000</v>
      </c>
      <c r="M462" s="122">
        <v>500000</v>
      </c>
      <c r="N462" s="122"/>
      <c r="O462" s="122"/>
      <c r="P462" s="122">
        <v>500000</v>
      </c>
      <c r="Q462" s="122">
        <v>500000</v>
      </c>
      <c r="R462" s="122">
        <f>750000+600000</f>
        <v>1350000</v>
      </c>
      <c r="S462" s="239"/>
      <c r="T462" s="1477"/>
      <c r="U462" s="169"/>
      <c r="V462" s="169"/>
      <c r="W462" s="169"/>
      <c r="X462" s="169"/>
      <c r="Y462" s="169"/>
      <c r="Z462" s="169"/>
    </row>
    <row r="463" spans="1:26" s="48" customFormat="1" ht="18" customHeight="1" x14ac:dyDescent="0.25">
      <c r="A463" s="573" t="s">
        <v>1386</v>
      </c>
      <c r="B463" s="573" t="s">
        <v>163</v>
      </c>
      <c r="C463" s="206" t="s">
        <v>307</v>
      </c>
      <c r="D463" s="1355"/>
      <c r="E463" s="184"/>
      <c r="F463" s="184"/>
      <c r="G463" s="184"/>
      <c r="H463" s="221" t="s">
        <v>308</v>
      </c>
      <c r="I463" s="141">
        <v>0</v>
      </c>
      <c r="J463" s="141">
        <v>350000</v>
      </c>
      <c r="K463" s="141"/>
      <c r="L463" s="141">
        <f>M463-K463</f>
        <v>350000</v>
      </c>
      <c r="M463" s="141">
        <v>350000</v>
      </c>
      <c r="N463" s="141"/>
      <c r="O463" s="141"/>
      <c r="P463" s="141">
        <v>350000</v>
      </c>
      <c r="Q463" s="141">
        <v>350000</v>
      </c>
      <c r="R463" s="122">
        <v>200000</v>
      </c>
      <c r="S463" s="1456"/>
      <c r="T463" s="1477"/>
      <c r="U463" s="169"/>
      <c r="V463" s="169"/>
      <c r="W463" s="169"/>
      <c r="X463" s="169"/>
      <c r="Y463" s="169"/>
      <c r="Z463" s="169"/>
    </row>
    <row r="464" spans="1:26" s="48" customFormat="1" ht="18" customHeight="1" x14ac:dyDescent="0.25">
      <c r="A464" s="961" t="s">
        <v>1386</v>
      </c>
      <c r="B464" s="961" t="s">
        <v>163</v>
      </c>
      <c r="C464" s="206" t="s">
        <v>1635</v>
      </c>
      <c r="D464" s="1355"/>
      <c r="E464" s="199"/>
      <c r="F464" s="199"/>
      <c r="G464" s="1355"/>
      <c r="H464" s="381"/>
      <c r="I464" s="141"/>
      <c r="J464" s="141"/>
      <c r="K464" s="141"/>
      <c r="L464" s="141"/>
      <c r="M464" s="141"/>
      <c r="N464" s="141"/>
      <c r="O464" s="141"/>
      <c r="P464" s="141">
        <v>3420000</v>
      </c>
      <c r="Q464" s="141">
        <v>3420000</v>
      </c>
      <c r="R464" s="122">
        <f>3420000+300000</f>
        <v>3720000</v>
      </c>
      <c r="S464" s="239">
        <f>SUM(R463:R464)</f>
        <v>3920000</v>
      </c>
      <c r="T464" s="1477"/>
      <c r="U464" s="169"/>
      <c r="V464" s="169"/>
      <c r="W464" s="169"/>
      <c r="X464" s="169"/>
      <c r="Y464" s="169"/>
      <c r="Z464" s="169"/>
    </row>
    <row r="465" spans="1:26" s="48" customFormat="1" ht="18" customHeight="1" x14ac:dyDescent="0.25">
      <c r="A465" s="961" t="s">
        <v>1386</v>
      </c>
      <c r="B465" s="961" t="s">
        <v>163</v>
      </c>
      <c r="C465" s="44" t="s">
        <v>192</v>
      </c>
      <c r="D465" s="1355"/>
      <c r="E465" s="113"/>
      <c r="F465" s="113"/>
      <c r="G465" s="113"/>
      <c r="H465" s="381" t="s">
        <v>193</v>
      </c>
      <c r="I465" s="141">
        <v>1162925</v>
      </c>
      <c r="J465" s="141">
        <v>2900000</v>
      </c>
      <c r="K465" s="141">
        <v>153307</v>
      </c>
      <c r="L465" s="141">
        <f>M465-K465</f>
        <v>2746693</v>
      </c>
      <c r="M465" s="141">
        <v>2900000</v>
      </c>
      <c r="N465" s="141">
        <v>454352</v>
      </c>
      <c r="O465" s="141"/>
      <c r="P465" s="141">
        <v>3500000</v>
      </c>
      <c r="Q465" s="141">
        <v>3500000</v>
      </c>
      <c r="R465" s="122">
        <v>2000000</v>
      </c>
      <c r="S465" s="239"/>
      <c r="T465" s="1477"/>
      <c r="U465" s="169"/>
      <c r="V465" s="169"/>
      <c r="W465" s="169"/>
      <c r="X465" s="169"/>
      <c r="Y465" s="169"/>
      <c r="Z465" s="169"/>
    </row>
    <row r="466" spans="1:26" s="48" customFormat="1" ht="18" customHeight="1" x14ac:dyDescent="0.25">
      <c r="A466" s="961" t="s">
        <v>1386</v>
      </c>
      <c r="B466" s="961" t="s">
        <v>163</v>
      </c>
      <c r="C466" s="206" t="s">
        <v>192</v>
      </c>
      <c r="D466" s="1355"/>
      <c r="E466" s="184"/>
      <c r="F466" s="184"/>
      <c r="G466" s="184"/>
      <c r="H466" s="221" t="s">
        <v>193</v>
      </c>
      <c r="I466" s="141">
        <v>0</v>
      </c>
      <c r="J466" s="141">
        <v>300000</v>
      </c>
      <c r="K466" s="141"/>
      <c r="L466" s="141">
        <f>M466-K466</f>
        <v>300000</v>
      </c>
      <c r="M466" s="141">
        <v>300000</v>
      </c>
      <c r="N466" s="141"/>
      <c r="O466" s="141"/>
      <c r="P466" s="141">
        <v>300000</v>
      </c>
      <c r="Q466" s="141">
        <v>300000</v>
      </c>
      <c r="R466" s="122">
        <v>100000</v>
      </c>
      <c r="S466" s="239"/>
      <c r="T466" s="1477"/>
      <c r="U466" s="169"/>
      <c r="V466" s="169"/>
      <c r="W466" s="169"/>
      <c r="X466" s="169"/>
      <c r="Y466" s="169"/>
      <c r="Z466" s="169"/>
    </row>
    <row r="467" spans="1:26" s="48" customFormat="1" ht="18" customHeight="1" x14ac:dyDescent="0.25">
      <c r="A467" s="573" t="s">
        <v>1386</v>
      </c>
      <c r="B467" s="573" t="s">
        <v>163</v>
      </c>
      <c r="C467" s="206" t="s">
        <v>192</v>
      </c>
      <c r="D467" s="1355"/>
      <c r="E467" s="184"/>
      <c r="F467" s="184"/>
      <c r="G467" s="184"/>
      <c r="H467" s="221" t="s">
        <v>193</v>
      </c>
      <c r="I467" s="141">
        <v>6000</v>
      </c>
      <c r="J467" s="141">
        <v>500000</v>
      </c>
      <c r="K467" s="141"/>
      <c r="L467" s="141">
        <f>M467-K467</f>
        <v>500000</v>
      </c>
      <c r="M467" s="141">
        <v>500000</v>
      </c>
      <c r="N467" s="141"/>
      <c r="O467" s="141"/>
      <c r="P467" s="141">
        <v>500000</v>
      </c>
      <c r="Q467" s="141">
        <v>500000</v>
      </c>
      <c r="R467" s="122">
        <v>250000</v>
      </c>
      <c r="S467" s="239">
        <f>SUM(R465:R467)</f>
        <v>2350000</v>
      </c>
      <c r="T467" s="1477"/>
      <c r="U467" s="169"/>
      <c r="V467" s="169"/>
      <c r="W467" s="169"/>
      <c r="X467" s="169"/>
      <c r="Y467" s="169"/>
      <c r="Z467" s="169"/>
    </row>
    <row r="468" spans="1:26" s="48" customFormat="1" ht="18" customHeight="1" x14ac:dyDescent="0.25">
      <c r="A468" s="961" t="s">
        <v>1386</v>
      </c>
      <c r="B468" s="961" t="s">
        <v>163</v>
      </c>
      <c r="C468" s="206" t="s">
        <v>1548</v>
      </c>
      <c r="D468" s="1355"/>
      <c r="E468" s="125"/>
      <c r="F468" s="199"/>
      <c r="G468" s="184"/>
      <c r="H468" s="381"/>
      <c r="I468" s="141">
        <v>0</v>
      </c>
      <c r="J468" s="141"/>
      <c r="K468" s="141"/>
      <c r="L468" s="141"/>
      <c r="M468" s="141">
        <v>0</v>
      </c>
      <c r="N468" s="141">
        <v>0</v>
      </c>
      <c r="O468" s="141"/>
      <c r="P468" s="141">
        <v>15000000</v>
      </c>
      <c r="Q468" s="141">
        <v>15000000</v>
      </c>
      <c r="R468" s="122">
        <v>15000000</v>
      </c>
      <c r="S468" s="239"/>
      <c r="T468" s="1477"/>
      <c r="U468" s="169"/>
      <c r="V468" s="169"/>
      <c r="W468" s="169"/>
      <c r="X468" s="169"/>
      <c r="Y468" s="169"/>
      <c r="Z468" s="169"/>
    </row>
    <row r="469" spans="1:26" s="48" customFormat="1" ht="18" customHeight="1" x14ac:dyDescent="0.25">
      <c r="A469" s="961" t="s">
        <v>1386</v>
      </c>
      <c r="B469" s="961" t="s">
        <v>163</v>
      </c>
      <c r="C469" s="44" t="s">
        <v>194</v>
      </c>
      <c r="D469" s="1355"/>
      <c r="E469" s="113"/>
      <c r="F469" s="113"/>
      <c r="G469" s="113"/>
      <c r="H469" s="381" t="s">
        <v>195</v>
      </c>
      <c r="I469" s="141">
        <v>0</v>
      </c>
      <c r="J469" s="141">
        <v>120000</v>
      </c>
      <c r="K469" s="141"/>
      <c r="L469" s="141">
        <f>M469-K469</f>
        <v>120000</v>
      </c>
      <c r="M469" s="141">
        <v>120000</v>
      </c>
      <c r="N469" s="141">
        <v>0</v>
      </c>
      <c r="O469" s="141"/>
      <c r="P469" s="141">
        <v>150000</v>
      </c>
      <c r="Q469" s="141">
        <v>150000</v>
      </c>
      <c r="R469" s="122">
        <v>100000</v>
      </c>
      <c r="S469" s="239"/>
      <c r="T469" s="1478"/>
      <c r="U469" s="169"/>
      <c r="V469" s="169"/>
      <c r="W469" s="169"/>
      <c r="X469" s="169"/>
      <c r="Y469" s="169"/>
      <c r="Z469" s="169"/>
    </row>
    <row r="470" spans="1:26" s="48" customFormat="1" ht="18" customHeight="1" x14ac:dyDescent="0.25">
      <c r="A470" s="573" t="s">
        <v>1386</v>
      </c>
      <c r="B470" s="573" t="s">
        <v>163</v>
      </c>
      <c r="C470" s="206" t="s">
        <v>194</v>
      </c>
      <c r="D470" s="1355"/>
      <c r="E470" s="184"/>
      <c r="F470" s="184"/>
      <c r="G470" s="184"/>
      <c r="H470" s="221"/>
      <c r="I470" s="141"/>
      <c r="J470" s="141"/>
      <c r="K470" s="141"/>
      <c r="L470" s="141"/>
      <c r="M470" s="141">
        <v>150000</v>
      </c>
      <c r="N470" s="141"/>
      <c r="O470" s="141"/>
      <c r="P470" s="141"/>
      <c r="Q470" s="141"/>
      <c r="R470" s="122">
        <v>150000</v>
      </c>
      <c r="S470" s="239"/>
      <c r="T470" s="1478"/>
      <c r="U470" s="169"/>
      <c r="V470" s="169"/>
      <c r="W470" s="169"/>
      <c r="X470" s="169"/>
      <c r="Y470" s="169"/>
      <c r="Z470" s="169"/>
    </row>
    <row r="471" spans="1:26" s="48" customFormat="1" ht="18" customHeight="1" x14ac:dyDescent="0.25">
      <c r="A471" s="573" t="s">
        <v>1386</v>
      </c>
      <c r="B471" s="573" t="s">
        <v>163</v>
      </c>
      <c r="C471" s="652" t="s">
        <v>194</v>
      </c>
      <c r="D471" s="1355"/>
      <c r="E471" s="1359"/>
      <c r="F471" s="1355"/>
      <c r="G471" s="1355"/>
      <c r="H471" s="381"/>
      <c r="I471" s="141">
        <v>0</v>
      </c>
      <c r="J471" s="141">
        <v>0</v>
      </c>
      <c r="K471" s="141">
        <v>0</v>
      </c>
      <c r="L471" s="141">
        <v>0</v>
      </c>
      <c r="M471" s="141">
        <v>0</v>
      </c>
      <c r="N471" s="141">
        <v>0</v>
      </c>
      <c r="O471" s="141"/>
      <c r="P471" s="141"/>
      <c r="Q471" s="141"/>
      <c r="R471" s="122">
        <v>400000</v>
      </c>
      <c r="S471" s="1456">
        <f>SUM(R469:R471)</f>
        <v>650000</v>
      </c>
      <c r="T471" s="1478"/>
      <c r="U471" s="169"/>
      <c r="V471" s="169"/>
      <c r="W471" s="169"/>
      <c r="X471" s="169"/>
      <c r="Y471" s="169"/>
      <c r="Z471" s="169"/>
    </row>
    <row r="472" spans="1:26" s="48" customFormat="1" ht="18" customHeight="1" x14ac:dyDescent="0.25">
      <c r="A472" s="573" t="s">
        <v>1386</v>
      </c>
      <c r="B472" s="573" t="s">
        <v>163</v>
      </c>
      <c r="C472" s="652" t="s">
        <v>1630</v>
      </c>
      <c r="D472" s="1355"/>
      <c r="E472" s="1359"/>
      <c r="F472" s="1355"/>
      <c r="G472" s="1355"/>
      <c r="H472" s="381"/>
      <c r="I472" s="141">
        <v>0</v>
      </c>
      <c r="J472" s="141">
        <v>0</v>
      </c>
      <c r="K472" s="141">
        <v>0</v>
      </c>
      <c r="L472" s="141">
        <v>0</v>
      </c>
      <c r="M472" s="141">
        <v>0</v>
      </c>
      <c r="N472" s="141">
        <v>0</v>
      </c>
      <c r="O472" s="141"/>
      <c r="P472" s="141">
        <v>70000</v>
      </c>
      <c r="Q472" s="141">
        <v>70000</v>
      </c>
      <c r="R472" s="122">
        <v>70000</v>
      </c>
      <c r="S472" s="1456"/>
      <c r="T472" s="1478"/>
      <c r="U472" s="169"/>
      <c r="V472" s="169"/>
      <c r="W472" s="169"/>
      <c r="X472" s="169"/>
      <c r="Y472" s="169"/>
      <c r="Z472" s="169"/>
    </row>
    <row r="473" spans="1:26" s="48" customFormat="1" ht="18" customHeight="1" x14ac:dyDescent="0.25">
      <c r="A473" s="961" t="s">
        <v>1386</v>
      </c>
      <c r="B473" s="961" t="s">
        <v>163</v>
      </c>
      <c r="C473" s="44" t="s">
        <v>1636</v>
      </c>
      <c r="D473" s="1369"/>
      <c r="E473" s="44"/>
      <c r="F473" s="44"/>
      <c r="G473" s="44"/>
      <c r="H473" s="231"/>
      <c r="I473" s="122"/>
      <c r="J473" s="122"/>
      <c r="K473" s="122"/>
      <c r="L473" s="122"/>
      <c r="M473" s="122"/>
      <c r="N473" s="122"/>
      <c r="O473" s="122"/>
      <c r="P473" s="122">
        <v>210600</v>
      </c>
      <c r="Q473" s="122">
        <v>210600</v>
      </c>
      <c r="R473" s="122">
        <v>210600</v>
      </c>
      <c r="S473" s="239"/>
      <c r="T473" s="1478"/>
      <c r="U473" s="169"/>
      <c r="V473" s="169"/>
      <c r="W473" s="169"/>
      <c r="X473" s="169"/>
      <c r="Y473" s="169"/>
      <c r="Z473" s="169"/>
    </row>
    <row r="474" spans="1:26" s="136" customFormat="1" ht="18" customHeight="1" x14ac:dyDescent="0.25">
      <c r="A474" s="573" t="s">
        <v>1386</v>
      </c>
      <c r="B474" s="573" t="s">
        <v>163</v>
      </c>
      <c r="C474" s="652" t="s">
        <v>1629</v>
      </c>
      <c r="D474" s="1355"/>
      <c r="E474" s="1359"/>
      <c r="F474" s="1355"/>
      <c r="G474" s="1355"/>
      <c r="H474" s="381"/>
      <c r="I474" s="141">
        <v>0</v>
      </c>
      <c r="J474" s="141">
        <v>0</v>
      </c>
      <c r="K474" s="141">
        <v>0</v>
      </c>
      <c r="L474" s="141">
        <v>0</v>
      </c>
      <c r="M474" s="141">
        <v>0</v>
      </c>
      <c r="N474" s="141">
        <v>0</v>
      </c>
      <c r="O474" s="141"/>
      <c r="P474" s="141">
        <v>80000</v>
      </c>
      <c r="Q474" s="141">
        <v>80000</v>
      </c>
      <c r="R474" s="122">
        <v>80000</v>
      </c>
      <c r="S474" s="239"/>
      <c r="T474" s="1478"/>
      <c r="U474" s="927"/>
      <c r="V474" s="927"/>
      <c r="W474" s="927"/>
      <c r="X474" s="927"/>
      <c r="Y474" s="927"/>
      <c r="Z474" s="927"/>
    </row>
    <row r="475" spans="1:26" s="136" customFormat="1" ht="18" customHeight="1" x14ac:dyDescent="0.25">
      <c r="A475" s="961" t="s">
        <v>1386</v>
      </c>
      <c r="B475" s="961" t="s">
        <v>163</v>
      </c>
      <c r="C475" s="44" t="s">
        <v>1616</v>
      </c>
      <c r="D475" s="1355"/>
      <c r="E475" s="170"/>
      <c r="F475" s="170"/>
      <c r="G475" s="170"/>
      <c r="H475" s="231"/>
      <c r="I475" s="122"/>
      <c r="J475" s="122"/>
      <c r="K475" s="122"/>
      <c r="L475" s="141"/>
      <c r="M475" s="122"/>
      <c r="N475" s="122"/>
      <c r="O475" s="122"/>
      <c r="P475" s="122"/>
      <c r="Q475" s="122"/>
      <c r="R475" s="122">
        <v>260000</v>
      </c>
      <c r="S475" s="239">
        <f>SUM(R473:R475)</f>
        <v>550600</v>
      </c>
      <c r="T475" s="1478"/>
      <c r="U475" s="927"/>
      <c r="V475" s="927"/>
      <c r="W475" s="927"/>
      <c r="X475" s="927"/>
      <c r="Y475" s="927"/>
      <c r="Z475" s="927"/>
    </row>
    <row r="476" spans="1:26" s="48" customFormat="1" ht="18" customHeight="1" x14ac:dyDescent="0.25">
      <c r="A476" s="961" t="s">
        <v>1386</v>
      </c>
      <c r="B476" s="961" t="s">
        <v>163</v>
      </c>
      <c r="C476" s="44" t="s">
        <v>178</v>
      </c>
      <c r="D476" s="1355"/>
      <c r="E476" s="113"/>
      <c r="F476" s="113"/>
      <c r="G476" s="113"/>
      <c r="H476" s="381" t="s">
        <v>179</v>
      </c>
      <c r="I476" s="141">
        <f>215868.26+64987</f>
        <v>280855.26</v>
      </c>
      <c r="J476" s="141">
        <f>480000+550000</f>
        <v>1030000</v>
      </c>
      <c r="K476" s="141">
        <v>108718.28</v>
      </c>
      <c r="L476" s="141">
        <f>M476-K476</f>
        <v>921281.72</v>
      </c>
      <c r="M476" s="141">
        <f>480000+550000</f>
        <v>1030000</v>
      </c>
      <c r="N476" s="141">
        <v>150479.14000000001</v>
      </c>
      <c r="O476" s="141"/>
      <c r="P476" s="141">
        <v>1150000</v>
      </c>
      <c r="Q476" s="141">
        <v>1150000</v>
      </c>
      <c r="R476" s="122">
        <v>350000</v>
      </c>
      <c r="S476" s="1456"/>
      <c r="T476" s="1477"/>
      <c r="U476" s="169"/>
      <c r="V476" s="169"/>
      <c r="W476" s="169"/>
      <c r="X476" s="169"/>
      <c r="Y476" s="169"/>
      <c r="Z476" s="169"/>
    </row>
    <row r="477" spans="1:26" s="1379" customFormat="1" ht="18" customHeight="1" x14ac:dyDescent="0.25">
      <c r="A477" s="1440" t="s">
        <v>1386</v>
      </c>
      <c r="B477" s="1440" t="s">
        <v>163</v>
      </c>
      <c r="C477" s="1369" t="s">
        <v>178</v>
      </c>
      <c r="D477" s="1355"/>
      <c r="E477" s="1355"/>
      <c r="F477" s="1355"/>
      <c r="G477" s="961"/>
      <c r="H477" s="221" t="s">
        <v>179</v>
      </c>
      <c r="I477" s="141">
        <f>9163.9+13750</f>
        <v>22913.9</v>
      </c>
      <c r="J477" s="141">
        <v>55680</v>
      </c>
      <c r="K477" s="141"/>
      <c r="L477" s="141">
        <f>M477-K477</f>
        <v>55680</v>
      </c>
      <c r="M477" s="141">
        <v>55680</v>
      </c>
      <c r="N477" s="141">
        <v>12100</v>
      </c>
      <c r="O477" s="141"/>
      <c r="P477" s="141">
        <v>60000</v>
      </c>
      <c r="Q477" s="141">
        <v>60000</v>
      </c>
      <c r="R477" s="122">
        <v>60000</v>
      </c>
      <c r="S477" s="1456"/>
      <c r="T477" s="1485"/>
      <c r="U477" s="1463"/>
      <c r="V477" s="1463"/>
      <c r="W477" s="1463"/>
      <c r="X477" s="1463"/>
      <c r="Y477" s="1463"/>
      <c r="Z477" s="1463"/>
    </row>
    <row r="478" spans="1:26" ht="18" x14ac:dyDescent="0.25">
      <c r="A478" s="961" t="s">
        <v>1386</v>
      </c>
      <c r="B478" s="961" t="s">
        <v>163</v>
      </c>
      <c r="C478" s="44" t="s">
        <v>178</v>
      </c>
      <c r="D478" s="1355"/>
      <c r="E478" s="303"/>
      <c r="F478" s="113"/>
      <c r="G478" s="113"/>
      <c r="H478" s="381" t="s">
        <v>179</v>
      </c>
      <c r="I478" s="141">
        <v>0</v>
      </c>
      <c r="J478" s="122">
        <v>7200</v>
      </c>
      <c r="K478" s="141"/>
      <c r="L478" s="141">
        <f>M478-K478</f>
        <v>7200</v>
      </c>
      <c r="M478" s="122">
        <v>7200</v>
      </c>
      <c r="N478" s="141">
        <v>0</v>
      </c>
      <c r="O478" s="122"/>
      <c r="P478" s="122">
        <v>24000</v>
      </c>
      <c r="Q478" s="122">
        <v>24000</v>
      </c>
      <c r="R478" s="122">
        <v>24000</v>
      </c>
    </row>
    <row r="479" spans="1:26" ht="18" x14ac:dyDescent="0.25">
      <c r="A479" s="961" t="s">
        <v>1386</v>
      </c>
      <c r="B479" s="961" t="s">
        <v>163</v>
      </c>
      <c r="C479" s="44" t="s">
        <v>178</v>
      </c>
      <c r="D479" s="1355"/>
      <c r="E479" s="113"/>
      <c r="F479" s="113"/>
      <c r="G479" s="113"/>
      <c r="H479" s="381" t="s">
        <v>179</v>
      </c>
      <c r="I479" s="141">
        <v>14906.43</v>
      </c>
      <c r="J479" s="141">
        <v>39000</v>
      </c>
      <c r="K479" s="141">
        <v>7840</v>
      </c>
      <c r="L479" s="141">
        <f>M479-K479</f>
        <v>31160</v>
      </c>
      <c r="M479" s="141">
        <v>39000</v>
      </c>
      <c r="N479" s="141">
        <v>7840</v>
      </c>
      <c r="O479" s="141"/>
      <c r="P479" s="141">
        <v>24000</v>
      </c>
      <c r="Q479" s="141">
        <v>24000</v>
      </c>
      <c r="R479" s="122">
        <v>24000</v>
      </c>
    </row>
    <row r="480" spans="1:26" s="7" customFormat="1" ht="9" hidden="1" customHeight="1" x14ac:dyDescent="0.25">
      <c r="A480" s="1403"/>
      <c r="B480" s="1403"/>
      <c r="C480" s="44"/>
      <c r="D480" s="152" t="s">
        <v>2070</v>
      </c>
      <c r="E480" s="125"/>
      <c r="F480" s="125"/>
      <c r="G480" s="125"/>
      <c r="H480" s="125"/>
      <c r="I480" s="160"/>
      <c r="J480" s="160"/>
      <c r="K480" s="160"/>
      <c r="L480" s="160"/>
      <c r="M480" s="160"/>
      <c r="N480" s="160"/>
      <c r="O480" s="160"/>
      <c r="P480" s="160"/>
      <c r="Q480" s="160"/>
      <c r="R480" s="161"/>
      <c r="S480" s="239"/>
      <c r="T480" s="1475"/>
      <c r="U480" s="1380"/>
      <c r="V480" s="1380"/>
      <c r="W480" s="1380"/>
      <c r="X480" s="1380"/>
      <c r="Y480" s="1380"/>
      <c r="Z480" s="1380"/>
    </row>
    <row r="481" spans="1:26" s="7" customFormat="1" ht="18" customHeight="1" x14ac:dyDescent="0.25">
      <c r="A481" s="961" t="s">
        <v>1386</v>
      </c>
      <c r="B481" s="961" t="s">
        <v>163</v>
      </c>
      <c r="C481" s="44" t="s">
        <v>178</v>
      </c>
      <c r="D481" s="1355"/>
      <c r="E481" s="113"/>
      <c r="F481" s="113"/>
      <c r="G481" s="113"/>
      <c r="H481" s="221" t="s">
        <v>179</v>
      </c>
      <c r="I481" s="141">
        <v>0</v>
      </c>
      <c r="J481" s="122">
        <v>18000</v>
      </c>
      <c r="K481" s="141"/>
      <c r="L481" s="141">
        <f t="shared" ref="L481:L496" si="11">M481-K481</f>
        <v>18000</v>
      </c>
      <c r="M481" s="122">
        <v>18000</v>
      </c>
      <c r="N481" s="141">
        <v>0</v>
      </c>
      <c r="O481" s="122"/>
      <c r="P481" s="122">
        <v>18000</v>
      </c>
      <c r="Q481" s="122">
        <v>18000</v>
      </c>
      <c r="R481" s="122">
        <v>18000</v>
      </c>
      <c r="S481" s="239"/>
      <c r="T481" s="1475"/>
      <c r="U481" s="1380"/>
      <c r="V481" s="1380"/>
      <c r="W481" s="1380"/>
      <c r="X481" s="1380"/>
      <c r="Y481" s="1380"/>
      <c r="Z481" s="1380"/>
    </row>
    <row r="482" spans="1:26" s="7" customFormat="1" ht="18" customHeight="1" x14ac:dyDescent="0.25">
      <c r="A482" s="961" t="s">
        <v>1386</v>
      </c>
      <c r="B482" s="961" t="s">
        <v>163</v>
      </c>
      <c r="C482" s="44" t="s">
        <v>178</v>
      </c>
      <c r="D482" s="1355"/>
      <c r="E482" s="170"/>
      <c r="F482" s="170"/>
      <c r="G482" s="170"/>
      <c r="H482" s="231"/>
      <c r="I482" s="122">
        <f>18000</f>
        <v>18000</v>
      </c>
      <c r="J482" s="122">
        <v>18000</v>
      </c>
      <c r="K482" s="122">
        <v>11199</v>
      </c>
      <c r="L482" s="141">
        <f t="shared" si="11"/>
        <v>6801</v>
      </c>
      <c r="M482" s="122">
        <v>18000</v>
      </c>
      <c r="N482" s="122">
        <v>15699</v>
      </c>
      <c r="O482" s="122"/>
      <c r="P482" s="122">
        <v>25000</v>
      </c>
      <c r="Q482" s="122">
        <v>25000</v>
      </c>
      <c r="R482" s="122">
        <v>25000</v>
      </c>
      <c r="S482" s="239"/>
      <c r="T482" s="1475"/>
      <c r="U482" s="1380"/>
      <c r="V482" s="1380"/>
      <c r="W482" s="1380"/>
      <c r="X482" s="1380"/>
      <c r="Y482" s="1380"/>
      <c r="Z482" s="1380"/>
    </row>
    <row r="483" spans="1:26" s="7" customFormat="1" ht="18" customHeight="1" x14ac:dyDescent="0.25">
      <c r="A483" s="961" t="s">
        <v>1386</v>
      </c>
      <c r="B483" s="961" t="s">
        <v>163</v>
      </c>
      <c r="C483" s="206" t="s">
        <v>178</v>
      </c>
      <c r="D483" s="1355"/>
      <c r="E483" s="184"/>
      <c r="F483" s="184"/>
      <c r="G483" s="184"/>
      <c r="H483" s="221" t="s">
        <v>179</v>
      </c>
      <c r="I483" s="141">
        <v>60000</v>
      </c>
      <c r="J483" s="141">
        <v>88800</v>
      </c>
      <c r="K483" s="141">
        <v>36057.56</v>
      </c>
      <c r="L483" s="141">
        <f t="shared" si="11"/>
        <v>52742.44</v>
      </c>
      <c r="M483" s="141">
        <v>88800</v>
      </c>
      <c r="N483" s="141">
        <v>51057.56</v>
      </c>
      <c r="O483" s="141"/>
      <c r="P483" s="141">
        <v>88800</v>
      </c>
      <c r="Q483" s="141">
        <v>88800</v>
      </c>
      <c r="R483" s="122">
        <v>88800</v>
      </c>
      <c r="S483" s="239"/>
      <c r="T483" s="1475"/>
      <c r="U483" s="1380"/>
      <c r="V483" s="1380"/>
      <c r="W483" s="1380"/>
      <c r="X483" s="1380"/>
      <c r="Y483" s="1380"/>
      <c r="Z483" s="1380"/>
    </row>
    <row r="484" spans="1:26" ht="18" x14ac:dyDescent="0.25">
      <c r="A484" s="573" t="s">
        <v>1386</v>
      </c>
      <c r="B484" s="573" t="s">
        <v>163</v>
      </c>
      <c r="C484" s="206" t="s">
        <v>178</v>
      </c>
      <c r="D484" s="1355"/>
      <c r="E484" s="184"/>
      <c r="F484" s="184"/>
      <c r="G484" s="184"/>
      <c r="H484" s="221" t="s">
        <v>179</v>
      </c>
      <c r="I484" s="141">
        <f>13634.53+705000</f>
        <v>718634.53</v>
      </c>
      <c r="J484" s="141">
        <v>748800</v>
      </c>
      <c r="K484" s="141">
        <v>305244.05</v>
      </c>
      <c r="L484" s="141">
        <f t="shared" si="11"/>
        <v>443555.95</v>
      </c>
      <c r="M484" s="141">
        <v>748800</v>
      </c>
      <c r="N484" s="141">
        <v>487341.67</v>
      </c>
      <c r="O484" s="141"/>
      <c r="P484" s="141">
        <v>748800</v>
      </c>
      <c r="Q484" s="141">
        <v>748800</v>
      </c>
      <c r="R484" s="122">
        <v>748800</v>
      </c>
    </row>
    <row r="485" spans="1:26" ht="18" x14ac:dyDescent="0.25">
      <c r="A485" s="573" t="s">
        <v>1386</v>
      </c>
      <c r="B485" s="573" t="s">
        <v>163</v>
      </c>
      <c r="C485" s="180" t="s">
        <v>178</v>
      </c>
      <c r="D485" s="1355"/>
      <c r="E485" s="184"/>
      <c r="F485" s="184"/>
      <c r="G485" s="184"/>
      <c r="H485" s="221" t="s">
        <v>179</v>
      </c>
      <c r="I485" s="141">
        <f>10519.84+60000</f>
        <v>70519.839999999997</v>
      </c>
      <c r="J485" s="141">
        <v>88800</v>
      </c>
      <c r="K485" s="141">
        <v>27398.99</v>
      </c>
      <c r="L485" s="141">
        <f t="shared" si="11"/>
        <v>61401.009999999995</v>
      </c>
      <c r="M485" s="141">
        <v>88800</v>
      </c>
      <c r="N485" s="141">
        <v>42398.99</v>
      </c>
      <c r="O485" s="141"/>
      <c r="P485" s="141">
        <v>148800</v>
      </c>
      <c r="Q485" s="141">
        <v>148800</v>
      </c>
      <c r="R485" s="122">
        <v>148800</v>
      </c>
    </row>
    <row r="486" spans="1:26" ht="18" x14ac:dyDescent="0.25">
      <c r="A486" s="573" t="s">
        <v>1386</v>
      </c>
      <c r="B486" s="573" t="s">
        <v>163</v>
      </c>
      <c r="C486" s="206" t="s">
        <v>178</v>
      </c>
      <c r="D486" s="1355"/>
      <c r="E486" s="184"/>
      <c r="F486" s="184"/>
      <c r="G486" s="184"/>
      <c r="H486" s="221" t="s">
        <v>179</v>
      </c>
      <c r="I486" s="141">
        <v>0</v>
      </c>
      <c r="J486" s="122">
        <v>54000</v>
      </c>
      <c r="K486" s="141">
        <v>15680</v>
      </c>
      <c r="L486" s="141">
        <f t="shared" si="11"/>
        <v>38320</v>
      </c>
      <c r="M486" s="122">
        <v>54000</v>
      </c>
      <c r="N486" s="122">
        <v>15680</v>
      </c>
      <c r="O486" s="122"/>
      <c r="P486" s="122">
        <v>54000</v>
      </c>
      <c r="Q486" s="122">
        <v>54000</v>
      </c>
      <c r="R486" s="122">
        <v>54000</v>
      </c>
    </row>
    <row r="487" spans="1:26" ht="18" x14ac:dyDescent="0.25">
      <c r="A487" s="573" t="s">
        <v>1386</v>
      </c>
      <c r="B487" s="573" t="s">
        <v>163</v>
      </c>
      <c r="C487" s="206" t="s">
        <v>178</v>
      </c>
      <c r="D487" s="381"/>
      <c r="E487" s="184"/>
      <c r="F487" s="184"/>
      <c r="G487" s="184"/>
      <c r="H487" s="381" t="s">
        <v>179</v>
      </c>
      <c r="I487" s="141">
        <v>0</v>
      </c>
      <c r="J487" s="122">
        <v>42000</v>
      </c>
      <c r="K487" s="141"/>
      <c r="L487" s="141">
        <f t="shared" si="11"/>
        <v>42000</v>
      </c>
      <c r="M487" s="122">
        <v>42000</v>
      </c>
      <c r="N487" s="122"/>
      <c r="O487" s="122"/>
      <c r="P487" s="122">
        <v>42000</v>
      </c>
      <c r="Q487" s="122">
        <v>42000</v>
      </c>
      <c r="R487" s="122">
        <v>42000</v>
      </c>
    </row>
    <row r="488" spans="1:26" s="7" customFormat="1" ht="18" customHeight="1" x14ac:dyDescent="0.25">
      <c r="A488" s="573" t="s">
        <v>1386</v>
      </c>
      <c r="B488" s="573" t="s">
        <v>163</v>
      </c>
      <c r="C488" s="206" t="s">
        <v>178</v>
      </c>
      <c r="D488" s="1355"/>
      <c r="E488" s="184"/>
      <c r="F488" s="184"/>
      <c r="G488" s="184"/>
      <c r="H488" s="381" t="s">
        <v>179</v>
      </c>
      <c r="I488" s="141">
        <v>42000</v>
      </c>
      <c r="J488" s="141">
        <v>54000</v>
      </c>
      <c r="K488" s="141">
        <v>14000</v>
      </c>
      <c r="L488" s="141">
        <f t="shared" si="11"/>
        <v>40000</v>
      </c>
      <c r="M488" s="141">
        <v>54000</v>
      </c>
      <c r="N488" s="141">
        <v>21000</v>
      </c>
      <c r="O488" s="141"/>
      <c r="P488" s="141">
        <v>54000</v>
      </c>
      <c r="Q488" s="141">
        <v>54000</v>
      </c>
      <c r="R488" s="122">
        <v>54000</v>
      </c>
      <c r="S488" s="239"/>
      <c r="T488" s="1475"/>
      <c r="U488" s="1380"/>
      <c r="V488" s="1380"/>
      <c r="W488" s="1380"/>
      <c r="X488" s="1380"/>
      <c r="Y488" s="1380"/>
      <c r="Z488" s="1380"/>
    </row>
    <row r="489" spans="1:26" s="7" customFormat="1" ht="18" customHeight="1" x14ac:dyDescent="0.25">
      <c r="A489" s="573" t="s">
        <v>1386</v>
      </c>
      <c r="B489" s="573" t="s">
        <v>163</v>
      </c>
      <c r="C489" s="206" t="s">
        <v>178</v>
      </c>
      <c r="D489" s="1355"/>
      <c r="E489" s="184"/>
      <c r="F489" s="184"/>
      <c r="G489" s="184"/>
      <c r="H489" s="381" t="s">
        <v>179</v>
      </c>
      <c r="I489" s="141">
        <f>36525.36+42000</f>
        <v>78525.36</v>
      </c>
      <c r="J489" s="141">
        <v>70800</v>
      </c>
      <c r="K489" s="141">
        <v>20087.560000000001</v>
      </c>
      <c r="L489" s="141">
        <f t="shared" si="11"/>
        <v>50712.44</v>
      </c>
      <c r="M489" s="141">
        <v>70800</v>
      </c>
      <c r="N489" s="141">
        <v>27087.56</v>
      </c>
      <c r="O489" s="141"/>
      <c r="P489" s="141">
        <v>70800</v>
      </c>
      <c r="Q489" s="141">
        <v>70800</v>
      </c>
      <c r="R489" s="122">
        <v>70800</v>
      </c>
      <c r="S489" s="239"/>
      <c r="T489" s="1475"/>
      <c r="U489" s="1380"/>
      <c r="V489" s="1380"/>
      <c r="W489" s="1380"/>
      <c r="X489" s="1380"/>
      <c r="Y489" s="1380"/>
      <c r="Z489" s="1380"/>
    </row>
    <row r="490" spans="1:26" s="7" customFormat="1" ht="18" customHeight="1" x14ac:dyDescent="0.25">
      <c r="A490" s="961" t="s">
        <v>1386</v>
      </c>
      <c r="B490" s="961" t="s">
        <v>163</v>
      </c>
      <c r="C490" s="44" t="s">
        <v>178</v>
      </c>
      <c r="D490" s="1355"/>
      <c r="E490" s="113"/>
      <c r="F490" s="113"/>
      <c r="G490" s="113"/>
      <c r="H490" s="381" t="s">
        <v>179</v>
      </c>
      <c r="I490" s="141">
        <f>9626.05+42000</f>
        <v>51626.05</v>
      </c>
      <c r="J490" s="141">
        <f>12000+42000</f>
        <v>54000</v>
      </c>
      <c r="K490" s="141">
        <v>29680</v>
      </c>
      <c r="L490" s="141">
        <f t="shared" si="11"/>
        <v>24320</v>
      </c>
      <c r="M490" s="141">
        <f>12000+42000</f>
        <v>54000</v>
      </c>
      <c r="N490" s="141">
        <v>36680</v>
      </c>
      <c r="O490" s="141"/>
      <c r="P490" s="141">
        <v>0</v>
      </c>
      <c r="Q490" s="141">
        <v>0</v>
      </c>
      <c r="R490" s="122">
        <v>54000</v>
      </c>
      <c r="S490" s="239"/>
      <c r="T490" s="1475"/>
      <c r="U490" s="1380"/>
      <c r="V490" s="1380"/>
      <c r="W490" s="1380"/>
      <c r="X490" s="1380"/>
      <c r="Y490" s="1380"/>
      <c r="Z490" s="1380"/>
    </row>
    <row r="491" spans="1:26" s="7" customFormat="1" ht="18" customHeight="1" x14ac:dyDescent="0.2">
      <c r="A491" s="445" t="s">
        <v>1386</v>
      </c>
      <c r="B491" s="445" t="s">
        <v>163</v>
      </c>
      <c r="C491" s="44" t="s">
        <v>178</v>
      </c>
      <c r="D491" s="1355"/>
      <c r="E491" s="113"/>
      <c r="F491" s="113"/>
      <c r="G491" s="113"/>
      <c r="H491" s="221" t="s">
        <v>179</v>
      </c>
      <c r="I491" s="141">
        <f>38857.63+42000</f>
        <v>80857.63</v>
      </c>
      <c r="J491" s="141">
        <v>60000</v>
      </c>
      <c r="K491" s="141">
        <v>21840</v>
      </c>
      <c r="L491" s="141">
        <f t="shared" si="11"/>
        <v>38160</v>
      </c>
      <c r="M491" s="141">
        <v>60000</v>
      </c>
      <c r="N491" s="141">
        <v>32760</v>
      </c>
      <c r="O491" s="141"/>
      <c r="P491" s="141">
        <v>60000</v>
      </c>
      <c r="Q491" s="141">
        <v>60000</v>
      </c>
      <c r="R491" s="122">
        <v>60000</v>
      </c>
      <c r="S491" s="239"/>
      <c r="T491" s="1475"/>
      <c r="U491" s="1380"/>
      <c r="V491" s="1380"/>
      <c r="W491" s="1380"/>
      <c r="X491" s="1380"/>
      <c r="Y491" s="1380"/>
      <c r="Z491" s="1380"/>
    </row>
    <row r="492" spans="1:26" s="7" customFormat="1" ht="18" customHeight="1" x14ac:dyDescent="0.25">
      <c r="A492" s="961" t="s">
        <v>1386</v>
      </c>
      <c r="B492" s="961" t="s">
        <v>163</v>
      </c>
      <c r="C492" s="44" t="s">
        <v>178</v>
      </c>
      <c r="D492" s="1356"/>
      <c r="E492" s="125"/>
      <c r="F492" s="125"/>
      <c r="G492" s="125"/>
      <c r="H492" s="221" t="s">
        <v>179</v>
      </c>
      <c r="I492" s="141">
        <f>42000</f>
        <v>42000</v>
      </c>
      <c r="J492" s="141">
        <v>50000</v>
      </c>
      <c r="K492" s="141">
        <v>14000</v>
      </c>
      <c r="L492" s="141">
        <f t="shared" si="11"/>
        <v>36000</v>
      </c>
      <c r="M492" s="141">
        <v>50000</v>
      </c>
      <c r="N492" s="141">
        <v>21000</v>
      </c>
      <c r="O492" s="141"/>
      <c r="P492" s="141">
        <v>50000</v>
      </c>
      <c r="Q492" s="141">
        <v>50000</v>
      </c>
      <c r="R492" s="122">
        <v>50000</v>
      </c>
      <c r="S492" s="239"/>
      <c r="T492" s="1475"/>
      <c r="U492" s="1380"/>
      <c r="V492" s="1380"/>
      <c r="W492" s="1380"/>
      <c r="X492" s="1380"/>
      <c r="Y492" s="1380"/>
      <c r="Z492" s="1380"/>
    </row>
    <row r="493" spans="1:26" s="7" customFormat="1" ht="18" customHeight="1" x14ac:dyDescent="0.25">
      <c r="A493" s="1439" t="s">
        <v>1386</v>
      </c>
      <c r="B493" s="1439" t="s">
        <v>163</v>
      </c>
      <c r="C493" s="44" t="s">
        <v>178</v>
      </c>
      <c r="D493" s="1356"/>
      <c r="E493" s="125"/>
      <c r="F493" s="125"/>
      <c r="G493" s="125"/>
      <c r="H493" s="221" t="s">
        <v>179</v>
      </c>
      <c r="I493" s="141">
        <f>26388+42000</f>
        <v>68388</v>
      </c>
      <c r="J493" s="141">
        <v>100800</v>
      </c>
      <c r="K493" s="141">
        <v>27194</v>
      </c>
      <c r="L493" s="141">
        <f t="shared" si="11"/>
        <v>73606</v>
      </c>
      <c r="M493" s="141">
        <v>100800</v>
      </c>
      <c r="N493" s="141">
        <v>38592</v>
      </c>
      <c r="O493" s="141"/>
      <c r="P493" s="141">
        <v>71988</v>
      </c>
      <c r="Q493" s="141">
        <v>71988</v>
      </c>
      <c r="R493" s="122">
        <v>71988</v>
      </c>
      <c r="S493" s="239"/>
      <c r="T493" s="1475"/>
      <c r="U493" s="1380"/>
      <c r="V493" s="1380"/>
      <c r="W493" s="1380"/>
      <c r="X493" s="1380"/>
      <c r="Y493" s="1380"/>
      <c r="Z493" s="1380"/>
    </row>
    <row r="494" spans="1:26" s="7" customFormat="1" ht="18" customHeight="1" x14ac:dyDescent="0.25">
      <c r="A494" s="1439" t="s">
        <v>1386</v>
      </c>
      <c r="B494" s="1439" t="s">
        <v>163</v>
      </c>
      <c r="C494" s="44" t="s">
        <v>178</v>
      </c>
      <c r="D494" s="1356"/>
      <c r="E494" s="125"/>
      <c r="F494" s="125"/>
      <c r="G494" s="125"/>
      <c r="H494" s="221" t="s">
        <v>179</v>
      </c>
      <c r="I494" s="141">
        <f>1622.5+42000</f>
        <v>43622.5</v>
      </c>
      <c r="J494" s="141">
        <v>49200</v>
      </c>
      <c r="K494" s="141">
        <v>17337.740000000002</v>
      </c>
      <c r="L494" s="141">
        <f t="shared" si="11"/>
        <v>31862.26</v>
      </c>
      <c r="M494" s="141">
        <v>49200</v>
      </c>
      <c r="N494" s="141">
        <v>18291.38</v>
      </c>
      <c r="O494" s="141"/>
      <c r="P494" s="141">
        <f>60000+42000</f>
        <v>102000</v>
      </c>
      <c r="Q494" s="141">
        <f>60000+42000</f>
        <v>102000</v>
      </c>
      <c r="R494" s="122">
        <f>60000+42000</f>
        <v>102000</v>
      </c>
      <c r="S494" s="239"/>
      <c r="T494" s="1475"/>
      <c r="U494" s="1380"/>
      <c r="V494" s="1380"/>
      <c r="W494" s="1380"/>
      <c r="X494" s="1380"/>
      <c r="Y494" s="1380"/>
      <c r="Z494" s="1380"/>
    </row>
    <row r="495" spans="1:26" s="7" customFormat="1" ht="18" customHeight="1" x14ac:dyDescent="0.25">
      <c r="A495" s="1439" t="s">
        <v>1386</v>
      </c>
      <c r="B495" s="1439" t="s">
        <v>163</v>
      </c>
      <c r="C495" s="44" t="s">
        <v>178</v>
      </c>
      <c r="D495" s="1356"/>
      <c r="E495" s="125"/>
      <c r="F495" s="125"/>
      <c r="G495" s="125"/>
      <c r="H495" s="221" t="s">
        <v>179</v>
      </c>
      <c r="I495" s="141">
        <v>42000</v>
      </c>
      <c r="J495" s="141">
        <v>42000</v>
      </c>
      <c r="K495" s="141">
        <v>16199</v>
      </c>
      <c r="L495" s="141">
        <f t="shared" si="11"/>
        <v>25801</v>
      </c>
      <c r="M495" s="141">
        <v>42000</v>
      </c>
      <c r="N495" s="141">
        <v>23199</v>
      </c>
      <c r="O495" s="141"/>
      <c r="P495" s="141">
        <v>42000</v>
      </c>
      <c r="Q495" s="141">
        <v>42000</v>
      </c>
      <c r="R495" s="122">
        <v>42000</v>
      </c>
      <c r="S495" s="239">
        <f>SUM(R476:R495)</f>
        <v>2088188</v>
      </c>
      <c r="T495" s="1475"/>
      <c r="U495" s="1380"/>
      <c r="V495" s="1380"/>
      <c r="W495" s="1380"/>
      <c r="X495" s="1380"/>
      <c r="Y495" s="1380"/>
      <c r="Z495" s="1380"/>
    </row>
    <row r="496" spans="1:26" s="7" customFormat="1" ht="18" customHeight="1" x14ac:dyDescent="0.25">
      <c r="A496" s="961" t="s">
        <v>1386</v>
      </c>
      <c r="B496" s="961" t="s">
        <v>163</v>
      </c>
      <c r="C496" s="44" t="s">
        <v>166</v>
      </c>
      <c r="D496" s="1355"/>
      <c r="E496" s="113"/>
      <c r="F496" s="113"/>
      <c r="G496" s="113"/>
      <c r="H496" s="381" t="s">
        <v>167</v>
      </c>
      <c r="I496" s="141">
        <v>16840.900000000001</v>
      </c>
      <c r="J496" s="141">
        <v>300000</v>
      </c>
      <c r="K496" s="141">
        <v>74800</v>
      </c>
      <c r="L496" s="141">
        <f t="shared" si="11"/>
        <v>1225200</v>
      </c>
      <c r="M496" s="141">
        <v>1300000</v>
      </c>
      <c r="N496" s="141">
        <v>237800</v>
      </c>
      <c r="O496" s="141"/>
      <c r="P496" s="141">
        <v>1000000</v>
      </c>
      <c r="Q496" s="141">
        <v>1000000</v>
      </c>
      <c r="R496" s="122">
        <f>1000000+120000</f>
        <v>1120000</v>
      </c>
      <c r="S496" s="239"/>
      <c r="T496" s="1475"/>
      <c r="U496" s="1380"/>
      <c r="V496" s="1380"/>
      <c r="W496" s="1380"/>
      <c r="X496" s="1380"/>
      <c r="Y496" s="1380"/>
      <c r="Z496" s="1380"/>
    </row>
    <row r="497" spans="1:26" s="7" customFormat="1" ht="18" customHeight="1" x14ac:dyDescent="0.25">
      <c r="A497" s="1440" t="s">
        <v>1386</v>
      </c>
      <c r="B497" s="1440" t="s">
        <v>163</v>
      </c>
      <c r="C497" s="1356" t="s">
        <v>166</v>
      </c>
      <c r="D497" s="1356"/>
      <c r="E497" s="1356"/>
      <c r="F497" s="1356"/>
      <c r="G497" s="1356"/>
      <c r="H497" s="125"/>
      <c r="I497" s="141">
        <v>0</v>
      </c>
      <c r="J497" s="141"/>
      <c r="K497" s="141"/>
      <c r="L497" s="141"/>
      <c r="M497" s="141">
        <v>0</v>
      </c>
      <c r="N497" s="141">
        <v>0</v>
      </c>
      <c r="O497" s="141"/>
      <c r="P497" s="141"/>
      <c r="Q497" s="141"/>
      <c r="R497" s="122">
        <v>50000</v>
      </c>
      <c r="S497" s="239"/>
      <c r="T497" s="1475"/>
      <c r="U497" s="1380"/>
      <c r="V497" s="1380"/>
      <c r="W497" s="1380"/>
      <c r="X497" s="1380"/>
      <c r="Y497" s="1380"/>
      <c r="Z497" s="1380"/>
    </row>
    <row r="498" spans="1:26" s="7" customFormat="1" ht="18" customHeight="1" x14ac:dyDescent="0.25">
      <c r="A498" s="961" t="s">
        <v>1386</v>
      </c>
      <c r="B498" s="961" t="s">
        <v>163</v>
      </c>
      <c r="C498" s="44" t="s">
        <v>166</v>
      </c>
      <c r="D498" s="1355"/>
      <c r="E498" s="113"/>
      <c r="F498" s="113"/>
      <c r="G498" s="113"/>
      <c r="H498" s="381"/>
      <c r="I498" s="141">
        <v>0</v>
      </c>
      <c r="J498" s="141">
        <v>0</v>
      </c>
      <c r="K498" s="141">
        <v>0</v>
      </c>
      <c r="L498" s="141">
        <v>0</v>
      </c>
      <c r="M498" s="141">
        <v>0</v>
      </c>
      <c r="N498" s="141">
        <v>0</v>
      </c>
      <c r="O498" s="141"/>
      <c r="P498" s="141"/>
      <c r="Q498" s="141"/>
      <c r="R498" s="122">
        <v>50000</v>
      </c>
      <c r="S498" s="239"/>
      <c r="T498" s="1475"/>
      <c r="U498" s="1380"/>
      <c r="V498" s="1380"/>
      <c r="W498" s="1380"/>
      <c r="X498" s="1380"/>
      <c r="Y498" s="1380"/>
      <c r="Z498" s="1380"/>
    </row>
    <row r="499" spans="1:26" s="7" customFormat="1" ht="18" customHeight="1" x14ac:dyDescent="0.25">
      <c r="A499" s="961" t="s">
        <v>1386</v>
      </c>
      <c r="B499" s="961" t="s">
        <v>163</v>
      </c>
      <c r="C499" s="44" t="s">
        <v>166</v>
      </c>
      <c r="D499" s="1355"/>
      <c r="E499" s="113"/>
      <c r="F499" s="113"/>
      <c r="G499" s="113"/>
      <c r="H499" s="381"/>
      <c r="I499" s="141">
        <v>0</v>
      </c>
      <c r="J499" s="141">
        <v>0</v>
      </c>
      <c r="K499" s="141">
        <v>0</v>
      </c>
      <c r="L499" s="141">
        <v>0</v>
      </c>
      <c r="M499" s="141">
        <v>0</v>
      </c>
      <c r="N499" s="141">
        <v>0</v>
      </c>
      <c r="O499" s="141"/>
      <c r="P499" s="141"/>
      <c r="Q499" s="141"/>
      <c r="R499" s="122">
        <v>50000</v>
      </c>
      <c r="S499" s="239"/>
      <c r="T499" s="1475"/>
      <c r="U499" s="1380"/>
      <c r="V499" s="1380"/>
      <c r="W499" s="1380"/>
      <c r="X499" s="1380"/>
      <c r="Y499" s="1380"/>
      <c r="Z499" s="1380"/>
    </row>
    <row r="500" spans="1:26" s="7" customFormat="1" ht="18" customHeight="1" x14ac:dyDescent="0.25">
      <c r="A500" s="961" t="s">
        <v>1386</v>
      </c>
      <c r="B500" s="961" t="s">
        <v>163</v>
      </c>
      <c r="C500" s="44" t="s">
        <v>312</v>
      </c>
      <c r="D500" s="1355"/>
      <c r="E500" s="113"/>
      <c r="F500" s="113"/>
      <c r="G500" s="113"/>
      <c r="H500" s="221"/>
      <c r="I500" s="141">
        <v>0</v>
      </c>
      <c r="J500" s="141">
        <v>0</v>
      </c>
      <c r="K500" s="141">
        <v>0</v>
      </c>
      <c r="L500" s="141">
        <v>0</v>
      </c>
      <c r="M500" s="141">
        <v>0</v>
      </c>
      <c r="N500" s="141">
        <v>0</v>
      </c>
      <c r="O500" s="141"/>
      <c r="P500" s="141"/>
      <c r="Q500" s="141"/>
      <c r="R500" s="122">
        <v>50000</v>
      </c>
      <c r="S500" s="239"/>
      <c r="T500" s="1475"/>
      <c r="U500" s="1380"/>
      <c r="V500" s="1380"/>
      <c r="W500" s="1380"/>
      <c r="X500" s="1380"/>
      <c r="Y500" s="1380"/>
      <c r="Z500" s="1380"/>
    </row>
    <row r="501" spans="1:26" s="7" customFormat="1" ht="18" customHeight="1" x14ac:dyDescent="0.25">
      <c r="A501" s="961" t="s">
        <v>1386</v>
      </c>
      <c r="B501" s="961" t="s">
        <v>163</v>
      </c>
      <c r="C501" s="44" t="s">
        <v>166</v>
      </c>
      <c r="D501" s="1355"/>
      <c r="E501" s="113"/>
      <c r="F501" s="113"/>
      <c r="G501" s="113"/>
      <c r="H501" s="221"/>
      <c r="I501" s="141"/>
      <c r="J501" s="141"/>
      <c r="K501" s="141"/>
      <c r="L501" s="141"/>
      <c r="M501" s="141"/>
      <c r="N501" s="141"/>
      <c r="O501" s="141"/>
      <c r="P501" s="141"/>
      <c r="Q501" s="141"/>
      <c r="R501" s="122">
        <v>50000</v>
      </c>
      <c r="S501" s="239"/>
      <c r="T501" s="1475"/>
      <c r="U501" s="1380"/>
      <c r="V501" s="1380"/>
      <c r="W501" s="1380"/>
      <c r="X501" s="1380"/>
      <c r="Y501" s="1380"/>
      <c r="Z501" s="1380"/>
    </row>
    <row r="502" spans="1:26" s="7" customFormat="1" ht="18" customHeight="1" x14ac:dyDescent="0.25">
      <c r="A502" s="961" t="s">
        <v>1386</v>
      </c>
      <c r="B502" s="961" t="s">
        <v>163</v>
      </c>
      <c r="C502" s="206" t="s">
        <v>166</v>
      </c>
      <c r="D502" s="1355"/>
      <c r="E502" s="184"/>
      <c r="F502" s="184"/>
      <c r="G502" s="184"/>
      <c r="H502" s="221" t="s">
        <v>293</v>
      </c>
      <c r="I502" s="141">
        <v>9000</v>
      </c>
      <c r="J502" s="141">
        <v>750000</v>
      </c>
      <c r="K502" s="141"/>
      <c r="L502" s="141">
        <f>M502-K502</f>
        <v>750000</v>
      </c>
      <c r="M502" s="141">
        <v>750000</v>
      </c>
      <c r="N502" s="141"/>
      <c r="O502" s="141"/>
      <c r="P502" s="141">
        <v>750000</v>
      </c>
      <c r="Q502" s="141">
        <v>750000</v>
      </c>
      <c r="R502" s="122">
        <v>500000</v>
      </c>
      <c r="S502" s="239"/>
      <c r="T502" s="1475"/>
      <c r="U502" s="1380"/>
      <c r="V502" s="1380"/>
      <c r="W502" s="1380"/>
      <c r="X502" s="1380"/>
      <c r="Y502" s="1380"/>
      <c r="Z502" s="1380"/>
    </row>
    <row r="503" spans="1:26" s="7" customFormat="1" ht="18" customHeight="1" x14ac:dyDescent="0.25">
      <c r="A503" s="573" t="s">
        <v>1386</v>
      </c>
      <c r="B503" s="573" t="s">
        <v>163</v>
      </c>
      <c r="C503" s="206" t="s">
        <v>166</v>
      </c>
      <c r="D503" s="1355"/>
      <c r="E503" s="184"/>
      <c r="F503" s="184"/>
      <c r="G503" s="184"/>
      <c r="H503" s="221" t="s">
        <v>293</v>
      </c>
      <c r="I503" s="141">
        <v>0</v>
      </c>
      <c r="J503" s="141">
        <v>1000000</v>
      </c>
      <c r="K503" s="141">
        <v>159800</v>
      </c>
      <c r="L503" s="141">
        <f>M503-K503</f>
        <v>840200</v>
      </c>
      <c r="M503" s="141">
        <v>1000000</v>
      </c>
      <c r="N503" s="141">
        <v>237600</v>
      </c>
      <c r="O503" s="141"/>
      <c r="P503" s="141">
        <v>1000000</v>
      </c>
      <c r="Q503" s="141">
        <v>1000000</v>
      </c>
      <c r="R503" s="122">
        <v>1000000</v>
      </c>
      <c r="S503" s="239"/>
      <c r="T503" s="1475"/>
      <c r="U503" s="1380"/>
      <c r="V503" s="1380"/>
      <c r="W503" s="1380"/>
      <c r="X503" s="1380"/>
      <c r="Y503" s="1380"/>
      <c r="Z503" s="1380"/>
    </row>
    <row r="504" spans="1:26" s="7" customFormat="1" ht="18" customHeight="1" x14ac:dyDescent="0.25">
      <c r="A504" s="573" t="s">
        <v>1386</v>
      </c>
      <c r="B504" s="573" t="s">
        <v>163</v>
      </c>
      <c r="C504" s="206" t="s">
        <v>312</v>
      </c>
      <c r="D504" s="1355"/>
      <c r="E504" s="184"/>
      <c r="F504" s="184"/>
      <c r="G504" s="184"/>
      <c r="H504" s="221" t="s">
        <v>293</v>
      </c>
      <c r="I504" s="141">
        <v>0</v>
      </c>
      <c r="J504" s="141">
        <v>200000</v>
      </c>
      <c r="K504" s="141"/>
      <c r="L504" s="141">
        <f>M504-K504</f>
        <v>200000</v>
      </c>
      <c r="M504" s="141">
        <v>200000</v>
      </c>
      <c r="N504" s="141"/>
      <c r="O504" s="141"/>
      <c r="P504" s="141">
        <v>200000</v>
      </c>
      <c r="Q504" s="141">
        <v>200000</v>
      </c>
      <c r="R504" s="122">
        <v>200000</v>
      </c>
      <c r="S504" s="239"/>
      <c r="T504" s="1475"/>
      <c r="U504" s="1380"/>
      <c r="V504" s="1380"/>
      <c r="W504" s="1380"/>
      <c r="X504" s="1380"/>
      <c r="Y504" s="1380"/>
      <c r="Z504" s="1380"/>
    </row>
    <row r="505" spans="1:26" s="7" customFormat="1" ht="18" customHeight="1" x14ac:dyDescent="0.25">
      <c r="A505" s="573" t="s">
        <v>1386</v>
      </c>
      <c r="B505" s="573" t="s">
        <v>163</v>
      </c>
      <c r="C505" s="1356" t="s">
        <v>166</v>
      </c>
      <c r="D505" s="1358"/>
      <c r="E505" s="1358"/>
      <c r="F505" s="1358"/>
      <c r="G505" s="1358"/>
      <c r="H505" s="125"/>
      <c r="I505" s="141"/>
      <c r="J505" s="141"/>
      <c r="K505" s="141"/>
      <c r="L505" s="141"/>
      <c r="M505" s="141"/>
      <c r="N505" s="141"/>
      <c r="O505" s="141"/>
      <c r="P505" s="141"/>
      <c r="Q505" s="141"/>
      <c r="R505" s="122">
        <v>50000</v>
      </c>
      <c r="S505" s="239"/>
      <c r="T505" s="1475"/>
      <c r="U505" s="1380"/>
      <c r="V505" s="1380"/>
      <c r="W505" s="1380"/>
      <c r="X505" s="1380"/>
      <c r="Y505" s="1380"/>
      <c r="Z505" s="1380"/>
    </row>
    <row r="506" spans="1:26" s="7" customFormat="1" ht="18" customHeight="1" x14ac:dyDescent="0.25">
      <c r="A506" s="573" t="s">
        <v>1386</v>
      </c>
      <c r="B506" s="573" t="s">
        <v>163</v>
      </c>
      <c r="C506" s="206" t="s">
        <v>166</v>
      </c>
      <c r="D506" s="1355"/>
      <c r="E506" s="125"/>
      <c r="F506" s="199"/>
      <c r="G506" s="1355"/>
      <c r="H506" s="381"/>
      <c r="I506" s="141"/>
      <c r="J506" s="141"/>
      <c r="K506" s="141"/>
      <c r="L506" s="141"/>
      <c r="M506" s="141"/>
      <c r="N506" s="141"/>
      <c r="O506" s="141"/>
      <c r="P506" s="141">
        <v>600000</v>
      </c>
      <c r="Q506" s="141">
        <v>600000</v>
      </c>
      <c r="R506" s="122">
        <v>600000</v>
      </c>
      <c r="S506" s="239"/>
      <c r="T506" s="1475"/>
      <c r="U506" s="1380"/>
      <c r="V506" s="1380"/>
      <c r="W506" s="1380"/>
      <c r="X506" s="1380"/>
      <c r="Y506" s="1380"/>
      <c r="Z506" s="1380"/>
    </row>
    <row r="507" spans="1:26" s="7" customFormat="1" ht="18" customHeight="1" x14ac:dyDescent="0.25">
      <c r="A507" s="573" t="s">
        <v>1386</v>
      </c>
      <c r="B507" s="573" t="s">
        <v>163</v>
      </c>
      <c r="C507" s="44" t="s">
        <v>166</v>
      </c>
      <c r="D507" s="1355"/>
      <c r="E507" s="113"/>
      <c r="F507" s="113"/>
      <c r="G507" s="113"/>
      <c r="H507" s="381"/>
      <c r="I507" s="141">
        <v>0</v>
      </c>
      <c r="J507" s="141">
        <v>0</v>
      </c>
      <c r="K507" s="141">
        <v>0</v>
      </c>
      <c r="L507" s="141">
        <v>0</v>
      </c>
      <c r="M507" s="141">
        <v>0</v>
      </c>
      <c r="N507" s="141">
        <v>0</v>
      </c>
      <c r="O507" s="141"/>
      <c r="P507" s="141"/>
      <c r="Q507" s="141"/>
      <c r="R507" s="122">
        <v>50000</v>
      </c>
      <c r="S507" s="239"/>
      <c r="T507" s="1475"/>
      <c r="U507" s="1380"/>
      <c r="V507" s="1380"/>
      <c r="W507" s="1380"/>
      <c r="X507" s="1380"/>
      <c r="Y507" s="1380"/>
      <c r="Z507" s="1380"/>
    </row>
    <row r="508" spans="1:26" s="7" customFormat="1" ht="18" customHeight="1" x14ac:dyDescent="0.25">
      <c r="A508" s="961" t="s">
        <v>1386</v>
      </c>
      <c r="B508" s="961" t="s">
        <v>163</v>
      </c>
      <c r="C508" s="44" t="s">
        <v>166</v>
      </c>
      <c r="D508" s="1355"/>
      <c r="E508" s="113"/>
      <c r="F508" s="113"/>
      <c r="G508" s="113"/>
      <c r="H508" s="381"/>
      <c r="I508" s="141"/>
      <c r="J508" s="141"/>
      <c r="K508" s="141"/>
      <c r="L508" s="141"/>
      <c r="M508" s="141"/>
      <c r="N508" s="141"/>
      <c r="O508" s="141"/>
      <c r="P508" s="141">
        <v>70000</v>
      </c>
      <c r="Q508" s="141">
        <v>70000</v>
      </c>
      <c r="R508" s="122">
        <v>70000</v>
      </c>
      <c r="S508" s="239"/>
      <c r="T508" s="1475"/>
      <c r="U508" s="1380"/>
      <c r="V508" s="1380"/>
      <c r="W508" s="1380"/>
      <c r="X508" s="1380"/>
      <c r="Y508" s="1380"/>
      <c r="Z508" s="1380"/>
    </row>
    <row r="509" spans="1:26" ht="18" customHeight="1" x14ac:dyDescent="0.25">
      <c r="A509" s="445" t="s">
        <v>1386</v>
      </c>
      <c r="B509" s="445" t="s">
        <v>163</v>
      </c>
      <c r="C509" s="44" t="s">
        <v>166</v>
      </c>
      <c r="D509" s="1355"/>
      <c r="E509" s="113"/>
      <c r="F509" s="113"/>
      <c r="G509" s="113"/>
      <c r="H509" s="221"/>
      <c r="I509" s="141"/>
      <c r="J509" s="141"/>
      <c r="K509" s="141"/>
      <c r="L509" s="141"/>
      <c r="M509" s="141"/>
      <c r="N509" s="141"/>
      <c r="O509" s="141"/>
      <c r="P509" s="141"/>
      <c r="Q509" s="141"/>
      <c r="R509" s="122">
        <v>50000</v>
      </c>
    </row>
    <row r="510" spans="1:26" ht="18" customHeight="1" x14ac:dyDescent="0.25">
      <c r="A510" s="961" t="s">
        <v>1386</v>
      </c>
      <c r="B510" s="961" t="s">
        <v>163</v>
      </c>
      <c r="C510" s="44" t="s">
        <v>166</v>
      </c>
      <c r="D510" s="1356"/>
      <c r="E510" s="125"/>
      <c r="F510" s="125"/>
      <c r="G510" s="125"/>
      <c r="H510" s="221"/>
      <c r="I510" s="141"/>
      <c r="J510" s="141"/>
      <c r="K510" s="141"/>
      <c r="L510" s="141"/>
      <c r="M510" s="141"/>
      <c r="N510" s="141"/>
      <c r="O510" s="141"/>
      <c r="P510" s="141"/>
      <c r="Q510" s="141"/>
      <c r="R510" s="122">
        <v>50000</v>
      </c>
    </row>
    <row r="511" spans="1:26" ht="18" customHeight="1" x14ac:dyDescent="0.25">
      <c r="A511" s="1439" t="s">
        <v>1386</v>
      </c>
      <c r="B511" s="1439" t="s">
        <v>163</v>
      </c>
      <c r="C511" s="44" t="s">
        <v>166</v>
      </c>
      <c r="D511" s="1356"/>
      <c r="E511" s="125"/>
      <c r="F511" s="125"/>
      <c r="G511" s="125"/>
      <c r="H511" s="221"/>
      <c r="I511" s="141"/>
      <c r="J511" s="141"/>
      <c r="K511" s="141"/>
      <c r="L511" s="141"/>
      <c r="M511" s="141"/>
      <c r="N511" s="141"/>
      <c r="O511" s="141"/>
      <c r="P511" s="141"/>
      <c r="Q511" s="141"/>
      <c r="R511" s="122">
        <v>50000</v>
      </c>
      <c r="S511" s="1450"/>
    </row>
    <row r="512" spans="1:26" s="7" customFormat="1" ht="18" customHeight="1" x14ac:dyDescent="0.25">
      <c r="A512" s="1439" t="s">
        <v>1386</v>
      </c>
      <c r="B512" s="1439" t="s">
        <v>163</v>
      </c>
      <c r="C512" s="44" t="s">
        <v>166</v>
      </c>
      <c r="D512" s="1356"/>
      <c r="E512" s="125"/>
      <c r="F512" s="125"/>
      <c r="G512" s="125"/>
      <c r="H512" s="221"/>
      <c r="I512" s="141"/>
      <c r="J512" s="141"/>
      <c r="K512" s="141"/>
      <c r="L512" s="141"/>
      <c r="M512" s="141"/>
      <c r="N512" s="141"/>
      <c r="O512" s="141"/>
      <c r="P512" s="141"/>
      <c r="Q512" s="141"/>
      <c r="R512" s="122">
        <v>50000</v>
      </c>
      <c r="S512" s="1460"/>
      <c r="T512" s="1475"/>
      <c r="U512" s="146"/>
      <c r="V512" s="1380"/>
      <c r="W512" s="1380"/>
      <c r="X512" s="1380"/>
      <c r="Y512" s="1380"/>
      <c r="Z512" s="1380"/>
    </row>
    <row r="513" spans="1:26" s="7" customFormat="1" ht="18" customHeight="1" x14ac:dyDescent="0.25">
      <c r="A513" s="1439" t="s">
        <v>1386</v>
      </c>
      <c r="B513" s="1439" t="s">
        <v>163</v>
      </c>
      <c r="C513" s="44" t="s">
        <v>312</v>
      </c>
      <c r="D513" s="1356"/>
      <c r="E513" s="125"/>
      <c r="F513" s="125"/>
      <c r="G513" s="125"/>
      <c r="H513" s="221"/>
      <c r="I513" s="141"/>
      <c r="J513" s="141"/>
      <c r="K513" s="141"/>
      <c r="L513" s="141"/>
      <c r="M513" s="141"/>
      <c r="N513" s="141"/>
      <c r="O513" s="141"/>
      <c r="P513" s="141"/>
      <c r="Q513" s="141"/>
      <c r="R513" s="122">
        <v>15000</v>
      </c>
      <c r="S513" s="1451">
        <f>SUM(R496:R513)</f>
        <v>4055000</v>
      </c>
      <c r="T513" s="1475"/>
      <c r="U513" s="146"/>
      <c r="V513" s="1380"/>
      <c r="W513" s="1380"/>
      <c r="X513" s="1380"/>
      <c r="Y513" s="1380"/>
      <c r="Z513" s="1380"/>
    </row>
    <row r="514" spans="1:26" s="142" customFormat="1" ht="18" customHeight="1" x14ac:dyDescent="0.3">
      <c r="A514" s="961" t="s">
        <v>1386</v>
      </c>
      <c r="B514" s="961" t="s">
        <v>163</v>
      </c>
      <c r="C514" s="44" t="s">
        <v>353</v>
      </c>
      <c r="D514" s="1355"/>
      <c r="E514" s="113"/>
      <c r="F514" s="113"/>
      <c r="G514" s="113"/>
      <c r="H514" s="381" t="s">
        <v>165</v>
      </c>
      <c r="I514" s="141">
        <v>104905</v>
      </c>
      <c r="J514" s="141">
        <v>700000</v>
      </c>
      <c r="K514" s="141">
        <v>464686</v>
      </c>
      <c r="L514" s="141">
        <f>M514-K514</f>
        <v>1235314</v>
      </c>
      <c r="M514" s="141">
        <v>1700000</v>
      </c>
      <c r="N514" s="141">
        <v>913398</v>
      </c>
      <c r="O514" s="141"/>
      <c r="P514" s="141">
        <v>1000000</v>
      </c>
      <c r="Q514" s="141">
        <v>1000000</v>
      </c>
      <c r="R514" s="122">
        <f>1000000+120000</f>
        <v>1120000</v>
      </c>
      <c r="S514" s="1456"/>
      <c r="T514" s="1482"/>
      <c r="U514" s="1461"/>
      <c r="V514" s="1461"/>
      <c r="W514" s="1461"/>
      <c r="X514" s="1461"/>
      <c r="Y514" s="1461"/>
      <c r="Z514" s="1461"/>
    </row>
    <row r="515" spans="1:26" s="48" customFormat="1" ht="18" customHeight="1" x14ac:dyDescent="0.25">
      <c r="A515" s="1440" t="s">
        <v>1386</v>
      </c>
      <c r="B515" s="1440" t="s">
        <v>163</v>
      </c>
      <c r="C515" s="1356" t="s">
        <v>353</v>
      </c>
      <c r="D515" s="1356"/>
      <c r="E515" s="1356"/>
      <c r="F515" s="1356"/>
      <c r="G515" s="1356"/>
      <c r="H515" s="125"/>
      <c r="I515" s="141">
        <v>0</v>
      </c>
      <c r="J515" s="141"/>
      <c r="K515" s="141"/>
      <c r="L515" s="141"/>
      <c r="M515" s="141">
        <v>0</v>
      </c>
      <c r="N515" s="141">
        <v>0</v>
      </c>
      <c r="O515" s="141"/>
      <c r="P515" s="141"/>
      <c r="Q515" s="141"/>
      <c r="R515" s="122">
        <v>50000</v>
      </c>
      <c r="S515" s="239"/>
      <c r="T515" s="1477"/>
      <c r="U515" s="169"/>
      <c r="V515" s="169"/>
      <c r="W515" s="169"/>
      <c r="X515" s="169"/>
      <c r="Y515" s="169"/>
      <c r="Z515" s="169"/>
    </row>
    <row r="516" spans="1:26" s="48" customFormat="1" ht="21.75" customHeight="1" x14ac:dyDescent="0.25">
      <c r="A516" s="961" t="s">
        <v>1386</v>
      </c>
      <c r="B516" s="961" t="s">
        <v>163</v>
      </c>
      <c r="C516" s="44" t="s">
        <v>353</v>
      </c>
      <c r="D516" s="1355"/>
      <c r="E516" s="113"/>
      <c r="F516" s="113"/>
      <c r="G516" s="113"/>
      <c r="H516" s="381" t="s">
        <v>165</v>
      </c>
      <c r="I516" s="141">
        <v>0</v>
      </c>
      <c r="J516" s="141">
        <v>15000</v>
      </c>
      <c r="K516" s="141"/>
      <c r="L516" s="141">
        <f t="shared" ref="L516:L522" si="12">M516-K516</f>
        <v>15000</v>
      </c>
      <c r="M516" s="141">
        <v>15000</v>
      </c>
      <c r="N516" s="141">
        <v>0</v>
      </c>
      <c r="O516" s="141"/>
      <c r="P516" s="141">
        <v>30000</v>
      </c>
      <c r="Q516" s="141">
        <v>30000</v>
      </c>
      <c r="R516" s="122">
        <v>20000</v>
      </c>
      <c r="S516" s="1701"/>
      <c r="T516" s="1477"/>
      <c r="U516" s="169"/>
      <c r="V516" s="169"/>
      <c r="W516" s="169"/>
      <c r="X516" s="169"/>
      <c r="Y516" s="169"/>
      <c r="Z516" s="169"/>
    </row>
    <row r="517" spans="1:26" s="1153" customFormat="1" ht="31.5" customHeight="1" x14ac:dyDescent="0.25">
      <c r="A517" s="961" t="s">
        <v>1386</v>
      </c>
      <c r="B517" s="961" t="s">
        <v>163</v>
      </c>
      <c r="C517" s="44" t="s">
        <v>353</v>
      </c>
      <c r="D517" s="1355"/>
      <c r="E517" s="113"/>
      <c r="F517" s="113"/>
      <c r="G517" s="113"/>
      <c r="H517" s="381" t="s">
        <v>165</v>
      </c>
      <c r="I517" s="141">
        <v>0</v>
      </c>
      <c r="J517" s="141">
        <v>15000</v>
      </c>
      <c r="K517" s="141"/>
      <c r="L517" s="141">
        <f t="shared" si="12"/>
        <v>15000</v>
      </c>
      <c r="M517" s="141">
        <v>15000</v>
      </c>
      <c r="N517" s="141">
        <v>0</v>
      </c>
      <c r="O517" s="141"/>
      <c r="P517" s="141">
        <v>25000</v>
      </c>
      <c r="Q517" s="141">
        <v>25000</v>
      </c>
      <c r="R517" s="122">
        <v>25000</v>
      </c>
      <c r="S517" s="1701"/>
      <c r="T517" s="1483"/>
      <c r="U517" s="1256"/>
      <c r="V517" s="1256"/>
      <c r="W517" s="1256"/>
      <c r="X517" s="1256"/>
      <c r="Y517" s="1256"/>
      <c r="Z517" s="1256"/>
    </row>
    <row r="518" spans="1:26" s="48" customFormat="1" ht="18" customHeight="1" x14ac:dyDescent="0.25">
      <c r="A518" s="961" t="s">
        <v>1386</v>
      </c>
      <c r="B518" s="961" t="s">
        <v>163</v>
      </c>
      <c r="C518" s="44" t="s">
        <v>353</v>
      </c>
      <c r="D518" s="1355"/>
      <c r="E518" s="113"/>
      <c r="F518" s="113"/>
      <c r="G518" s="113"/>
      <c r="H518" s="221" t="s">
        <v>165</v>
      </c>
      <c r="I518" s="141">
        <v>0</v>
      </c>
      <c r="J518" s="141">
        <v>20000</v>
      </c>
      <c r="K518" s="141"/>
      <c r="L518" s="141">
        <f t="shared" si="12"/>
        <v>20000</v>
      </c>
      <c r="M518" s="141">
        <v>20000</v>
      </c>
      <c r="N518" s="141">
        <v>0</v>
      </c>
      <c r="O518" s="141"/>
      <c r="P518" s="141">
        <v>40000</v>
      </c>
      <c r="Q518" s="141">
        <v>40000</v>
      </c>
      <c r="R518" s="122">
        <v>40000</v>
      </c>
      <c r="S518" s="239"/>
      <c r="T518" s="1477"/>
      <c r="U518" s="169"/>
      <c r="V518" s="169"/>
      <c r="W518" s="169"/>
      <c r="X518" s="169"/>
      <c r="Y518" s="169"/>
      <c r="Z518" s="169"/>
    </row>
    <row r="519" spans="1:26" s="48" customFormat="1" ht="17.45" customHeight="1" x14ac:dyDescent="0.25">
      <c r="A519" s="961" t="s">
        <v>1386</v>
      </c>
      <c r="B519" s="961" t="s">
        <v>163</v>
      </c>
      <c r="C519" s="44" t="s">
        <v>353</v>
      </c>
      <c r="D519" s="1355"/>
      <c r="E519" s="113"/>
      <c r="F519" s="113"/>
      <c r="G519" s="113"/>
      <c r="H519" s="221" t="s">
        <v>165</v>
      </c>
      <c r="I519" s="141">
        <v>0</v>
      </c>
      <c r="J519" s="141">
        <v>15000</v>
      </c>
      <c r="K519" s="141"/>
      <c r="L519" s="141">
        <f t="shared" si="12"/>
        <v>15000</v>
      </c>
      <c r="M519" s="141">
        <v>15000</v>
      </c>
      <c r="N519" s="141"/>
      <c r="O519" s="141"/>
      <c r="P519" s="141">
        <v>30000</v>
      </c>
      <c r="Q519" s="141">
        <v>30000</v>
      </c>
      <c r="R519" s="122">
        <v>30000</v>
      </c>
      <c r="S519" s="239"/>
      <c r="T519" s="1477"/>
      <c r="U519" s="169"/>
      <c r="V519" s="169"/>
      <c r="W519" s="169"/>
      <c r="X519" s="169"/>
      <c r="Y519" s="169"/>
      <c r="Z519" s="169"/>
    </row>
    <row r="520" spans="1:26" s="48" customFormat="1" ht="17.100000000000001" customHeight="1" x14ac:dyDescent="0.25">
      <c r="A520" s="961" t="s">
        <v>1386</v>
      </c>
      <c r="B520" s="961" t="s">
        <v>163</v>
      </c>
      <c r="C520" s="44" t="s">
        <v>353</v>
      </c>
      <c r="D520" s="1355"/>
      <c r="E520" s="113"/>
      <c r="F520" s="113"/>
      <c r="G520" s="113"/>
      <c r="H520" s="221" t="s">
        <v>292</v>
      </c>
      <c r="I520" s="141">
        <v>0</v>
      </c>
      <c r="J520" s="141">
        <v>350000</v>
      </c>
      <c r="K520" s="141"/>
      <c r="L520" s="141">
        <f t="shared" si="12"/>
        <v>1100000</v>
      </c>
      <c r="M520" s="141">
        <f>350000+750000</f>
        <v>1100000</v>
      </c>
      <c r="N520" s="141"/>
      <c r="O520" s="141"/>
      <c r="P520" s="141">
        <v>350000</v>
      </c>
      <c r="Q520" s="141">
        <v>350000</v>
      </c>
      <c r="R520" s="122">
        <v>350000</v>
      </c>
      <c r="S520" s="239"/>
      <c r="T520" s="1477"/>
      <c r="U520" s="169"/>
      <c r="V520" s="169"/>
      <c r="W520" s="169"/>
      <c r="X520" s="169"/>
      <c r="Y520" s="169"/>
      <c r="Z520" s="169"/>
    </row>
    <row r="521" spans="1:26" s="48" customFormat="1" ht="17.100000000000001" customHeight="1" x14ac:dyDescent="0.25">
      <c r="A521" s="573" t="s">
        <v>1386</v>
      </c>
      <c r="B521" s="573" t="s">
        <v>163</v>
      </c>
      <c r="C521" s="44" t="s">
        <v>353</v>
      </c>
      <c r="D521" s="1355"/>
      <c r="E521" s="113"/>
      <c r="F521" s="113"/>
      <c r="G521" s="113"/>
      <c r="H521" s="221" t="s">
        <v>165</v>
      </c>
      <c r="I521" s="141">
        <v>0</v>
      </c>
      <c r="J521" s="141">
        <v>1200000</v>
      </c>
      <c r="K521" s="141">
        <v>218722</v>
      </c>
      <c r="L521" s="141">
        <f t="shared" si="12"/>
        <v>1981278</v>
      </c>
      <c r="M521" s="141">
        <f>1200000+1000000</f>
        <v>2200000</v>
      </c>
      <c r="N521" s="141">
        <v>237685</v>
      </c>
      <c r="O521" s="141"/>
      <c r="P521" s="141">
        <v>1200000</v>
      </c>
      <c r="Q521" s="141">
        <v>1200000</v>
      </c>
      <c r="R521" s="122">
        <v>1500000</v>
      </c>
      <c r="S521" s="239"/>
      <c r="T521" s="1477"/>
      <c r="U521" s="169"/>
      <c r="V521" s="169"/>
      <c r="W521" s="169"/>
      <c r="X521" s="169"/>
      <c r="Y521" s="169"/>
      <c r="Z521" s="169"/>
    </row>
    <row r="522" spans="1:26" s="48" customFormat="1" ht="17.100000000000001" customHeight="1" x14ac:dyDescent="0.25">
      <c r="A522" s="573" t="s">
        <v>1386</v>
      </c>
      <c r="B522" s="573" t="s">
        <v>163</v>
      </c>
      <c r="C522" s="44" t="s">
        <v>353</v>
      </c>
      <c r="D522" s="1355"/>
      <c r="E522" s="113"/>
      <c r="F522" s="113"/>
      <c r="G522" s="113"/>
      <c r="H522" s="221" t="s">
        <v>165</v>
      </c>
      <c r="I522" s="141">
        <v>0</v>
      </c>
      <c r="J522" s="141">
        <v>300000</v>
      </c>
      <c r="K522" s="141"/>
      <c r="L522" s="141">
        <f t="shared" si="12"/>
        <v>300000</v>
      </c>
      <c r="M522" s="141">
        <v>300000</v>
      </c>
      <c r="N522" s="141"/>
      <c r="O522" s="141"/>
      <c r="P522" s="141">
        <v>300000</v>
      </c>
      <c r="Q522" s="141">
        <v>300000</v>
      </c>
      <c r="R522" s="122">
        <v>300000</v>
      </c>
      <c r="S522" s="239"/>
      <c r="T522" s="1477"/>
      <c r="U522" s="169"/>
      <c r="V522" s="169"/>
      <c r="W522" s="169"/>
      <c r="X522" s="169"/>
      <c r="Y522" s="169"/>
      <c r="Z522" s="169"/>
    </row>
    <row r="523" spans="1:26" s="48" customFormat="1" ht="17.100000000000001" customHeight="1" x14ac:dyDescent="0.25">
      <c r="A523" s="573" t="s">
        <v>1386</v>
      </c>
      <c r="B523" s="573" t="s">
        <v>163</v>
      </c>
      <c r="C523" s="1356" t="s">
        <v>353</v>
      </c>
      <c r="D523" s="1358"/>
      <c r="E523" s="1358"/>
      <c r="F523" s="1358"/>
      <c r="G523" s="1358"/>
      <c r="H523" s="125"/>
      <c r="I523" s="141"/>
      <c r="J523" s="141"/>
      <c r="K523" s="141"/>
      <c r="L523" s="141"/>
      <c r="M523" s="141"/>
      <c r="N523" s="141"/>
      <c r="O523" s="141"/>
      <c r="P523" s="141"/>
      <c r="Q523" s="141"/>
      <c r="R523" s="122">
        <v>50000</v>
      </c>
      <c r="S523" s="239"/>
      <c r="T523" s="1477"/>
      <c r="U523" s="169"/>
      <c r="V523" s="169"/>
      <c r="W523" s="169"/>
      <c r="X523" s="169"/>
      <c r="Y523" s="169"/>
      <c r="Z523" s="169"/>
    </row>
    <row r="524" spans="1:26" s="48" customFormat="1" ht="17.100000000000001" customHeight="1" x14ac:dyDescent="0.25">
      <c r="A524" s="573" t="s">
        <v>1386</v>
      </c>
      <c r="B524" s="573" t="s">
        <v>163</v>
      </c>
      <c r="C524" s="44" t="s">
        <v>353</v>
      </c>
      <c r="D524" s="1355"/>
      <c r="E524" s="113"/>
      <c r="F524" s="113"/>
      <c r="G524" s="113"/>
      <c r="H524" s="381" t="s">
        <v>165</v>
      </c>
      <c r="I524" s="141">
        <v>0</v>
      </c>
      <c r="J524" s="141">
        <v>25000</v>
      </c>
      <c r="K524" s="141">
        <v>16840</v>
      </c>
      <c r="L524" s="141">
        <f t="shared" ref="L524:L532" si="13">M524-K524</f>
        <v>8160</v>
      </c>
      <c r="M524" s="141">
        <v>25000</v>
      </c>
      <c r="N524" s="141">
        <v>16840</v>
      </c>
      <c r="O524" s="141"/>
      <c r="P524" s="141">
        <v>25000</v>
      </c>
      <c r="Q524" s="141">
        <v>25000</v>
      </c>
      <c r="R524" s="122">
        <v>25000</v>
      </c>
      <c r="S524" s="239"/>
      <c r="T524" s="1477"/>
      <c r="U524" s="169"/>
      <c r="V524" s="169"/>
      <c r="W524" s="169"/>
      <c r="X524" s="169"/>
      <c r="Y524" s="169"/>
      <c r="Z524" s="169"/>
    </row>
    <row r="525" spans="1:26" s="48" customFormat="1" ht="17.100000000000001" customHeight="1" x14ac:dyDescent="0.25">
      <c r="A525" s="573" t="s">
        <v>1386</v>
      </c>
      <c r="B525" s="573" t="s">
        <v>163</v>
      </c>
      <c r="C525" s="44" t="s">
        <v>353</v>
      </c>
      <c r="D525" s="1355"/>
      <c r="E525" s="113"/>
      <c r="F525" s="113"/>
      <c r="G525" s="113"/>
      <c r="H525" s="381" t="s">
        <v>165</v>
      </c>
      <c r="I525" s="141">
        <v>1500</v>
      </c>
      <c r="J525" s="141">
        <v>60000</v>
      </c>
      <c r="K525" s="141">
        <v>32168</v>
      </c>
      <c r="L525" s="141">
        <f t="shared" si="13"/>
        <v>27832</v>
      </c>
      <c r="M525" s="141">
        <v>60000</v>
      </c>
      <c r="N525" s="141">
        <v>32168</v>
      </c>
      <c r="O525" s="141"/>
      <c r="P525" s="141">
        <v>96000</v>
      </c>
      <c r="Q525" s="141">
        <v>96000</v>
      </c>
      <c r="R525" s="122">
        <v>96000</v>
      </c>
      <c r="S525" s="239"/>
      <c r="T525" s="1477"/>
      <c r="U525" s="169"/>
      <c r="V525" s="169"/>
      <c r="W525" s="169"/>
      <c r="X525" s="169"/>
      <c r="Y525" s="169"/>
      <c r="Z525" s="169"/>
    </row>
    <row r="526" spans="1:26" s="48" customFormat="1" ht="17.100000000000001" customHeight="1" x14ac:dyDescent="0.25">
      <c r="A526" s="961" t="s">
        <v>1386</v>
      </c>
      <c r="B526" s="961" t="s">
        <v>163</v>
      </c>
      <c r="C526" s="44" t="s">
        <v>353</v>
      </c>
      <c r="D526" s="1355"/>
      <c r="E526" s="113"/>
      <c r="F526" s="113"/>
      <c r="G526" s="113"/>
      <c r="H526" s="381" t="s">
        <v>165</v>
      </c>
      <c r="I526" s="141">
        <v>0</v>
      </c>
      <c r="J526" s="141">
        <v>75000</v>
      </c>
      <c r="K526" s="141">
        <v>63520</v>
      </c>
      <c r="L526" s="141">
        <f t="shared" si="13"/>
        <v>11480</v>
      </c>
      <c r="M526" s="141">
        <v>75000</v>
      </c>
      <c r="N526" s="141">
        <v>62620</v>
      </c>
      <c r="O526" s="141"/>
      <c r="P526" s="141">
        <v>60000</v>
      </c>
      <c r="Q526" s="141">
        <v>60000</v>
      </c>
      <c r="R526" s="122">
        <v>60000</v>
      </c>
      <c r="S526" s="239"/>
      <c r="T526" s="1477"/>
      <c r="U526" s="169"/>
      <c r="V526" s="169"/>
      <c r="W526" s="169"/>
      <c r="X526" s="169"/>
      <c r="Y526" s="169"/>
      <c r="Z526" s="169"/>
    </row>
    <row r="527" spans="1:26" s="48" customFormat="1" ht="17.100000000000001" customHeight="1" x14ac:dyDescent="0.2">
      <c r="A527" s="445" t="s">
        <v>1386</v>
      </c>
      <c r="B527" s="445" t="s">
        <v>163</v>
      </c>
      <c r="C527" s="44" t="s">
        <v>353</v>
      </c>
      <c r="D527" s="1355"/>
      <c r="E527" s="113"/>
      <c r="F527" s="113"/>
      <c r="G527" s="113"/>
      <c r="H527" s="221" t="s">
        <v>165</v>
      </c>
      <c r="I527" s="141">
        <v>12563.95</v>
      </c>
      <c r="J527" s="141">
        <v>126229</v>
      </c>
      <c r="K527" s="141">
        <v>121321</v>
      </c>
      <c r="L527" s="141">
        <f t="shared" si="13"/>
        <v>4908</v>
      </c>
      <c r="M527" s="141">
        <v>126229</v>
      </c>
      <c r="N527" s="141">
        <v>123311</v>
      </c>
      <c r="O527" s="141"/>
      <c r="P527" s="141">
        <v>80000</v>
      </c>
      <c r="Q527" s="141">
        <v>80000</v>
      </c>
      <c r="R527" s="122">
        <v>80000</v>
      </c>
      <c r="S527" s="239"/>
      <c r="T527" s="1477"/>
      <c r="U527" s="169"/>
      <c r="V527" s="169"/>
      <c r="W527" s="169"/>
      <c r="X527" s="169"/>
      <c r="Y527" s="169"/>
      <c r="Z527" s="169"/>
    </row>
    <row r="528" spans="1:26" s="48" customFormat="1" ht="17.100000000000001" customHeight="1" x14ac:dyDescent="0.25">
      <c r="A528" s="961" t="s">
        <v>1386</v>
      </c>
      <c r="B528" s="961" t="s">
        <v>163</v>
      </c>
      <c r="C528" s="44" t="s">
        <v>353</v>
      </c>
      <c r="D528" s="1356"/>
      <c r="E528" s="125"/>
      <c r="F528" s="125"/>
      <c r="G528" s="125"/>
      <c r="H528" s="221" t="s">
        <v>165</v>
      </c>
      <c r="I528" s="141">
        <v>7750</v>
      </c>
      <c r="J528" s="141">
        <v>80000</v>
      </c>
      <c r="K528" s="141">
        <v>30250</v>
      </c>
      <c r="L528" s="141">
        <f t="shared" si="13"/>
        <v>49750</v>
      </c>
      <c r="M528" s="141">
        <v>80000</v>
      </c>
      <c r="N528" s="141">
        <v>37025</v>
      </c>
      <c r="O528" s="141"/>
      <c r="P528" s="141">
        <v>80000</v>
      </c>
      <c r="Q528" s="141">
        <v>80000</v>
      </c>
      <c r="R528" s="122">
        <v>80000</v>
      </c>
      <c r="S528" s="239"/>
      <c r="T528" s="1477"/>
      <c r="U528" s="169"/>
      <c r="V528" s="169"/>
      <c r="W528" s="169"/>
      <c r="X528" s="169"/>
      <c r="Y528" s="169"/>
      <c r="Z528" s="169"/>
    </row>
    <row r="529" spans="1:26" s="48" customFormat="1" ht="17.100000000000001" customHeight="1" x14ac:dyDescent="0.25">
      <c r="A529" s="1439" t="s">
        <v>1386</v>
      </c>
      <c r="B529" s="1439" t="s">
        <v>163</v>
      </c>
      <c r="C529" s="44" t="s">
        <v>353</v>
      </c>
      <c r="D529" s="1356"/>
      <c r="E529" s="125"/>
      <c r="F529" s="125"/>
      <c r="G529" s="125"/>
      <c r="H529" s="221" t="s">
        <v>165</v>
      </c>
      <c r="I529" s="141">
        <v>5300</v>
      </c>
      <c r="J529" s="141">
        <v>58500</v>
      </c>
      <c r="K529" s="141">
        <v>6413</v>
      </c>
      <c r="L529" s="141">
        <f t="shared" si="13"/>
        <v>52087</v>
      </c>
      <c r="M529" s="141">
        <v>58500</v>
      </c>
      <c r="N529" s="141">
        <v>16695</v>
      </c>
      <c r="O529" s="141"/>
      <c r="P529" s="141">
        <v>58500</v>
      </c>
      <c r="Q529" s="141">
        <v>58500</v>
      </c>
      <c r="R529" s="122">
        <v>58500</v>
      </c>
      <c r="S529" s="239"/>
      <c r="T529" s="1477"/>
      <c r="U529" s="169"/>
      <c r="V529" s="169"/>
      <c r="W529" s="169"/>
      <c r="X529" s="169"/>
      <c r="Y529" s="169"/>
      <c r="Z529" s="169"/>
    </row>
    <row r="530" spans="1:26" s="48" customFormat="1" ht="17.100000000000001" customHeight="1" x14ac:dyDescent="0.25">
      <c r="A530" s="1439" t="s">
        <v>1386</v>
      </c>
      <c r="B530" s="1439" t="s">
        <v>163</v>
      </c>
      <c r="C530" s="44" t="s">
        <v>353</v>
      </c>
      <c r="D530" s="1356"/>
      <c r="E530" s="125"/>
      <c r="F530" s="125"/>
      <c r="G530" s="125"/>
      <c r="H530" s="221" t="s">
        <v>165</v>
      </c>
      <c r="I530" s="141">
        <v>0</v>
      </c>
      <c r="J530" s="141">
        <v>100000</v>
      </c>
      <c r="K530" s="141">
        <v>18755.48</v>
      </c>
      <c r="L530" s="141">
        <f t="shared" si="13"/>
        <v>81244.52</v>
      </c>
      <c r="M530" s="141">
        <v>100000</v>
      </c>
      <c r="N530" s="141">
        <v>33005.480000000003</v>
      </c>
      <c r="O530" s="141"/>
      <c r="P530" s="141">
        <v>200000</v>
      </c>
      <c r="Q530" s="141">
        <v>200000</v>
      </c>
      <c r="R530" s="122">
        <v>200000</v>
      </c>
      <c r="S530" s="239"/>
      <c r="T530" s="1477"/>
      <c r="U530" s="169"/>
      <c r="V530" s="169"/>
      <c r="W530" s="169"/>
      <c r="X530" s="169"/>
      <c r="Y530" s="169"/>
      <c r="Z530" s="169"/>
    </row>
    <row r="531" spans="1:26" s="48" customFormat="1" ht="17.100000000000001" customHeight="1" x14ac:dyDescent="0.25">
      <c r="A531" s="1439" t="s">
        <v>1386</v>
      </c>
      <c r="B531" s="1439" t="s">
        <v>163</v>
      </c>
      <c r="C531" s="44" t="s">
        <v>353</v>
      </c>
      <c r="D531" s="1356"/>
      <c r="E531" s="125"/>
      <c r="F531" s="125"/>
      <c r="G531" s="125"/>
      <c r="H531" s="221" t="s">
        <v>165</v>
      </c>
      <c r="I531" s="141">
        <v>0</v>
      </c>
      <c r="J531" s="141">
        <v>15000</v>
      </c>
      <c r="K531" s="141">
        <v>7360</v>
      </c>
      <c r="L531" s="141">
        <f t="shared" si="13"/>
        <v>7640</v>
      </c>
      <c r="M531" s="141">
        <v>15000</v>
      </c>
      <c r="N531" s="141">
        <v>7360</v>
      </c>
      <c r="O531" s="141"/>
      <c r="P531" s="141">
        <v>25000</v>
      </c>
      <c r="Q531" s="141">
        <v>25000</v>
      </c>
      <c r="R531" s="122">
        <v>25000</v>
      </c>
      <c r="S531" s="239">
        <f>SUM(R514:R531)</f>
        <v>4109500</v>
      </c>
      <c r="T531" s="1477"/>
      <c r="U531" s="169"/>
      <c r="V531" s="169"/>
      <c r="W531" s="169"/>
      <c r="X531" s="169"/>
      <c r="Y531" s="169"/>
      <c r="Z531" s="169"/>
    </row>
    <row r="532" spans="1:26" s="48" customFormat="1" ht="17.100000000000001" customHeight="1" x14ac:dyDescent="0.25">
      <c r="A532" s="961" t="s">
        <v>1386</v>
      </c>
      <c r="B532" s="961" t="s">
        <v>163</v>
      </c>
      <c r="C532" s="44" t="s">
        <v>382</v>
      </c>
      <c r="D532" s="1356"/>
      <c r="E532" s="125"/>
      <c r="F532" s="125"/>
      <c r="G532" s="125"/>
      <c r="H532" s="221" t="s">
        <v>383</v>
      </c>
      <c r="I532" s="141">
        <v>10770.15</v>
      </c>
      <c r="J532" s="141">
        <v>20000</v>
      </c>
      <c r="K532" s="141">
        <v>1008</v>
      </c>
      <c r="L532" s="141">
        <f t="shared" si="13"/>
        <v>18992</v>
      </c>
      <c r="M532" s="141">
        <v>20000</v>
      </c>
      <c r="N532" s="141">
        <v>1680</v>
      </c>
      <c r="O532" s="141"/>
      <c r="P532" s="141">
        <v>40000</v>
      </c>
      <c r="Q532" s="141">
        <v>40000</v>
      </c>
      <c r="R532" s="122">
        <v>40000</v>
      </c>
      <c r="S532" s="239"/>
      <c r="T532" s="1477"/>
      <c r="U532" s="169"/>
      <c r="V532" s="169"/>
      <c r="W532" s="169"/>
      <c r="X532" s="169"/>
      <c r="Y532" s="169"/>
      <c r="Z532" s="169"/>
    </row>
    <row r="533" spans="1:26" s="48" customFormat="1" ht="18" customHeight="1" x14ac:dyDescent="0.25">
      <c r="A533" s="961" t="s">
        <v>1386</v>
      </c>
      <c r="B533" s="961" t="s">
        <v>163</v>
      </c>
      <c r="C533" s="1356" t="s">
        <v>1589</v>
      </c>
      <c r="D533" s="1355"/>
      <c r="E533" s="1355"/>
      <c r="F533" s="1355"/>
      <c r="G533" s="1355"/>
      <c r="H533" s="381"/>
      <c r="I533" s="141">
        <v>0</v>
      </c>
      <c r="J533" s="141">
        <v>0</v>
      </c>
      <c r="K533" s="141">
        <v>0</v>
      </c>
      <c r="L533" s="141">
        <v>0</v>
      </c>
      <c r="M533" s="141">
        <v>0</v>
      </c>
      <c r="N533" s="141">
        <v>0</v>
      </c>
      <c r="O533" s="141"/>
      <c r="P533" s="141">
        <v>103400</v>
      </c>
      <c r="Q533" s="141">
        <v>103400</v>
      </c>
      <c r="R533" s="122">
        <v>103400</v>
      </c>
      <c r="S533" s="239"/>
      <c r="T533" s="1477"/>
      <c r="U533" s="169"/>
      <c r="V533" s="169"/>
      <c r="W533" s="169"/>
      <c r="X533" s="169"/>
      <c r="Y533" s="169"/>
      <c r="Z533" s="169"/>
    </row>
    <row r="534" spans="1:26" s="48" customFormat="1" ht="17.100000000000001" customHeight="1" x14ac:dyDescent="0.25">
      <c r="A534" s="573" t="s">
        <v>1386</v>
      </c>
      <c r="B534" s="573" t="s">
        <v>2019</v>
      </c>
      <c r="C534" s="1366" t="s">
        <v>1622</v>
      </c>
      <c r="D534" s="1355"/>
      <c r="E534" s="125"/>
      <c r="F534" s="199"/>
      <c r="G534" s="1355"/>
      <c r="H534" s="381"/>
      <c r="I534" s="141"/>
      <c r="J534" s="141"/>
      <c r="K534" s="141"/>
      <c r="L534" s="141"/>
      <c r="M534" s="141"/>
      <c r="N534" s="141"/>
      <c r="O534" s="141"/>
      <c r="P534" s="141">
        <v>200000</v>
      </c>
      <c r="Q534" s="141">
        <v>200000</v>
      </c>
      <c r="R534" s="122">
        <v>200000</v>
      </c>
      <c r="S534" s="239"/>
      <c r="T534" s="1477"/>
      <c r="U534" s="169"/>
      <c r="V534" s="169"/>
      <c r="W534" s="169"/>
      <c r="X534" s="169"/>
      <c r="Y534" s="169"/>
      <c r="Z534" s="169"/>
    </row>
    <row r="535" spans="1:26" s="48" customFormat="1" ht="17.100000000000001" customHeight="1" x14ac:dyDescent="0.25">
      <c r="A535" s="573" t="s">
        <v>1386</v>
      </c>
      <c r="B535" s="573" t="s">
        <v>2019</v>
      </c>
      <c r="C535" s="206" t="s">
        <v>1621</v>
      </c>
      <c r="D535" s="1355"/>
      <c r="E535" s="125"/>
      <c r="F535" s="199"/>
      <c r="G535" s="1355"/>
      <c r="H535" s="381"/>
      <c r="I535" s="141"/>
      <c r="J535" s="141"/>
      <c r="K535" s="141"/>
      <c r="L535" s="141"/>
      <c r="M535" s="141"/>
      <c r="N535" s="141"/>
      <c r="O535" s="141"/>
      <c r="P535" s="141">
        <v>510000</v>
      </c>
      <c r="Q535" s="141">
        <v>510000</v>
      </c>
      <c r="R535" s="122">
        <v>510000</v>
      </c>
      <c r="S535" s="239"/>
      <c r="T535" s="1477"/>
      <c r="U535" s="169"/>
      <c r="V535" s="169"/>
      <c r="W535" s="169"/>
      <c r="X535" s="169"/>
      <c r="Y535" s="169"/>
      <c r="Z535" s="169"/>
    </row>
    <row r="536" spans="1:26" s="48" customFormat="1" ht="17.100000000000001" customHeight="1" x14ac:dyDescent="0.25">
      <c r="A536" s="573" t="s">
        <v>1386</v>
      </c>
      <c r="B536" s="573" t="s">
        <v>2019</v>
      </c>
      <c r="C536" s="1366" t="s">
        <v>1623</v>
      </c>
      <c r="D536" s="1351"/>
      <c r="E536" s="44"/>
      <c r="F536" s="38"/>
      <c r="G536" s="1351"/>
      <c r="H536" s="1391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>
        <v>5000000</v>
      </c>
      <c r="S536" s="239"/>
      <c r="T536" s="1477"/>
      <c r="U536" s="169"/>
      <c r="V536" s="169"/>
      <c r="W536" s="169"/>
      <c r="X536" s="169"/>
      <c r="Y536" s="169"/>
      <c r="Z536" s="169"/>
    </row>
    <row r="537" spans="1:26" s="48" customFormat="1" ht="17.100000000000001" customHeight="1" x14ac:dyDescent="0.25">
      <c r="A537" s="961" t="s">
        <v>1386</v>
      </c>
      <c r="B537" s="961" t="s">
        <v>2019</v>
      </c>
      <c r="C537" s="44" t="s">
        <v>1554</v>
      </c>
      <c r="D537" s="1355"/>
      <c r="E537" s="113"/>
      <c r="F537" s="113"/>
      <c r="G537" s="113"/>
      <c r="H537" s="381"/>
      <c r="I537" s="141">
        <v>0</v>
      </c>
      <c r="J537" s="141">
        <v>0</v>
      </c>
      <c r="K537" s="141">
        <v>0</v>
      </c>
      <c r="L537" s="141">
        <v>0</v>
      </c>
      <c r="M537" s="141">
        <v>0</v>
      </c>
      <c r="N537" s="141">
        <v>0</v>
      </c>
      <c r="O537" s="141"/>
      <c r="P537" s="122">
        <v>250000</v>
      </c>
      <c r="Q537" s="122">
        <v>250000</v>
      </c>
      <c r="R537" s="122">
        <v>250000</v>
      </c>
      <c r="S537" s="239"/>
      <c r="T537" s="1477"/>
      <c r="U537" s="169"/>
      <c r="V537" s="169"/>
      <c r="W537" s="169"/>
      <c r="X537" s="169"/>
      <c r="Y537" s="169"/>
      <c r="Z537" s="169"/>
    </row>
    <row r="538" spans="1:26" s="48" customFormat="1" ht="18" customHeight="1" x14ac:dyDescent="0.25">
      <c r="A538" s="573" t="s">
        <v>1386</v>
      </c>
      <c r="B538" s="573" t="s">
        <v>2019</v>
      </c>
      <c r="C538" s="1368" t="s">
        <v>1627</v>
      </c>
      <c r="D538" s="1355"/>
      <c r="E538" s="1361"/>
      <c r="F538" s="1361"/>
      <c r="G538" s="1361"/>
      <c r="H538" s="1391"/>
      <c r="I538" s="122"/>
      <c r="J538" s="122"/>
      <c r="K538" s="122"/>
      <c r="L538" s="141"/>
      <c r="M538" s="122"/>
      <c r="N538" s="122"/>
      <c r="O538" s="122"/>
      <c r="P538" s="122">
        <v>710000</v>
      </c>
      <c r="Q538" s="122">
        <v>710000</v>
      </c>
      <c r="R538" s="122">
        <v>940000</v>
      </c>
      <c r="S538" s="239"/>
      <c r="T538" s="1477"/>
      <c r="U538" s="169"/>
      <c r="V538" s="169"/>
      <c r="W538" s="169"/>
      <c r="X538" s="169"/>
      <c r="Y538" s="169"/>
      <c r="Z538" s="169"/>
    </row>
    <row r="539" spans="1:26" s="48" customFormat="1" ht="18" customHeight="1" x14ac:dyDescent="0.25">
      <c r="A539" s="961" t="s">
        <v>1386</v>
      </c>
      <c r="B539" s="961" t="s">
        <v>2019</v>
      </c>
      <c r="C539" s="44" t="s">
        <v>1553</v>
      </c>
      <c r="D539" s="1355"/>
      <c r="E539" s="113"/>
      <c r="F539" s="113"/>
      <c r="G539" s="113"/>
      <c r="H539" s="381"/>
      <c r="I539" s="141">
        <v>0</v>
      </c>
      <c r="J539" s="141">
        <v>0</v>
      </c>
      <c r="K539" s="141">
        <v>0</v>
      </c>
      <c r="L539" s="141">
        <v>0</v>
      </c>
      <c r="M539" s="141">
        <v>0</v>
      </c>
      <c r="N539" s="141">
        <v>0</v>
      </c>
      <c r="O539" s="141"/>
      <c r="P539" s="122">
        <v>900000</v>
      </c>
      <c r="Q539" s="122">
        <v>900000</v>
      </c>
      <c r="R539" s="122">
        <v>900000</v>
      </c>
      <c r="S539" s="1456"/>
      <c r="T539" s="1477"/>
      <c r="U539" s="169"/>
      <c r="V539" s="169"/>
      <c r="W539" s="169"/>
      <c r="X539" s="169"/>
      <c r="Y539" s="169"/>
      <c r="Z539" s="169"/>
    </row>
    <row r="540" spans="1:26" s="48" customFormat="1" ht="17.45" customHeight="1" x14ac:dyDescent="0.25">
      <c r="A540" s="573" t="s">
        <v>1386</v>
      </c>
      <c r="B540" s="573" t="s">
        <v>2019</v>
      </c>
      <c r="C540" s="1356" t="s">
        <v>1631</v>
      </c>
      <c r="D540" s="1355"/>
      <c r="E540" s="1355"/>
      <c r="F540" s="1355"/>
      <c r="G540" s="1355"/>
      <c r="H540" s="381"/>
      <c r="I540" s="141">
        <v>0</v>
      </c>
      <c r="J540" s="141">
        <v>0</v>
      </c>
      <c r="K540" s="141">
        <v>0</v>
      </c>
      <c r="L540" s="141">
        <v>0</v>
      </c>
      <c r="M540" s="141">
        <v>0</v>
      </c>
      <c r="N540" s="141">
        <v>0</v>
      </c>
      <c r="O540" s="141"/>
      <c r="P540" s="141">
        <v>600000</v>
      </c>
      <c r="Q540" s="141">
        <v>600000</v>
      </c>
      <c r="R540" s="122">
        <v>600000</v>
      </c>
      <c r="S540" s="239"/>
      <c r="T540" s="1477"/>
      <c r="U540" s="169"/>
      <c r="V540" s="169"/>
      <c r="W540" s="169"/>
      <c r="X540" s="169"/>
      <c r="Y540" s="169"/>
      <c r="Z540" s="169"/>
    </row>
    <row r="541" spans="1:26" s="48" customFormat="1" ht="17.100000000000001" customHeight="1" x14ac:dyDescent="0.25">
      <c r="A541" s="573" t="s">
        <v>1386</v>
      </c>
      <c r="B541" s="573" t="s">
        <v>2019</v>
      </c>
      <c r="C541" s="1369" t="s">
        <v>1642</v>
      </c>
      <c r="D541" s="1355"/>
      <c r="E541" s="1351"/>
      <c r="F541" s="1355"/>
      <c r="G541" s="1355"/>
      <c r="H541" s="381"/>
      <c r="I541" s="141"/>
      <c r="J541" s="141"/>
      <c r="K541" s="141"/>
      <c r="L541" s="141"/>
      <c r="M541" s="141"/>
      <c r="N541" s="141"/>
      <c r="O541" s="141"/>
      <c r="P541" s="141">
        <v>500000</v>
      </c>
      <c r="Q541" s="141">
        <v>500000</v>
      </c>
      <c r="R541" s="122">
        <v>500000</v>
      </c>
      <c r="S541" s="239"/>
      <c r="T541" s="1477"/>
      <c r="U541" s="169"/>
      <c r="V541" s="169"/>
      <c r="W541" s="169"/>
      <c r="X541" s="169"/>
      <c r="Y541" s="169"/>
      <c r="Z541" s="169"/>
    </row>
    <row r="542" spans="1:26" s="48" customFormat="1" ht="17.100000000000001" customHeight="1" x14ac:dyDescent="0.25">
      <c r="A542" s="573" t="s">
        <v>1386</v>
      </c>
      <c r="B542" s="573" t="s">
        <v>2019</v>
      </c>
      <c r="C542" s="1365" t="s">
        <v>1626</v>
      </c>
      <c r="D542" s="1355"/>
      <c r="E542" s="1365"/>
      <c r="F542" s="1365"/>
      <c r="G542" s="1355"/>
      <c r="H542" s="381"/>
      <c r="I542" s="141"/>
      <c r="J542" s="141"/>
      <c r="K542" s="141"/>
      <c r="L542" s="141"/>
      <c r="M542" s="141"/>
      <c r="N542" s="141"/>
      <c r="O542" s="141"/>
      <c r="P542" s="141">
        <v>25000</v>
      </c>
      <c r="Q542" s="141">
        <v>25000</v>
      </c>
      <c r="R542" s="122">
        <v>25000</v>
      </c>
      <c r="S542" s="239"/>
      <c r="T542" s="1477"/>
      <c r="U542" s="169"/>
      <c r="V542" s="169"/>
      <c r="W542" s="169"/>
      <c r="X542" s="169"/>
      <c r="Y542" s="169"/>
      <c r="Z542" s="169"/>
    </row>
    <row r="543" spans="1:26" s="48" customFormat="1" ht="17.100000000000001" customHeight="1" x14ac:dyDescent="0.25">
      <c r="A543" s="961" t="s">
        <v>1386</v>
      </c>
      <c r="B543" s="961" t="s">
        <v>2019</v>
      </c>
      <c r="C543" s="44" t="s">
        <v>1555</v>
      </c>
      <c r="D543" s="1355"/>
      <c r="E543" s="113"/>
      <c r="F543" s="113"/>
      <c r="G543" s="113"/>
      <c r="H543" s="381"/>
      <c r="I543" s="141">
        <v>0</v>
      </c>
      <c r="J543" s="141">
        <v>0</v>
      </c>
      <c r="K543" s="141">
        <v>0</v>
      </c>
      <c r="L543" s="141">
        <v>0</v>
      </c>
      <c r="M543" s="141">
        <v>0</v>
      </c>
      <c r="N543" s="141">
        <v>0</v>
      </c>
      <c r="O543" s="141"/>
      <c r="P543" s="122">
        <v>15000000</v>
      </c>
      <c r="Q543" s="122">
        <v>15000000</v>
      </c>
      <c r="R543" s="122">
        <v>15000000</v>
      </c>
      <c r="S543" s="239"/>
      <c r="T543" s="1477"/>
      <c r="U543" s="169"/>
      <c r="V543" s="169"/>
      <c r="W543" s="169"/>
      <c r="X543" s="169"/>
      <c r="Y543" s="169"/>
      <c r="Z543" s="169"/>
    </row>
    <row r="544" spans="1:26" s="48" customFormat="1" ht="17.100000000000001" customHeight="1" x14ac:dyDescent="0.25">
      <c r="A544" s="573" t="s">
        <v>1386</v>
      </c>
      <c r="B544" s="573" t="s">
        <v>2019</v>
      </c>
      <c r="C544" s="180" t="s">
        <v>1625</v>
      </c>
      <c r="D544" s="1355"/>
      <c r="E544" s="225"/>
      <c r="F544" s="225"/>
      <c r="G544" s="1355"/>
      <c r="H544" s="381"/>
      <c r="I544" s="141"/>
      <c r="J544" s="141"/>
      <c r="K544" s="141"/>
      <c r="L544" s="141"/>
      <c r="M544" s="141"/>
      <c r="N544" s="141"/>
      <c r="O544" s="141"/>
      <c r="P544" s="141">
        <v>755000</v>
      </c>
      <c r="Q544" s="141">
        <v>755000</v>
      </c>
      <c r="R544" s="122">
        <v>755000</v>
      </c>
      <c r="S544" s="239"/>
      <c r="T544" s="1477"/>
      <c r="U544" s="169"/>
      <c r="V544" s="169"/>
      <c r="W544" s="169"/>
      <c r="X544" s="169"/>
      <c r="Y544" s="169"/>
      <c r="Z544" s="169"/>
    </row>
    <row r="545" spans="1:26" s="48" customFormat="1" ht="17.100000000000001" customHeight="1" x14ac:dyDescent="0.25">
      <c r="A545" s="573" t="s">
        <v>1386</v>
      </c>
      <c r="B545" s="573" t="s">
        <v>2019</v>
      </c>
      <c r="C545" s="1372" t="s">
        <v>1624</v>
      </c>
      <c r="D545" s="1355"/>
      <c r="E545" s="1362"/>
      <c r="F545" s="428"/>
      <c r="G545" s="1355"/>
      <c r="H545" s="381"/>
      <c r="I545" s="141"/>
      <c r="J545" s="141"/>
      <c r="K545" s="141"/>
      <c r="L545" s="141"/>
      <c r="M545" s="141"/>
      <c r="N545" s="141"/>
      <c r="O545" s="141"/>
      <c r="P545" s="141">
        <v>60000</v>
      </c>
      <c r="Q545" s="141">
        <v>60000</v>
      </c>
      <c r="R545" s="122">
        <v>60000</v>
      </c>
      <c r="S545" s="239"/>
      <c r="T545" s="1477"/>
      <c r="U545" s="169"/>
      <c r="V545" s="169"/>
      <c r="W545" s="169"/>
      <c r="X545" s="169"/>
      <c r="Y545" s="169"/>
      <c r="Z545" s="169"/>
    </row>
    <row r="546" spans="1:26" s="48" customFormat="1" ht="17.100000000000001" customHeight="1" x14ac:dyDescent="0.25">
      <c r="A546" s="961" t="s">
        <v>1386</v>
      </c>
      <c r="B546" s="961" t="s">
        <v>2019</v>
      </c>
      <c r="C546" s="44" t="s">
        <v>1552</v>
      </c>
      <c r="D546" s="1355"/>
      <c r="E546" s="113"/>
      <c r="F546" s="113"/>
      <c r="G546" s="113"/>
      <c r="H546" s="381"/>
      <c r="I546" s="141">
        <v>0</v>
      </c>
      <c r="J546" s="141">
        <v>0</v>
      </c>
      <c r="K546" s="141">
        <v>0</v>
      </c>
      <c r="L546" s="141">
        <v>0</v>
      </c>
      <c r="M546" s="141">
        <v>0</v>
      </c>
      <c r="N546" s="141">
        <v>0</v>
      </c>
      <c r="O546" s="141"/>
      <c r="P546" s="141"/>
      <c r="Q546" s="141"/>
      <c r="R546" s="122">
        <v>6000000</v>
      </c>
      <c r="S546" s="239"/>
      <c r="T546" s="1477"/>
      <c r="U546" s="169"/>
      <c r="V546" s="169"/>
      <c r="W546" s="169"/>
      <c r="X546" s="169"/>
      <c r="Y546" s="169"/>
      <c r="Z546" s="169"/>
    </row>
    <row r="547" spans="1:26" s="48" customFormat="1" ht="17.100000000000001" customHeight="1" x14ac:dyDescent="0.15">
      <c r="A547" s="961" t="s">
        <v>1386</v>
      </c>
      <c r="B547" s="961" t="s">
        <v>2019</v>
      </c>
      <c r="C547" s="180" t="s">
        <v>1558</v>
      </c>
      <c r="D547" s="1355"/>
      <c r="E547" s="225"/>
      <c r="F547" s="427"/>
      <c r="G547" s="184"/>
      <c r="H547" s="381"/>
      <c r="I547" s="141">
        <v>0</v>
      </c>
      <c r="J547" s="141">
        <v>0</v>
      </c>
      <c r="K547" s="141">
        <v>0</v>
      </c>
      <c r="L547" s="141">
        <v>0</v>
      </c>
      <c r="M547" s="141">
        <v>0</v>
      </c>
      <c r="N547" s="141">
        <v>0</v>
      </c>
      <c r="O547" s="141"/>
      <c r="P547" s="141"/>
      <c r="Q547" s="141"/>
      <c r="R547" s="122">
        <v>50000</v>
      </c>
      <c r="S547" s="239"/>
      <c r="T547" s="1477"/>
      <c r="U547" s="169"/>
      <c r="V547" s="169"/>
      <c r="W547" s="169"/>
      <c r="X547" s="169"/>
      <c r="Y547" s="169"/>
      <c r="Z547" s="169"/>
    </row>
    <row r="548" spans="1:26" s="48" customFormat="1" ht="17.100000000000001" customHeight="1" x14ac:dyDescent="0.25">
      <c r="A548" s="961" t="s">
        <v>1386</v>
      </c>
      <c r="B548" s="961" t="s">
        <v>2019</v>
      </c>
      <c r="C548" s="1371" t="s">
        <v>1560</v>
      </c>
      <c r="D548" s="1355"/>
      <c r="E548" s="1367"/>
      <c r="F548" s="1367"/>
      <c r="G548" s="1367"/>
      <c r="H548" s="381"/>
      <c r="I548" s="141">
        <v>0</v>
      </c>
      <c r="J548" s="141">
        <v>0</v>
      </c>
      <c r="K548" s="141">
        <v>0</v>
      </c>
      <c r="L548" s="141">
        <v>0</v>
      </c>
      <c r="M548" s="141">
        <v>0</v>
      </c>
      <c r="N548" s="141">
        <v>0</v>
      </c>
      <c r="O548" s="141"/>
      <c r="P548" s="141">
        <v>15000000</v>
      </c>
      <c r="Q548" s="141">
        <v>15000000</v>
      </c>
      <c r="R548" s="122">
        <v>15000000</v>
      </c>
      <c r="S548" s="239"/>
      <c r="T548" s="1477"/>
      <c r="U548" s="169"/>
      <c r="V548" s="169"/>
      <c r="W548" s="169"/>
      <c r="X548" s="169"/>
      <c r="Y548" s="169"/>
      <c r="Z548" s="169"/>
    </row>
    <row r="549" spans="1:26" s="48" customFormat="1" ht="17.100000000000001" customHeight="1" x14ac:dyDescent="0.25">
      <c r="A549" s="961" t="s">
        <v>1386</v>
      </c>
      <c r="B549" s="961" t="s">
        <v>2019</v>
      </c>
      <c r="C549" s="1371" t="s">
        <v>1559</v>
      </c>
      <c r="D549" s="1355"/>
      <c r="E549" s="1367"/>
      <c r="F549" s="1367"/>
      <c r="G549" s="1367"/>
      <c r="H549" s="381"/>
      <c r="I549" s="141">
        <v>0</v>
      </c>
      <c r="J549" s="141">
        <v>0</v>
      </c>
      <c r="K549" s="141">
        <v>0</v>
      </c>
      <c r="L549" s="141">
        <v>0</v>
      </c>
      <c r="M549" s="141">
        <v>0</v>
      </c>
      <c r="N549" s="141">
        <v>0</v>
      </c>
      <c r="O549" s="141"/>
      <c r="P549" s="141">
        <v>500000</v>
      </c>
      <c r="Q549" s="141">
        <v>500000</v>
      </c>
      <c r="R549" s="122">
        <v>500000</v>
      </c>
      <c r="S549" s="239"/>
      <c r="T549" s="1477"/>
      <c r="U549" s="169"/>
      <c r="V549" s="169"/>
      <c r="W549" s="169"/>
      <c r="X549" s="169"/>
      <c r="Y549" s="169"/>
      <c r="Z549" s="169"/>
    </row>
    <row r="550" spans="1:26" ht="20.25" customHeight="1" x14ac:dyDescent="0.25">
      <c r="A550" s="961" t="s">
        <v>1386</v>
      </c>
      <c r="B550" s="961" t="s">
        <v>2019</v>
      </c>
      <c r="C550" s="1400" t="s">
        <v>2069</v>
      </c>
      <c r="D550" s="1355"/>
      <c r="E550" s="1370"/>
      <c r="F550" s="1370"/>
      <c r="G550" s="184"/>
      <c r="H550" s="381"/>
      <c r="I550" s="141">
        <v>0</v>
      </c>
      <c r="J550" s="141">
        <v>0</v>
      </c>
      <c r="K550" s="141">
        <v>0</v>
      </c>
      <c r="L550" s="141">
        <v>0</v>
      </c>
      <c r="M550" s="141">
        <v>0</v>
      </c>
      <c r="N550" s="141">
        <v>0</v>
      </c>
      <c r="O550" s="141"/>
      <c r="P550" s="141">
        <v>500000</v>
      </c>
      <c r="Q550" s="141">
        <v>500000</v>
      </c>
      <c r="R550" s="122">
        <v>100000</v>
      </c>
    </row>
    <row r="551" spans="1:26" s="48" customFormat="1" ht="16.5" customHeight="1" x14ac:dyDescent="0.25">
      <c r="A551" s="961" t="s">
        <v>1386</v>
      </c>
      <c r="B551" s="961" t="s">
        <v>2019</v>
      </c>
      <c r="C551" s="180" t="s">
        <v>1556</v>
      </c>
      <c r="D551" s="1355"/>
      <c r="E551" s="427"/>
      <c r="F551" s="1359"/>
      <c r="G551" s="1355"/>
      <c r="H551" s="381"/>
      <c r="I551" s="141">
        <v>0</v>
      </c>
      <c r="J551" s="141">
        <v>0</v>
      </c>
      <c r="K551" s="141">
        <v>0</v>
      </c>
      <c r="L551" s="141">
        <v>0</v>
      </c>
      <c r="M551" s="141">
        <v>0</v>
      </c>
      <c r="N551" s="141">
        <v>0</v>
      </c>
      <c r="O551" s="141"/>
      <c r="P551" s="141">
        <v>800000</v>
      </c>
      <c r="Q551" s="141">
        <v>800000</v>
      </c>
      <c r="R551" s="122">
        <v>800000</v>
      </c>
      <c r="S551" s="1456"/>
      <c r="T551" s="1477"/>
      <c r="U551" s="169"/>
      <c r="V551" s="169"/>
      <c r="W551" s="169"/>
      <c r="X551" s="169"/>
      <c r="Y551" s="169"/>
      <c r="Z551" s="169"/>
    </row>
    <row r="552" spans="1:26" s="48" customFormat="1" ht="16.5" customHeight="1" x14ac:dyDescent="0.25">
      <c r="A552" s="573" t="s">
        <v>1386</v>
      </c>
      <c r="B552" s="573" t="s">
        <v>2019</v>
      </c>
      <c r="C552" s="1369" t="s">
        <v>1641</v>
      </c>
      <c r="D552" s="1355"/>
      <c r="E552" s="113"/>
      <c r="F552" s="1355"/>
      <c r="G552" s="1355"/>
      <c r="H552" s="381"/>
      <c r="I552" s="141"/>
      <c r="J552" s="141"/>
      <c r="K552" s="141"/>
      <c r="L552" s="141"/>
      <c r="M552" s="141"/>
      <c r="N552" s="141"/>
      <c r="O552" s="141"/>
      <c r="P552" s="141">
        <v>300000</v>
      </c>
      <c r="Q552" s="141">
        <v>300000</v>
      </c>
      <c r="R552" s="122">
        <v>300000</v>
      </c>
      <c r="S552" s="1456"/>
      <c r="T552" s="1477"/>
      <c r="U552" s="169"/>
      <c r="V552" s="169"/>
      <c r="W552" s="169"/>
      <c r="X552" s="169"/>
      <c r="Y552" s="169"/>
      <c r="Z552" s="169"/>
    </row>
    <row r="553" spans="1:26" s="48" customFormat="1" ht="18" customHeight="1" x14ac:dyDescent="0.25">
      <c r="A553" s="573" t="s">
        <v>1386</v>
      </c>
      <c r="B553" s="573" t="s">
        <v>2019</v>
      </c>
      <c r="C553" s="1356" t="s">
        <v>1640</v>
      </c>
      <c r="D553" s="1355"/>
      <c r="E553" s="1355"/>
      <c r="F553" s="1355"/>
      <c r="G553" s="1355"/>
      <c r="H553" s="221"/>
      <c r="I553" s="141">
        <v>935853.18</v>
      </c>
      <c r="J553" s="141">
        <v>1000000</v>
      </c>
      <c r="K553" s="141">
        <v>930776.07</v>
      </c>
      <c r="L553" s="141">
        <f>M553-K553</f>
        <v>1569223.9300000002</v>
      </c>
      <c r="M553" s="141">
        <v>2500000</v>
      </c>
      <c r="N553" s="141">
        <v>994364.3</v>
      </c>
      <c r="O553" s="141"/>
      <c r="P553" s="141">
        <v>2000000</v>
      </c>
      <c r="Q553" s="141">
        <v>2000000</v>
      </c>
      <c r="R553" s="122">
        <v>2000000</v>
      </c>
      <c r="S553" s="239">
        <f>SUM(R533:R553)</f>
        <v>49593400</v>
      </c>
      <c r="T553" s="1477"/>
      <c r="U553" s="169"/>
      <c r="V553" s="169"/>
      <c r="W553" s="169"/>
      <c r="X553" s="169"/>
      <c r="Y553" s="169"/>
      <c r="Z553" s="169"/>
    </row>
    <row r="554" spans="1:26" s="48" customFormat="1" ht="17.25" customHeight="1" x14ac:dyDescent="0.25">
      <c r="A554" s="1441" t="s">
        <v>1386</v>
      </c>
      <c r="B554" s="1441" t="s">
        <v>2019</v>
      </c>
      <c r="C554" s="206" t="s">
        <v>1637</v>
      </c>
      <c r="D554" s="1355"/>
      <c r="E554" s="199"/>
      <c r="F554" s="199"/>
      <c r="G554" s="1355"/>
      <c r="H554" s="381"/>
      <c r="I554" s="141"/>
      <c r="J554" s="141"/>
      <c r="K554" s="141"/>
      <c r="L554" s="141"/>
      <c r="M554" s="141"/>
      <c r="N554" s="141"/>
      <c r="O554" s="141"/>
      <c r="P554" s="141">
        <v>3000000</v>
      </c>
      <c r="Q554" s="141">
        <v>3000000</v>
      </c>
      <c r="R554" s="122">
        <v>3000000</v>
      </c>
      <c r="S554" s="169"/>
      <c r="T554" s="1477"/>
      <c r="U554" s="169"/>
      <c r="V554" s="169"/>
      <c r="W554" s="169"/>
      <c r="X554" s="169"/>
      <c r="Y554" s="169"/>
      <c r="Z554" s="169"/>
    </row>
    <row r="555" spans="1:26" s="48" customFormat="1" ht="16.5" customHeight="1" x14ac:dyDescent="0.25">
      <c r="A555" s="1441"/>
      <c r="B555" s="1441"/>
      <c r="C555" s="206"/>
      <c r="D555" s="1355"/>
      <c r="E555" s="199"/>
      <c r="F555" s="199"/>
      <c r="G555" s="1355"/>
      <c r="H555" s="381"/>
      <c r="I555" s="141"/>
      <c r="J555" s="141"/>
      <c r="K555" s="141"/>
      <c r="L555" s="141"/>
      <c r="M555" s="141"/>
      <c r="N555" s="141"/>
      <c r="O555" s="141"/>
      <c r="P555" s="141"/>
      <c r="Q555" s="141"/>
      <c r="R555" s="122">
        <f>SUM(R319:R554)</f>
        <v>167073485.81999999</v>
      </c>
      <c r="S555" s="239"/>
      <c r="T555" s="1477"/>
      <c r="U555" s="169"/>
      <c r="V555" s="169"/>
      <c r="W555" s="169"/>
      <c r="X555" s="169"/>
      <c r="Y555" s="169"/>
      <c r="Z555" s="169"/>
    </row>
    <row r="556" spans="1:26" s="48" customFormat="1" ht="16.5" customHeight="1" x14ac:dyDescent="0.25">
      <c r="A556" s="1441"/>
      <c r="B556" s="1441"/>
      <c r="C556" s="206"/>
      <c r="D556" s="1355"/>
      <c r="E556" s="199"/>
      <c r="F556" s="199"/>
      <c r="G556" s="1355"/>
      <c r="H556" s="381"/>
      <c r="I556" s="141"/>
      <c r="J556" s="141"/>
      <c r="K556" s="141"/>
      <c r="L556" s="141"/>
      <c r="M556" s="141"/>
      <c r="N556" s="141"/>
      <c r="O556" s="141"/>
      <c r="P556" s="141"/>
      <c r="Q556" s="141"/>
      <c r="R556" s="122"/>
      <c r="S556" s="239"/>
      <c r="T556" s="1477"/>
      <c r="U556" s="169"/>
      <c r="V556" s="169"/>
      <c r="W556" s="169"/>
      <c r="X556" s="169"/>
      <c r="Y556" s="169"/>
      <c r="Z556" s="169"/>
    </row>
    <row r="557" spans="1:26" s="48" customFormat="1" ht="18" customHeight="1" x14ac:dyDescent="0.25">
      <c r="A557" s="1444" t="s">
        <v>1387</v>
      </c>
      <c r="B557" s="1444" t="s">
        <v>163</v>
      </c>
      <c r="C557" s="44" t="s">
        <v>1562</v>
      </c>
      <c r="D557" s="1356"/>
      <c r="E557" s="125"/>
      <c r="F557" s="125"/>
      <c r="G557" s="125"/>
      <c r="H557" s="221" t="s">
        <v>218</v>
      </c>
      <c r="I557" s="141">
        <v>4440</v>
      </c>
      <c r="J557" s="141">
        <v>9000</v>
      </c>
      <c r="K557" s="141">
        <v>2130</v>
      </c>
      <c r="L557" s="141">
        <f t="shared" ref="L557:L595" si="14">M557-K557</f>
        <v>6870</v>
      </c>
      <c r="M557" s="141">
        <v>9000</v>
      </c>
      <c r="N557" s="141">
        <v>2840</v>
      </c>
      <c r="O557" s="141"/>
      <c r="P557" s="141">
        <v>9000</v>
      </c>
      <c r="Q557" s="141">
        <v>9000</v>
      </c>
      <c r="R557" s="122">
        <v>9000</v>
      </c>
      <c r="S557" s="239"/>
      <c r="T557" s="1477"/>
      <c r="U557" s="169"/>
      <c r="V557" s="169"/>
      <c r="W557" s="169"/>
      <c r="X557" s="169"/>
      <c r="Y557" s="169"/>
      <c r="Z557" s="169"/>
    </row>
    <row r="558" spans="1:26" s="48" customFormat="1" ht="18" customHeight="1" x14ac:dyDescent="0.25">
      <c r="A558" s="1444" t="s">
        <v>1387</v>
      </c>
      <c r="B558" s="1444" t="s">
        <v>163</v>
      </c>
      <c r="C558" s="44" t="s">
        <v>466</v>
      </c>
      <c r="D558" s="1356"/>
      <c r="E558" s="125"/>
      <c r="F558" s="125"/>
      <c r="G558" s="125"/>
      <c r="H558" s="221" t="s">
        <v>467</v>
      </c>
      <c r="I558" s="141">
        <v>10885469</v>
      </c>
      <c r="J558" s="141">
        <v>17571466</v>
      </c>
      <c r="K558" s="141">
        <v>8979829</v>
      </c>
      <c r="L558" s="141">
        <f t="shared" si="14"/>
        <v>8591637</v>
      </c>
      <c r="M558" s="141">
        <v>17571466</v>
      </c>
      <c r="N558" s="141">
        <v>8979829</v>
      </c>
      <c r="O558" s="141"/>
      <c r="P558" s="141">
        <v>21259768</v>
      </c>
      <c r="Q558" s="141">
        <v>21259768</v>
      </c>
      <c r="R558" s="122">
        <v>21259768</v>
      </c>
      <c r="S558" s="239"/>
      <c r="T558" s="1477"/>
      <c r="U558" s="169"/>
      <c r="V558" s="169"/>
      <c r="W558" s="169"/>
      <c r="X558" s="169"/>
      <c r="Y558" s="169"/>
      <c r="Z558" s="169"/>
    </row>
    <row r="559" spans="1:26" s="48" customFormat="1" ht="18" customHeight="1" x14ac:dyDescent="0.25">
      <c r="A559" s="1495" t="s">
        <v>1387</v>
      </c>
      <c r="B559" s="1495" t="s">
        <v>163</v>
      </c>
      <c r="C559" s="1490" t="s">
        <v>1615</v>
      </c>
      <c r="D559" s="1466"/>
      <c r="E559" s="125"/>
      <c r="F559" s="125"/>
      <c r="G559" s="125"/>
      <c r="H559" s="221"/>
      <c r="I559" s="141"/>
      <c r="J559" s="141"/>
      <c r="K559" s="141"/>
      <c r="L559" s="141"/>
      <c r="M559" s="141"/>
      <c r="N559" s="141"/>
      <c r="O559" s="141"/>
      <c r="P559" s="141"/>
      <c r="Q559" s="141"/>
      <c r="R559" s="1397">
        <v>43200</v>
      </c>
      <c r="S559" s="239"/>
      <c r="T559" s="1477"/>
      <c r="U559" s="169"/>
      <c r="V559" s="169"/>
      <c r="W559" s="169"/>
      <c r="X559" s="169"/>
      <c r="Y559" s="169"/>
      <c r="Z559" s="169"/>
    </row>
    <row r="560" spans="1:26" s="48" customFormat="1" ht="18" customHeight="1" x14ac:dyDescent="0.25">
      <c r="A560" s="1495" t="s">
        <v>1387</v>
      </c>
      <c r="B560" s="1495" t="s">
        <v>163</v>
      </c>
      <c r="C560" s="1490" t="s">
        <v>1615</v>
      </c>
      <c r="D560" s="1466"/>
      <c r="E560" s="125"/>
      <c r="F560" s="125"/>
      <c r="G560" s="125"/>
      <c r="H560" s="221"/>
      <c r="I560" s="141"/>
      <c r="J560" s="141"/>
      <c r="K560" s="141"/>
      <c r="L560" s="141"/>
      <c r="M560" s="141"/>
      <c r="N560" s="141"/>
      <c r="O560" s="141"/>
      <c r="P560" s="141"/>
      <c r="Q560" s="141"/>
      <c r="R560" s="1397">
        <v>30000</v>
      </c>
      <c r="S560" s="239"/>
      <c r="T560" s="1477"/>
      <c r="U560" s="169"/>
      <c r="V560" s="169"/>
      <c r="W560" s="169"/>
      <c r="X560" s="169"/>
      <c r="Y560" s="169"/>
      <c r="Z560" s="169"/>
    </row>
    <row r="561" spans="1:26" s="48" customFormat="1" ht="18" customHeight="1" x14ac:dyDescent="0.25">
      <c r="A561" s="1495" t="s">
        <v>1387</v>
      </c>
      <c r="B561" s="1495" t="s">
        <v>163</v>
      </c>
      <c r="C561" s="1490" t="s">
        <v>1615</v>
      </c>
      <c r="D561" s="1466"/>
      <c r="E561" s="125"/>
      <c r="F561" s="125"/>
      <c r="G561" s="125"/>
      <c r="H561" s="221"/>
      <c r="I561" s="141"/>
      <c r="J561" s="141"/>
      <c r="K561" s="141"/>
      <c r="L561" s="141"/>
      <c r="M561" s="141"/>
      <c r="N561" s="141"/>
      <c r="O561" s="141"/>
      <c r="P561" s="141"/>
      <c r="Q561" s="141"/>
      <c r="R561" s="1397">
        <v>144000</v>
      </c>
      <c r="S561" s="239"/>
      <c r="T561" s="1477"/>
      <c r="U561" s="169"/>
      <c r="V561" s="169"/>
      <c r="W561" s="169"/>
      <c r="X561" s="169"/>
      <c r="Y561" s="169"/>
      <c r="Z561" s="169"/>
    </row>
    <row r="562" spans="1:26" s="48" customFormat="1" ht="18" customHeight="1" x14ac:dyDescent="0.25">
      <c r="A562" s="1495" t="s">
        <v>1387</v>
      </c>
      <c r="B562" s="1495" t="s">
        <v>163</v>
      </c>
      <c r="C562" s="1490" t="s">
        <v>1615</v>
      </c>
      <c r="D562" s="1466"/>
      <c r="E562" s="125"/>
      <c r="F562" s="125"/>
      <c r="G562" s="125"/>
      <c r="H562" s="221"/>
      <c r="I562" s="141"/>
      <c r="J562" s="141"/>
      <c r="K562" s="141"/>
      <c r="L562" s="141"/>
      <c r="M562" s="141"/>
      <c r="N562" s="141"/>
      <c r="O562" s="141"/>
      <c r="P562" s="141"/>
      <c r="Q562" s="141"/>
      <c r="R562" s="1397">
        <v>150000</v>
      </c>
      <c r="S562" s="239">
        <f>SUM(R559:R562)</f>
        <v>367200</v>
      </c>
      <c r="T562" s="1477"/>
      <c r="U562" s="169"/>
      <c r="V562" s="169"/>
      <c r="W562" s="169"/>
      <c r="X562" s="169"/>
      <c r="Y562" s="169"/>
      <c r="Z562" s="169"/>
    </row>
    <row r="563" spans="1:26" s="48" customFormat="1" ht="18" customHeight="1" x14ac:dyDescent="0.25">
      <c r="A563" s="961" t="s">
        <v>1387</v>
      </c>
      <c r="B563" s="961" t="s">
        <v>163</v>
      </c>
      <c r="C563" s="44" t="s">
        <v>182</v>
      </c>
      <c r="D563" s="1355"/>
      <c r="E563" s="113"/>
      <c r="F563" s="113"/>
      <c r="G563" s="113"/>
      <c r="H563" s="221" t="s">
        <v>183</v>
      </c>
      <c r="I563" s="141">
        <v>35488.71</v>
      </c>
      <c r="J563" s="141">
        <v>48000</v>
      </c>
      <c r="K563" s="141">
        <v>23520</v>
      </c>
      <c r="L563" s="141">
        <f t="shared" si="14"/>
        <v>24480</v>
      </c>
      <c r="M563" s="141">
        <v>48000</v>
      </c>
      <c r="N563" s="141">
        <v>27440</v>
      </c>
      <c r="O563" s="141"/>
      <c r="P563" s="141">
        <v>48000</v>
      </c>
      <c r="Q563" s="141">
        <v>48000</v>
      </c>
      <c r="R563" s="122">
        <v>48000</v>
      </c>
      <c r="S563" s="239"/>
      <c r="T563" s="1477"/>
      <c r="U563" s="169"/>
      <c r="V563" s="169"/>
      <c r="W563" s="169"/>
      <c r="X563" s="169"/>
      <c r="Y563" s="169"/>
      <c r="Z563" s="169"/>
    </row>
    <row r="564" spans="1:26" s="48" customFormat="1" ht="18" customHeight="1" x14ac:dyDescent="0.25">
      <c r="A564" s="1404" t="s">
        <v>1387</v>
      </c>
      <c r="B564" s="1404" t="s">
        <v>163</v>
      </c>
      <c r="C564" s="206" t="s">
        <v>182</v>
      </c>
      <c r="D564" s="1355"/>
      <c r="E564" s="184"/>
      <c r="F564" s="184"/>
      <c r="G564" s="184"/>
      <c r="H564" s="221" t="s">
        <v>183</v>
      </c>
      <c r="I564" s="141">
        <v>21591</v>
      </c>
      <c r="J564" s="141">
        <v>67200</v>
      </c>
      <c r="K564" s="141">
        <v>14394</v>
      </c>
      <c r="L564" s="141">
        <f t="shared" si="14"/>
        <v>52806</v>
      </c>
      <c r="M564" s="141">
        <v>67200</v>
      </c>
      <c r="N564" s="141">
        <v>21591</v>
      </c>
      <c r="O564" s="141"/>
      <c r="P564" s="141">
        <v>67200</v>
      </c>
      <c r="Q564" s="141">
        <v>67200</v>
      </c>
      <c r="R564" s="122">
        <v>67200</v>
      </c>
      <c r="S564" s="1456"/>
      <c r="T564" s="1477"/>
      <c r="U564" s="169"/>
      <c r="V564" s="169"/>
      <c r="W564" s="169"/>
      <c r="X564" s="169"/>
      <c r="Y564" s="169"/>
      <c r="Z564" s="169"/>
    </row>
    <row r="565" spans="1:26" s="146" customFormat="1" ht="18" x14ac:dyDescent="0.25">
      <c r="A565" s="1444" t="s">
        <v>1387</v>
      </c>
      <c r="B565" s="1444" t="s">
        <v>163</v>
      </c>
      <c r="C565" s="44" t="s">
        <v>182</v>
      </c>
      <c r="D565" s="1356"/>
      <c r="E565" s="125"/>
      <c r="F565" s="125"/>
      <c r="G565" s="125"/>
      <c r="H565" s="221" t="s">
        <v>183</v>
      </c>
      <c r="I565" s="141">
        <v>56696</v>
      </c>
      <c r="J565" s="141">
        <v>100000</v>
      </c>
      <c r="K565" s="141">
        <v>38148</v>
      </c>
      <c r="L565" s="141">
        <f t="shared" si="14"/>
        <v>61852</v>
      </c>
      <c r="M565" s="141">
        <v>100000</v>
      </c>
      <c r="N565" s="141">
        <v>70942</v>
      </c>
      <c r="O565" s="141"/>
      <c r="P565" s="141">
        <v>99840</v>
      </c>
      <c r="Q565" s="141">
        <v>99840</v>
      </c>
      <c r="R565" s="122">
        <v>99840</v>
      </c>
      <c r="S565" s="1456">
        <f>SUM(R563:R565)</f>
        <v>215040</v>
      </c>
      <c r="T565" s="1476"/>
    </row>
    <row r="566" spans="1:26" s="7" customFormat="1" ht="18" customHeight="1" x14ac:dyDescent="0.25">
      <c r="A566" s="1444" t="s">
        <v>1387</v>
      </c>
      <c r="B566" s="1444" t="s">
        <v>163</v>
      </c>
      <c r="C566" s="44" t="s">
        <v>468</v>
      </c>
      <c r="D566" s="1356"/>
      <c r="E566" s="125"/>
      <c r="F566" s="125"/>
      <c r="G566" s="125"/>
      <c r="H566" s="221" t="s">
        <v>469</v>
      </c>
      <c r="I566" s="141">
        <v>3846574</v>
      </c>
      <c r="J566" s="141">
        <v>41354789</v>
      </c>
      <c r="K566" s="141">
        <v>15597583</v>
      </c>
      <c r="L566" s="141">
        <f t="shared" si="14"/>
        <v>25757206</v>
      </c>
      <c r="M566" s="141">
        <v>41354789</v>
      </c>
      <c r="N566" s="141">
        <v>15597583</v>
      </c>
      <c r="O566" s="141"/>
      <c r="P566" s="141">
        <v>18215843.5</v>
      </c>
      <c r="Q566" s="141">
        <v>18215843.5</v>
      </c>
      <c r="R566" s="122">
        <v>16267693.5</v>
      </c>
      <c r="S566" s="239"/>
      <c r="T566" s="1475"/>
      <c r="U566" s="1380"/>
      <c r="V566" s="1380"/>
      <c r="W566" s="1380"/>
      <c r="X566" s="1380"/>
      <c r="Y566" s="1380"/>
      <c r="Z566" s="1380"/>
    </row>
    <row r="567" spans="1:26" s="7" customFormat="1" ht="18" customHeight="1" x14ac:dyDescent="0.25">
      <c r="A567" s="961" t="s">
        <v>1387</v>
      </c>
      <c r="B567" s="961" t="s">
        <v>163</v>
      </c>
      <c r="C567" s="44" t="s">
        <v>168</v>
      </c>
      <c r="D567" s="1355"/>
      <c r="E567" s="113"/>
      <c r="F567" s="113"/>
      <c r="G567" s="113"/>
      <c r="H567" s="221" t="s">
        <v>169</v>
      </c>
      <c r="I567" s="141">
        <v>49603.25</v>
      </c>
      <c r="J567" s="141">
        <v>54156</v>
      </c>
      <c r="K567" s="141">
        <v>18205</v>
      </c>
      <c r="L567" s="141">
        <f t="shared" si="14"/>
        <v>35951</v>
      </c>
      <c r="M567" s="141">
        <v>54156</v>
      </c>
      <c r="N567" s="141">
        <v>18265.990000000002</v>
      </c>
      <c r="O567" s="141"/>
      <c r="P567" s="141">
        <v>41483</v>
      </c>
      <c r="Q567" s="141">
        <v>41483</v>
      </c>
      <c r="R567" s="122">
        <v>41483</v>
      </c>
      <c r="S567" s="239"/>
      <c r="T567" s="1475"/>
      <c r="U567" s="1380"/>
      <c r="V567" s="1380"/>
      <c r="W567" s="1380"/>
      <c r="X567" s="1380"/>
      <c r="Y567" s="1380"/>
      <c r="Z567" s="1380"/>
    </row>
    <row r="568" spans="1:26" s="7" customFormat="1" ht="18" customHeight="1" x14ac:dyDescent="0.25">
      <c r="A568" s="961" t="s">
        <v>1387</v>
      </c>
      <c r="B568" s="961" t="s">
        <v>163</v>
      </c>
      <c r="C568" s="44" t="s">
        <v>168</v>
      </c>
      <c r="D568" s="1355"/>
      <c r="E568" s="113"/>
      <c r="F568" s="113"/>
      <c r="G568" s="113"/>
      <c r="H568" s="221" t="s">
        <v>169</v>
      </c>
      <c r="I568" s="141">
        <v>35368</v>
      </c>
      <c r="J568" s="122">
        <v>49952</v>
      </c>
      <c r="K568" s="141">
        <v>36206</v>
      </c>
      <c r="L568" s="141">
        <f t="shared" si="14"/>
        <v>13746</v>
      </c>
      <c r="M568" s="122">
        <v>49952</v>
      </c>
      <c r="N568" s="122">
        <v>36206</v>
      </c>
      <c r="O568" s="122"/>
      <c r="P568" s="1397">
        <v>49952</v>
      </c>
      <c r="Q568" s="1397">
        <v>49952</v>
      </c>
      <c r="R568" s="122">
        <v>49952</v>
      </c>
      <c r="S568" s="239"/>
      <c r="T568" s="1475"/>
      <c r="U568" s="1380"/>
      <c r="V568" s="1380"/>
      <c r="W568" s="1380"/>
      <c r="X568" s="1380"/>
      <c r="Y568" s="1380"/>
      <c r="Z568" s="1380"/>
    </row>
    <row r="569" spans="1:26" s="7" customFormat="1" ht="18" customHeight="1" x14ac:dyDescent="0.25">
      <c r="A569" s="1404" t="s">
        <v>1387</v>
      </c>
      <c r="B569" s="1404" t="s">
        <v>163</v>
      </c>
      <c r="C569" s="206" t="s">
        <v>294</v>
      </c>
      <c r="D569" s="1355"/>
      <c r="E569" s="184"/>
      <c r="F569" s="184"/>
      <c r="G569" s="184"/>
      <c r="H569" s="221" t="s">
        <v>169</v>
      </c>
      <c r="I569" s="141">
        <v>40061</v>
      </c>
      <c r="J569" s="141">
        <v>50000</v>
      </c>
      <c r="K569" s="141">
        <v>22403</v>
      </c>
      <c r="L569" s="141">
        <f t="shared" si="14"/>
        <v>27597</v>
      </c>
      <c r="M569" s="141">
        <v>50000</v>
      </c>
      <c r="N569" s="141">
        <v>22555.64</v>
      </c>
      <c r="O569" s="141"/>
      <c r="P569" s="141">
        <v>50000</v>
      </c>
      <c r="Q569" s="141">
        <v>50000</v>
      </c>
      <c r="R569" s="122">
        <v>50000</v>
      </c>
      <c r="S569" s="239"/>
      <c r="T569" s="1475"/>
      <c r="U569" s="1380"/>
      <c r="V569" s="1380"/>
      <c r="W569" s="1380"/>
      <c r="X569" s="1380"/>
      <c r="Y569" s="1380"/>
      <c r="Z569" s="1380"/>
    </row>
    <row r="570" spans="1:26" s="7" customFormat="1" ht="18" customHeight="1" x14ac:dyDescent="0.25">
      <c r="A570" s="1444" t="s">
        <v>1387</v>
      </c>
      <c r="B570" s="1444" t="s">
        <v>163</v>
      </c>
      <c r="C570" s="44" t="s">
        <v>168</v>
      </c>
      <c r="D570" s="1356"/>
      <c r="E570" s="125"/>
      <c r="F570" s="125"/>
      <c r="G570" s="125"/>
      <c r="H570" s="221" t="s">
        <v>169</v>
      </c>
      <c r="I570" s="141">
        <v>652539.75</v>
      </c>
      <c r="J570" s="141">
        <v>1189083</v>
      </c>
      <c r="K570" s="141">
        <v>642837.5</v>
      </c>
      <c r="L570" s="141">
        <f t="shared" si="14"/>
        <v>546245.5</v>
      </c>
      <c r="M570" s="141">
        <v>1189083</v>
      </c>
      <c r="N570" s="141">
        <v>646699.77</v>
      </c>
      <c r="O570" s="141"/>
      <c r="P570" s="141">
        <v>1720483</v>
      </c>
      <c r="Q570" s="141">
        <v>1720483</v>
      </c>
      <c r="R570" s="122">
        <v>1720483</v>
      </c>
      <c r="S570" s="239"/>
      <c r="T570" s="1475"/>
      <c r="U570" s="1380"/>
      <c r="V570" s="1380"/>
      <c r="W570" s="1380"/>
      <c r="X570" s="1380"/>
      <c r="Y570" s="1380"/>
      <c r="Z570" s="1380"/>
    </row>
    <row r="571" spans="1:26" s="7" customFormat="1" ht="18" customHeight="1" x14ac:dyDescent="0.25">
      <c r="A571" s="573" t="s">
        <v>1387</v>
      </c>
      <c r="B571" s="573" t="s">
        <v>163</v>
      </c>
      <c r="C571" s="44" t="s">
        <v>168</v>
      </c>
      <c r="D571" s="1355"/>
      <c r="E571" s="113"/>
      <c r="F571" s="113"/>
      <c r="G571" s="113"/>
      <c r="H571" s="221" t="s">
        <v>169</v>
      </c>
      <c r="I571" s="141">
        <v>111812.5</v>
      </c>
      <c r="J571" s="141">
        <v>138756</v>
      </c>
      <c r="K571" s="141">
        <v>136743.5</v>
      </c>
      <c r="L571" s="141">
        <f t="shared" si="14"/>
        <v>2012.5</v>
      </c>
      <c r="M571" s="141">
        <v>138756</v>
      </c>
      <c r="N571" s="141">
        <v>136743.5</v>
      </c>
      <c r="O571" s="141"/>
      <c r="P571" s="141">
        <v>236173</v>
      </c>
      <c r="Q571" s="141">
        <v>236173</v>
      </c>
      <c r="R571" s="122">
        <f>80314+236173</f>
        <v>316487</v>
      </c>
      <c r="S571" s="239">
        <f>SUM(R567:R571)</f>
        <v>2178405</v>
      </c>
      <c r="T571" s="1475"/>
      <c r="U571" s="1380"/>
      <c r="V571" s="1380"/>
      <c r="W571" s="1380"/>
      <c r="X571" s="1380"/>
      <c r="Y571" s="1380"/>
      <c r="Z571" s="1380"/>
    </row>
    <row r="572" spans="1:26" s="7" customFormat="1" ht="18" customHeight="1" x14ac:dyDescent="0.25">
      <c r="A572" s="1404" t="s">
        <v>1387</v>
      </c>
      <c r="B572" s="1404" t="s">
        <v>163</v>
      </c>
      <c r="C572" s="206" t="s">
        <v>300</v>
      </c>
      <c r="D572" s="1355"/>
      <c r="E572" s="184"/>
      <c r="F572" s="184"/>
      <c r="G572" s="184"/>
      <c r="H572" s="221" t="s">
        <v>199</v>
      </c>
      <c r="I572" s="141">
        <v>17256</v>
      </c>
      <c r="J572" s="141">
        <v>33000</v>
      </c>
      <c r="K572" s="141">
        <v>4884</v>
      </c>
      <c r="L572" s="141">
        <f t="shared" si="14"/>
        <v>28116</v>
      </c>
      <c r="M572" s="141">
        <v>33000</v>
      </c>
      <c r="N572" s="141">
        <v>7929</v>
      </c>
      <c r="O572" s="141"/>
      <c r="P572" s="141">
        <v>33000</v>
      </c>
      <c r="Q572" s="141">
        <v>33000</v>
      </c>
      <c r="R572" s="122">
        <v>33000</v>
      </c>
      <c r="S572" s="239"/>
      <c r="T572" s="1475"/>
      <c r="U572" s="1380"/>
      <c r="V572" s="1380"/>
      <c r="W572" s="1380"/>
      <c r="X572" s="1380"/>
      <c r="Y572" s="1380"/>
      <c r="Z572" s="1380"/>
    </row>
    <row r="573" spans="1:26" s="7" customFormat="1" ht="18" customHeight="1" x14ac:dyDescent="0.25">
      <c r="A573" s="961" t="s">
        <v>1387</v>
      </c>
      <c r="B573" s="961" t="s">
        <v>163</v>
      </c>
      <c r="C573" s="44" t="s">
        <v>198</v>
      </c>
      <c r="D573" s="1355"/>
      <c r="E573" s="113"/>
      <c r="F573" s="113"/>
      <c r="G573" s="113"/>
      <c r="H573" s="221" t="s">
        <v>199</v>
      </c>
      <c r="I573" s="141">
        <v>202909.81</v>
      </c>
      <c r="J573" s="141">
        <v>162024</v>
      </c>
      <c r="K573" s="141">
        <v>65683.539999999994</v>
      </c>
      <c r="L573" s="141">
        <f t="shared" si="14"/>
        <v>96340.46</v>
      </c>
      <c r="M573" s="141">
        <v>162024</v>
      </c>
      <c r="N573" s="141">
        <v>90600.07</v>
      </c>
      <c r="O573" s="141"/>
      <c r="P573" s="141">
        <v>168504</v>
      </c>
      <c r="Q573" s="141">
        <v>168504</v>
      </c>
      <c r="R573" s="122">
        <v>168504</v>
      </c>
      <c r="S573" s="239"/>
      <c r="T573" s="1475"/>
      <c r="U573" s="1380"/>
      <c r="V573" s="1380"/>
      <c r="W573" s="1380"/>
      <c r="X573" s="1380"/>
      <c r="Y573" s="1380"/>
      <c r="Z573" s="1380"/>
    </row>
    <row r="574" spans="1:26" s="7" customFormat="1" ht="18" customHeight="1" x14ac:dyDescent="0.25">
      <c r="A574" s="961" t="s">
        <v>1387</v>
      </c>
      <c r="B574" s="961" t="s">
        <v>163</v>
      </c>
      <c r="C574" s="44" t="s">
        <v>198</v>
      </c>
      <c r="D574" s="1355"/>
      <c r="E574" s="113"/>
      <c r="F574" s="113"/>
      <c r="G574" s="113"/>
      <c r="H574" s="221" t="s">
        <v>199</v>
      </c>
      <c r="I574" s="141">
        <v>0</v>
      </c>
      <c r="J574" s="122">
        <v>5000</v>
      </c>
      <c r="K574" s="141"/>
      <c r="L574" s="141">
        <f t="shared" si="14"/>
        <v>5000</v>
      </c>
      <c r="M574" s="122">
        <v>5000</v>
      </c>
      <c r="N574" s="122"/>
      <c r="O574" s="122"/>
      <c r="P574" s="1397">
        <v>5000</v>
      </c>
      <c r="Q574" s="1397">
        <v>5000</v>
      </c>
      <c r="R574" s="122">
        <v>5000</v>
      </c>
      <c r="S574" s="239"/>
      <c r="T574" s="1475"/>
      <c r="U574" s="1380"/>
      <c r="V574" s="1380"/>
      <c r="W574" s="1380"/>
      <c r="X574" s="1380"/>
      <c r="Y574" s="1380"/>
      <c r="Z574" s="1380"/>
    </row>
    <row r="575" spans="1:26" s="7" customFormat="1" ht="18" customHeight="1" x14ac:dyDescent="0.25">
      <c r="A575" s="573" t="s">
        <v>1387</v>
      </c>
      <c r="B575" s="573" t="s">
        <v>163</v>
      </c>
      <c r="C575" s="44" t="s">
        <v>198</v>
      </c>
      <c r="D575" s="1355"/>
      <c r="E575" s="113"/>
      <c r="F575" s="113"/>
      <c r="G575" s="113"/>
      <c r="H575" s="221" t="s">
        <v>199</v>
      </c>
      <c r="I575" s="141">
        <v>497795.41</v>
      </c>
      <c r="J575" s="141">
        <v>963526.56</v>
      </c>
      <c r="K575" s="141">
        <v>198781.92</v>
      </c>
      <c r="L575" s="141">
        <f t="shared" si="14"/>
        <v>764744.64</v>
      </c>
      <c r="M575" s="141">
        <v>963526.56</v>
      </c>
      <c r="N575" s="141">
        <v>322046.34999999998</v>
      </c>
      <c r="O575" s="141"/>
      <c r="P575" s="141">
        <v>1170166.56</v>
      </c>
      <c r="Q575" s="141">
        <v>1170166.56</v>
      </c>
      <c r="R575" s="122">
        <v>1170166.56</v>
      </c>
      <c r="S575" s="239"/>
      <c r="T575" s="1475"/>
      <c r="U575" s="1380"/>
      <c r="V575" s="1380"/>
      <c r="W575" s="1380"/>
      <c r="X575" s="1380"/>
      <c r="Y575" s="1380"/>
      <c r="Z575" s="1380"/>
    </row>
    <row r="576" spans="1:26" s="7" customFormat="1" ht="18" customHeight="1" x14ac:dyDescent="0.25">
      <c r="A576" s="1444" t="s">
        <v>1387</v>
      </c>
      <c r="B576" s="1444" t="s">
        <v>163</v>
      </c>
      <c r="C576" s="44" t="s">
        <v>1646</v>
      </c>
      <c r="D576" s="1356"/>
      <c r="E576" s="125"/>
      <c r="F576" s="125"/>
      <c r="G576" s="125"/>
      <c r="H576" s="221" t="s">
        <v>199</v>
      </c>
      <c r="I576" s="141">
        <v>3122242.3</v>
      </c>
      <c r="J576" s="141">
        <v>5608932.1600000001</v>
      </c>
      <c r="K576" s="141">
        <v>2294996.1</v>
      </c>
      <c r="L576" s="141">
        <f t="shared" si="14"/>
        <v>5313936.0600000005</v>
      </c>
      <c r="M576" s="141">
        <v>7608932.1600000001</v>
      </c>
      <c r="N576" s="141">
        <v>3216729.98</v>
      </c>
      <c r="O576" s="141"/>
      <c r="P576" s="141">
        <v>7610045.7599999998</v>
      </c>
      <c r="Q576" s="141">
        <v>7610045.7599999998</v>
      </c>
      <c r="R576" s="122">
        <v>7610045.7599999998</v>
      </c>
      <c r="S576" s="239">
        <f>SUM(R572:R576)</f>
        <v>8986716.3200000003</v>
      </c>
      <c r="T576" s="1475"/>
      <c r="U576" s="1380"/>
      <c r="V576" s="1380"/>
      <c r="W576" s="1380"/>
      <c r="X576" s="1380"/>
      <c r="Y576" s="1380"/>
      <c r="Z576" s="1380"/>
    </row>
    <row r="577" spans="1:26" s="7" customFormat="1" ht="18" customHeight="1" x14ac:dyDescent="0.25">
      <c r="A577" s="1444" t="s">
        <v>1387</v>
      </c>
      <c r="B577" s="1444" t="s">
        <v>163</v>
      </c>
      <c r="C577" s="1369" t="s">
        <v>170</v>
      </c>
      <c r="D577" s="1356"/>
      <c r="E577" s="1356"/>
      <c r="F577" s="1356"/>
      <c r="G577" s="1356"/>
      <c r="H577" s="221" t="s">
        <v>171</v>
      </c>
      <c r="I577" s="141">
        <f>367100+250230</f>
        <v>617330</v>
      </c>
      <c r="J577" s="141">
        <v>1679955</v>
      </c>
      <c r="K577" s="141"/>
      <c r="L577" s="141">
        <f t="shared" si="14"/>
        <v>1679955</v>
      </c>
      <c r="M577" s="141">
        <v>1679955</v>
      </c>
      <c r="N577" s="141">
        <v>371325</v>
      </c>
      <c r="O577" s="141"/>
      <c r="P577" s="141">
        <v>2081672</v>
      </c>
      <c r="Q577" s="141">
        <v>2081672</v>
      </c>
      <c r="R577" s="122">
        <v>2081672</v>
      </c>
      <c r="S577" s="239"/>
      <c r="T577" s="1475"/>
      <c r="U577" s="1380"/>
      <c r="V577" s="1380"/>
      <c r="W577" s="1380"/>
      <c r="X577" s="1380"/>
      <c r="Y577" s="1380"/>
      <c r="Z577" s="1380"/>
    </row>
    <row r="578" spans="1:26" s="7" customFormat="1" ht="18" customHeight="1" x14ac:dyDescent="0.25">
      <c r="A578" s="961" t="s">
        <v>1387</v>
      </c>
      <c r="B578" s="961" t="s">
        <v>163</v>
      </c>
      <c r="C578" s="44" t="s">
        <v>213</v>
      </c>
      <c r="D578" s="1355"/>
      <c r="E578" s="113"/>
      <c r="F578" s="113"/>
      <c r="G578" s="113"/>
      <c r="H578" s="221" t="s">
        <v>171</v>
      </c>
      <c r="I578" s="141">
        <f>9474+7655</f>
        <v>17129</v>
      </c>
      <c r="J578" s="141">
        <v>23784</v>
      </c>
      <c r="K578" s="141"/>
      <c r="L578" s="141">
        <f t="shared" si="14"/>
        <v>23784</v>
      </c>
      <c r="M578" s="141">
        <v>23784</v>
      </c>
      <c r="N578" s="141">
        <v>2405</v>
      </c>
      <c r="O578" s="141"/>
      <c r="P578" s="141">
        <v>48758.3</v>
      </c>
      <c r="Q578" s="141">
        <v>48758.3</v>
      </c>
      <c r="R578" s="122">
        <v>48758.3</v>
      </c>
      <c r="S578" s="239"/>
      <c r="T578" s="1475"/>
      <c r="U578" s="1380"/>
      <c r="V578" s="1380"/>
      <c r="W578" s="1380"/>
      <c r="X578" s="1380"/>
      <c r="Y578" s="1380"/>
      <c r="Z578" s="1380"/>
    </row>
    <row r="579" spans="1:26" s="7" customFormat="1" ht="18" customHeight="1" x14ac:dyDescent="0.25">
      <c r="A579" s="961" t="s">
        <v>1387</v>
      </c>
      <c r="B579" s="961" t="s">
        <v>163</v>
      </c>
      <c r="C579" s="44" t="s">
        <v>288</v>
      </c>
      <c r="D579" s="1355"/>
      <c r="E579" s="113"/>
      <c r="F579" s="113"/>
      <c r="G579" s="113"/>
      <c r="H579" s="221" t="s">
        <v>171</v>
      </c>
      <c r="I579" s="141">
        <v>3960</v>
      </c>
      <c r="J579" s="122">
        <v>33960</v>
      </c>
      <c r="K579" s="141"/>
      <c r="L579" s="141">
        <f t="shared" si="14"/>
        <v>33960</v>
      </c>
      <c r="M579" s="122">
        <v>33960</v>
      </c>
      <c r="N579" s="122">
        <v>2100</v>
      </c>
      <c r="O579" s="122"/>
      <c r="P579" s="1397">
        <v>33960</v>
      </c>
      <c r="Q579" s="1397">
        <v>33960</v>
      </c>
      <c r="R579" s="122">
        <v>33960</v>
      </c>
      <c r="S579" s="239"/>
      <c r="T579" s="1475"/>
      <c r="U579" s="1380"/>
      <c r="V579" s="1380"/>
      <c r="W579" s="1380"/>
      <c r="X579" s="1380"/>
      <c r="Y579" s="1380"/>
      <c r="Z579" s="1380"/>
    </row>
    <row r="580" spans="1:26" s="7" customFormat="1" ht="18" customHeight="1" x14ac:dyDescent="0.25">
      <c r="A580" s="1404" t="s">
        <v>1387</v>
      </c>
      <c r="B580" s="1404" t="s">
        <v>163</v>
      </c>
      <c r="C580" s="206" t="s">
        <v>319</v>
      </c>
      <c r="D580" s="1355"/>
      <c r="E580" s="184"/>
      <c r="F580" s="184"/>
      <c r="G580" s="184"/>
      <c r="H580" s="221" t="s">
        <v>171</v>
      </c>
      <c r="I580" s="141">
        <v>9345</v>
      </c>
      <c r="J580" s="141">
        <v>30000</v>
      </c>
      <c r="K580" s="141"/>
      <c r="L580" s="141">
        <f t="shared" si="14"/>
        <v>30000</v>
      </c>
      <c r="M580" s="141">
        <v>30000</v>
      </c>
      <c r="N580" s="141">
        <v>7609.8</v>
      </c>
      <c r="O580" s="141"/>
      <c r="P580" s="141">
        <v>60000</v>
      </c>
      <c r="Q580" s="141">
        <v>60000</v>
      </c>
      <c r="R580" s="122">
        <v>60000</v>
      </c>
      <c r="S580" s="239"/>
      <c r="T580" s="1475"/>
      <c r="U580" s="1380"/>
      <c r="V580" s="1380"/>
      <c r="W580" s="1380"/>
      <c r="X580" s="1380"/>
      <c r="Y580" s="1380"/>
      <c r="Z580" s="1380"/>
    </row>
    <row r="581" spans="1:26" s="7" customFormat="1" ht="18" customHeight="1" x14ac:dyDescent="0.25">
      <c r="A581" s="573" t="s">
        <v>1387</v>
      </c>
      <c r="B581" s="573" t="s">
        <v>163</v>
      </c>
      <c r="C581" s="44" t="s">
        <v>213</v>
      </c>
      <c r="D581" s="1355"/>
      <c r="E581" s="113"/>
      <c r="F581" s="113"/>
      <c r="G581" s="113"/>
      <c r="H581" s="221" t="s">
        <v>171</v>
      </c>
      <c r="I581" s="141">
        <v>0</v>
      </c>
      <c r="J581" s="141">
        <v>19415</v>
      </c>
      <c r="K581" s="141"/>
      <c r="L581" s="141">
        <f t="shared" si="14"/>
        <v>19415</v>
      </c>
      <c r="M581" s="141">
        <v>19415</v>
      </c>
      <c r="N581" s="141">
        <v>16122</v>
      </c>
      <c r="O581" s="141"/>
      <c r="P581" s="141">
        <v>298897</v>
      </c>
      <c r="Q581" s="141">
        <v>298897</v>
      </c>
      <c r="R581" s="122">
        <f>50000+298897</f>
        <v>348897</v>
      </c>
      <c r="S581" s="239">
        <f>SUM(R577:R581)</f>
        <v>2573287.2999999998</v>
      </c>
      <c r="T581" s="1475"/>
      <c r="U581" s="1380"/>
      <c r="V581" s="1380"/>
      <c r="W581" s="1380"/>
      <c r="X581" s="1380"/>
      <c r="Y581" s="1380"/>
      <c r="Z581" s="1380"/>
    </row>
    <row r="582" spans="1:26" s="7" customFormat="1" ht="18" customHeight="1" x14ac:dyDescent="0.25">
      <c r="A582" s="1444" t="s">
        <v>1387</v>
      </c>
      <c r="B582" s="1444" t="s">
        <v>163</v>
      </c>
      <c r="C582" s="44" t="s">
        <v>296</v>
      </c>
      <c r="D582" s="1356"/>
      <c r="E582" s="125"/>
      <c r="F582" s="125"/>
      <c r="G582" s="125"/>
      <c r="H582" s="221" t="s">
        <v>177</v>
      </c>
      <c r="I582" s="141">
        <v>0</v>
      </c>
      <c r="J582" s="141">
        <v>8000</v>
      </c>
      <c r="K582" s="141">
        <v>605</v>
      </c>
      <c r="L582" s="141">
        <f t="shared" si="14"/>
        <v>7395</v>
      </c>
      <c r="M582" s="141">
        <v>8000</v>
      </c>
      <c r="N582" s="141">
        <v>605</v>
      </c>
      <c r="O582" s="141"/>
      <c r="P582" s="141">
        <v>6000</v>
      </c>
      <c r="Q582" s="141">
        <v>6000</v>
      </c>
      <c r="R582" s="122">
        <v>6000</v>
      </c>
      <c r="S582" s="239"/>
      <c r="T582" s="1475"/>
      <c r="U582" s="1380"/>
      <c r="V582" s="1380"/>
      <c r="W582" s="1380"/>
      <c r="X582" s="1380"/>
      <c r="Y582" s="1380"/>
      <c r="Z582" s="1380"/>
    </row>
    <row r="583" spans="1:26" s="7" customFormat="1" ht="18" customHeight="1" x14ac:dyDescent="0.25">
      <c r="A583" s="961" t="s">
        <v>1387</v>
      </c>
      <c r="B583" s="961" t="s">
        <v>163</v>
      </c>
      <c r="C583" s="44" t="s">
        <v>176</v>
      </c>
      <c r="D583" s="1355"/>
      <c r="E583" s="113"/>
      <c r="F583" s="113"/>
      <c r="G583" s="113"/>
      <c r="H583" s="221" t="s">
        <v>177</v>
      </c>
      <c r="I583" s="141">
        <v>0</v>
      </c>
      <c r="J583" s="122">
        <v>5000</v>
      </c>
      <c r="K583" s="141"/>
      <c r="L583" s="141">
        <f t="shared" si="14"/>
        <v>5000</v>
      </c>
      <c r="M583" s="122">
        <v>5000</v>
      </c>
      <c r="N583" s="122"/>
      <c r="O583" s="122"/>
      <c r="P583" s="1397">
        <v>5000</v>
      </c>
      <c r="Q583" s="1397">
        <v>5000</v>
      </c>
      <c r="R583" s="122">
        <v>5000</v>
      </c>
      <c r="S583" s="239"/>
      <c r="T583" s="1475"/>
      <c r="U583" s="1380"/>
      <c r="V583" s="1380"/>
      <c r="W583" s="1380"/>
      <c r="X583" s="1380"/>
      <c r="Y583" s="1380"/>
      <c r="Z583" s="1380"/>
    </row>
    <row r="584" spans="1:26" s="7" customFormat="1" ht="18" customHeight="1" x14ac:dyDescent="0.25">
      <c r="A584" s="573" t="s">
        <v>1387</v>
      </c>
      <c r="B584" s="573" t="s">
        <v>163</v>
      </c>
      <c r="C584" s="44" t="s">
        <v>176</v>
      </c>
      <c r="D584" s="1355"/>
      <c r="E584" s="113"/>
      <c r="F584" s="113"/>
      <c r="G584" s="113"/>
      <c r="H584" s="221" t="s">
        <v>177</v>
      </c>
      <c r="I584" s="141">
        <v>200</v>
      </c>
      <c r="J584" s="141">
        <v>1000</v>
      </c>
      <c r="K584" s="141"/>
      <c r="L584" s="141">
        <f t="shared" si="14"/>
        <v>1000</v>
      </c>
      <c r="M584" s="141">
        <v>1000</v>
      </c>
      <c r="N584" s="141"/>
      <c r="O584" s="141"/>
      <c r="P584" s="141">
        <v>1000</v>
      </c>
      <c r="Q584" s="141">
        <v>1000</v>
      </c>
      <c r="R584" s="122">
        <v>1000</v>
      </c>
      <c r="S584" s="239">
        <f>SUM(R582:R584)</f>
        <v>12000</v>
      </c>
      <c r="T584" s="1475"/>
      <c r="U584" s="1380"/>
      <c r="V584" s="1380"/>
      <c r="W584" s="1380"/>
      <c r="X584" s="1380"/>
      <c r="Y584" s="1380"/>
      <c r="Z584" s="1380"/>
    </row>
    <row r="585" spans="1:26" s="7" customFormat="1" ht="18" customHeight="1" x14ac:dyDescent="0.25">
      <c r="A585" s="1444" t="s">
        <v>1387</v>
      </c>
      <c r="B585" s="1444" t="s">
        <v>163</v>
      </c>
      <c r="C585" s="44" t="s">
        <v>1645</v>
      </c>
      <c r="D585" s="1356"/>
      <c r="E585" s="125"/>
      <c r="F585" s="125"/>
      <c r="G585" s="125"/>
      <c r="H585" s="221" t="s">
        <v>474</v>
      </c>
      <c r="I585" s="141">
        <v>0</v>
      </c>
      <c r="J585" s="141">
        <v>1000000</v>
      </c>
      <c r="K585" s="141"/>
      <c r="L585" s="141">
        <f t="shared" si="14"/>
        <v>1000000</v>
      </c>
      <c r="M585" s="141">
        <v>1000000</v>
      </c>
      <c r="N585" s="141"/>
      <c r="O585" s="141"/>
      <c r="P585" s="141">
        <v>1000000</v>
      </c>
      <c r="Q585" s="141">
        <v>1000000</v>
      </c>
      <c r="R585" s="122">
        <v>1000000</v>
      </c>
      <c r="S585" s="239"/>
      <c r="T585" s="1475"/>
      <c r="U585" s="1380"/>
      <c r="V585" s="1380"/>
      <c r="W585" s="1380"/>
      <c r="X585" s="1380"/>
      <c r="Y585" s="1380"/>
      <c r="Z585" s="1380"/>
    </row>
    <row r="586" spans="1:26" ht="18" customHeight="1" x14ac:dyDescent="0.25">
      <c r="A586" s="961" t="s">
        <v>1387</v>
      </c>
      <c r="B586" s="961" t="s">
        <v>163</v>
      </c>
      <c r="C586" s="44" t="s">
        <v>186</v>
      </c>
      <c r="D586" s="1355"/>
      <c r="E586" s="113"/>
      <c r="F586" s="113"/>
      <c r="G586" s="113"/>
      <c r="H586" s="221" t="s">
        <v>187</v>
      </c>
      <c r="I586" s="141">
        <v>0</v>
      </c>
      <c r="J586" s="141">
        <v>20000</v>
      </c>
      <c r="K586" s="141"/>
      <c r="L586" s="141">
        <f t="shared" si="14"/>
        <v>20000</v>
      </c>
      <c r="M586" s="141">
        <v>20000</v>
      </c>
      <c r="N586" s="141">
        <v>0</v>
      </c>
      <c r="O586" s="141"/>
      <c r="P586" s="141">
        <v>20000</v>
      </c>
      <c r="Q586" s="141">
        <v>20000</v>
      </c>
      <c r="R586" s="122">
        <v>20000</v>
      </c>
    </row>
    <row r="587" spans="1:26" ht="18" customHeight="1" x14ac:dyDescent="0.25">
      <c r="A587" s="961" t="s">
        <v>1387</v>
      </c>
      <c r="B587" s="961" t="s">
        <v>163</v>
      </c>
      <c r="C587" s="44" t="s">
        <v>186</v>
      </c>
      <c r="D587" s="1355"/>
      <c r="E587" s="113"/>
      <c r="F587" s="113"/>
      <c r="G587" s="113"/>
      <c r="H587" s="221" t="s">
        <v>187</v>
      </c>
      <c r="I587" s="141">
        <v>0</v>
      </c>
      <c r="J587" s="122">
        <v>5000</v>
      </c>
      <c r="K587" s="141"/>
      <c r="L587" s="141">
        <f t="shared" si="14"/>
        <v>5000</v>
      </c>
      <c r="M587" s="122">
        <v>5000</v>
      </c>
      <c r="N587" s="122"/>
      <c r="O587" s="122"/>
      <c r="P587" s="1397">
        <v>5000</v>
      </c>
      <c r="Q587" s="1397">
        <v>5000</v>
      </c>
      <c r="R587" s="122">
        <v>5000</v>
      </c>
    </row>
    <row r="588" spans="1:26" ht="18" customHeight="1" x14ac:dyDescent="0.25">
      <c r="A588" s="1444" t="s">
        <v>1387</v>
      </c>
      <c r="B588" s="1444" t="s">
        <v>163</v>
      </c>
      <c r="C588" s="44" t="s">
        <v>186</v>
      </c>
      <c r="D588" s="1356"/>
      <c r="E588" s="125"/>
      <c r="F588" s="125"/>
      <c r="G588" s="125"/>
      <c r="H588" s="221" t="s">
        <v>356</v>
      </c>
      <c r="I588" s="141">
        <v>19287.12</v>
      </c>
      <c r="J588" s="141">
        <v>250000</v>
      </c>
      <c r="K588" s="141">
        <v>50000</v>
      </c>
      <c r="L588" s="141">
        <f t="shared" si="14"/>
        <v>200000</v>
      </c>
      <c r="M588" s="141">
        <v>250000</v>
      </c>
      <c r="N588" s="141">
        <v>50000</v>
      </c>
      <c r="O588" s="141"/>
      <c r="P588" s="141">
        <v>250000</v>
      </c>
      <c r="Q588" s="141">
        <v>250000</v>
      </c>
      <c r="R588" s="122">
        <v>250000</v>
      </c>
      <c r="S588" s="1450"/>
    </row>
    <row r="589" spans="1:26" s="7" customFormat="1" ht="18" customHeight="1" x14ac:dyDescent="0.25">
      <c r="A589" s="573" t="s">
        <v>1387</v>
      </c>
      <c r="B589" s="573" t="s">
        <v>163</v>
      </c>
      <c r="C589" s="44" t="s">
        <v>186</v>
      </c>
      <c r="D589" s="1355"/>
      <c r="E589" s="113"/>
      <c r="F589" s="113"/>
      <c r="G589" s="113"/>
      <c r="H589" s="221" t="s">
        <v>187</v>
      </c>
      <c r="I589" s="141">
        <v>2500</v>
      </c>
      <c r="J589" s="141"/>
      <c r="K589" s="141"/>
      <c r="L589" s="141">
        <f t="shared" si="14"/>
        <v>0</v>
      </c>
      <c r="M589" s="141">
        <v>0</v>
      </c>
      <c r="N589" s="141"/>
      <c r="O589" s="141"/>
      <c r="P589" s="141">
        <v>5000</v>
      </c>
      <c r="Q589" s="141">
        <v>5000</v>
      </c>
      <c r="R589" s="122">
        <v>5000</v>
      </c>
      <c r="S589" s="1460"/>
      <c r="T589" s="1475"/>
      <c r="U589" s="1380"/>
      <c r="V589" s="1380"/>
      <c r="W589" s="1380"/>
      <c r="X589" s="1380"/>
      <c r="Y589" s="1380"/>
      <c r="Z589" s="1380"/>
    </row>
    <row r="590" spans="1:26" s="7" customFormat="1" ht="15.75" customHeight="1" x14ac:dyDescent="0.25">
      <c r="A590" s="1404" t="s">
        <v>1387</v>
      </c>
      <c r="B590" s="1404" t="s">
        <v>163</v>
      </c>
      <c r="C590" s="206" t="s">
        <v>297</v>
      </c>
      <c r="D590" s="1355"/>
      <c r="E590" s="184"/>
      <c r="F590" s="184"/>
      <c r="G590" s="184"/>
      <c r="H590" s="221" t="s">
        <v>187</v>
      </c>
      <c r="I590" s="141">
        <v>0</v>
      </c>
      <c r="J590" s="141">
        <v>30000</v>
      </c>
      <c r="K590" s="141"/>
      <c r="L590" s="141">
        <f t="shared" si="14"/>
        <v>30000</v>
      </c>
      <c r="M590" s="141">
        <v>30000</v>
      </c>
      <c r="N590" s="141"/>
      <c r="O590" s="141"/>
      <c r="P590" s="141">
        <v>30000</v>
      </c>
      <c r="Q590" s="141">
        <v>30000</v>
      </c>
      <c r="R590" s="122">
        <v>30000</v>
      </c>
      <c r="S590" s="239">
        <f>SUM(R586:R590)</f>
        <v>310000</v>
      </c>
      <c r="T590" s="1475"/>
      <c r="U590" s="1380"/>
      <c r="V590" s="1380"/>
      <c r="W590" s="1380"/>
      <c r="X590" s="1380"/>
      <c r="Y590" s="1380"/>
      <c r="Z590" s="1380"/>
    </row>
    <row r="591" spans="1:26" s="142" customFormat="1" ht="15" customHeight="1" x14ac:dyDescent="0.3">
      <c r="A591" s="1444" t="s">
        <v>1387</v>
      </c>
      <c r="B591" s="1444" t="s">
        <v>163</v>
      </c>
      <c r="C591" s="44" t="s">
        <v>188</v>
      </c>
      <c r="D591" s="1356"/>
      <c r="E591" s="125"/>
      <c r="F591" s="125"/>
      <c r="G591" s="125"/>
      <c r="H591" s="221" t="s">
        <v>189</v>
      </c>
      <c r="I591" s="141">
        <v>65000</v>
      </c>
      <c r="J591" s="141">
        <v>1000000</v>
      </c>
      <c r="K591" s="141"/>
      <c r="L591" s="141">
        <f t="shared" si="14"/>
        <v>1000000</v>
      </c>
      <c r="M591" s="141">
        <v>1000000</v>
      </c>
      <c r="N591" s="141"/>
      <c r="O591" s="141"/>
      <c r="P591" s="141">
        <v>1000000</v>
      </c>
      <c r="Q591" s="141">
        <v>1000000</v>
      </c>
      <c r="R591" s="122">
        <v>1000000</v>
      </c>
      <c r="S591" s="1456"/>
      <c r="T591" s="1482"/>
      <c r="U591" s="1461"/>
      <c r="V591" s="1461"/>
      <c r="W591" s="1461"/>
      <c r="X591" s="1461"/>
      <c r="Y591" s="1461"/>
      <c r="Z591" s="1461"/>
    </row>
    <row r="592" spans="1:26" s="48" customFormat="1" ht="18" customHeight="1" x14ac:dyDescent="0.25">
      <c r="A592" s="961" t="s">
        <v>1387</v>
      </c>
      <c r="B592" s="961" t="s">
        <v>163</v>
      </c>
      <c r="C592" s="44" t="s">
        <v>178</v>
      </c>
      <c r="D592" s="1355"/>
      <c r="E592" s="113"/>
      <c r="F592" s="113"/>
      <c r="G592" s="113"/>
      <c r="H592" s="221" t="s">
        <v>179</v>
      </c>
      <c r="I592" s="141">
        <v>0</v>
      </c>
      <c r="J592" s="122">
        <v>30000</v>
      </c>
      <c r="K592" s="141"/>
      <c r="L592" s="141">
        <f t="shared" si="14"/>
        <v>30000</v>
      </c>
      <c r="M592" s="122">
        <v>30000</v>
      </c>
      <c r="N592" s="122"/>
      <c r="O592" s="122"/>
      <c r="P592" s="1397">
        <v>30000</v>
      </c>
      <c r="Q592" s="1397">
        <v>30000</v>
      </c>
      <c r="R592" s="122">
        <v>30000</v>
      </c>
      <c r="S592" s="1701"/>
      <c r="T592" s="1477"/>
      <c r="U592" s="169"/>
      <c r="V592" s="169"/>
      <c r="W592" s="169"/>
      <c r="X592" s="169"/>
      <c r="Y592" s="169"/>
      <c r="Z592" s="169"/>
    </row>
    <row r="593" spans="1:26" s="1153" customFormat="1" ht="16.5" customHeight="1" x14ac:dyDescent="0.25">
      <c r="A593" s="1404" t="s">
        <v>1387</v>
      </c>
      <c r="B593" s="1404" t="s">
        <v>163</v>
      </c>
      <c r="C593" s="206" t="s">
        <v>178</v>
      </c>
      <c r="D593" s="1355"/>
      <c r="E593" s="184"/>
      <c r="F593" s="184"/>
      <c r="G593" s="184"/>
      <c r="H593" s="221" t="s">
        <v>179</v>
      </c>
      <c r="I593" s="141">
        <v>7197</v>
      </c>
      <c r="J593" s="141">
        <v>28800</v>
      </c>
      <c r="K593" s="141"/>
      <c r="L593" s="141">
        <f t="shared" si="14"/>
        <v>28800</v>
      </c>
      <c r="M593" s="141">
        <v>28800</v>
      </c>
      <c r="N593" s="141"/>
      <c r="O593" s="141"/>
      <c r="P593" s="141">
        <v>28800</v>
      </c>
      <c r="Q593" s="141">
        <v>28800</v>
      </c>
      <c r="R593" s="122">
        <v>28800</v>
      </c>
      <c r="S593" s="1701"/>
      <c r="T593" s="1483"/>
      <c r="U593" s="1256"/>
      <c r="V593" s="1256"/>
      <c r="W593" s="1256"/>
      <c r="X593" s="1256"/>
      <c r="Y593" s="1256"/>
      <c r="Z593" s="1256"/>
    </row>
    <row r="594" spans="1:26" s="48" customFormat="1" ht="18" customHeight="1" x14ac:dyDescent="0.25">
      <c r="A594" s="1444" t="s">
        <v>1387</v>
      </c>
      <c r="B594" s="1444" t="s">
        <v>163</v>
      </c>
      <c r="C594" s="44" t="s">
        <v>178</v>
      </c>
      <c r="D594" s="1356"/>
      <c r="E594" s="125"/>
      <c r="F594" s="125"/>
      <c r="G594" s="125"/>
      <c r="H594" s="221" t="s">
        <v>179</v>
      </c>
      <c r="I594" s="141">
        <f>42000+27269.06</f>
        <v>69269.06</v>
      </c>
      <c r="J594" s="141">
        <v>109200</v>
      </c>
      <c r="K594" s="141">
        <v>26585.72</v>
      </c>
      <c r="L594" s="141">
        <f t="shared" si="14"/>
        <v>82614.28</v>
      </c>
      <c r="M594" s="141">
        <v>109200</v>
      </c>
      <c r="N594" s="141">
        <v>37780.959999999999</v>
      </c>
      <c r="O594" s="141"/>
      <c r="P594" s="141">
        <v>151200</v>
      </c>
      <c r="Q594" s="141">
        <v>151200</v>
      </c>
      <c r="R594" s="122">
        <v>151200</v>
      </c>
      <c r="S594" s="239"/>
      <c r="T594" s="1477"/>
      <c r="U594" s="169"/>
      <c r="V594" s="169"/>
      <c r="W594" s="169"/>
      <c r="X594" s="169"/>
      <c r="Y594" s="169"/>
      <c r="Z594" s="169"/>
    </row>
    <row r="595" spans="1:26" s="48" customFormat="1" ht="17.45" customHeight="1" x14ac:dyDescent="0.25">
      <c r="A595" s="573" t="s">
        <v>1387</v>
      </c>
      <c r="B595" s="573" t="s">
        <v>163</v>
      </c>
      <c r="C595" s="44" t="s">
        <v>178</v>
      </c>
      <c r="D595" s="1355"/>
      <c r="E595" s="113"/>
      <c r="F595" s="113"/>
      <c r="G595" s="113"/>
      <c r="H595" s="221" t="s">
        <v>179</v>
      </c>
      <c r="I595" s="141">
        <f>26388+42000</f>
        <v>68388</v>
      </c>
      <c r="J595" s="141">
        <v>42000</v>
      </c>
      <c r="K595" s="141">
        <v>27194</v>
      </c>
      <c r="L595" s="141">
        <f t="shared" si="14"/>
        <v>14806</v>
      </c>
      <c r="M595" s="141">
        <v>42000</v>
      </c>
      <c r="N595" s="141">
        <v>36393</v>
      </c>
      <c r="O595" s="141"/>
      <c r="P595" s="141">
        <f>54000+48000+42000</f>
        <v>144000</v>
      </c>
      <c r="Q595" s="141">
        <f>54000+48000+42000</f>
        <v>144000</v>
      </c>
      <c r="R595" s="122">
        <f>54000+48000+42000</f>
        <v>144000</v>
      </c>
      <c r="S595" s="239">
        <f>SUM(R592:R595)</f>
        <v>354000</v>
      </c>
      <c r="T595" s="1477"/>
      <c r="U595" s="169"/>
      <c r="V595" s="169"/>
      <c r="W595" s="169"/>
      <c r="X595" s="169"/>
      <c r="Y595" s="169"/>
      <c r="Z595" s="169"/>
    </row>
    <row r="596" spans="1:26" s="48" customFormat="1" ht="17.100000000000001" customHeight="1" x14ac:dyDescent="0.25">
      <c r="A596" s="573" t="s">
        <v>1387</v>
      </c>
      <c r="B596" s="573" t="s">
        <v>163</v>
      </c>
      <c r="C596" s="206" t="s">
        <v>1675</v>
      </c>
      <c r="D596" s="1355"/>
      <c r="E596" s="199"/>
      <c r="F596" s="199"/>
      <c r="G596" s="1355"/>
      <c r="H596" s="381"/>
      <c r="I596" s="141"/>
      <c r="J596" s="122"/>
      <c r="K596" s="141"/>
      <c r="L596" s="141"/>
      <c r="M596" s="122"/>
      <c r="N596" s="122"/>
      <c r="O596" s="122"/>
      <c r="P596" s="122">
        <v>1200000</v>
      </c>
      <c r="Q596" s="122">
        <v>1200000</v>
      </c>
      <c r="R596" s="122">
        <v>2350000</v>
      </c>
      <c r="S596" s="239"/>
      <c r="T596" s="1477"/>
      <c r="U596" s="169"/>
      <c r="V596" s="169"/>
      <c r="W596" s="169"/>
      <c r="X596" s="169"/>
      <c r="Y596" s="169"/>
      <c r="Z596" s="169"/>
    </row>
    <row r="597" spans="1:26" s="48" customFormat="1" ht="17.100000000000001" customHeight="1" x14ac:dyDescent="0.25">
      <c r="A597" s="961" t="s">
        <v>1387</v>
      </c>
      <c r="B597" s="961" t="s">
        <v>163</v>
      </c>
      <c r="C597" s="44" t="s">
        <v>166</v>
      </c>
      <c r="D597" s="1355"/>
      <c r="E597" s="113"/>
      <c r="F597" s="113"/>
      <c r="G597" s="113"/>
      <c r="H597" s="221"/>
      <c r="I597" s="141">
        <v>0</v>
      </c>
      <c r="J597" s="141">
        <v>0</v>
      </c>
      <c r="K597" s="141">
        <v>0</v>
      </c>
      <c r="L597" s="141">
        <v>0</v>
      </c>
      <c r="M597" s="141">
        <v>0</v>
      </c>
      <c r="N597" s="141">
        <v>0</v>
      </c>
      <c r="O597" s="141"/>
      <c r="P597" s="141"/>
      <c r="Q597" s="141"/>
      <c r="R597" s="122">
        <v>15000</v>
      </c>
      <c r="S597" s="239"/>
      <c r="T597" s="1477"/>
      <c r="U597" s="169"/>
      <c r="V597" s="169"/>
      <c r="W597" s="169"/>
      <c r="X597" s="169"/>
      <c r="Y597" s="169"/>
      <c r="Z597" s="169"/>
    </row>
    <row r="598" spans="1:26" s="48" customFormat="1" ht="17.100000000000001" customHeight="1" x14ac:dyDescent="0.25">
      <c r="A598" s="961" t="s">
        <v>1387</v>
      </c>
      <c r="B598" s="961" t="s">
        <v>163</v>
      </c>
      <c r="C598" s="44" t="s">
        <v>166</v>
      </c>
      <c r="D598" s="1355"/>
      <c r="E598" s="113"/>
      <c r="F598" s="113"/>
      <c r="G598" s="113"/>
      <c r="H598" s="221"/>
      <c r="I598" s="141"/>
      <c r="J598" s="122"/>
      <c r="K598" s="141"/>
      <c r="L598" s="141"/>
      <c r="M598" s="122"/>
      <c r="N598" s="122"/>
      <c r="O598" s="122"/>
      <c r="P598" s="1397"/>
      <c r="Q598" s="1397"/>
      <c r="R598" s="122">
        <v>15000</v>
      </c>
      <c r="S598" s="239"/>
      <c r="T598" s="1477"/>
      <c r="U598" s="169"/>
      <c r="V598" s="169"/>
      <c r="W598" s="169"/>
      <c r="X598" s="169"/>
      <c r="Y598" s="169"/>
      <c r="Z598" s="169"/>
    </row>
    <row r="599" spans="1:26" s="48" customFormat="1" ht="17.100000000000001" customHeight="1" x14ac:dyDescent="0.25">
      <c r="A599" s="1404" t="s">
        <v>1387</v>
      </c>
      <c r="B599" s="1404" t="s">
        <v>163</v>
      </c>
      <c r="C599" s="44" t="s">
        <v>166</v>
      </c>
      <c r="D599" s="1355"/>
      <c r="E599" s="113"/>
      <c r="F599" s="113"/>
      <c r="G599" s="113"/>
      <c r="H599" s="221"/>
      <c r="I599" s="141"/>
      <c r="J599" s="141"/>
      <c r="K599" s="141"/>
      <c r="L599" s="141"/>
      <c r="M599" s="141"/>
      <c r="N599" s="141"/>
      <c r="O599" s="141"/>
      <c r="P599" s="141">
        <v>20000</v>
      </c>
      <c r="Q599" s="141">
        <v>20000</v>
      </c>
      <c r="R599" s="122">
        <v>20000</v>
      </c>
      <c r="S599" s="239"/>
      <c r="T599" s="1477"/>
      <c r="U599" s="169"/>
      <c r="V599" s="169"/>
      <c r="W599" s="169"/>
      <c r="X599" s="169"/>
      <c r="Y599" s="169"/>
      <c r="Z599" s="169"/>
    </row>
    <row r="600" spans="1:26" s="48" customFormat="1" ht="17.100000000000001" customHeight="1" x14ac:dyDescent="0.25">
      <c r="A600" s="1444" t="s">
        <v>1387</v>
      </c>
      <c r="B600" s="1444" t="s">
        <v>163</v>
      </c>
      <c r="C600" s="44" t="s">
        <v>166</v>
      </c>
      <c r="D600" s="1356"/>
      <c r="E600" s="125"/>
      <c r="F600" s="125"/>
      <c r="G600" s="125"/>
      <c r="H600" s="221"/>
      <c r="I600" s="141"/>
      <c r="J600" s="141"/>
      <c r="K600" s="141"/>
      <c r="L600" s="141"/>
      <c r="M600" s="141"/>
      <c r="N600" s="141"/>
      <c r="O600" s="141"/>
      <c r="P600" s="141"/>
      <c r="Q600" s="141"/>
      <c r="R600" s="122">
        <f>100000</f>
        <v>100000</v>
      </c>
      <c r="S600" s="239"/>
      <c r="T600" s="1477"/>
      <c r="U600" s="169"/>
      <c r="V600" s="169"/>
      <c r="W600" s="169"/>
      <c r="X600" s="169"/>
      <c r="Y600" s="169"/>
      <c r="Z600" s="169"/>
    </row>
    <row r="601" spans="1:26" s="48" customFormat="1" ht="17.100000000000001" customHeight="1" x14ac:dyDescent="0.25">
      <c r="A601" s="573" t="s">
        <v>1387</v>
      </c>
      <c r="B601" s="573" t="s">
        <v>163</v>
      </c>
      <c r="C601" s="44" t="s">
        <v>166</v>
      </c>
      <c r="D601" s="1355"/>
      <c r="E601" s="113"/>
      <c r="F601" s="113"/>
      <c r="G601" s="113"/>
      <c r="H601" s="221"/>
      <c r="I601" s="141"/>
      <c r="J601" s="122"/>
      <c r="K601" s="141"/>
      <c r="L601" s="141"/>
      <c r="M601" s="122"/>
      <c r="N601" s="122"/>
      <c r="O601" s="122"/>
      <c r="P601" s="122"/>
      <c r="Q601" s="122"/>
      <c r="R601" s="122">
        <v>50000</v>
      </c>
      <c r="S601" s="239">
        <f>SUM(R597:R601)</f>
        <v>200000</v>
      </c>
      <c r="T601" s="1477"/>
      <c r="U601" s="169"/>
      <c r="V601" s="169"/>
      <c r="W601" s="169"/>
      <c r="X601" s="169"/>
      <c r="Y601" s="169"/>
      <c r="Z601" s="169"/>
    </row>
    <row r="602" spans="1:26" s="48" customFormat="1" ht="17.100000000000001" customHeight="1" x14ac:dyDescent="0.25">
      <c r="A602" s="961" t="s">
        <v>1387</v>
      </c>
      <c r="B602" s="961" t="s">
        <v>163</v>
      </c>
      <c r="C602" s="44" t="s">
        <v>353</v>
      </c>
      <c r="D602" s="1355"/>
      <c r="E602" s="113"/>
      <c r="F602" s="113"/>
      <c r="G602" s="113"/>
      <c r="H602" s="221" t="s">
        <v>165</v>
      </c>
      <c r="I602" s="141">
        <v>0</v>
      </c>
      <c r="J602" s="141">
        <v>15000</v>
      </c>
      <c r="K602" s="141"/>
      <c r="L602" s="141">
        <f t="shared" ref="L602:L607" si="15">M602-K602</f>
        <v>15000</v>
      </c>
      <c r="M602" s="141">
        <v>15000</v>
      </c>
      <c r="N602" s="141">
        <v>0</v>
      </c>
      <c r="O602" s="141"/>
      <c r="P602" s="141">
        <v>15000</v>
      </c>
      <c r="Q602" s="141">
        <v>15000</v>
      </c>
      <c r="R602" s="122">
        <v>15000</v>
      </c>
      <c r="S602" s="239"/>
      <c r="T602" s="1477"/>
      <c r="U602" s="169"/>
      <c r="V602" s="169"/>
      <c r="W602" s="169"/>
      <c r="X602" s="169"/>
      <c r="Y602" s="169"/>
      <c r="Z602" s="169"/>
    </row>
    <row r="603" spans="1:26" s="48" customFormat="1" ht="17.100000000000001" customHeight="1" x14ac:dyDescent="0.25">
      <c r="A603" s="961" t="s">
        <v>1387</v>
      </c>
      <c r="B603" s="961" t="s">
        <v>163</v>
      </c>
      <c r="C603" s="44" t="s">
        <v>353</v>
      </c>
      <c r="D603" s="1355"/>
      <c r="E603" s="113"/>
      <c r="F603" s="113"/>
      <c r="G603" s="113"/>
      <c r="H603" s="221" t="s">
        <v>165</v>
      </c>
      <c r="I603" s="141">
        <v>0</v>
      </c>
      <c r="J603" s="122">
        <v>15000</v>
      </c>
      <c r="K603" s="141"/>
      <c r="L603" s="141">
        <f t="shared" si="15"/>
        <v>15000</v>
      </c>
      <c r="M603" s="122">
        <v>15000</v>
      </c>
      <c r="N603" s="122"/>
      <c r="O603" s="122"/>
      <c r="P603" s="1397">
        <v>15000</v>
      </c>
      <c r="Q603" s="1397">
        <v>15000</v>
      </c>
      <c r="R603" s="122">
        <v>15000</v>
      </c>
      <c r="S603" s="239"/>
      <c r="T603" s="1477"/>
      <c r="U603" s="169"/>
      <c r="V603" s="169"/>
      <c r="W603" s="169"/>
      <c r="X603" s="169"/>
      <c r="Y603" s="169"/>
      <c r="Z603" s="169"/>
    </row>
    <row r="604" spans="1:26" s="48" customFormat="1" ht="17.100000000000001" customHeight="1" x14ac:dyDescent="0.25">
      <c r="A604" s="1404" t="s">
        <v>1387</v>
      </c>
      <c r="B604" s="1404" t="s">
        <v>163</v>
      </c>
      <c r="C604" s="44" t="s">
        <v>353</v>
      </c>
      <c r="D604" s="1355"/>
      <c r="E604" s="113"/>
      <c r="F604" s="113"/>
      <c r="G604" s="113"/>
      <c r="H604" s="221" t="s">
        <v>165</v>
      </c>
      <c r="I604" s="141">
        <v>0</v>
      </c>
      <c r="J604" s="141">
        <v>20000</v>
      </c>
      <c r="K604" s="141"/>
      <c r="L604" s="141">
        <f t="shared" si="15"/>
        <v>20000</v>
      </c>
      <c r="M604" s="141">
        <v>20000</v>
      </c>
      <c r="N604" s="141"/>
      <c r="O604" s="141"/>
      <c r="P604" s="141">
        <v>20000</v>
      </c>
      <c r="Q604" s="141">
        <v>20000</v>
      </c>
      <c r="R604" s="122">
        <v>20000</v>
      </c>
      <c r="S604" s="239"/>
      <c r="T604" s="1477"/>
      <c r="U604" s="169"/>
      <c r="V604" s="169"/>
      <c r="W604" s="169"/>
      <c r="X604" s="169"/>
      <c r="Y604" s="169"/>
      <c r="Z604" s="169"/>
    </row>
    <row r="605" spans="1:26" s="48" customFormat="1" ht="17.100000000000001" customHeight="1" x14ac:dyDescent="0.25">
      <c r="A605" s="1444" t="s">
        <v>1387</v>
      </c>
      <c r="B605" s="1444" t="s">
        <v>163</v>
      </c>
      <c r="C605" s="44" t="s">
        <v>353</v>
      </c>
      <c r="D605" s="1356"/>
      <c r="E605" s="125"/>
      <c r="F605" s="125"/>
      <c r="G605" s="125"/>
      <c r="H605" s="221" t="s">
        <v>165</v>
      </c>
      <c r="I605" s="141">
        <v>13770</v>
      </c>
      <c r="J605" s="141">
        <v>176000</v>
      </c>
      <c r="K605" s="141">
        <v>10690</v>
      </c>
      <c r="L605" s="141">
        <f t="shared" si="15"/>
        <v>165310</v>
      </c>
      <c r="M605" s="141">
        <v>176000</v>
      </c>
      <c r="N605" s="141">
        <v>28500</v>
      </c>
      <c r="O605" s="141"/>
      <c r="P605" s="141">
        <v>640000</v>
      </c>
      <c r="Q605" s="141">
        <v>640000</v>
      </c>
      <c r="R605" s="122">
        <v>640000</v>
      </c>
      <c r="S605" s="239"/>
      <c r="T605" s="1477"/>
      <c r="U605" s="169"/>
      <c r="V605" s="169"/>
      <c r="W605" s="169"/>
      <c r="X605" s="169"/>
      <c r="Y605" s="169"/>
      <c r="Z605" s="169"/>
    </row>
    <row r="606" spans="1:26" s="48" customFormat="1" ht="17.100000000000001" customHeight="1" x14ac:dyDescent="0.25">
      <c r="A606" s="573" t="s">
        <v>1387</v>
      </c>
      <c r="B606" s="573" t="s">
        <v>163</v>
      </c>
      <c r="C606" s="44" t="s">
        <v>353</v>
      </c>
      <c r="D606" s="1355"/>
      <c r="E606" s="113"/>
      <c r="F606" s="113"/>
      <c r="G606" s="113"/>
      <c r="H606" s="221" t="s">
        <v>165</v>
      </c>
      <c r="I606" s="141">
        <v>31310</v>
      </c>
      <c r="J606" s="122">
        <v>100000</v>
      </c>
      <c r="K606" s="141">
        <v>46630</v>
      </c>
      <c r="L606" s="141">
        <f t="shared" si="15"/>
        <v>53370</v>
      </c>
      <c r="M606" s="122">
        <v>100000</v>
      </c>
      <c r="N606" s="122">
        <v>87050</v>
      </c>
      <c r="O606" s="122"/>
      <c r="P606" s="122">
        <v>200000</v>
      </c>
      <c r="Q606" s="122">
        <v>200000</v>
      </c>
      <c r="R606" s="122">
        <v>200000</v>
      </c>
      <c r="S606" s="239">
        <f>SUM(R602:R606)</f>
        <v>890000</v>
      </c>
      <c r="T606" s="1477"/>
      <c r="U606" s="169"/>
      <c r="V606" s="169"/>
      <c r="W606" s="169"/>
      <c r="X606" s="169"/>
      <c r="Y606" s="169"/>
      <c r="Z606" s="169"/>
    </row>
    <row r="607" spans="1:26" s="48" customFormat="1" ht="17.100000000000001" customHeight="1" x14ac:dyDescent="0.25">
      <c r="A607" s="1444" t="s">
        <v>1387</v>
      </c>
      <c r="B607" s="1444" t="s">
        <v>163</v>
      </c>
      <c r="C607" s="44" t="s">
        <v>382</v>
      </c>
      <c r="D607" s="1356"/>
      <c r="E607" s="125"/>
      <c r="F607" s="125"/>
      <c r="G607" s="125"/>
      <c r="H607" s="221" t="s">
        <v>383</v>
      </c>
      <c r="I607" s="141">
        <v>19069.34</v>
      </c>
      <c r="J607" s="141">
        <v>10800</v>
      </c>
      <c r="K607" s="141">
        <v>1484.22</v>
      </c>
      <c r="L607" s="141">
        <f t="shared" si="15"/>
        <v>9315.7800000000007</v>
      </c>
      <c r="M607" s="141">
        <v>10800</v>
      </c>
      <c r="N607" s="141">
        <v>2156.2199999999998</v>
      </c>
      <c r="O607" s="141"/>
      <c r="P607" s="141">
        <v>10800</v>
      </c>
      <c r="Q607" s="141">
        <v>10800</v>
      </c>
      <c r="R607" s="122">
        <v>10800</v>
      </c>
      <c r="S607" s="239"/>
      <c r="T607" s="1477"/>
      <c r="U607" s="169"/>
      <c r="V607" s="169"/>
      <c r="W607" s="169"/>
      <c r="X607" s="169"/>
      <c r="Y607" s="169"/>
      <c r="Z607" s="169"/>
    </row>
    <row r="608" spans="1:26" s="48" customFormat="1" ht="17.100000000000001" customHeight="1" x14ac:dyDescent="0.25">
      <c r="A608" s="573" t="s">
        <v>1387</v>
      </c>
      <c r="B608" s="573" t="s">
        <v>163</v>
      </c>
      <c r="C608" s="44" t="s">
        <v>382</v>
      </c>
      <c r="D608" s="1355"/>
      <c r="E608" s="113"/>
      <c r="F608" s="113"/>
      <c r="G608" s="113"/>
      <c r="H608" s="221"/>
      <c r="I608" s="141"/>
      <c r="J608" s="141"/>
      <c r="K608" s="141"/>
      <c r="L608" s="141"/>
      <c r="M608" s="141"/>
      <c r="N608" s="141"/>
      <c r="O608" s="141"/>
      <c r="P608" s="141"/>
      <c r="Q608" s="141"/>
      <c r="R608" s="122">
        <v>50000</v>
      </c>
      <c r="S608" s="239">
        <f>SUM(R607:R608)</f>
        <v>60800</v>
      </c>
      <c r="T608" s="1477"/>
      <c r="U608" s="169"/>
      <c r="V608" s="169"/>
      <c r="W608" s="169"/>
      <c r="X608" s="169"/>
      <c r="Y608" s="169"/>
      <c r="Z608" s="169"/>
    </row>
    <row r="609" spans="1:26" s="48" customFormat="1" ht="17.100000000000001" customHeight="1" x14ac:dyDescent="0.25">
      <c r="A609" s="961" t="s">
        <v>1387</v>
      </c>
      <c r="B609" s="961" t="s">
        <v>2019</v>
      </c>
      <c r="C609" s="206" t="s">
        <v>1563</v>
      </c>
      <c r="D609" s="1355"/>
      <c r="E609" s="303"/>
      <c r="F609" s="199"/>
      <c r="G609" s="184"/>
      <c r="H609" s="381"/>
      <c r="I609" s="141">
        <v>0</v>
      </c>
      <c r="J609" s="141"/>
      <c r="K609" s="141"/>
      <c r="L609" s="141"/>
      <c r="M609" s="141">
        <v>0</v>
      </c>
      <c r="N609" s="141">
        <v>0</v>
      </c>
      <c r="O609" s="141"/>
      <c r="P609" s="141">
        <v>2127240</v>
      </c>
      <c r="Q609" s="141">
        <v>2127240</v>
      </c>
      <c r="R609" s="122">
        <v>1228986</v>
      </c>
      <c r="S609" s="239"/>
      <c r="T609" s="1477"/>
      <c r="U609" s="169"/>
      <c r="V609" s="169"/>
      <c r="W609" s="169"/>
      <c r="X609" s="169"/>
      <c r="Y609" s="169"/>
      <c r="Z609" s="169"/>
    </row>
    <row r="610" spans="1:26" s="48" customFormat="1" ht="17.100000000000001" customHeight="1" x14ac:dyDescent="0.25">
      <c r="A610" s="961" t="s">
        <v>1387</v>
      </c>
      <c r="B610" s="961" t="s">
        <v>2019</v>
      </c>
      <c r="C610" s="1366" t="s">
        <v>1564</v>
      </c>
      <c r="D610" s="1355"/>
      <c r="E610" s="303"/>
      <c r="F610" s="303"/>
      <c r="G610" s="393"/>
      <c r="H610" s="381"/>
      <c r="I610" s="141">
        <v>0</v>
      </c>
      <c r="J610" s="141"/>
      <c r="K610" s="141"/>
      <c r="L610" s="141"/>
      <c r="M610" s="141">
        <v>0</v>
      </c>
      <c r="N610" s="141">
        <v>0</v>
      </c>
      <c r="O610" s="141"/>
      <c r="P610" s="141">
        <v>75000</v>
      </c>
      <c r="Q610" s="141">
        <v>75000</v>
      </c>
      <c r="R610" s="122">
        <v>100000</v>
      </c>
      <c r="S610" s="239"/>
      <c r="T610" s="1477"/>
      <c r="U610" s="169"/>
      <c r="V610" s="169"/>
      <c r="W610" s="169"/>
      <c r="X610" s="169"/>
      <c r="Y610" s="169"/>
      <c r="Z610" s="169"/>
    </row>
    <row r="611" spans="1:26" s="48" customFormat="1" ht="17.100000000000001" customHeight="1" x14ac:dyDescent="0.25">
      <c r="A611" s="961" t="s">
        <v>1387</v>
      </c>
      <c r="B611" s="961" t="s">
        <v>2019</v>
      </c>
      <c r="C611" s="206" t="s">
        <v>1565</v>
      </c>
      <c r="D611" s="1355"/>
      <c r="E611" s="303"/>
      <c r="F611" s="303"/>
      <c r="G611" s="393"/>
      <c r="H611" s="381"/>
      <c r="I611" s="141">
        <v>0</v>
      </c>
      <c r="J611" s="141"/>
      <c r="K611" s="141"/>
      <c r="L611" s="141"/>
      <c r="M611" s="141">
        <v>0</v>
      </c>
      <c r="N611" s="141">
        <v>0</v>
      </c>
      <c r="O611" s="141"/>
      <c r="P611" s="141">
        <v>50000</v>
      </c>
      <c r="Q611" s="141">
        <v>50000</v>
      </c>
      <c r="R611" s="122">
        <v>100000</v>
      </c>
      <c r="S611" s="239"/>
      <c r="T611" s="1477"/>
      <c r="U611" s="169"/>
      <c r="V611" s="169"/>
      <c r="W611" s="169"/>
      <c r="X611" s="169"/>
      <c r="Y611" s="169"/>
      <c r="Z611" s="169"/>
    </row>
    <row r="612" spans="1:26" s="48" customFormat="1" ht="17.100000000000001" customHeight="1" x14ac:dyDescent="0.25">
      <c r="A612" s="961" t="s">
        <v>1387</v>
      </c>
      <c r="B612" s="961" t="s">
        <v>2019</v>
      </c>
      <c r="C612" s="206" t="s">
        <v>1566</v>
      </c>
      <c r="D612" s="1355"/>
      <c r="E612" s="303"/>
      <c r="F612" s="303"/>
      <c r="G612" s="393"/>
      <c r="H612" s="381"/>
      <c r="I612" s="141">
        <v>0</v>
      </c>
      <c r="J612" s="141"/>
      <c r="K612" s="141"/>
      <c r="L612" s="141"/>
      <c r="M612" s="141">
        <v>0</v>
      </c>
      <c r="N612" s="141">
        <v>0</v>
      </c>
      <c r="O612" s="141"/>
      <c r="P612" s="141">
        <v>792000</v>
      </c>
      <c r="Q612" s="141">
        <v>792000</v>
      </c>
      <c r="R612" s="122">
        <v>792000</v>
      </c>
      <c r="S612" s="239"/>
      <c r="T612" s="1477"/>
      <c r="U612" s="169"/>
      <c r="V612" s="169"/>
      <c r="W612" s="169"/>
      <c r="X612" s="169"/>
      <c r="Y612" s="169"/>
      <c r="Z612" s="169"/>
    </row>
    <row r="613" spans="1:26" s="48" customFormat="1" ht="18" customHeight="1" x14ac:dyDescent="0.25">
      <c r="A613" s="961" t="s">
        <v>1387</v>
      </c>
      <c r="B613" s="961" t="s">
        <v>2019</v>
      </c>
      <c r="C613" s="1371" t="s">
        <v>1609</v>
      </c>
      <c r="D613" s="1355"/>
      <c r="E613" s="1371"/>
      <c r="F613" s="1371"/>
      <c r="G613" s="1371"/>
      <c r="H613" s="381"/>
      <c r="I613" s="141"/>
      <c r="J613" s="141"/>
      <c r="K613" s="141"/>
      <c r="L613" s="141"/>
      <c r="M613" s="141"/>
      <c r="N613" s="141"/>
      <c r="O613" s="141"/>
      <c r="P613" s="1398">
        <v>500000</v>
      </c>
      <c r="Q613" s="1398">
        <v>500000</v>
      </c>
      <c r="R613" s="122">
        <v>100000</v>
      </c>
      <c r="S613" s="1456"/>
      <c r="T613" s="1477"/>
      <c r="U613" s="169"/>
      <c r="V613" s="169"/>
      <c r="W613" s="169"/>
      <c r="X613" s="169"/>
      <c r="Y613" s="169"/>
      <c r="Z613" s="169"/>
    </row>
    <row r="614" spans="1:26" s="48" customFormat="1" ht="18" customHeight="1" x14ac:dyDescent="0.25">
      <c r="A614" s="961" t="s">
        <v>1387</v>
      </c>
      <c r="B614" s="961" t="s">
        <v>2019</v>
      </c>
      <c r="C614" s="1366" t="s">
        <v>2073</v>
      </c>
      <c r="D614" s="1355"/>
      <c r="E614" s="1365"/>
      <c r="F614" s="422"/>
      <c r="G614" s="422"/>
      <c r="H614" s="381"/>
      <c r="I614" s="141"/>
      <c r="J614" s="122"/>
      <c r="K614" s="141"/>
      <c r="L614" s="141"/>
      <c r="M614" s="122"/>
      <c r="N614" s="122"/>
      <c r="O614" s="122"/>
      <c r="P614" s="122">
        <v>700000</v>
      </c>
      <c r="Q614" s="122">
        <v>700000</v>
      </c>
      <c r="R614" s="122">
        <v>700000</v>
      </c>
      <c r="S614" s="1456"/>
      <c r="T614" s="1477"/>
      <c r="U614" s="169"/>
      <c r="V614" s="169"/>
      <c r="W614" s="169"/>
      <c r="X614" s="169"/>
      <c r="Y614" s="169"/>
      <c r="Z614" s="169"/>
    </row>
    <row r="615" spans="1:26" s="48" customFormat="1" ht="17.45" customHeight="1" x14ac:dyDescent="0.25">
      <c r="A615" s="961" t="s">
        <v>1387</v>
      </c>
      <c r="B615" s="961" t="s">
        <v>2019</v>
      </c>
      <c r="C615" s="1366" t="s">
        <v>1611</v>
      </c>
      <c r="D615" s="1355" t="s">
        <v>1040</v>
      </c>
      <c r="E615" s="199"/>
      <c r="F615" s="184"/>
      <c r="G615" s="184"/>
      <c r="H615" s="381"/>
      <c r="I615" s="141"/>
      <c r="J615" s="122"/>
      <c r="K615" s="141"/>
      <c r="L615" s="141"/>
      <c r="M615" s="122"/>
      <c r="N615" s="122"/>
      <c r="O615" s="122"/>
      <c r="P615" s="122">
        <v>500000</v>
      </c>
      <c r="Q615" s="122">
        <v>500000</v>
      </c>
      <c r="R615" s="122">
        <v>500000</v>
      </c>
      <c r="S615" s="239"/>
      <c r="T615" s="1477"/>
      <c r="U615" s="169"/>
      <c r="V615" s="169"/>
      <c r="W615" s="169"/>
      <c r="X615" s="169"/>
      <c r="Y615" s="169"/>
      <c r="Z615" s="169"/>
    </row>
    <row r="616" spans="1:26" s="48" customFormat="1" ht="17.100000000000001" customHeight="1" x14ac:dyDescent="0.25">
      <c r="A616" s="961" t="s">
        <v>1387</v>
      </c>
      <c r="B616" s="961" t="s">
        <v>2019</v>
      </c>
      <c r="C616" s="1366" t="s">
        <v>1612</v>
      </c>
      <c r="D616" s="1355"/>
      <c r="E616" s="1365"/>
      <c r="F616" s="422"/>
      <c r="G616" s="422"/>
      <c r="H616" s="381"/>
      <c r="I616" s="141"/>
      <c r="J616" s="122"/>
      <c r="K616" s="141"/>
      <c r="L616" s="141"/>
      <c r="M616" s="122"/>
      <c r="N616" s="122"/>
      <c r="O616" s="122"/>
      <c r="P616" s="122">
        <v>800000</v>
      </c>
      <c r="Q616" s="122">
        <v>800000</v>
      </c>
      <c r="R616" s="122">
        <v>800000</v>
      </c>
      <c r="S616" s="239"/>
      <c r="T616" s="1477"/>
      <c r="U616" s="169"/>
      <c r="V616" s="169"/>
      <c r="W616" s="169"/>
      <c r="X616" s="169"/>
      <c r="Y616" s="169"/>
      <c r="Z616" s="169"/>
    </row>
    <row r="617" spans="1:26" s="48" customFormat="1" ht="17.100000000000001" customHeight="1" x14ac:dyDescent="0.25">
      <c r="A617" s="961" t="s">
        <v>1387</v>
      </c>
      <c r="B617" s="961" t="s">
        <v>2019</v>
      </c>
      <c r="C617" s="1366" t="s">
        <v>1613</v>
      </c>
      <c r="D617" s="1355"/>
      <c r="E617" s="1365"/>
      <c r="F617" s="422"/>
      <c r="G617" s="422"/>
      <c r="H617" s="381"/>
      <c r="I617" s="141"/>
      <c r="J617" s="122"/>
      <c r="K617" s="141"/>
      <c r="L617" s="141"/>
      <c r="M617" s="122"/>
      <c r="N617" s="122"/>
      <c r="O617" s="122"/>
      <c r="P617" s="122">
        <v>200000</v>
      </c>
      <c r="Q617" s="122">
        <v>200000</v>
      </c>
      <c r="R617" s="122">
        <v>200000</v>
      </c>
      <c r="S617" s="239"/>
      <c r="T617" s="1477"/>
      <c r="U617" s="169"/>
      <c r="V617" s="169"/>
      <c r="W617" s="169"/>
      <c r="X617" s="169"/>
      <c r="Y617" s="169"/>
      <c r="Z617" s="169"/>
    </row>
    <row r="618" spans="1:26" s="48" customFormat="1" ht="17.100000000000001" customHeight="1" x14ac:dyDescent="0.25">
      <c r="A618" s="961" t="s">
        <v>1387</v>
      </c>
      <c r="B618" s="961" t="s">
        <v>2019</v>
      </c>
      <c r="C618" s="1366" t="s">
        <v>1614</v>
      </c>
      <c r="D618" s="1355"/>
      <c r="E618" s="199"/>
      <c r="F618" s="184"/>
      <c r="G618" s="184"/>
      <c r="H618" s="381"/>
      <c r="I618" s="141"/>
      <c r="J618" s="122"/>
      <c r="K618" s="141"/>
      <c r="L618" s="141"/>
      <c r="M618" s="122"/>
      <c r="N618" s="122"/>
      <c r="O618" s="122"/>
      <c r="P618" s="122">
        <v>50000</v>
      </c>
      <c r="Q618" s="122">
        <v>50000</v>
      </c>
      <c r="R618" s="122">
        <v>50000</v>
      </c>
      <c r="S618" s="239"/>
      <c r="T618" s="1477"/>
      <c r="U618" s="169"/>
      <c r="V618" s="169"/>
      <c r="W618" s="169"/>
      <c r="X618" s="169"/>
      <c r="Y618" s="169"/>
      <c r="Z618" s="169"/>
    </row>
    <row r="619" spans="1:26" s="48" customFormat="1" ht="17.100000000000001" customHeight="1" x14ac:dyDescent="0.25">
      <c r="A619" s="1435" t="s">
        <v>1387</v>
      </c>
      <c r="B619" s="1435" t="s">
        <v>2019</v>
      </c>
      <c r="C619" s="206" t="s">
        <v>1647</v>
      </c>
      <c r="D619" s="1355"/>
      <c r="E619" s="1365"/>
      <c r="F619" s="1355"/>
      <c r="G619" s="1355"/>
      <c r="H619" s="381"/>
      <c r="I619" s="141"/>
      <c r="J619" s="141"/>
      <c r="K619" s="141"/>
      <c r="L619" s="141"/>
      <c r="M619" s="141"/>
      <c r="N619" s="141"/>
      <c r="O619" s="141"/>
      <c r="P619" s="141">
        <v>50000</v>
      </c>
      <c r="Q619" s="141">
        <v>50000</v>
      </c>
      <c r="R619" s="122">
        <v>50000</v>
      </c>
      <c r="S619" s="239"/>
      <c r="T619" s="1477"/>
      <c r="U619" s="169"/>
      <c r="V619" s="169"/>
      <c r="W619" s="169"/>
      <c r="X619" s="169"/>
      <c r="Y619" s="169"/>
      <c r="Z619" s="169"/>
    </row>
    <row r="620" spans="1:26" s="48" customFormat="1" ht="17.100000000000001" customHeight="1" x14ac:dyDescent="0.25">
      <c r="A620" s="1435" t="s">
        <v>1387</v>
      </c>
      <c r="B620" s="1435" t="s">
        <v>2019</v>
      </c>
      <c r="C620" s="206" t="s">
        <v>1648</v>
      </c>
      <c r="D620" s="1355"/>
      <c r="E620" s="1365"/>
      <c r="F620" s="1355"/>
      <c r="G620" s="1355"/>
      <c r="H620" s="381"/>
      <c r="I620" s="141"/>
      <c r="J620" s="141"/>
      <c r="K620" s="141"/>
      <c r="L620" s="141"/>
      <c r="M620" s="141"/>
      <c r="N620" s="141"/>
      <c r="O620" s="141"/>
      <c r="P620" s="141">
        <v>100000</v>
      </c>
      <c r="Q620" s="141">
        <v>100000</v>
      </c>
      <c r="R620" s="122">
        <v>100000</v>
      </c>
      <c r="S620" s="239"/>
      <c r="T620" s="1477"/>
      <c r="U620" s="169"/>
      <c r="V620" s="169"/>
      <c r="W620" s="169"/>
      <c r="X620" s="169"/>
      <c r="Y620" s="169"/>
      <c r="Z620" s="169"/>
    </row>
    <row r="621" spans="1:26" s="48" customFormat="1" ht="17.100000000000001" customHeight="1" x14ac:dyDescent="0.25">
      <c r="A621" s="1435" t="s">
        <v>1387</v>
      </c>
      <c r="B621" s="1435" t="s">
        <v>2019</v>
      </c>
      <c r="C621" s="206" t="s">
        <v>1649</v>
      </c>
      <c r="D621" s="1355"/>
      <c r="E621" s="1365"/>
      <c r="F621" s="1355"/>
      <c r="G621" s="1355"/>
      <c r="H621" s="381"/>
      <c r="I621" s="141"/>
      <c r="J621" s="141"/>
      <c r="K621" s="141"/>
      <c r="L621" s="141"/>
      <c r="M621" s="141"/>
      <c r="N621" s="141"/>
      <c r="O621" s="141"/>
      <c r="P621" s="141">
        <v>30000</v>
      </c>
      <c r="Q621" s="141">
        <v>30000</v>
      </c>
      <c r="R621" s="122">
        <v>30000</v>
      </c>
      <c r="S621" s="239"/>
      <c r="T621" s="1477"/>
      <c r="U621" s="169"/>
      <c r="V621" s="169"/>
      <c r="W621" s="169"/>
      <c r="X621" s="169"/>
      <c r="Y621" s="169"/>
      <c r="Z621" s="169"/>
    </row>
    <row r="622" spans="1:26" s="48" customFormat="1" ht="17.100000000000001" customHeight="1" x14ac:dyDescent="0.25">
      <c r="A622" s="1435" t="s">
        <v>1387</v>
      </c>
      <c r="B622" s="1435" t="s">
        <v>2019</v>
      </c>
      <c r="C622" s="206" t="s">
        <v>1650</v>
      </c>
      <c r="D622" s="1351"/>
      <c r="E622" s="1366"/>
      <c r="F622" s="1351"/>
      <c r="G622" s="1351"/>
      <c r="H622" s="1391"/>
      <c r="I622" s="122"/>
      <c r="J622" s="122"/>
      <c r="K622" s="122"/>
      <c r="L622" s="122"/>
      <c r="M622" s="122"/>
      <c r="N622" s="122"/>
      <c r="O622" s="122"/>
      <c r="P622" s="122">
        <v>900000</v>
      </c>
      <c r="Q622" s="122">
        <v>900000</v>
      </c>
      <c r="R622" s="122">
        <v>900000</v>
      </c>
      <c r="S622" s="239"/>
      <c r="T622" s="1477"/>
      <c r="U622" s="169"/>
      <c r="V622" s="169"/>
      <c r="W622" s="169"/>
      <c r="X622" s="169"/>
      <c r="Y622" s="169"/>
      <c r="Z622" s="169"/>
    </row>
    <row r="623" spans="1:26" s="48" customFormat="1" ht="17.100000000000001" customHeight="1" x14ac:dyDescent="0.25">
      <c r="A623" s="1435" t="s">
        <v>1387</v>
      </c>
      <c r="B623" s="1435" t="s">
        <v>2019</v>
      </c>
      <c r="C623" s="1368" t="s">
        <v>1651</v>
      </c>
      <c r="D623" s="1359"/>
      <c r="E623" s="1361"/>
      <c r="F623" s="1359"/>
      <c r="G623" s="1359"/>
      <c r="H623" s="1389"/>
      <c r="I623" s="141"/>
      <c r="J623" s="141"/>
      <c r="K623" s="141"/>
      <c r="L623" s="141"/>
      <c r="M623" s="141"/>
      <c r="N623" s="141"/>
      <c r="O623" s="141"/>
      <c r="P623" s="141">
        <v>181350</v>
      </c>
      <c r="Q623" s="141">
        <v>181350</v>
      </c>
      <c r="R623" s="122">
        <v>181350</v>
      </c>
      <c r="S623" s="239"/>
      <c r="T623" s="1477"/>
      <c r="U623" s="169"/>
      <c r="V623" s="169"/>
      <c r="W623" s="169"/>
      <c r="X623" s="169"/>
      <c r="Y623" s="169"/>
      <c r="Z623" s="169"/>
    </row>
    <row r="624" spans="1:26" s="48" customFormat="1" ht="16.5" customHeight="1" x14ac:dyDescent="0.25">
      <c r="A624" s="1435" t="s">
        <v>1387</v>
      </c>
      <c r="B624" s="1435" t="s">
        <v>2019</v>
      </c>
      <c r="C624" s="1366" t="s">
        <v>1652</v>
      </c>
      <c r="D624" s="1355"/>
      <c r="E624" s="125"/>
      <c r="F624" s="1355"/>
      <c r="G624" s="1355"/>
      <c r="H624" s="381"/>
      <c r="I624" s="141"/>
      <c r="J624" s="141"/>
      <c r="K624" s="141"/>
      <c r="L624" s="141"/>
      <c r="M624" s="141"/>
      <c r="N624" s="141"/>
      <c r="O624" s="141"/>
      <c r="P624" s="141">
        <v>603300</v>
      </c>
      <c r="Q624" s="141">
        <v>603300</v>
      </c>
      <c r="R624" s="122">
        <v>603300</v>
      </c>
      <c r="S624" s="1456"/>
      <c r="T624" s="1477"/>
      <c r="U624" s="169"/>
      <c r="V624" s="169"/>
      <c r="W624" s="169"/>
      <c r="X624" s="169"/>
      <c r="Y624" s="169"/>
      <c r="Z624" s="169"/>
    </row>
    <row r="625" spans="1:26" s="48" customFormat="1" ht="16.5" customHeight="1" x14ac:dyDescent="0.25">
      <c r="A625" s="1435" t="s">
        <v>1387</v>
      </c>
      <c r="B625" s="1435" t="s">
        <v>2019</v>
      </c>
      <c r="C625" s="1366" t="s">
        <v>1653</v>
      </c>
      <c r="D625" s="1355"/>
      <c r="E625" s="125"/>
      <c r="F625" s="1355"/>
      <c r="G625" s="1355"/>
      <c r="H625" s="381"/>
      <c r="I625" s="141"/>
      <c r="J625" s="141"/>
      <c r="K625" s="141"/>
      <c r="L625" s="141"/>
      <c r="M625" s="141"/>
      <c r="N625" s="141"/>
      <c r="O625" s="141"/>
      <c r="P625" s="141">
        <v>81950</v>
      </c>
      <c r="Q625" s="141">
        <v>81950</v>
      </c>
      <c r="R625" s="122">
        <v>81950</v>
      </c>
      <c r="S625" s="1456"/>
      <c r="T625" s="1477"/>
      <c r="U625" s="169"/>
      <c r="V625" s="169"/>
      <c r="W625" s="169"/>
      <c r="X625" s="169"/>
      <c r="Y625" s="169"/>
      <c r="Z625" s="169"/>
    </row>
    <row r="626" spans="1:26" s="48" customFormat="1" ht="18" customHeight="1" x14ac:dyDescent="0.25">
      <c r="A626" s="1435" t="s">
        <v>1387</v>
      </c>
      <c r="B626" s="1435" t="s">
        <v>2019</v>
      </c>
      <c r="C626" s="1366" t="s">
        <v>1654</v>
      </c>
      <c r="D626" s="1355"/>
      <c r="E626" s="125"/>
      <c r="F626" s="1355"/>
      <c r="G626" s="1355"/>
      <c r="H626" s="381"/>
      <c r="I626" s="141"/>
      <c r="J626" s="141"/>
      <c r="K626" s="141"/>
      <c r="L626" s="141"/>
      <c r="M626" s="141"/>
      <c r="N626" s="141"/>
      <c r="O626" s="141"/>
      <c r="P626" s="141">
        <v>147300</v>
      </c>
      <c r="Q626" s="141">
        <v>147300</v>
      </c>
      <c r="R626" s="122">
        <v>147300</v>
      </c>
      <c r="S626" s="239"/>
      <c r="T626" s="1477"/>
      <c r="U626" s="169"/>
      <c r="V626" s="169"/>
      <c r="W626" s="169"/>
      <c r="X626" s="169"/>
      <c r="Y626" s="169"/>
      <c r="Z626" s="169"/>
    </row>
    <row r="627" spans="1:26" s="136" customFormat="1" ht="9" hidden="1" customHeight="1" x14ac:dyDescent="0.25">
      <c r="A627" s="1440"/>
      <c r="B627" s="1440"/>
      <c r="C627" s="1356" t="s">
        <v>263</v>
      </c>
      <c r="D627" s="1355"/>
      <c r="E627" s="1355"/>
      <c r="F627" s="1355"/>
      <c r="G627" s="1355"/>
      <c r="H627" s="125"/>
      <c r="I627" s="141"/>
      <c r="J627" s="141"/>
      <c r="K627" s="141"/>
      <c r="L627" s="141"/>
      <c r="M627" s="141"/>
      <c r="N627" s="141"/>
      <c r="O627" s="141"/>
      <c r="P627" s="141">
        <v>240000</v>
      </c>
      <c r="Q627" s="141"/>
      <c r="R627" s="122"/>
      <c r="S627" s="239"/>
      <c r="T627" s="1477"/>
      <c r="U627" s="927"/>
      <c r="V627" s="927"/>
      <c r="W627" s="927"/>
      <c r="X627" s="927"/>
      <c r="Y627" s="927"/>
      <c r="Z627" s="927"/>
    </row>
    <row r="628" spans="1:26" s="136" customFormat="1" ht="9" hidden="1" customHeight="1" x14ac:dyDescent="0.25">
      <c r="A628" s="1440"/>
      <c r="B628" s="1440"/>
      <c r="C628" s="1356" t="s">
        <v>516</v>
      </c>
      <c r="D628" s="1355"/>
      <c r="E628" s="1355"/>
      <c r="F628" s="1355"/>
      <c r="G628" s="1355"/>
      <c r="H628" s="125"/>
      <c r="I628" s="141"/>
      <c r="J628" s="141"/>
      <c r="K628" s="141"/>
      <c r="L628" s="141"/>
      <c r="M628" s="141"/>
      <c r="N628" s="141"/>
      <c r="O628" s="141"/>
      <c r="P628" s="141">
        <v>120000</v>
      </c>
      <c r="Q628" s="141"/>
      <c r="R628" s="122"/>
      <c r="S628" s="239"/>
      <c r="T628" s="1477"/>
      <c r="U628" s="927"/>
      <c r="V628" s="927"/>
      <c r="W628" s="927"/>
      <c r="X628" s="927"/>
      <c r="Y628" s="927"/>
      <c r="Z628" s="927"/>
    </row>
    <row r="629" spans="1:26" s="136" customFormat="1" ht="9" hidden="1" customHeight="1" x14ac:dyDescent="0.25">
      <c r="A629" s="1440"/>
      <c r="B629" s="1440"/>
      <c r="C629" s="1356" t="s">
        <v>2071</v>
      </c>
      <c r="D629" s="1355"/>
      <c r="E629" s="1355"/>
      <c r="F629" s="1355"/>
      <c r="G629" s="1355"/>
      <c r="H629" s="125"/>
      <c r="I629" s="141"/>
      <c r="J629" s="141"/>
      <c r="K629" s="141"/>
      <c r="L629" s="141"/>
      <c r="M629" s="141"/>
      <c r="N629" s="141"/>
      <c r="O629" s="141"/>
      <c r="P629" s="141">
        <v>250000</v>
      </c>
      <c r="Q629" s="141"/>
      <c r="R629" s="122"/>
      <c r="S629" s="239"/>
      <c r="T629" s="1477"/>
      <c r="U629" s="927"/>
      <c r="V629" s="927"/>
      <c r="W629" s="927"/>
      <c r="X629" s="927"/>
      <c r="Y629" s="927"/>
      <c r="Z629" s="927"/>
    </row>
    <row r="630" spans="1:26" s="136" customFormat="1" ht="9" hidden="1" customHeight="1" x14ac:dyDescent="0.25">
      <c r="A630" s="1440"/>
      <c r="B630" s="1440"/>
      <c r="C630" s="1356" t="s">
        <v>2072</v>
      </c>
      <c r="D630" s="1355"/>
      <c r="E630" s="1355"/>
      <c r="F630" s="1355"/>
      <c r="G630" s="1355"/>
      <c r="H630" s="125"/>
      <c r="I630" s="141"/>
      <c r="J630" s="141"/>
      <c r="K630" s="141"/>
      <c r="L630" s="141"/>
      <c r="M630" s="141"/>
      <c r="N630" s="141"/>
      <c r="O630" s="141"/>
      <c r="P630" s="141">
        <v>150000</v>
      </c>
      <c r="Q630" s="141"/>
      <c r="R630" s="122"/>
      <c r="S630" s="239"/>
      <c r="T630" s="1477"/>
      <c r="U630" s="927"/>
      <c r="V630" s="927"/>
      <c r="W630" s="927"/>
      <c r="X630" s="927"/>
      <c r="Y630" s="927"/>
      <c r="Z630" s="927"/>
    </row>
    <row r="631" spans="1:26" s="136" customFormat="1" ht="18" customHeight="1" x14ac:dyDescent="0.25">
      <c r="A631" s="1435" t="s">
        <v>1387</v>
      </c>
      <c r="B631" s="1435" t="s">
        <v>2019</v>
      </c>
      <c r="C631" s="1366" t="s">
        <v>1655</v>
      </c>
      <c r="D631" s="1355"/>
      <c r="E631" s="125"/>
      <c r="F631" s="1355"/>
      <c r="G631" s="1355"/>
      <c r="H631" s="381"/>
      <c r="I631" s="141"/>
      <c r="J631" s="141"/>
      <c r="K631" s="141"/>
      <c r="L631" s="141"/>
      <c r="M631" s="141"/>
      <c r="N631" s="141"/>
      <c r="O631" s="141"/>
      <c r="P631" s="141">
        <v>175300</v>
      </c>
      <c r="Q631" s="141">
        <v>175300</v>
      </c>
      <c r="R631" s="122">
        <v>175300</v>
      </c>
      <c r="S631" s="239"/>
      <c r="T631" s="1477"/>
      <c r="U631" s="927"/>
      <c r="V631" s="927"/>
      <c r="W631" s="927"/>
      <c r="X631" s="927"/>
      <c r="Y631" s="927"/>
      <c r="Z631" s="927"/>
    </row>
    <row r="632" spans="1:26" s="136" customFormat="1" ht="18" customHeight="1" x14ac:dyDescent="0.25">
      <c r="A632" s="1435" t="s">
        <v>1387</v>
      </c>
      <c r="B632" s="1435" t="s">
        <v>2019</v>
      </c>
      <c r="C632" s="1366" t="s">
        <v>1656</v>
      </c>
      <c r="D632" s="1355"/>
      <c r="E632" s="1357"/>
      <c r="F632" s="1355"/>
      <c r="G632" s="1355"/>
      <c r="H632" s="381"/>
      <c r="I632" s="141"/>
      <c r="J632" s="141"/>
      <c r="K632" s="141"/>
      <c r="L632" s="141"/>
      <c r="M632" s="141"/>
      <c r="N632" s="141"/>
      <c r="O632" s="141"/>
      <c r="P632" s="141">
        <v>1500000</v>
      </c>
      <c r="Q632" s="141">
        <v>1500000</v>
      </c>
      <c r="R632" s="122">
        <v>1500000</v>
      </c>
      <c r="S632" s="239"/>
      <c r="T632" s="1477"/>
      <c r="U632" s="927"/>
      <c r="V632" s="927"/>
      <c r="W632" s="927"/>
      <c r="X632" s="927"/>
      <c r="Y632" s="927"/>
      <c r="Z632" s="927"/>
    </row>
    <row r="633" spans="1:26" s="136" customFormat="1" ht="18" customHeight="1" x14ac:dyDescent="0.25">
      <c r="A633" s="1435" t="s">
        <v>1387</v>
      </c>
      <c r="B633" s="1435" t="s">
        <v>2019</v>
      </c>
      <c r="C633" s="1366" t="s">
        <v>1657</v>
      </c>
      <c r="D633" s="1355"/>
      <c r="E633" s="125"/>
      <c r="F633" s="1355"/>
      <c r="G633" s="1355"/>
      <c r="H633" s="381"/>
      <c r="I633" s="141"/>
      <c r="J633" s="141"/>
      <c r="K633" s="141"/>
      <c r="L633" s="141"/>
      <c r="M633" s="141"/>
      <c r="N633" s="141"/>
      <c r="O633" s="141"/>
      <c r="P633" s="141">
        <v>209800</v>
      </c>
      <c r="Q633" s="141">
        <v>209800</v>
      </c>
      <c r="R633" s="122">
        <v>209800</v>
      </c>
      <c r="S633" s="239"/>
      <c r="T633" s="1477"/>
      <c r="U633" s="927"/>
      <c r="V633" s="927"/>
      <c r="W633" s="927"/>
      <c r="X633" s="927"/>
      <c r="Y633" s="927"/>
      <c r="Z633" s="927"/>
    </row>
    <row r="634" spans="1:26" s="136" customFormat="1" ht="18" customHeight="1" x14ac:dyDescent="0.25">
      <c r="A634" s="1435" t="s">
        <v>1387</v>
      </c>
      <c r="B634" s="1435" t="s">
        <v>2019</v>
      </c>
      <c r="C634" s="1366" t="s">
        <v>1658</v>
      </c>
      <c r="D634" s="1355"/>
      <c r="E634" s="125"/>
      <c r="F634" s="1355"/>
      <c r="G634" s="1355"/>
      <c r="H634" s="381"/>
      <c r="I634" s="141"/>
      <c r="J634" s="141"/>
      <c r="K634" s="141"/>
      <c r="L634" s="141"/>
      <c r="M634" s="141"/>
      <c r="N634" s="141"/>
      <c r="O634" s="141"/>
      <c r="P634" s="141">
        <v>60000</v>
      </c>
      <c r="Q634" s="141">
        <v>60000</v>
      </c>
      <c r="R634" s="122">
        <v>60000</v>
      </c>
      <c r="S634" s="239"/>
      <c r="T634" s="1477"/>
      <c r="U634" s="927"/>
      <c r="V634" s="927"/>
      <c r="W634" s="927"/>
      <c r="X634" s="927"/>
      <c r="Y634" s="927"/>
      <c r="Z634" s="927"/>
    </row>
    <row r="635" spans="1:26" s="136" customFormat="1" ht="18" customHeight="1" x14ac:dyDescent="0.25">
      <c r="A635" s="1435" t="s">
        <v>1387</v>
      </c>
      <c r="B635" s="1435" t="s">
        <v>2019</v>
      </c>
      <c r="C635" s="1366" t="s">
        <v>1659</v>
      </c>
      <c r="D635" s="1355"/>
      <c r="E635" s="125"/>
      <c r="F635" s="1355"/>
      <c r="G635" s="1355"/>
      <c r="H635" s="381"/>
      <c r="I635" s="141"/>
      <c r="J635" s="141"/>
      <c r="K635" s="141"/>
      <c r="L635" s="141"/>
      <c r="M635" s="141"/>
      <c r="N635" s="141"/>
      <c r="O635" s="141"/>
      <c r="P635" s="141">
        <v>28000</v>
      </c>
      <c r="Q635" s="141">
        <v>28000</v>
      </c>
      <c r="R635" s="122">
        <v>28000</v>
      </c>
      <c r="S635" s="239"/>
      <c r="T635" s="1477"/>
      <c r="U635" s="927"/>
      <c r="V635" s="927"/>
      <c r="W635" s="927"/>
      <c r="X635" s="927"/>
      <c r="Y635" s="927"/>
      <c r="Z635" s="927"/>
    </row>
    <row r="636" spans="1:26" s="136" customFormat="1" ht="18" customHeight="1" x14ac:dyDescent="0.25">
      <c r="A636" s="1435" t="s">
        <v>1387</v>
      </c>
      <c r="B636" s="1435" t="s">
        <v>2019</v>
      </c>
      <c r="C636" s="1366" t="s">
        <v>1660</v>
      </c>
      <c r="D636" s="1355"/>
      <c r="E636" s="125"/>
      <c r="F636" s="1355"/>
      <c r="G636" s="1355"/>
      <c r="H636" s="381"/>
      <c r="I636" s="141"/>
      <c r="J636" s="141"/>
      <c r="K636" s="141"/>
      <c r="L636" s="141"/>
      <c r="M636" s="141"/>
      <c r="N636" s="141"/>
      <c r="O636" s="141"/>
      <c r="P636" s="141">
        <v>28000</v>
      </c>
      <c r="Q636" s="141">
        <v>28000</v>
      </c>
      <c r="R636" s="122">
        <v>28000</v>
      </c>
      <c r="S636" s="239"/>
      <c r="T636" s="1477"/>
      <c r="U636" s="927"/>
      <c r="V636" s="927"/>
      <c r="W636" s="927"/>
      <c r="X636" s="927"/>
      <c r="Y636" s="927"/>
      <c r="Z636" s="927"/>
    </row>
    <row r="637" spans="1:26" s="136" customFormat="1" ht="18" customHeight="1" x14ac:dyDescent="0.25">
      <c r="A637" s="1435" t="s">
        <v>1387</v>
      </c>
      <c r="B637" s="1435" t="s">
        <v>2019</v>
      </c>
      <c r="C637" s="1366" t="s">
        <v>1661</v>
      </c>
      <c r="D637" s="1355"/>
      <c r="E637" s="44"/>
      <c r="F637" s="1355"/>
      <c r="G637" s="1355"/>
      <c r="H637" s="381"/>
      <c r="I637" s="141"/>
      <c r="J637" s="141"/>
      <c r="K637" s="141"/>
      <c r="L637" s="141"/>
      <c r="M637" s="141"/>
      <c r="N637" s="141"/>
      <c r="O637" s="141"/>
      <c r="P637" s="141">
        <v>186000</v>
      </c>
      <c r="Q637" s="141">
        <v>186000</v>
      </c>
      <c r="R637" s="122">
        <v>186000</v>
      </c>
      <c r="S637" s="239"/>
      <c r="T637" s="1477"/>
      <c r="U637" s="927"/>
      <c r="V637" s="927"/>
      <c r="W637" s="927"/>
      <c r="X637" s="927"/>
      <c r="Y637" s="927"/>
      <c r="Z637" s="927"/>
    </row>
    <row r="638" spans="1:26" s="48" customFormat="1" ht="18" customHeight="1" x14ac:dyDescent="0.25">
      <c r="A638" s="1435" t="s">
        <v>1387</v>
      </c>
      <c r="B638" s="1435" t="s">
        <v>2019</v>
      </c>
      <c r="C638" s="1366" t="s">
        <v>1662</v>
      </c>
      <c r="D638" s="1355"/>
      <c r="E638" s="125"/>
      <c r="F638" s="1355"/>
      <c r="G638" s="1355"/>
      <c r="H638" s="381"/>
      <c r="I638" s="141"/>
      <c r="J638" s="141"/>
      <c r="K638" s="141"/>
      <c r="L638" s="141"/>
      <c r="M638" s="141"/>
      <c r="N638" s="141"/>
      <c r="O638" s="141"/>
      <c r="P638" s="141">
        <v>110000</v>
      </c>
      <c r="Q638" s="141">
        <v>110000</v>
      </c>
      <c r="R638" s="122">
        <v>110000</v>
      </c>
      <c r="S638" s="1456"/>
      <c r="T638" s="1477"/>
      <c r="U638" s="169"/>
      <c r="V638" s="169"/>
      <c r="W638" s="169"/>
      <c r="X638" s="169"/>
      <c r="Y638" s="169"/>
      <c r="Z638" s="169"/>
    </row>
    <row r="639" spans="1:26" ht="18" x14ac:dyDescent="0.25">
      <c r="A639" s="1435" t="s">
        <v>1387</v>
      </c>
      <c r="B639" s="1435" t="s">
        <v>2019</v>
      </c>
      <c r="C639" s="1365" t="s">
        <v>1663</v>
      </c>
      <c r="D639" s="1355"/>
      <c r="E639" s="1360"/>
      <c r="F639" s="1355"/>
      <c r="G639" s="1355"/>
      <c r="H639" s="381"/>
      <c r="I639" s="141"/>
      <c r="J639" s="141"/>
      <c r="K639" s="141"/>
      <c r="L639" s="141"/>
      <c r="M639" s="141"/>
      <c r="N639" s="141"/>
      <c r="O639" s="141"/>
      <c r="P639" s="141">
        <v>100000</v>
      </c>
      <c r="Q639" s="141">
        <v>100000</v>
      </c>
      <c r="R639" s="122">
        <v>100000</v>
      </c>
      <c r="S639" s="1456"/>
    </row>
    <row r="640" spans="1:26" ht="18" x14ac:dyDescent="0.25">
      <c r="A640" s="1435" t="s">
        <v>1387</v>
      </c>
      <c r="B640" s="1435" t="s">
        <v>2019</v>
      </c>
      <c r="C640" s="1366" t="s">
        <v>1664</v>
      </c>
      <c r="D640" s="1355"/>
      <c r="E640" s="125"/>
      <c r="F640" s="1355"/>
      <c r="G640" s="1355"/>
      <c r="H640" s="381"/>
      <c r="I640" s="141"/>
      <c r="J640" s="141"/>
      <c r="K640" s="141"/>
      <c r="L640" s="141"/>
      <c r="M640" s="141"/>
      <c r="N640" s="141"/>
      <c r="O640" s="141"/>
      <c r="P640" s="141">
        <v>2000000</v>
      </c>
      <c r="Q640" s="141">
        <v>2000000</v>
      </c>
      <c r="R640" s="122">
        <v>2500000</v>
      </c>
    </row>
    <row r="641" spans="1:18" ht="18" x14ac:dyDescent="0.25">
      <c r="A641" s="1435" t="s">
        <v>1387</v>
      </c>
      <c r="B641" s="1435" t="s">
        <v>2019</v>
      </c>
      <c r="C641" s="1366" t="s">
        <v>1665</v>
      </c>
      <c r="D641" s="1351"/>
      <c r="E641" s="44"/>
      <c r="F641" s="1351"/>
      <c r="G641" s="1351"/>
      <c r="H641" s="1391"/>
      <c r="I641" s="122"/>
      <c r="J641" s="122"/>
      <c r="K641" s="122"/>
      <c r="L641" s="122"/>
      <c r="M641" s="122"/>
      <c r="N641" s="122"/>
      <c r="O641" s="122"/>
      <c r="P641" s="122">
        <v>500000</v>
      </c>
      <c r="Q641" s="122">
        <v>500000</v>
      </c>
      <c r="R641" s="122">
        <v>500000</v>
      </c>
    </row>
    <row r="642" spans="1:18" ht="18" x14ac:dyDescent="0.25">
      <c r="A642" s="1435" t="s">
        <v>1387</v>
      </c>
      <c r="B642" s="1435" t="s">
        <v>2019</v>
      </c>
      <c r="C642" s="1366" t="s">
        <v>1666</v>
      </c>
      <c r="D642" s="1351"/>
      <c r="E642" s="1366"/>
      <c r="F642" s="1366"/>
      <c r="G642" s="1366"/>
      <c r="H642" s="1391"/>
      <c r="I642" s="122"/>
      <c r="J642" s="122"/>
      <c r="K642" s="122"/>
      <c r="L642" s="122"/>
      <c r="M642" s="122"/>
      <c r="N642" s="122"/>
      <c r="O642" s="122"/>
      <c r="P642" s="122">
        <v>450000</v>
      </c>
      <c r="Q642" s="122">
        <v>450000</v>
      </c>
      <c r="R642" s="122">
        <v>450000</v>
      </c>
    </row>
    <row r="643" spans="1:18" ht="18" x14ac:dyDescent="0.25">
      <c r="A643" s="1435" t="s">
        <v>1387</v>
      </c>
      <c r="B643" s="1435" t="s">
        <v>2019</v>
      </c>
      <c r="C643" s="1366" t="s">
        <v>1667</v>
      </c>
      <c r="D643" s="1351"/>
      <c r="E643" s="44"/>
      <c r="F643" s="1351"/>
      <c r="G643" s="1351"/>
      <c r="H643" s="1391"/>
      <c r="I643" s="122"/>
      <c r="J643" s="122"/>
      <c r="K643" s="122"/>
      <c r="L643" s="122"/>
      <c r="M643" s="122"/>
      <c r="N643" s="122"/>
      <c r="O643" s="122"/>
      <c r="P643" s="122">
        <v>50000</v>
      </c>
      <c r="Q643" s="122">
        <v>50000</v>
      </c>
      <c r="R643" s="122">
        <v>50000</v>
      </c>
    </row>
    <row r="644" spans="1:18" ht="18" x14ac:dyDescent="0.25">
      <c r="A644" s="1435" t="s">
        <v>1387</v>
      </c>
      <c r="B644" s="1435" t="s">
        <v>2019</v>
      </c>
      <c r="C644" s="1366" t="s">
        <v>1668</v>
      </c>
      <c r="D644" s="1355"/>
      <c r="E644" s="125"/>
      <c r="F644" s="1355"/>
      <c r="G644" s="1355"/>
      <c r="H644" s="381"/>
      <c r="I644" s="141"/>
      <c r="J644" s="141"/>
      <c r="K644" s="141"/>
      <c r="L644" s="141"/>
      <c r="M644" s="141"/>
      <c r="N644" s="141"/>
      <c r="O644" s="141"/>
      <c r="P644" s="141">
        <v>200000</v>
      </c>
      <c r="Q644" s="141">
        <v>200000</v>
      </c>
      <c r="R644" s="122">
        <v>200000</v>
      </c>
    </row>
    <row r="645" spans="1:18" ht="18" x14ac:dyDescent="0.25">
      <c r="A645" s="1435" t="s">
        <v>1387</v>
      </c>
      <c r="B645" s="1435" t="s">
        <v>2019</v>
      </c>
      <c r="C645" s="1366" t="s">
        <v>1669</v>
      </c>
      <c r="D645" s="1355"/>
      <c r="E645" s="125"/>
      <c r="F645" s="1355"/>
      <c r="G645" s="1355"/>
      <c r="H645" s="381"/>
      <c r="I645" s="141"/>
      <c r="J645" s="141"/>
      <c r="K645" s="141"/>
      <c r="L645" s="141"/>
      <c r="M645" s="141"/>
      <c r="N645" s="141"/>
      <c r="O645" s="141"/>
      <c r="P645" s="141">
        <v>200000</v>
      </c>
      <c r="Q645" s="141">
        <v>200000</v>
      </c>
      <c r="R645" s="122">
        <v>200000</v>
      </c>
    </row>
    <row r="646" spans="1:18" ht="18" x14ac:dyDescent="0.25">
      <c r="A646" s="1435" t="s">
        <v>1387</v>
      </c>
      <c r="B646" s="1435" t="s">
        <v>2019</v>
      </c>
      <c r="C646" s="1366" t="s">
        <v>1670</v>
      </c>
      <c r="D646" s="1355"/>
      <c r="E646" s="125"/>
      <c r="F646" s="1355"/>
      <c r="G646" s="1355"/>
      <c r="H646" s="381"/>
      <c r="I646" s="141"/>
      <c r="J646" s="141"/>
      <c r="K646" s="141"/>
      <c r="L646" s="141"/>
      <c r="M646" s="141"/>
      <c r="N646" s="141"/>
      <c r="O646" s="141"/>
      <c r="P646" s="141">
        <v>200000</v>
      </c>
      <c r="Q646" s="141">
        <v>200000</v>
      </c>
      <c r="R646" s="122">
        <v>200000</v>
      </c>
    </row>
    <row r="647" spans="1:18" ht="18" x14ac:dyDescent="0.25">
      <c r="A647" s="1435" t="s">
        <v>1387</v>
      </c>
      <c r="B647" s="1435" t="s">
        <v>2019</v>
      </c>
      <c r="C647" s="1366" t="s">
        <v>1671</v>
      </c>
      <c r="D647" s="1355"/>
      <c r="E647" s="125"/>
      <c r="F647" s="1355"/>
      <c r="G647" s="1355"/>
      <c r="H647" s="381"/>
      <c r="I647" s="141"/>
      <c r="J647" s="141"/>
      <c r="K647" s="141"/>
      <c r="L647" s="141"/>
      <c r="M647" s="141"/>
      <c r="N647" s="141"/>
      <c r="O647" s="141"/>
      <c r="P647" s="141">
        <v>100000</v>
      </c>
      <c r="Q647" s="141">
        <v>100000</v>
      </c>
      <c r="R647" s="122">
        <v>100000</v>
      </c>
    </row>
    <row r="648" spans="1:18" ht="18" x14ac:dyDescent="0.25">
      <c r="A648" s="1435" t="s">
        <v>1387</v>
      </c>
      <c r="B648" s="1435" t="s">
        <v>2019</v>
      </c>
      <c r="C648" s="1366" t="s">
        <v>1672</v>
      </c>
      <c r="D648" s="1355"/>
      <c r="E648" s="125"/>
      <c r="F648" s="1355"/>
      <c r="G648" s="1355"/>
      <c r="H648" s="381"/>
      <c r="I648" s="141"/>
      <c r="J648" s="141"/>
      <c r="K648" s="141"/>
      <c r="L648" s="141"/>
      <c r="M648" s="141"/>
      <c r="N648" s="141"/>
      <c r="O648" s="141"/>
      <c r="P648" s="141">
        <v>50000</v>
      </c>
      <c r="Q648" s="141">
        <v>50000</v>
      </c>
      <c r="R648" s="122">
        <v>50000</v>
      </c>
    </row>
    <row r="649" spans="1:18" ht="18" x14ac:dyDescent="0.25">
      <c r="A649" s="1435" t="s">
        <v>1387</v>
      </c>
      <c r="B649" s="1435" t="s">
        <v>2019</v>
      </c>
      <c r="C649" s="206" t="s">
        <v>1673</v>
      </c>
      <c r="D649" s="1355"/>
      <c r="E649" s="199"/>
      <c r="F649" s="1355"/>
      <c r="G649" s="1355"/>
      <c r="H649" s="381"/>
      <c r="I649" s="141"/>
      <c r="J649" s="141"/>
      <c r="K649" s="141"/>
      <c r="L649" s="141"/>
      <c r="M649" s="141"/>
      <c r="N649" s="141"/>
      <c r="O649" s="141"/>
      <c r="P649" s="141">
        <v>500000</v>
      </c>
      <c r="Q649" s="141">
        <v>500000</v>
      </c>
      <c r="R649" s="122">
        <v>500000</v>
      </c>
    </row>
    <row r="650" spans="1:18" ht="18" x14ac:dyDescent="0.25">
      <c r="A650" s="1435" t="s">
        <v>1387</v>
      </c>
      <c r="B650" s="1435" t="s">
        <v>2019</v>
      </c>
      <c r="C650" s="206" t="s">
        <v>2076</v>
      </c>
      <c r="D650" s="1355"/>
      <c r="E650" s="199"/>
      <c r="F650" s="1355"/>
      <c r="G650" s="1355"/>
      <c r="H650" s="381"/>
      <c r="I650" s="141"/>
      <c r="J650" s="141"/>
      <c r="K650" s="141"/>
      <c r="L650" s="141"/>
      <c r="M650" s="141"/>
      <c r="N650" s="141"/>
      <c r="O650" s="141"/>
      <c r="P650" s="141">
        <v>3042000</v>
      </c>
      <c r="Q650" s="141">
        <v>3042000</v>
      </c>
      <c r="R650" s="122">
        <v>4056000</v>
      </c>
    </row>
    <row r="651" spans="1:18" ht="18" x14ac:dyDescent="0.25">
      <c r="A651" s="1435" t="s">
        <v>1387</v>
      </c>
      <c r="B651" s="1435" t="s">
        <v>2019</v>
      </c>
      <c r="C651" s="206" t="s">
        <v>2077</v>
      </c>
      <c r="D651" s="1355"/>
      <c r="E651" s="199"/>
      <c r="F651" s="1355"/>
      <c r="G651" s="1355"/>
      <c r="H651" s="381"/>
      <c r="I651" s="141"/>
      <c r="J651" s="141"/>
      <c r="K651" s="141"/>
      <c r="L651" s="141"/>
      <c r="M651" s="141"/>
      <c r="N651" s="141"/>
      <c r="O651" s="141"/>
      <c r="P651" s="141">
        <v>424000</v>
      </c>
      <c r="Q651" s="141">
        <v>424000</v>
      </c>
      <c r="R651" s="122">
        <v>540000</v>
      </c>
    </row>
    <row r="652" spans="1:18" ht="18" x14ac:dyDescent="0.25">
      <c r="A652" s="1435" t="s">
        <v>1387</v>
      </c>
      <c r="B652" s="1435" t="s">
        <v>2019</v>
      </c>
      <c r="C652" s="206" t="s">
        <v>1674</v>
      </c>
      <c r="D652" s="1355"/>
      <c r="E652" s="199"/>
      <c r="F652" s="1355"/>
      <c r="G652" s="1355"/>
      <c r="H652" s="381"/>
      <c r="I652" s="141"/>
      <c r="J652" s="141"/>
      <c r="K652" s="141"/>
      <c r="L652" s="141"/>
      <c r="M652" s="141"/>
      <c r="N652" s="141"/>
      <c r="O652" s="141"/>
      <c r="P652" s="141"/>
      <c r="Q652" s="141"/>
      <c r="R652" s="122">
        <v>200000</v>
      </c>
    </row>
    <row r="653" spans="1:18" ht="18" x14ac:dyDescent="0.25">
      <c r="A653" s="1435" t="s">
        <v>1387</v>
      </c>
      <c r="B653" s="1435" t="s">
        <v>2019</v>
      </c>
      <c r="C653" s="206" t="s">
        <v>2078</v>
      </c>
      <c r="D653" s="1355"/>
      <c r="E653" s="199"/>
      <c r="F653" s="1355"/>
      <c r="G653" s="1355"/>
      <c r="H653" s="381"/>
      <c r="I653" s="141"/>
      <c r="J653" s="141"/>
      <c r="K653" s="141"/>
      <c r="L653" s="141"/>
      <c r="M653" s="141"/>
      <c r="N653" s="141"/>
      <c r="O653" s="141"/>
      <c r="P653" s="141">
        <v>648000</v>
      </c>
      <c r="Q653" s="141">
        <v>648000</v>
      </c>
      <c r="R653" s="122">
        <v>756000</v>
      </c>
    </row>
    <row r="654" spans="1:18" ht="18" x14ac:dyDescent="0.25">
      <c r="A654" s="1404" t="s">
        <v>1387</v>
      </c>
      <c r="B654" s="1404" t="s">
        <v>2019</v>
      </c>
      <c r="C654" s="206" t="s">
        <v>1158</v>
      </c>
      <c r="D654" s="1355"/>
      <c r="E654" s="1355"/>
      <c r="F654" s="1355"/>
      <c r="G654" s="1355"/>
      <c r="H654" s="381"/>
      <c r="I654" s="141"/>
      <c r="J654" s="141"/>
      <c r="K654" s="141"/>
      <c r="L654" s="141"/>
      <c r="M654" s="141"/>
      <c r="N654" s="141"/>
      <c r="O654" s="141"/>
      <c r="P654" s="141">
        <v>5000000</v>
      </c>
      <c r="Q654" s="141">
        <v>5000000</v>
      </c>
      <c r="R654" s="122">
        <v>5000000</v>
      </c>
    </row>
    <row r="655" spans="1:18" ht="18" x14ac:dyDescent="0.25">
      <c r="A655" s="1445" t="s">
        <v>1387</v>
      </c>
      <c r="B655" s="1445" t="s">
        <v>2019</v>
      </c>
      <c r="C655" s="1365" t="s">
        <v>1160</v>
      </c>
      <c r="D655" s="1355"/>
      <c r="E655" s="1360"/>
      <c r="F655" s="1355"/>
      <c r="G655" s="1355"/>
      <c r="H655" s="381"/>
      <c r="I655" s="141"/>
      <c r="J655" s="141"/>
      <c r="K655" s="141"/>
      <c r="L655" s="141"/>
      <c r="M655" s="141"/>
      <c r="N655" s="141"/>
      <c r="O655" s="141"/>
      <c r="P655" s="141">
        <v>400000</v>
      </c>
      <c r="Q655" s="141">
        <v>400000</v>
      </c>
      <c r="R655" s="122">
        <v>400000</v>
      </c>
    </row>
    <row r="656" spans="1:18" ht="18" x14ac:dyDescent="0.25">
      <c r="A656" s="1445" t="s">
        <v>1387</v>
      </c>
      <c r="B656" s="1445" t="s">
        <v>2019</v>
      </c>
      <c r="C656" s="180" t="s">
        <v>1677</v>
      </c>
      <c r="D656" s="1355"/>
      <c r="E656" s="1362"/>
      <c r="F656" s="427"/>
      <c r="G656" s="1359"/>
      <c r="H656" s="1389"/>
      <c r="I656" s="141"/>
      <c r="J656" s="141"/>
      <c r="K656" s="141"/>
      <c r="L656" s="141"/>
      <c r="M656" s="141"/>
      <c r="N656" s="141"/>
      <c r="O656" s="141"/>
      <c r="P656" s="141">
        <v>920392.19</v>
      </c>
      <c r="Q656" s="141">
        <v>920392.19</v>
      </c>
      <c r="R656" s="122">
        <v>920392.19</v>
      </c>
    </row>
    <row r="657" spans="1:26" ht="18" x14ac:dyDescent="0.25">
      <c r="A657" s="1445" t="s">
        <v>1387</v>
      </c>
      <c r="B657" s="1445" t="s">
        <v>2019</v>
      </c>
      <c r="C657" s="180" t="s">
        <v>1679</v>
      </c>
      <c r="D657" s="1355"/>
      <c r="E657" s="427"/>
      <c r="F657" s="427"/>
      <c r="G657" s="1359"/>
      <c r="H657" s="1389"/>
      <c r="I657" s="141"/>
      <c r="J657" s="122"/>
      <c r="K657" s="141"/>
      <c r="L657" s="141"/>
      <c r="M657" s="122"/>
      <c r="N657" s="122"/>
      <c r="O657" s="122"/>
      <c r="P657" s="122">
        <v>500000</v>
      </c>
      <c r="Q657" s="122">
        <v>500000</v>
      </c>
      <c r="R657" s="122">
        <v>500000</v>
      </c>
    </row>
    <row r="658" spans="1:26" ht="18" x14ac:dyDescent="0.25">
      <c r="A658" s="1445" t="s">
        <v>1387</v>
      </c>
      <c r="B658" s="1445" t="s">
        <v>2019</v>
      </c>
      <c r="C658" s="1372" t="s">
        <v>1680</v>
      </c>
      <c r="D658" s="1355"/>
      <c r="E658" s="1362"/>
      <c r="F658" s="427"/>
      <c r="G658" s="1359"/>
      <c r="H658" s="1389"/>
      <c r="I658" s="141"/>
      <c r="J658" s="141"/>
      <c r="K658" s="141"/>
      <c r="L658" s="141"/>
      <c r="M658" s="141"/>
      <c r="N658" s="141"/>
      <c r="O658" s="141"/>
      <c r="P658" s="141">
        <v>150000</v>
      </c>
      <c r="Q658" s="141">
        <v>150000</v>
      </c>
      <c r="R658" s="122">
        <v>150000</v>
      </c>
    </row>
    <row r="659" spans="1:26" ht="18" x14ac:dyDescent="0.25">
      <c r="A659" s="1445" t="s">
        <v>1387</v>
      </c>
      <c r="B659" s="1445" t="s">
        <v>2019</v>
      </c>
      <c r="C659" s="1372" t="s">
        <v>1681</v>
      </c>
      <c r="D659" s="1355"/>
      <c r="E659" s="1362"/>
      <c r="F659" s="427"/>
      <c r="G659" s="1359"/>
      <c r="H659" s="1389"/>
      <c r="I659" s="141"/>
      <c r="J659" s="141"/>
      <c r="K659" s="141"/>
      <c r="L659" s="141"/>
      <c r="M659" s="141"/>
      <c r="N659" s="141"/>
      <c r="O659" s="141"/>
      <c r="P659" s="141">
        <v>200000</v>
      </c>
      <c r="Q659" s="141">
        <v>200000</v>
      </c>
      <c r="R659" s="122">
        <v>200000</v>
      </c>
    </row>
    <row r="660" spans="1:26" ht="18" x14ac:dyDescent="0.25">
      <c r="A660" s="1445" t="s">
        <v>1387</v>
      </c>
      <c r="B660" s="1445" t="s">
        <v>2019</v>
      </c>
      <c r="C660" s="180" t="s">
        <v>1682</v>
      </c>
      <c r="D660" s="1355"/>
      <c r="E660" s="427"/>
      <c r="F660" s="427"/>
      <c r="G660" s="1359"/>
      <c r="H660" s="1389"/>
      <c r="I660" s="141"/>
      <c r="J660" s="141"/>
      <c r="K660" s="141"/>
      <c r="L660" s="141"/>
      <c r="M660" s="141"/>
      <c r="N660" s="141"/>
      <c r="O660" s="141"/>
      <c r="P660" s="141"/>
      <c r="Q660" s="141"/>
      <c r="R660" s="122"/>
    </row>
    <row r="661" spans="1:26" ht="18" x14ac:dyDescent="0.25">
      <c r="A661" s="1445" t="s">
        <v>1387</v>
      </c>
      <c r="B661" s="1445" t="s">
        <v>2019</v>
      </c>
      <c r="C661" s="1372" t="s">
        <v>1683</v>
      </c>
      <c r="D661" s="1355"/>
      <c r="E661" s="1362"/>
      <c r="F661" s="427"/>
      <c r="G661" s="1359"/>
      <c r="H661" s="1389"/>
      <c r="I661" s="141"/>
      <c r="J661" s="141"/>
      <c r="K661" s="141"/>
      <c r="L661" s="141"/>
      <c r="M661" s="141"/>
      <c r="N661" s="141"/>
      <c r="O661" s="141"/>
      <c r="P661" s="141">
        <v>500000</v>
      </c>
      <c r="Q661" s="141">
        <v>500000</v>
      </c>
      <c r="R661" s="122">
        <v>500000</v>
      </c>
    </row>
    <row r="662" spans="1:26" ht="18" x14ac:dyDescent="0.25">
      <c r="A662" s="1445" t="s">
        <v>1387</v>
      </c>
      <c r="B662" s="1445" t="s">
        <v>2019</v>
      </c>
      <c r="C662" s="1372" t="s">
        <v>1684</v>
      </c>
      <c r="D662" s="1355"/>
      <c r="E662" s="1362"/>
      <c r="F662" s="427"/>
      <c r="G662" s="1359"/>
      <c r="H662" s="1389"/>
      <c r="I662" s="141"/>
      <c r="J662" s="141"/>
      <c r="K662" s="141"/>
      <c r="L662" s="141"/>
      <c r="M662" s="141"/>
      <c r="N662" s="141"/>
      <c r="O662" s="141"/>
      <c r="P662" s="141">
        <v>150000</v>
      </c>
      <c r="Q662" s="141">
        <v>150000</v>
      </c>
      <c r="R662" s="122">
        <v>150000</v>
      </c>
    </row>
    <row r="663" spans="1:26" ht="18" x14ac:dyDescent="0.25">
      <c r="A663" s="1445" t="s">
        <v>1387</v>
      </c>
      <c r="B663" s="1445" t="s">
        <v>2019</v>
      </c>
      <c r="C663" s="180" t="s">
        <v>1685</v>
      </c>
      <c r="D663" s="1355"/>
      <c r="E663" s="427"/>
      <c r="F663" s="427"/>
      <c r="G663" s="1359"/>
      <c r="H663" s="1389"/>
      <c r="I663" s="141"/>
      <c r="J663" s="141"/>
      <c r="K663" s="141"/>
      <c r="L663" s="141"/>
      <c r="M663" s="141"/>
      <c r="N663" s="141"/>
      <c r="O663" s="141"/>
      <c r="P663" s="141">
        <v>200000</v>
      </c>
      <c r="Q663" s="141">
        <v>200000</v>
      </c>
      <c r="R663" s="122">
        <v>200000</v>
      </c>
    </row>
    <row r="664" spans="1:26" ht="18" x14ac:dyDescent="0.25">
      <c r="A664" s="1445" t="s">
        <v>1387</v>
      </c>
      <c r="B664" s="1445" t="s">
        <v>2019</v>
      </c>
      <c r="C664" s="180" t="s">
        <v>1686</v>
      </c>
      <c r="D664" s="1351"/>
      <c r="E664" s="180"/>
      <c r="F664" s="180"/>
      <c r="G664" s="1361"/>
      <c r="H664" s="1393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>
        <v>1200000</v>
      </c>
    </row>
    <row r="665" spans="1:26" s="9" customFormat="1" ht="18" customHeight="1" x14ac:dyDescent="0.25">
      <c r="A665" s="1445" t="s">
        <v>1387</v>
      </c>
      <c r="B665" s="1445" t="s">
        <v>2019</v>
      </c>
      <c r="C665" s="1372" t="s">
        <v>1687</v>
      </c>
      <c r="D665" s="1355"/>
      <c r="E665" s="1362"/>
      <c r="F665" s="427"/>
      <c r="G665" s="1359"/>
      <c r="H665" s="1389"/>
      <c r="I665" s="141"/>
      <c r="J665" s="141"/>
      <c r="K665" s="141"/>
      <c r="L665" s="141"/>
      <c r="M665" s="141"/>
      <c r="N665" s="141"/>
      <c r="O665" s="141"/>
      <c r="P665" s="141">
        <v>100000</v>
      </c>
      <c r="Q665" s="141">
        <v>100000</v>
      </c>
      <c r="R665" s="122">
        <v>100000</v>
      </c>
      <c r="S665" s="239"/>
      <c r="T665" s="1476"/>
      <c r="U665" s="146"/>
    </row>
    <row r="666" spans="1:26" s="9" customFormat="1" ht="18" customHeight="1" x14ac:dyDescent="0.25">
      <c r="A666" s="1445" t="s">
        <v>1387</v>
      </c>
      <c r="B666" s="1445" t="s">
        <v>2019</v>
      </c>
      <c r="C666" s="1368" t="s">
        <v>1188</v>
      </c>
      <c r="D666" s="1355"/>
      <c r="E666" s="1362"/>
      <c r="F666" s="427"/>
      <c r="G666" s="1359"/>
      <c r="H666" s="1389"/>
      <c r="I666" s="141"/>
      <c r="J666" s="141"/>
      <c r="K666" s="141"/>
      <c r="L666" s="141"/>
      <c r="M666" s="141"/>
      <c r="N666" s="141"/>
      <c r="O666" s="141"/>
      <c r="P666" s="141">
        <v>270000</v>
      </c>
      <c r="Q666" s="141">
        <v>270000</v>
      </c>
      <c r="R666" s="122">
        <v>270000</v>
      </c>
      <c r="S666" s="239"/>
      <c r="T666" s="1476"/>
      <c r="U666" s="146"/>
    </row>
    <row r="667" spans="1:26" ht="18" customHeight="1" x14ac:dyDescent="0.25">
      <c r="A667" s="1445" t="s">
        <v>1387</v>
      </c>
      <c r="B667" s="1445" t="s">
        <v>2019</v>
      </c>
      <c r="C667" s="1368" t="s">
        <v>1189</v>
      </c>
      <c r="D667" s="1355"/>
      <c r="E667" s="1362"/>
      <c r="F667" s="427"/>
      <c r="G667" s="1359"/>
      <c r="H667" s="1389"/>
      <c r="I667" s="141"/>
      <c r="J667" s="141"/>
      <c r="K667" s="141"/>
      <c r="L667" s="141"/>
      <c r="M667" s="141"/>
      <c r="N667" s="141"/>
      <c r="O667" s="141"/>
      <c r="P667" s="141">
        <v>65000</v>
      </c>
      <c r="Q667" s="141">
        <v>65000</v>
      </c>
      <c r="R667" s="122">
        <v>65000</v>
      </c>
      <c r="S667" s="1450"/>
    </row>
    <row r="668" spans="1:26" s="7" customFormat="1" ht="18" customHeight="1" x14ac:dyDescent="0.25">
      <c r="A668" s="1445" t="s">
        <v>1387</v>
      </c>
      <c r="B668" s="1445" t="s">
        <v>2019</v>
      </c>
      <c r="C668" s="1368" t="s">
        <v>1688</v>
      </c>
      <c r="D668" s="1355"/>
      <c r="E668" s="1362"/>
      <c r="F668" s="427"/>
      <c r="G668" s="1359"/>
      <c r="H668" s="1389"/>
      <c r="I668" s="141"/>
      <c r="J668" s="141"/>
      <c r="K668" s="141"/>
      <c r="L668" s="141"/>
      <c r="M668" s="141"/>
      <c r="N668" s="141"/>
      <c r="O668" s="141"/>
      <c r="P668" s="141">
        <v>60000</v>
      </c>
      <c r="Q668" s="141">
        <v>60000</v>
      </c>
      <c r="R668" s="122">
        <v>60000</v>
      </c>
      <c r="S668" s="1460"/>
      <c r="T668" s="1475"/>
      <c r="U668" s="1380"/>
      <c r="V668" s="1380"/>
      <c r="W668" s="1380"/>
      <c r="X668" s="1380"/>
      <c r="Y668" s="1380"/>
      <c r="Z668" s="1380"/>
    </row>
    <row r="669" spans="1:26" ht="18" x14ac:dyDescent="0.25">
      <c r="A669" s="1445" t="s">
        <v>1387</v>
      </c>
      <c r="B669" s="1445" t="s">
        <v>2019</v>
      </c>
      <c r="C669" s="1372" t="s">
        <v>1191</v>
      </c>
      <c r="D669" s="1355"/>
      <c r="E669" s="1362"/>
      <c r="F669" s="427"/>
      <c r="G669" s="1359"/>
      <c r="H669" s="1389"/>
      <c r="I669" s="141"/>
      <c r="J669" s="141"/>
      <c r="K669" s="141"/>
      <c r="L669" s="141"/>
      <c r="M669" s="141"/>
      <c r="N669" s="141"/>
      <c r="O669" s="141"/>
      <c r="P669" s="141">
        <v>700000</v>
      </c>
      <c r="Q669" s="141">
        <v>700000</v>
      </c>
      <c r="R669" s="122">
        <v>700000</v>
      </c>
    </row>
    <row r="670" spans="1:26" s="142" customFormat="1" ht="18" customHeight="1" x14ac:dyDescent="0.3">
      <c r="A670" s="1445" t="s">
        <v>1387</v>
      </c>
      <c r="B670" s="1445" t="s">
        <v>2019</v>
      </c>
      <c r="C670" s="180" t="s">
        <v>1689</v>
      </c>
      <c r="D670" s="1355"/>
      <c r="E670" s="1364"/>
      <c r="F670" s="1361"/>
      <c r="G670" s="1361"/>
      <c r="H670" s="1393"/>
      <c r="I670" s="122"/>
      <c r="J670" s="122"/>
      <c r="K670" s="122"/>
      <c r="L670" s="141"/>
      <c r="M670" s="122"/>
      <c r="N670" s="122"/>
      <c r="O670" s="122"/>
      <c r="P670" s="122">
        <v>1500000</v>
      </c>
      <c r="Q670" s="122">
        <v>1500000</v>
      </c>
      <c r="R670" s="122">
        <v>1500000</v>
      </c>
      <c r="S670" s="1456"/>
      <c r="T670" s="1482"/>
      <c r="U670" s="1461"/>
      <c r="V670" s="1461"/>
      <c r="W670" s="1461"/>
      <c r="X670" s="1461"/>
      <c r="Y670" s="1461"/>
      <c r="Z670" s="1461"/>
    </row>
    <row r="671" spans="1:26" s="142" customFormat="1" ht="18" customHeight="1" x14ac:dyDescent="0.3">
      <c r="A671" s="1445" t="s">
        <v>1387</v>
      </c>
      <c r="B671" s="1445" t="s">
        <v>2019</v>
      </c>
      <c r="C671" s="1372" t="s">
        <v>1690</v>
      </c>
      <c r="D671" s="1355"/>
      <c r="E671" s="1362"/>
      <c r="F671" s="1362"/>
      <c r="G671" s="1359"/>
      <c r="H671" s="1389"/>
      <c r="I671" s="141"/>
      <c r="J671" s="141"/>
      <c r="K671" s="141"/>
      <c r="L671" s="141"/>
      <c r="M671" s="141"/>
      <c r="N671" s="141"/>
      <c r="O671" s="141"/>
      <c r="P671" s="141">
        <v>200000</v>
      </c>
      <c r="Q671" s="141">
        <v>200000</v>
      </c>
      <c r="R671" s="122">
        <v>200000</v>
      </c>
      <c r="S671" s="1456"/>
      <c r="T671" s="1482"/>
      <c r="U671" s="1461"/>
      <c r="V671" s="1461"/>
      <c r="W671" s="1461"/>
      <c r="X671" s="1461"/>
      <c r="Y671" s="1461"/>
      <c r="Z671" s="1461"/>
    </row>
    <row r="672" spans="1:26" s="48" customFormat="1" ht="21.75" customHeight="1" x14ac:dyDescent="0.25">
      <c r="A672" s="1445" t="s">
        <v>1387</v>
      </c>
      <c r="B672" s="1445" t="s">
        <v>2019</v>
      </c>
      <c r="C672" s="1368" t="s">
        <v>1692</v>
      </c>
      <c r="D672" s="1355"/>
      <c r="E672" s="1362"/>
      <c r="F672" s="1362"/>
      <c r="G672" s="1359"/>
      <c r="H672" s="1389"/>
      <c r="I672" s="141"/>
      <c r="J672" s="141"/>
      <c r="K672" s="141"/>
      <c r="L672" s="141"/>
      <c r="M672" s="141"/>
      <c r="N672" s="141"/>
      <c r="O672" s="141"/>
      <c r="P672" s="141">
        <v>3000000</v>
      </c>
      <c r="Q672" s="141">
        <v>3000000</v>
      </c>
      <c r="R672" s="122">
        <v>3000000</v>
      </c>
      <c r="S672" s="1701"/>
      <c r="T672" s="1477"/>
      <c r="U672" s="169"/>
      <c r="V672" s="169"/>
      <c r="W672" s="169"/>
      <c r="X672" s="169"/>
      <c r="Y672" s="169"/>
      <c r="Z672" s="169"/>
    </row>
    <row r="673" spans="1:26" s="1153" customFormat="1" ht="18" customHeight="1" x14ac:dyDescent="0.25">
      <c r="A673" s="1445" t="s">
        <v>1387</v>
      </c>
      <c r="B673" s="1445" t="s">
        <v>2019</v>
      </c>
      <c r="C673" s="1368" t="s">
        <v>1693</v>
      </c>
      <c r="D673" s="1359"/>
      <c r="E673" s="1361"/>
      <c r="F673" s="1362"/>
      <c r="G673" s="1359"/>
      <c r="H673" s="1389"/>
      <c r="I673" s="141"/>
      <c r="J673" s="141"/>
      <c r="K673" s="141"/>
      <c r="L673" s="141"/>
      <c r="M673" s="141"/>
      <c r="N673" s="141"/>
      <c r="O673" s="141"/>
      <c r="P673" s="141">
        <v>100000</v>
      </c>
      <c r="Q673" s="141">
        <v>100000</v>
      </c>
      <c r="R673" s="122">
        <v>100000</v>
      </c>
      <c r="S673" s="1701"/>
      <c r="T673" s="1483"/>
      <c r="U673" s="1256"/>
      <c r="V673" s="1256"/>
      <c r="W673" s="1256"/>
      <c r="X673" s="1256"/>
      <c r="Y673" s="1256"/>
      <c r="Z673" s="1256"/>
    </row>
    <row r="674" spans="1:26" s="48" customFormat="1" ht="18" customHeight="1" x14ac:dyDescent="0.25">
      <c r="A674" s="1445" t="s">
        <v>1387</v>
      </c>
      <c r="B674" s="1445" t="s">
        <v>2019</v>
      </c>
      <c r="C674" s="652" t="s">
        <v>1197</v>
      </c>
      <c r="D674" s="1355"/>
      <c r="E674" s="1359"/>
      <c r="F674" s="1362"/>
      <c r="G674" s="1359"/>
      <c r="H674" s="1389"/>
      <c r="I674" s="141"/>
      <c r="J674" s="141"/>
      <c r="K674" s="141"/>
      <c r="L674" s="141"/>
      <c r="M674" s="141"/>
      <c r="N674" s="141"/>
      <c r="O674" s="141"/>
      <c r="P674" s="141">
        <v>10000</v>
      </c>
      <c r="Q674" s="141">
        <v>10000</v>
      </c>
      <c r="R674" s="122">
        <v>10000</v>
      </c>
      <c r="S674" s="239"/>
      <c r="T674" s="1477"/>
      <c r="U674" s="169"/>
      <c r="V674" s="169"/>
      <c r="W674" s="169"/>
      <c r="X674" s="169"/>
      <c r="Y674" s="169"/>
      <c r="Z674" s="169"/>
    </row>
    <row r="675" spans="1:26" s="48" customFormat="1" ht="18" customHeight="1" x14ac:dyDescent="0.25">
      <c r="A675" s="1445" t="s">
        <v>1387</v>
      </c>
      <c r="B675" s="1445" t="s">
        <v>2019</v>
      </c>
      <c r="C675" s="1369" t="s">
        <v>1205</v>
      </c>
      <c r="D675" s="1355"/>
      <c r="E675" s="1363"/>
      <c r="F675" s="1363"/>
      <c r="G675" s="400"/>
      <c r="H675" s="381"/>
      <c r="I675" s="141"/>
      <c r="J675" s="122"/>
      <c r="K675" s="141"/>
      <c r="L675" s="141"/>
      <c r="M675" s="122"/>
      <c r="N675" s="122"/>
      <c r="O675" s="122"/>
      <c r="P675" s="122">
        <v>50000</v>
      </c>
      <c r="Q675" s="122">
        <v>50000</v>
      </c>
      <c r="R675" s="122">
        <v>50000</v>
      </c>
      <c r="S675" s="239"/>
      <c r="T675" s="1477"/>
      <c r="U675" s="169"/>
      <c r="V675" s="169"/>
      <c r="W675" s="169"/>
      <c r="X675" s="169"/>
      <c r="Y675" s="169"/>
      <c r="Z675" s="169"/>
    </row>
    <row r="676" spans="1:26" s="48" customFormat="1" ht="18" customHeight="1" x14ac:dyDescent="0.25">
      <c r="A676" s="1445" t="s">
        <v>1387</v>
      </c>
      <c r="B676" s="1445" t="s">
        <v>2019</v>
      </c>
      <c r="C676" s="1369" t="s">
        <v>1206</v>
      </c>
      <c r="D676" s="1355"/>
      <c r="E676" s="1363"/>
      <c r="F676" s="1363"/>
      <c r="G676" s="400"/>
      <c r="H676" s="381"/>
      <c r="I676" s="141"/>
      <c r="J676" s="122"/>
      <c r="K676" s="141"/>
      <c r="L676" s="141"/>
      <c r="M676" s="122"/>
      <c r="N676" s="122"/>
      <c r="O676" s="122"/>
      <c r="P676" s="122">
        <v>50000</v>
      </c>
      <c r="Q676" s="122">
        <v>50000</v>
      </c>
      <c r="R676" s="122">
        <v>50000</v>
      </c>
      <c r="S676" s="239"/>
      <c r="T676" s="1477"/>
      <c r="U676" s="169"/>
      <c r="V676" s="169"/>
      <c r="W676" s="169"/>
      <c r="X676" s="169"/>
      <c r="Y676" s="169"/>
      <c r="Z676" s="169"/>
    </row>
    <row r="677" spans="1:26" s="48" customFormat="1" ht="18" customHeight="1" x14ac:dyDescent="0.25">
      <c r="A677" s="1445" t="s">
        <v>1387</v>
      </c>
      <c r="B677" s="1445" t="s">
        <v>2019</v>
      </c>
      <c r="C677" s="1369" t="s">
        <v>1207</v>
      </c>
      <c r="D677" s="1355"/>
      <c r="E677" s="1363"/>
      <c r="F677" s="1363"/>
      <c r="G677" s="400"/>
      <c r="H677" s="381"/>
      <c r="I677" s="141"/>
      <c r="J677" s="122"/>
      <c r="K677" s="141"/>
      <c r="L677" s="141"/>
      <c r="M677" s="122"/>
      <c r="N677" s="122"/>
      <c r="O677" s="122"/>
      <c r="P677" s="122">
        <v>50000</v>
      </c>
      <c r="Q677" s="122">
        <v>50000</v>
      </c>
      <c r="R677" s="122">
        <v>50000</v>
      </c>
      <c r="S677" s="239"/>
      <c r="T677" s="1477"/>
      <c r="U677" s="169"/>
      <c r="V677" s="169"/>
      <c r="W677" s="169"/>
      <c r="X677" s="169"/>
      <c r="Y677" s="169"/>
      <c r="Z677" s="169"/>
    </row>
    <row r="678" spans="1:26" s="48" customFormat="1" ht="18" customHeight="1" x14ac:dyDescent="0.25">
      <c r="A678" s="1445" t="s">
        <v>1387</v>
      </c>
      <c r="B678" s="1445" t="s">
        <v>2019</v>
      </c>
      <c r="C678" s="1369" t="s">
        <v>1208</v>
      </c>
      <c r="D678" s="1355"/>
      <c r="E678" s="1363"/>
      <c r="F678" s="1363"/>
      <c r="G678" s="400"/>
      <c r="H678" s="381"/>
      <c r="I678" s="141"/>
      <c r="J678" s="122"/>
      <c r="K678" s="141"/>
      <c r="L678" s="141"/>
      <c r="M678" s="122"/>
      <c r="N678" s="122"/>
      <c r="O678" s="122"/>
      <c r="P678" s="122">
        <v>54968</v>
      </c>
      <c r="Q678" s="122">
        <v>54968</v>
      </c>
      <c r="R678" s="122">
        <v>54968</v>
      </c>
      <c r="S678" s="239"/>
      <c r="T678" s="1477"/>
      <c r="U678" s="169"/>
      <c r="V678" s="169"/>
      <c r="W678" s="169"/>
      <c r="X678" s="169"/>
      <c r="Y678" s="169"/>
      <c r="Z678" s="169"/>
    </row>
    <row r="679" spans="1:26" s="48" customFormat="1" ht="18" customHeight="1" x14ac:dyDescent="0.25">
      <c r="A679" s="1445" t="s">
        <v>1387</v>
      </c>
      <c r="B679" s="1445" t="s">
        <v>2019</v>
      </c>
      <c r="C679" s="1369" t="s">
        <v>1209</v>
      </c>
      <c r="D679" s="1355"/>
      <c r="E679" s="1363"/>
      <c r="F679" s="1363"/>
      <c r="G679" s="400"/>
      <c r="H679" s="381"/>
      <c r="I679" s="141"/>
      <c r="J679" s="122"/>
      <c r="K679" s="141"/>
      <c r="L679" s="141"/>
      <c r="M679" s="122"/>
      <c r="N679" s="122"/>
      <c r="O679" s="122"/>
      <c r="P679" s="122">
        <v>38159</v>
      </c>
      <c r="Q679" s="122">
        <v>38159</v>
      </c>
      <c r="R679" s="122">
        <v>38159</v>
      </c>
      <c r="S679" s="239"/>
      <c r="T679" s="1477"/>
      <c r="U679" s="169"/>
      <c r="V679" s="169"/>
      <c r="W679" s="169"/>
      <c r="X679" s="169"/>
      <c r="Y679" s="169"/>
      <c r="Z679" s="169"/>
    </row>
    <row r="680" spans="1:26" s="48" customFormat="1" ht="18" customHeight="1" x14ac:dyDescent="0.25">
      <c r="A680" s="1445" t="s">
        <v>1387</v>
      </c>
      <c r="B680" s="1445" t="s">
        <v>2019</v>
      </c>
      <c r="C680" s="1369" t="s">
        <v>1210</v>
      </c>
      <c r="D680" s="1355"/>
      <c r="E680" s="1363"/>
      <c r="F680" s="1363"/>
      <c r="G680" s="400"/>
      <c r="H680" s="381"/>
      <c r="I680" s="141"/>
      <c r="J680" s="122"/>
      <c r="K680" s="141"/>
      <c r="L680" s="141"/>
      <c r="M680" s="122"/>
      <c r="N680" s="122"/>
      <c r="O680" s="122"/>
      <c r="P680" s="122">
        <v>50000</v>
      </c>
      <c r="Q680" s="122">
        <v>50000</v>
      </c>
      <c r="R680" s="122">
        <v>50000</v>
      </c>
      <c r="S680" s="239"/>
      <c r="T680" s="1477"/>
      <c r="U680" s="169"/>
      <c r="V680" s="169"/>
      <c r="W680" s="169"/>
      <c r="X680" s="169"/>
      <c r="Y680" s="169"/>
      <c r="Z680" s="169"/>
    </row>
    <row r="681" spans="1:26" s="48" customFormat="1" ht="18" customHeight="1" x14ac:dyDescent="0.25">
      <c r="A681" s="1445" t="s">
        <v>1387</v>
      </c>
      <c r="B681" s="1445" t="s">
        <v>2019</v>
      </c>
      <c r="C681" s="1369" t="s">
        <v>1211</v>
      </c>
      <c r="D681" s="1355"/>
      <c r="E681" s="1363"/>
      <c r="F681" s="1363"/>
      <c r="G681" s="400"/>
      <c r="H681" s="381"/>
      <c r="I681" s="141"/>
      <c r="J681" s="122"/>
      <c r="K681" s="141"/>
      <c r="L681" s="141"/>
      <c r="M681" s="122"/>
      <c r="N681" s="122"/>
      <c r="O681" s="122"/>
      <c r="P681" s="122">
        <v>96000</v>
      </c>
      <c r="Q681" s="122">
        <v>96000</v>
      </c>
      <c r="R681" s="122">
        <v>96000</v>
      </c>
      <c r="S681" s="239"/>
      <c r="T681" s="1477"/>
      <c r="U681" s="169"/>
      <c r="V681" s="169"/>
      <c r="W681" s="169"/>
      <c r="X681" s="169"/>
      <c r="Y681" s="169"/>
      <c r="Z681" s="169"/>
    </row>
    <row r="682" spans="1:26" s="48" customFormat="1" ht="18" customHeight="1" x14ac:dyDescent="0.25">
      <c r="A682" s="1445" t="s">
        <v>1387</v>
      </c>
      <c r="B682" s="1445" t="s">
        <v>2019</v>
      </c>
      <c r="C682" s="1368" t="s">
        <v>1695</v>
      </c>
      <c r="D682" s="1355"/>
      <c r="E682" s="1361"/>
      <c r="F682" s="1363"/>
      <c r="G682" s="400"/>
      <c r="H682" s="381"/>
      <c r="I682" s="141"/>
      <c r="J682" s="122"/>
      <c r="K682" s="141"/>
      <c r="L682" s="141"/>
      <c r="M682" s="122"/>
      <c r="N682" s="122"/>
      <c r="O682" s="122"/>
      <c r="P682" s="122">
        <v>500000</v>
      </c>
      <c r="Q682" s="122">
        <v>500000</v>
      </c>
      <c r="R682" s="122">
        <v>500000</v>
      </c>
      <c r="S682" s="239"/>
      <c r="T682" s="1477"/>
      <c r="U682" s="169"/>
      <c r="V682" s="169"/>
      <c r="W682" s="169"/>
      <c r="X682" s="169"/>
      <c r="Y682" s="169"/>
      <c r="Z682" s="169"/>
    </row>
    <row r="683" spans="1:26" s="48" customFormat="1" ht="18" customHeight="1" x14ac:dyDescent="0.25">
      <c r="A683" s="1445" t="s">
        <v>1387</v>
      </c>
      <c r="B683" s="1445" t="s">
        <v>2019</v>
      </c>
      <c r="C683" s="1369" t="s">
        <v>1216</v>
      </c>
      <c r="D683" s="1355"/>
      <c r="E683" s="1363"/>
      <c r="F683" s="1363"/>
      <c r="G683" s="400"/>
      <c r="H683" s="381"/>
      <c r="I683" s="141"/>
      <c r="J683" s="141"/>
      <c r="K683" s="141"/>
      <c r="L683" s="141"/>
      <c r="M683" s="141"/>
      <c r="N683" s="141"/>
      <c r="O683" s="141"/>
      <c r="P683" s="141">
        <v>100000</v>
      </c>
      <c r="Q683" s="141">
        <v>100000</v>
      </c>
      <c r="R683" s="122">
        <v>100000</v>
      </c>
      <c r="S683" s="239"/>
      <c r="T683" s="1477"/>
      <c r="U683" s="169"/>
      <c r="V683" s="169"/>
      <c r="W683" s="169"/>
      <c r="X683" s="169"/>
      <c r="Y683" s="169"/>
      <c r="Z683" s="169"/>
    </row>
    <row r="684" spans="1:26" s="48" customFormat="1" ht="18" customHeight="1" x14ac:dyDescent="0.25">
      <c r="A684" s="1445" t="s">
        <v>1387</v>
      </c>
      <c r="B684" s="1445" t="s">
        <v>2019</v>
      </c>
      <c r="C684" s="429" t="s">
        <v>1217</v>
      </c>
      <c r="D684" s="1355"/>
      <c r="E684" s="1363"/>
      <c r="F684" s="1363"/>
      <c r="G684" s="400"/>
      <c r="H684" s="381"/>
      <c r="I684" s="141"/>
      <c r="J684" s="141"/>
      <c r="K684" s="141"/>
      <c r="L684" s="141"/>
      <c r="M684" s="141"/>
      <c r="N684" s="141"/>
      <c r="O684" s="141"/>
      <c r="P684" s="141">
        <v>700000</v>
      </c>
      <c r="Q684" s="141">
        <v>700000</v>
      </c>
      <c r="R684" s="122">
        <v>700000</v>
      </c>
      <c r="S684" s="239"/>
      <c r="T684" s="1477"/>
      <c r="U684" s="169"/>
      <c r="V684" s="169"/>
      <c r="W684" s="169"/>
      <c r="X684" s="169"/>
      <c r="Y684" s="169"/>
      <c r="Z684" s="169"/>
    </row>
    <row r="685" spans="1:26" s="48" customFormat="1" ht="18" customHeight="1" x14ac:dyDescent="0.25">
      <c r="A685" s="1445" t="s">
        <v>1387</v>
      </c>
      <c r="B685" s="1445" t="s">
        <v>2019</v>
      </c>
      <c r="C685" s="1369" t="s">
        <v>1218</v>
      </c>
      <c r="D685" s="1355"/>
      <c r="E685" s="1363"/>
      <c r="F685" s="1363"/>
      <c r="G685" s="400"/>
      <c r="H685" s="381"/>
      <c r="I685" s="141"/>
      <c r="J685" s="141"/>
      <c r="K685" s="141"/>
      <c r="L685" s="141"/>
      <c r="M685" s="141"/>
      <c r="N685" s="141"/>
      <c r="O685" s="141"/>
      <c r="P685" s="141">
        <v>10000</v>
      </c>
      <c r="Q685" s="141">
        <v>10000</v>
      </c>
      <c r="R685" s="122">
        <v>10000</v>
      </c>
      <c r="S685" s="239"/>
      <c r="T685" s="1477"/>
      <c r="U685" s="169"/>
      <c r="V685" s="169"/>
      <c r="W685" s="169"/>
      <c r="X685" s="169"/>
      <c r="Y685" s="169"/>
      <c r="Z685" s="169"/>
    </row>
    <row r="686" spans="1:26" s="48" customFormat="1" ht="18" customHeight="1" x14ac:dyDescent="0.25">
      <c r="A686" s="1445" t="s">
        <v>1387</v>
      </c>
      <c r="B686" s="1445" t="s">
        <v>2019</v>
      </c>
      <c r="C686" s="429" t="s">
        <v>1219</v>
      </c>
      <c r="D686" s="1355"/>
      <c r="E686" s="1363"/>
      <c r="F686" s="1363"/>
      <c r="G686" s="400"/>
      <c r="H686" s="381"/>
      <c r="I686" s="141"/>
      <c r="J686" s="141"/>
      <c r="K686" s="141"/>
      <c r="L686" s="141"/>
      <c r="M686" s="141"/>
      <c r="N686" s="141"/>
      <c r="O686" s="141"/>
      <c r="P686" s="141">
        <v>300000</v>
      </c>
      <c r="Q686" s="141">
        <v>300000</v>
      </c>
      <c r="R686" s="122">
        <v>300000</v>
      </c>
      <c r="S686" s="239"/>
      <c r="T686" s="1477"/>
      <c r="U686" s="169"/>
      <c r="V686" s="169"/>
      <c r="W686" s="169"/>
      <c r="X686" s="169"/>
      <c r="Y686" s="169"/>
      <c r="Z686" s="169"/>
    </row>
    <row r="687" spans="1:26" s="48" customFormat="1" ht="18" customHeight="1" x14ac:dyDescent="0.25">
      <c r="A687" s="1445" t="s">
        <v>1387</v>
      </c>
      <c r="B687" s="1445" t="s">
        <v>2019</v>
      </c>
      <c r="C687" s="1372" t="s">
        <v>1696</v>
      </c>
      <c r="D687" s="1355"/>
      <c r="E687" s="1372"/>
      <c r="F687" s="1363"/>
      <c r="G687" s="400"/>
      <c r="H687" s="381"/>
      <c r="I687" s="141"/>
      <c r="J687" s="141"/>
      <c r="K687" s="141"/>
      <c r="L687" s="141"/>
      <c r="M687" s="141"/>
      <c r="N687" s="141"/>
      <c r="O687" s="141"/>
      <c r="P687" s="141">
        <v>50000</v>
      </c>
      <c r="Q687" s="141">
        <v>50000</v>
      </c>
      <c r="R687" s="122">
        <v>50000</v>
      </c>
      <c r="S687" s="239"/>
      <c r="T687" s="1477"/>
      <c r="U687" s="169"/>
      <c r="V687" s="169"/>
      <c r="W687" s="169"/>
      <c r="X687" s="169"/>
      <c r="Y687" s="169"/>
      <c r="Z687" s="169"/>
    </row>
    <row r="688" spans="1:26" s="48" customFormat="1" ht="18" customHeight="1" x14ac:dyDescent="0.25">
      <c r="A688" s="1445" t="s">
        <v>1387</v>
      </c>
      <c r="B688" s="1445" t="s">
        <v>2019</v>
      </c>
      <c r="C688" s="1369" t="s">
        <v>1220</v>
      </c>
      <c r="D688" s="1355"/>
      <c r="E688" s="1363"/>
      <c r="F688" s="1363"/>
      <c r="G688" s="400"/>
      <c r="H688" s="381"/>
      <c r="I688" s="141"/>
      <c r="J688" s="122"/>
      <c r="K688" s="141"/>
      <c r="L688" s="141"/>
      <c r="M688" s="122"/>
      <c r="N688" s="122"/>
      <c r="O688" s="122"/>
      <c r="P688" s="122">
        <v>600000</v>
      </c>
      <c r="Q688" s="122">
        <v>600000</v>
      </c>
      <c r="R688" s="122">
        <v>600000</v>
      </c>
      <c r="S688" s="239"/>
      <c r="T688" s="1477"/>
      <c r="U688" s="169"/>
      <c r="V688" s="169"/>
      <c r="W688" s="169"/>
      <c r="X688" s="169"/>
      <c r="Y688" s="169"/>
      <c r="Z688" s="169"/>
    </row>
    <row r="689" spans="1:26" s="48" customFormat="1" ht="18" customHeight="1" x14ac:dyDescent="0.25">
      <c r="A689" s="1445" t="s">
        <v>1387</v>
      </c>
      <c r="B689" s="1445" t="s">
        <v>2019</v>
      </c>
      <c r="C689" s="1369" t="s">
        <v>1698</v>
      </c>
      <c r="D689" s="1351"/>
      <c r="E689" s="1351"/>
      <c r="F689" s="1351"/>
      <c r="G689" s="1185"/>
      <c r="H689" s="1391"/>
      <c r="I689" s="122"/>
      <c r="J689" s="122"/>
      <c r="K689" s="122"/>
      <c r="L689" s="122"/>
      <c r="M689" s="122"/>
      <c r="N689" s="122"/>
      <c r="O689" s="122"/>
      <c r="P689" s="122">
        <v>100000</v>
      </c>
      <c r="Q689" s="122">
        <v>100000</v>
      </c>
      <c r="R689" s="122">
        <v>100000</v>
      </c>
      <c r="S689" s="239"/>
      <c r="T689" s="1477"/>
      <c r="U689" s="169"/>
      <c r="V689" s="169"/>
      <c r="W689" s="169"/>
      <c r="X689" s="169"/>
      <c r="Y689" s="169"/>
      <c r="Z689" s="169"/>
    </row>
    <row r="690" spans="1:26" s="48" customFormat="1" ht="18" customHeight="1" x14ac:dyDescent="0.25">
      <c r="A690" s="1445" t="s">
        <v>1387</v>
      </c>
      <c r="B690" s="1445" t="s">
        <v>2019</v>
      </c>
      <c r="C690" s="1369" t="s">
        <v>1221</v>
      </c>
      <c r="D690" s="1355"/>
      <c r="E690" s="1363"/>
      <c r="F690" s="1363"/>
      <c r="G690" s="400"/>
      <c r="H690" s="381"/>
      <c r="I690" s="141"/>
      <c r="J690" s="141"/>
      <c r="K690" s="141"/>
      <c r="L690" s="141"/>
      <c r="M690" s="141"/>
      <c r="N690" s="141"/>
      <c r="O690" s="141"/>
      <c r="P690" s="141">
        <v>25000</v>
      </c>
      <c r="Q690" s="141">
        <v>25000</v>
      </c>
      <c r="R690" s="122">
        <v>25000</v>
      </c>
      <c r="S690" s="239"/>
      <c r="T690" s="1477"/>
      <c r="U690" s="169"/>
      <c r="V690" s="169"/>
      <c r="W690" s="169"/>
      <c r="X690" s="169"/>
      <c r="Y690" s="169"/>
      <c r="Z690" s="169"/>
    </row>
    <row r="691" spans="1:26" s="48" customFormat="1" ht="18" customHeight="1" x14ac:dyDescent="0.25">
      <c r="A691" s="1445" t="s">
        <v>1387</v>
      </c>
      <c r="B691" s="1445" t="s">
        <v>2019</v>
      </c>
      <c r="C691" s="1369" t="s">
        <v>1222</v>
      </c>
      <c r="D691" s="1355"/>
      <c r="E691" s="1363"/>
      <c r="F691" s="1363"/>
      <c r="G691" s="400"/>
      <c r="H691" s="381"/>
      <c r="I691" s="141"/>
      <c r="J691" s="141"/>
      <c r="K691" s="141"/>
      <c r="L691" s="141"/>
      <c r="M691" s="141"/>
      <c r="N691" s="141"/>
      <c r="O691" s="141"/>
      <c r="P691" s="141">
        <v>250000</v>
      </c>
      <c r="Q691" s="141">
        <v>250000</v>
      </c>
      <c r="R691" s="122">
        <v>250000</v>
      </c>
      <c r="S691" s="239"/>
      <c r="T691" s="1477"/>
      <c r="U691" s="169"/>
      <c r="V691" s="169"/>
      <c r="W691" s="169"/>
      <c r="X691" s="169"/>
      <c r="Y691" s="169"/>
      <c r="Z691" s="169"/>
    </row>
    <row r="692" spans="1:26" s="48" customFormat="1" ht="18" customHeight="1" x14ac:dyDescent="0.25">
      <c r="A692" s="1445" t="s">
        <v>1387</v>
      </c>
      <c r="B692" s="1445" t="s">
        <v>2019</v>
      </c>
      <c r="C692" s="1369" t="s">
        <v>1699</v>
      </c>
      <c r="D692" s="1355"/>
      <c r="E692" s="1363"/>
      <c r="F692" s="1363"/>
      <c r="G692" s="400"/>
      <c r="H692" s="381"/>
      <c r="I692" s="141"/>
      <c r="J692" s="141"/>
      <c r="K692" s="141"/>
      <c r="L692" s="141"/>
      <c r="M692" s="141"/>
      <c r="N692" s="141"/>
      <c r="O692" s="141"/>
      <c r="P692" s="141">
        <v>1000000</v>
      </c>
      <c r="Q692" s="141">
        <v>1000000</v>
      </c>
      <c r="R692" s="122">
        <v>1000000</v>
      </c>
      <c r="S692" s="1456"/>
      <c r="T692" s="1477"/>
      <c r="U692" s="169"/>
      <c r="V692" s="169"/>
      <c r="W692" s="169"/>
      <c r="X692" s="169"/>
      <c r="Y692" s="169"/>
      <c r="Z692" s="169"/>
    </row>
    <row r="693" spans="1:26" s="48" customFormat="1" ht="18" customHeight="1" x14ac:dyDescent="0.25">
      <c r="A693" s="1445" t="s">
        <v>1387</v>
      </c>
      <c r="B693" s="1445" t="s">
        <v>2019</v>
      </c>
      <c r="C693" s="1369" t="s">
        <v>1223</v>
      </c>
      <c r="D693" s="1355"/>
      <c r="E693" s="1363"/>
      <c r="F693" s="1363"/>
      <c r="G693" s="400"/>
      <c r="H693" s="381"/>
      <c r="I693" s="141"/>
      <c r="J693" s="122"/>
      <c r="K693" s="141"/>
      <c r="L693" s="141"/>
      <c r="M693" s="122"/>
      <c r="N693" s="122"/>
      <c r="O693" s="122"/>
      <c r="P693" s="122">
        <v>200000</v>
      </c>
      <c r="Q693" s="122">
        <v>200000</v>
      </c>
      <c r="R693" s="122">
        <v>200000</v>
      </c>
      <c r="S693" s="1456"/>
      <c r="T693" s="1477"/>
      <c r="U693" s="169"/>
      <c r="V693" s="169"/>
      <c r="W693" s="169"/>
      <c r="X693" s="169"/>
      <c r="Y693" s="169"/>
      <c r="Z693" s="169"/>
    </row>
    <row r="694" spans="1:26" s="48" customFormat="1" ht="18" customHeight="1" x14ac:dyDescent="0.25">
      <c r="A694" s="1445" t="s">
        <v>1387</v>
      </c>
      <c r="B694" s="1445" t="s">
        <v>2019</v>
      </c>
      <c r="C694" s="1369" t="s">
        <v>1225</v>
      </c>
      <c r="D694" s="1355"/>
      <c r="E694" s="1363"/>
      <c r="F694" s="1363"/>
      <c r="G694" s="400"/>
      <c r="H694" s="381"/>
      <c r="I694" s="141"/>
      <c r="J694" s="141"/>
      <c r="K694" s="141"/>
      <c r="L694" s="141"/>
      <c r="M694" s="141"/>
      <c r="N694" s="141"/>
      <c r="O694" s="141"/>
      <c r="P694" s="141">
        <v>50000</v>
      </c>
      <c r="Q694" s="141">
        <v>50000</v>
      </c>
      <c r="R694" s="122">
        <v>50000</v>
      </c>
      <c r="S694" s="239"/>
      <c r="T694" s="1477"/>
      <c r="U694" s="169"/>
      <c r="V694" s="169"/>
      <c r="W694" s="169"/>
      <c r="X694" s="169"/>
      <c r="Y694" s="169"/>
      <c r="Z694" s="169"/>
    </row>
    <row r="695" spans="1:26" s="48" customFormat="1" ht="18" customHeight="1" x14ac:dyDescent="0.25">
      <c r="A695" s="1445" t="s">
        <v>1387</v>
      </c>
      <c r="B695" s="1445" t="s">
        <v>2019</v>
      </c>
      <c r="C695" s="1366" t="s">
        <v>1700</v>
      </c>
      <c r="D695" s="1355"/>
      <c r="E695" s="1357"/>
      <c r="F695" s="400"/>
      <c r="G695" s="400"/>
      <c r="H695" s="38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99">
        <v>360000</v>
      </c>
      <c r="S695" s="239">
        <f>SUM(R609:R695)</f>
        <v>39223505.189999998</v>
      </c>
      <c r="T695" s="1477"/>
      <c r="U695" s="169"/>
      <c r="V695" s="169"/>
      <c r="W695" s="169"/>
      <c r="X695" s="169"/>
      <c r="Y695" s="169"/>
      <c r="Z695" s="169"/>
    </row>
    <row r="696" spans="1:26" s="48" customFormat="1" ht="18" customHeight="1" x14ac:dyDescent="0.25">
      <c r="A696" s="1439"/>
      <c r="B696" s="1439"/>
      <c r="C696" s="1368"/>
      <c r="D696" s="1356"/>
      <c r="E696" s="1361"/>
      <c r="F696" s="125"/>
      <c r="G696" s="125"/>
      <c r="H696" s="221"/>
      <c r="I696" s="141"/>
      <c r="J696" s="141"/>
      <c r="K696" s="141"/>
      <c r="L696" s="141"/>
      <c r="M696" s="141"/>
      <c r="N696" s="141"/>
      <c r="O696" s="141"/>
      <c r="P696" s="141"/>
      <c r="Q696" s="141"/>
      <c r="R696" s="122">
        <f>SUM(R557:R695)</f>
        <v>97257415.310000002</v>
      </c>
      <c r="S696" s="239"/>
      <c r="T696" s="1477"/>
      <c r="U696" s="169"/>
      <c r="V696" s="169"/>
      <c r="W696" s="169"/>
      <c r="X696" s="169"/>
      <c r="Y696" s="169"/>
      <c r="Z696" s="169"/>
    </row>
    <row r="697" spans="1:26" s="313" customFormat="1" ht="21" customHeight="1" x14ac:dyDescent="0.25">
      <c r="A697" s="961" t="s">
        <v>1388</v>
      </c>
      <c r="B697" s="961" t="s">
        <v>123</v>
      </c>
      <c r="C697" s="1356" t="s">
        <v>143</v>
      </c>
      <c r="D697" s="1355"/>
      <c r="E697" s="1355"/>
      <c r="F697" s="1355"/>
      <c r="G697" s="1355"/>
      <c r="H697" s="221" t="s">
        <v>144</v>
      </c>
      <c r="I697" s="141">
        <v>20000</v>
      </c>
      <c r="J697" s="141">
        <v>25000</v>
      </c>
      <c r="K697" s="141"/>
      <c r="L697" s="141">
        <f t="shared" ref="L697:L727" si="16">M697-K697</f>
        <v>25000</v>
      </c>
      <c r="M697" s="141">
        <v>25000</v>
      </c>
      <c r="N697" s="141">
        <v>0</v>
      </c>
      <c r="O697" s="141"/>
      <c r="P697" s="141">
        <v>25000</v>
      </c>
      <c r="Q697" s="141">
        <v>25000</v>
      </c>
      <c r="R697" s="122">
        <v>25000</v>
      </c>
      <c r="S697" s="239"/>
      <c r="T697" s="1486"/>
    </row>
    <row r="698" spans="1:26" s="313" customFormat="1" ht="16.5" customHeight="1" x14ac:dyDescent="0.25">
      <c r="A698" s="961" t="s">
        <v>1388</v>
      </c>
      <c r="B698" s="961" t="s">
        <v>123</v>
      </c>
      <c r="C698" s="1356" t="s">
        <v>143</v>
      </c>
      <c r="D698" s="1355"/>
      <c r="E698" s="1355"/>
      <c r="F698" s="1355"/>
      <c r="G698" s="1355"/>
      <c r="H698" s="221" t="s">
        <v>144</v>
      </c>
      <c r="I698" s="141">
        <v>5000</v>
      </c>
      <c r="J698" s="141">
        <v>15000</v>
      </c>
      <c r="K698" s="141"/>
      <c r="L698" s="141">
        <f t="shared" si="16"/>
        <v>15000</v>
      </c>
      <c r="M698" s="141">
        <v>15000</v>
      </c>
      <c r="N698" s="141"/>
      <c r="O698" s="141"/>
      <c r="P698" s="141">
        <v>15000</v>
      </c>
      <c r="Q698" s="141">
        <v>15000</v>
      </c>
      <c r="R698" s="122">
        <v>15000</v>
      </c>
      <c r="S698" s="239"/>
      <c r="T698" s="1486"/>
    </row>
    <row r="699" spans="1:26" s="388" customFormat="1" ht="18" x14ac:dyDescent="0.25">
      <c r="A699" s="961" t="s">
        <v>1388</v>
      </c>
      <c r="B699" s="961" t="s">
        <v>123</v>
      </c>
      <c r="C699" s="1356" t="s">
        <v>143</v>
      </c>
      <c r="D699" s="1355"/>
      <c r="E699" s="1355"/>
      <c r="F699" s="1355"/>
      <c r="G699" s="1355"/>
      <c r="H699" s="221" t="s">
        <v>144</v>
      </c>
      <c r="I699" s="141">
        <v>105000</v>
      </c>
      <c r="J699" s="141">
        <v>150000</v>
      </c>
      <c r="K699" s="141"/>
      <c r="L699" s="141">
        <f t="shared" si="16"/>
        <v>150000</v>
      </c>
      <c r="M699" s="141">
        <v>150000</v>
      </c>
      <c r="N699" s="141"/>
      <c r="O699" s="141"/>
      <c r="P699" s="141">
        <v>150000</v>
      </c>
      <c r="Q699" s="141">
        <v>150000</v>
      </c>
      <c r="R699" s="122">
        <v>150000</v>
      </c>
      <c r="S699" s="239"/>
      <c r="T699" s="1487"/>
    </row>
    <row r="700" spans="1:26" s="388" customFormat="1" ht="16.5" customHeight="1" x14ac:dyDescent="0.25">
      <c r="A700" s="961" t="s">
        <v>1388</v>
      </c>
      <c r="B700" s="961" t="s">
        <v>123</v>
      </c>
      <c r="C700" s="1356" t="s">
        <v>143</v>
      </c>
      <c r="D700" s="1355"/>
      <c r="E700" s="1355"/>
      <c r="F700" s="1355"/>
      <c r="G700" s="1355"/>
      <c r="H700" s="221" t="s">
        <v>144</v>
      </c>
      <c r="I700" s="141">
        <v>15000</v>
      </c>
      <c r="J700" s="141">
        <v>15000</v>
      </c>
      <c r="K700" s="141"/>
      <c r="L700" s="141">
        <f t="shared" si="16"/>
        <v>15000</v>
      </c>
      <c r="M700" s="141">
        <v>15000</v>
      </c>
      <c r="N700" s="141"/>
      <c r="O700" s="141"/>
      <c r="P700" s="141">
        <v>15000</v>
      </c>
      <c r="Q700" s="141">
        <v>15000</v>
      </c>
      <c r="R700" s="122">
        <v>15000</v>
      </c>
      <c r="S700" s="239"/>
      <c r="T700" s="1487"/>
    </row>
    <row r="701" spans="1:26" s="388" customFormat="1" ht="18" x14ac:dyDescent="0.25">
      <c r="A701" s="961" t="s">
        <v>1388</v>
      </c>
      <c r="B701" s="961" t="s">
        <v>123</v>
      </c>
      <c r="C701" s="1356" t="s">
        <v>143</v>
      </c>
      <c r="D701" s="1355"/>
      <c r="E701" s="1355"/>
      <c r="F701" s="1355"/>
      <c r="G701" s="1355"/>
      <c r="H701" s="221" t="s">
        <v>144</v>
      </c>
      <c r="I701" s="141">
        <v>203250</v>
      </c>
      <c r="J701" s="141">
        <v>270000</v>
      </c>
      <c r="K701" s="141"/>
      <c r="L701" s="141">
        <f t="shared" si="16"/>
        <v>270000</v>
      </c>
      <c r="M701" s="141">
        <v>270000</v>
      </c>
      <c r="N701" s="141">
        <v>0</v>
      </c>
      <c r="O701" s="141"/>
      <c r="P701" s="141">
        <v>270000</v>
      </c>
      <c r="Q701" s="141">
        <v>270000</v>
      </c>
      <c r="R701" s="122">
        <v>270000</v>
      </c>
      <c r="S701" s="239"/>
      <c r="T701" s="1487"/>
    </row>
    <row r="702" spans="1:26" s="388" customFormat="1" ht="18" x14ac:dyDescent="0.25">
      <c r="A702" s="961" t="s">
        <v>1388</v>
      </c>
      <c r="B702" s="961" t="s">
        <v>123</v>
      </c>
      <c r="C702" s="1356" t="s">
        <v>143</v>
      </c>
      <c r="D702" s="1355"/>
      <c r="E702" s="1355"/>
      <c r="F702" s="1355"/>
      <c r="G702" s="1355"/>
      <c r="H702" s="221" t="s">
        <v>144</v>
      </c>
      <c r="I702" s="141">
        <v>30000</v>
      </c>
      <c r="J702" s="141">
        <v>30000</v>
      </c>
      <c r="K702" s="141"/>
      <c r="L702" s="141">
        <f t="shared" si="16"/>
        <v>30000</v>
      </c>
      <c r="M702" s="141">
        <v>30000</v>
      </c>
      <c r="N702" s="141"/>
      <c r="O702" s="141"/>
      <c r="P702" s="141">
        <v>30000</v>
      </c>
      <c r="Q702" s="141">
        <v>30000</v>
      </c>
      <c r="R702" s="122">
        <v>30000</v>
      </c>
      <c r="S702" s="239"/>
      <c r="T702" s="1487"/>
    </row>
    <row r="703" spans="1:26" s="388" customFormat="1" ht="18" x14ac:dyDescent="0.25">
      <c r="A703" s="961" t="s">
        <v>1388</v>
      </c>
      <c r="B703" s="961" t="s">
        <v>123</v>
      </c>
      <c r="C703" s="1356" t="s">
        <v>143</v>
      </c>
      <c r="D703" s="1355"/>
      <c r="E703" s="1355"/>
      <c r="F703" s="1355"/>
      <c r="G703" s="1355"/>
      <c r="H703" s="381" t="s">
        <v>144</v>
      </c>
      <c r="I703" s="141">
        <v>88000</v>
      </c>
      <c r="J703" s="141">
        <v>120000</v>
      </c>
      <c r="K703" s="141"/>
      <c r="L703" s="141">
        <f t="shared" si="16"/>
        <v>120000</v>
      </c>
      <c r="M703" s="141">
        <v>120000</v>
      </c>
      <c r="N703" s="141"/>
      <c r="O703" s="141"/>
      <c r="P703" s="141">
        <v>120000</v>
      </c>
      <c r="Q703" s="141">
        <v>120000</v>
      </c>
      <c r="R703" s="122">
        <v>120000</v>
      </c>
      <c r="S703" s="239"/>
      <c r="T703" s="1487"/>
    </row>
    <row r="704" spans="1:26" s="388" customFormat="1" ht="16.5" customHeight="1" x14ac:dyDescent="0.25">
      <c r="A704" s="961" t="s">
        <v>1388</v>
      </c>
      <c r="B704" s="961" t="s">
        <v>123</v>
      </c>
      <c r="C704" s="1356" t="s">
        <v>143</v>
      </c>
      <c r="D704" s="1355"/>
      <c r="E704" s="1355"/>
      <c r="F704" s="1355"/>
      <c r="G704" s="1355"/>
      <c r="H704" s="381" t="s">
        <v>144</v>
      </c>
      <c r="I704" s="141">
        <v>45000</v>
      </c>
      <c r="J704" s="141">
        <v>60000</v>
      </c>
      <c r="K704" s="141"/>
      <c r="L704" s="141">
        <f t="shared" si="16"/>
        <v>60000</v>
      </c>
      <c r="M704" s="141">
        <v>60000</v>
      </c>
      <c r="N704" s="141"/>
      <c r="O704" s="141"/>
      <c r="P704" s="141">
        <v>60000</v>
      </c>
      <c r="Q704" s="141">
        <v>60000</v>
      </c>
      <c r="R704" s="122">
        <v>60000</v>
      </c>
      <c r="S704" s="239"/>
      <c r="T704" s="1487"/>
    </row>
    <row r="705" spans="1:26" s="388" customFormat="1" ht="18" x14ac:dyDescent="0.25">
      <c r="A705" s="961" t="s">
        <v>1388</v>
      </c>
      <c r="B705" s="961" t="s">
        <v>123</v>
      </c>
      <c r="C705" s="1356" t="s">
        <v>143</v>
      </c>
      <c r="D705" s="1355"/>
      <c r="E705" s="1355"/>
      <c r="F705" s="1355"/>
      <c r="G705" s="1355"/>
      <c r="H705" s="381" t="s">
        <v>144</v>
      </c>
      <c r="I705" s="141">
        <v>69500</v>
      </c>
      <c r="J705" s="141">
        <v>90000</v>
      </c>
      <c r="K705" s="141"/>
      <c r="L705" s="141">
        <f t="shared" si="16"/>
        <v>90000</v>
      </c>
      <c r="M705" s="141">
        <v>90000</v>
      </c>
      <c r="N705" s="141"/>
      <c r="O705" s="141"/>
      <c r="P705" s="141">
        <v>90000</v>
      </c>
      <c r="Q705" s="141">
        <v>90000</v>
      </c>
      <c r="R705" s="122">
        <v>90000</v>
      </c>
      <c r="S705" s="239">
        <f>SUM(R697:R705)</f>
        <v>775000</v>
      </c>
      <c r="T705" s="1487"/>
    </row>
    <row r="706" spans="1:26" s="388" customFormat="1" ht="18" x14ac:dyDescent="0.25">
      <c r="A706" s="961" t="s">
        <v>1388</v>
      </c>
      <c r="B706" s="961" t="s">
        <v>123</v>
      </c>
      <c r="C706" s="1382" t="s">
        <v>2061</v>
      </c>
      <c r="D706" s="1355"/>
      <c r="E706" s="1355"/>
      <c r="F706" s="1355"/>
      <c r="G706" s="1355"/>
      <c r="H706" s="221" t="s">
        <v>138</v>
      </c>
      <c r="I706" s="141">
        <v>24000</v>
      </c>
      <c r="J706" s="141">
        <v>30000</v>
      </c>
      <c r="K706" s="141">
        <v>24000</v>
      </c>
      <c r="L706" s="141">
        <f t="shared" si="16"/>
        <v>6000</v>
      </c>
      <c r="M706" s="141">
        <v>30000</v>
      </c>
      <c r="N706" s="141">
        <v>24000</v>
      </c>
      <c r="O706" s="141"/>
      <c r="P706" s="141">
        <v>30000</v>
      </c>
      <c r="Q706" s="141">
        <v>30000</v>
      </c>
      <c r="R706" s="122">
        <v>30000</v>
      </c>
      <c r="S706" s="239"/>
      <c r="T706" s="1487"/>
    </row>
    <row r="707" spans="1:26" s="1168" customFormat="1" ht="16.5" customHeight="1" x14ac:dyDescent="0.25">
      <c r="A707" s="961" t="s">
        <v>1388</v>
      </c>
      <c r="B707" s="961" t="s">
        <v>123</v>
      </c>
      <c r="C707" s="1356" t="s">
        <v>2061</v>
      </c>
      <c r="D707" s="1355"/>
      <c r="E707" s="1355"/>
      <c r="F707" s="1355"/>
      <c r="G707" s="1355"/>
      <c r="H707" s="221" t="s">
        <v>138</v>
      </c>
      <c r="I707" s="141">
        <v>6000</v>
      </c>
      <c r="J707" s="141">
        <v>18000</v>
      </c>
      <c r="K707" s="141">
        <v>6000</v>
      </c>
      <c r="L707" s="141">
        <f t="shared" si="16"/>
        <v>12000</v>
      </c>
      <c r="M707" s="141">
        <v>18000</v>
      </c>
      <c r="N707" s="141">
        <v>6000</v>
      </c>
      <c r="O707" s="141"/>
      <c r="P707" s="141">
        <v>18000</v>
      </c>
      <c r="Q707" s="141">
        <v>18000</v>
      </c>
      <c r="R707" s="122">
        <v>18000</v>
      </c>
      <c r="S707" s="239"/>
      <c r="T707" s="1479"/>
    </row>
    <row r="708" spans="1:26" s="1168" customFormat="1" ht="15" customHeight="1" x14ac:dyDescent="0.25">
      <c r="A708" s="961" t="s">
        <v>1388</v>
      </c>
      <c r="B708" s="961" t="s">
        <v>123</v>
      </c>
      <c r="C708" s="1356" t="s">
        <v>2061</v>
      </c>
      <c r="D708" s="1355"/>
      <c r="E708" s="1355"/>
      <c r="F708" s="1355"/>
      <c r="G708" s="1355"/>
      <c r="H708" s="221" t="s">
        <v>138</v>
      </c>
      <c r="I708" s="141">
        <v>108000</v>
      </c>
      <c r="J708" s="141">
        <v>180000</v>
      </c>
      <c r="K708" s="141">
        <v>126000</v>
      </c>
      <c r="L708" s="141">
        <f t="shared" si="16"/>
        <v>54000</v>
      </c>
      <c r="M708" s="141">
        <v>180000</v>
      </c>
      <c r="N708" s="141">
        <v>126000</v>
      </c>
      <c r="O708" s="141"/>
      <c r="P708" s="141">
        <v>180000</v>
      </c>
      <c r="Q708" s="141">
        <v>180000</v>
      </c>
      <c r="R708" s="122">
        <v>180000</v>
      </c>
      <c r="S708" s="239"/>
      <c r="T708" s="1479"/>
    </row>
    <row r="709" spans="1:26" s="48" customFormat="1" ht="18" customHeight="1" x14ac:dyDescent="0.25">
      <c r="A709" s="961" t="s">
        <v>1388</v>
      </c>
      <c r="B709" s="961" t="s">
        <v>123</v>
      </c>
      <c r="C709" s="1356" t="s">
        <v>2061</v>
      </c>
      <c r="D709" s="1355"/>
      <c r="E709" s="1355"/>
      <c r="F709" s="1355"/>
      <c r="G709" s="1355"/>
      <c r="H709" s="221" t="s">
        <v>138</v>
      </c>
      <c r="I709" s="141">
        <v>18000</v>
      </c>
      <c r="J709" s="141">
        <v>18000</v>
      </c>
      <c r="K709" s="141">
        <v>18000</v>
      </c>
      <c r="L709" s="141">
        <f t="shared" si="16"/>
        <v>0</v>
      </c>
      <c r="M709" s="141">
        <v>18000</v>
      </c>
      <c r="N709" s="141">
        <v>18000</v>
      </c>
      <c r="O709" s="141"/>
      <c r="P709" s="141">
        <v>18000</v>
      </c>
      <c r="Q709" s="141">
        <v>18000</v>
      </c>
      <c r="R709" s="122">
        <v>18000</v>
      </c>
      <c r="S709" s="1456"/>
      <c r="T709" s="1478"/>
      <c r="U709" s="169"/>
      <c r="V709" s="169"/>
      <c r="W709" s="169"/>
      <c r="X709" s="169"/>
      <c r="Y709" s="169"/>
      <c r="Z709" s="169"/>
    </row>
    <row r="710" spans="1:26" s="48" customFormat="1" ht="18" customHeight="1" x14ac:dyDescent="0.25">
      <c r="A710" s="961" t="s">
        <v>1388</v>
      </c>
      <c r="B710" s="961" t="s">
        <v>123</v>
      </c>
      <c r="C710" s="1356" t="s">
        <v>2061</v>
      </c>
      <c r="D710" s="1355"/>
      <c r="E710" s="1355"/>
      <c r="F710" s="1355"/>
      <c r="G710" s="1355"/>
      <c r="H710" s="221" t="s">
        <v>138</v>
      </c>
      <c r="I710" s="141">
        <v>240000</v>
      </c>
      <c r="J710" s="141">
        <v>324000</v>
      </c>
      <c r="K710" s="141">
        <v>228000</v>
      </c>
      <c r="L710" s="141">
        <f t="shared" si="16"/>
        <v>96000</v>
      </c>
      <c r="M710" s="141">
        <v>324000</v>
      </c>
      <c r="N710" s="141">
        <v>228000</v>
      </c>
      <c r="O710" s="141"/>
      <c r="P710" s="141">
        <v>324000</v>
      </c>
      <c r="Q710" s="141">
        <v>324000</v>
      </c>
      <c r="R710" s="122">
        <v>324000</v>
      </c>
      <c r="S710" s="1456"/>
      <c r="T710" s="1478"/>
      <c r="U710" s="169"/>
      <c r="V710" s="169"/>
      <c r="W710" s="169"/>
      <c r="X710" s="169"/>
      <c r="Y710" s="169"/>
      <c r="Z710" s="169"/>
    </row>
    <row r="711" spans="1:26" s="1168" customFormat="1" ht="18" customHeight="1" x14ac:dyDescent="0.25">
      <c r="A711" s="961" t="s">
        <v>1388</v>
      </c>
      <c r="B711" s="961" t="s">
        <v>123</v>
      </c>
      <c r="C711" s="1356" t="s">
        <v>2061</v>
      </c>
      <c r="D711" s="1355"/>
      <c r="E711" s="1355"/>
      <c r="F711" s="1355"/>
      <c r="G711" s="1355"/>
      <c r="H711" s="221" t="s">
        <v>138</v>
      </c>
      <c r="I711" s="141">
        <v>30000</v>
      </c>
      <c r="J711" s="141">
        <v>36000</v>
      </c>
      <c r="K711" s="141">
        <v>36000</v>
      </c>
      <c r="L711" s="141">
        <f t="shared" si="16"/>
        <v>0</v>
      </c>
      <c r="M711" s="141">
        <v>36000</v>
      </c>
      <c r="N711" s="141">
        <v>36000</v>
      </c>
      <c r="O711" s="141"/>
      <c r="P711" s="141">
        <v>36000</v>
      </c>
      <c r="Q711" s="141">
        <v>36000</v>
      </c>
      <c r="R711" s="122">
        <v>36000</v>
      </c>
      <c r="S711" s="239"/>
      <c r="T711" s="1479"/>
    </row>
    <row r="712" spans="1:26" s="388" customFormat="1" ht="18" x14ac:dyDescent="0.25">
      <c r="A712" s="961" t="s">
        <v>1388</v>
      </c>
      <c r="B712" s="961" t="s">
        <v>123</v>
      </c>
      <c r="C712" s="1356" t="s">
        <v>2061</v>
      </c>
      <c r="D712" s="1355"/>
      <c r="E712" s="1355"/>
      <c r="F712" s="1355"/>
      <c r="G712" s="1355"/>
      <c r="H712" s="381" t="s">
        <v>138</v>
      </c>
      <c r="I712" s="141">
        <v>108000</v>
      </c>
      <c r="J712" s="141">
        <v>144000</v>
      </c>
      <c r="K712" s="141">
        <v>90000</v>
      </c>
      <c r="L712" s="141">
        <f t="shared" si="16"/>
        <v>54000</v>
      </c>
      <c r="M712" s="141">
        <v>144000</v>
      </c>
      <c r="N712" s="141">
        <v>90000</v>
      </c>
      <c r="O712" s="141"/>
      <c r="P712" s="141">
        <v>144000</v>
      </c>
      <c r="Q712" s="141">
        <v>144000</v>
      </c>
      <c r="R712" s="122">
        <v>144000</v>
      </c>
      <c r="S712" s="239"/>
      <c r="T712" s="1487"/>
    </row>
    <row r="713" spans="1:26" s="7" customFormat="1" ht="18" customHeight="1" x14ac:dyDescent="0.25">
      <c r="A713" s="961" t="s">
        <v>1388</v>
      </c>
      <c r="B713" s="961" t="s">
        <v>123</v>
      </c>
      <c r="C713" s="1356" t="s">
        <v>2061</v>
      </c>
      <c r="D713" s="1355"/>
      <c r="E713" s="1355"/>
      <c r="F713" s="1355"/>
      <c r="G713" s="1355"/>
      <c r="H713" s="381" t="s">
        <v>138</v>
      </c>
      <c r="I713" s="141">
        <v>60000</v>
      </c>
      <c r="J713" s="141">
        <v>72000</v>
      </c>
      <c r="K713" s="141">
        <v>54000</v>
      </c>
      <c r="L713" s="141">
        <f t="shared" si="16"/>
        <v>18000</v>
      </c>
      <c r="M713" s="141">
        <v>72000</v>
      </c>
      <c r="N713" s="141">
        <v>54000</v>
      </c>
      <c r="O713" s="141"/>
      <c r="P713" s="141">
        <v>72000</v>
      </c>
      <c r="Q713" s="141">
        <v>72000</v>
      </c>
      <c r="R713" s="122">
        <v>72000</v>
      </c>
      <c r="S713" s="239"/>
      <c r="T713" s="1475"/>
      <c r="U713" s="1380"/>
      <c r="V713" s="1380"/>
      <c r="W713" s="1380"/>
      <c r="X713" s="1380"/>
      <c r="Y713" s="1380"/>
      <c r="Z713" s="1380"/>
    </row>
    <row r="714" spans="1:26" s="7" customFormat="1" ht="18" customHeight="1" x14ac:dyDescent="0.25">
      <c r="A714" s="961" t="s">
        <v>1388</v>
      </c>
      <c r="B714" s="961" t="s">
        <v>123</v>
      </c>
      <c r="C714" s="1356" t="s">
        <v>2061</v>
      </c>
      <c r="D714" s="1355"/>
      <c r="E714" s="1355"/>
      <c r="F714" s="1355"/>
      <c r="G714" s="1355"/>
      <c r="H714" s="381" t="s">
        <v>138</v>
      </c>
      <c r="I714" s="141">
        <v>84000</v>
      </c>
      <c r="J714" s="141">
        <v>108000</v>
      </c>
      <c r="K714" s="141">
        <v>78000</v>
      </c>
      <c r="L714" s="141">
        <f t="shared" si="16"/>
        <v>30000</v>
      </c>
      <c r="M714" s="141">
        <v>108000</v>
      </c>
      <c r="N714" s="141">
        <v>78000</v>
      </c>
      <c r="O714" s="141"/>
      <c r="P714" s="141">
        <v>108000</v>
      </c>
      <c r="Q714" s="141">
        <v>108000</v>
      </c>
      <c r="R714" s="122">
        <v>108000</v>
      </c>
      <c r="S714" s="239">
        <f>SUM(R706:R714)</f>
        <v>930000</v>
      </c>
      <c r="T714" s="1475"/>
      <c r="U714" s="1380"/>
      <c r="V714" s="1380"/>
      <c r="W714" s="1380"/>
      <c r="X714" s="1380"/>
      <c r="Y714" s="1380"/>
      <c r="Z714" s="1380"/>
    </row>
    <row r="715" spans="1:26" s="7" customFormat="1" ht="18" customHeight="1" x14ac:dyDescent="0.25">
      <c r="A715" s="961" t="s">
        <v>1388</v>
      </c>
      <c r="B715" s="961" t="s">
        <v>123</v>
      </c>
      <c r="C715" s="1356" t="s">
        <v>1546</v>
      </c>
      <c r="D715" s="1355"/>
      <c r="E715" s="1355"/>
      <c r="F715" s="1355"/>
      <c r="G715" s="1355"/>
      <c r="H715" s="221" t="s">
        <v>160</v>
      </c>
      <c r="I715" s="141">
        <v>4800</v>
      </c>
      <c r="J715" s="141">
        <v>6000</v>
      </c>
      <c r="K715" s="141">
        <v>2400</v>
      </c>
      <c r="L715" s="141">
        <f t="shared" si="16"/>
        <v>3600</v>
      </c>
      <c r="M715" s="141">
        <v>6000</v>
      </c>
      <c r="N715" s="141">
        <v>3200</v>
      </c>
      <c r="O715" s="141"/>
      <c r="P715" s="141">
        <v>6000</v>
      </c>
      <c r="Q715" s="141">
        <v>6000</v>
      </c>
      <c r="R715" s="122">
        <v>6000</v>
      </c>
      <c r="S715" s="239"/>
      <c r="T715" s="1475"/>
      <c r="U715" s="1380"/>
      <c r="V715" s="1380"/>
      <c r="W715" s="1380"/>
      <c r="X715" s="1380"/>
      <c r="Y715" s="1380"/>
      <c r="Z715" s="1380"/>
    </row>
    <row r="716" spans="1:26" s="7" customFormat="1" ht="18" customHeight="1" x14ac:dyDescent="0.25">
      <c r="A716" s="961" t="s">
        <v>1388</v>
      </c>
      <c r="B716" s="961" t="s">
        <v>123</v>
      </c>
      <c r="C716" s="1356" t="s">
        <v>1546</v>
      </c>
      <c r="D716" s="1355"/>
      <c r="E716" s="1355"/>
      <c r="F716" s="1355"/>
      <c r="G716" s="1355"/>
      <c r="H716" s="221" t="s">
        <v>160</v>
      </c>
      <c r="I716" s="141">
        <v>1200</v>
      </c>
      <c r="J716" s="141">
        <v>3600</v>
      </c>
      <c r="K716" s="141">
        <v>600</v>
      </c>
      <c r="L716" s="141">
        <f t="shared" si="16"/>
        <v>3000</v>
      </c>
      <c r="M716" s="141">
        <v>3600</v>
      </c>
      <c r="N716" s="141">
        <v>800</v>
      </c>
      <c r="O716" s="141"/>
      <c r="P716" s="141">
        <v>3600</v>
      </c>
      <c r="Q716" s="141">
        <v>3600</v>
      </c>
      <c r="R716" s="122">
        <v>3600</v>
      </c>
      <c r="S716" s="239"/>
      <c r="T716" s="1475"/>
      <c r="U716" s="1380"/>
      <c r="V716" s="1380"/>
      <c r="W716" s="1380"/>
      <c r="X716" s="1380"/>
      <c r="Y716" s="1380"/>
      <c r="Z716" s="1380"/>
    </row>
    <row r="717" spans="1:26" s="7" customFormat="1" ht="18" customHeight="1" x14ac:dyDescent="0.25">
      <c r="A717" s="961" t="s">
        <v>1388</v>
      </c>
      <c r="B717" s="961" t="s">
        <v>123</v>
      </c>
      <c r="C717" s="1356" t="s">
        <v>1546</v>
      </c>
      <c r="D717" s="1355"/>
      <c r="E717" s="1355"/>
      <c r="F717" s="1355"/>
      <c r="G717" s="1355"/>
      <c r="H717" s="221" t="s">
        <v>160</v>
      </c>
      <c r="I717" s="141">
        <v>24300</v>
      </c>
      <c r="J717" s="141">
        <v>36000</v>
      </c>
      <c r="K717" s="141">
        <v>12600</v>
      </c>
      <c r="L717" s="141">
        <f t="shared" si="16"/>
        <v>23400</v>
      </c>
      <c r="M717" s="141">
        <v>36000</v>
      </c>
      <c r="N717" s="141">
        <v>16800</v>
      </c>
      <c r="O717" s="141"/>
      <c r="P717" s="141">
        <v>36000</v>
      </c>
      <c r="Q717" s="141">
        <v>36000</v>
      </c>
      <c r="R717" s="122">
        <v>36000</v>
      </c>
      <c r="S717" s="239"/>
      <c r="T717" s="1475"/>
      <c r="U717" s="1380"/>
      <c r="V717" s="1380"/>
      <c r="W717" s="1380"/>
      <c r="X717" s="1380"/>
      <c r="Y717" s="1380"/>
      <c r="Z717" s="1380"/>
    </row>
    <row r="718" spans="1:26" ht="18" customHeight="1" x14ac:dyDescent="0.25">
      <c r="A718" s="961" t="s">
        <v>1388</v>
      </c>
      <c r="B718" s="961" t="s">
        <v>123</v>
      </c>
      <c r="C718" s="1382" t="s">
        <v>1546</v>
      </c>
      <c r="D718" s="1355"/>
      <c r="E718" s="1355"/>
      <c r="F718" s="1355"/>
      <c r="G718" s="1355"/>
      <c r="H718" s="221" t="s">
        <v>160</v>
      </c>
      <c r="I718" s="141">
        <v>3600</v>
      </c>
      <c r="J718" s="141">
        <v>3600</v>
      </c>
      <c r="K718" s="141">
        <v>1800</v>
      </c>
      <c r="L718" s="141">
        <f t="shared" si="16"/>
        <v>1800</v>
      </c>
      <c r="M718" s="141">
        <v>3600</v>
      </c>
      <c r="N718" s="141">
        <v>2200</v>
      </c>
      <c r="O718" s="141"/>
      <c r="P718" s="141">
        <v>3600</v>
      </c>
      <c r="Q718" s="141">
        <v>3600</v>
      </c>
      <c r="R718" s="122">
        <v>3600</v>
      </c>
    </row>
    <row r="719" spans="1:26" ht="18" customHeight="1" x14ac:dyDescent="0.25">
      <c r="A719" s="961" t="s">
        <v>1388</v>
      </c>
      <c r="B719" s="961" t="s">
        <v>123</v>
      </c>
      <c r="C719" s="1356" t="s">
        <v>1546</v>
      </c>
      <c r="D719" s="1355"/>
      <c r="E719" s="1355"/>
      <c r="F719" s="1355"/>
      <c r="G719" s="1355"/>
      <c r="H719" s="221" t="s">
        <v>160</v>
      </c>
      <c r="I719" s="141">
        <v>48300</v>
      </c>
      <c r="J719" s="141">
        <v>64800</v>
      </c>
      <c r="K719" s="141">
        <v>22800</v>
      </c>
      <c r="L719" s="141">
        <f t="shared" si="16"/>
        <v>42000</v>
      </c>
      <c r="M719" s="141">
        <v>64800</v>
      </c>
      <c r="N719" s="141">
        <v>30400</v>
      </c>
      <c r="O719" s="141"/>
      <c r="P719" s="141">
        <v>64800</v>
      </c>
      <c r="Q719" s="141">
        <v>64800</v>
      </c>
      <c r="R719" s="122">
        <v>64800</v>
      </c>
    </row>
    <row r="720" spans="1:26" ht="18" customHeight="1" x14ac:dyDescent="0.25">
      <c r="A720" s="961" t="s">
        <v>1388</v>
      </c>
      <c r="B720" s="961" t="s">
        <v>123</v>
      </c>
      <c r="C720" s="1356" t="s">
        <v>1546</v>
      </c>
      <c r="D720" s="1355"/>
      <c r="E720" s="1355"/>
      <c r="F720" s="1355"/>
      <c r="G720" s="1355"/>
      <c r="H720" s="221" t="s">
        <v>160</v>
      </c>
      <c r="I720" s="141">
        <v>7000</v>
      </c>
      <c r="J720" s="141">
        <v>7200</v>
      </c>
      <c r="K720" s="141">
        <v>3600</v>
      </c>
      <c r="L720" s="141">
        <f t="shared" si="16"/>
        <v>3600</v>
      </c>
      <c r="M720" s="141">
        <v>7200</v>
      </c>
      <c r="N720" s="141">
        <v>4800</v>
      </c>
      <c r="O720" s="141"/>
      <c r="P720" s="141">
        <v>7200</v>
      </c>
      <c r="Q720" s="141">
        <v>7200</v>
      </c>
      <c r="R720" s="122">
        <v>7200</v>
      </c>
      <c r="S720" s="1450"/>
    </row>
    <row r="721" spans="1:26" s="7" customFormat="1" ht="18" customHeight="1" x14ac:dyDescent="0.25">
      <c r="A721" s="961" t="s">
        <v>1388</v>
      </c>
      <c r="B721" s="961" t="s">
        <v>123</v>
      </c>
      <c r="C721" s="1356" t="s">
        <v>1546</v>
      </c>
      <c r="D721" s="1355"/>
      <c r="E721" s="1355"/>
      <c r="F721" s="1355"/>
      <c r="G721" s="1355"/>
      <c r="H721" s="381" t="s">
        <v>160</v>
      </c>
      <c r="I721" s="141">
        <v>20700</v>
      </c>
      <c r="J721" s="141">
        <v>28800</v>
      </c>
      <c r="K721" s="141">
        <v>9000</v>
      </c>
      <c r="L721" s="141">
        <f t="shared" si="16"/>
        <v>19800</v>
      </c>
      <c r="M721" s="141">
        <v>28800</v>
      </c>
      <c r="N721" s="141">
        <v>12000</v>
      </c>
      <c r="O721" s="141"/>
      <c r="P721" s="141">
        <v>28800</v>
      </c>
      <c r="Q721" s="141">
        <v>28800</v>
      </c>
      <c r="R721" s="122">
        <v>28800</v>
      </c>
      <c r="S721" s="239"/>
      <c r="T721" s="1475"/>
      <c r="U721" s="1380"/>
      <c r="V721" s="1380"/>
      <c r="W721" s="1380"/>
      <c r="X721" s="1380"/>
      <c r="Y721" s="1380"/>
      <c r="Z721" s="1380"/>
    </row>
    <row r="722" spans="1:26" s="142" customFormat="1" ht="18.75" customHeight="1" x14ac:dyDescent="0.3">
      <c r="A722" s="961" t="s">
        <v>1388</v>
      </c>
      <c r="B722" s="961" t="s">
        <v>123</v>
      </c>
      <c r="C722" s="1356" t="s">
        <v>1546</v>
      </c>
      <c r="D722" s="1355"/>
      <c r="E722" s="1355"/>
      <c r="F722" s="1355"/>
      <c r="G722" s="1355"/>
      <c r="H722" s="381" t="s">
        <v>160</v>
      </c>
      <c r="I722" s="141">
        <v>11100</v>
      </c>
      <c r="J722" s="141">
        <v>14400</v>
      </c>
      <c r="K722" s="141">
        <v>5400</v>
      </c>
      <c r="L722" s="141">
        <f t="shared" si="16"/>
        <v>9000</v>
      </c>
      <c r="M722" s="141">
        <v>14400</v>
      </c>
      <c r="N722" s="141">
        <v>7200</v>
      </c>
      <c r="O722" s="141"/>
      <c r="P722" s="141">
        <v>14400</v>
      </c>
      <c r="Q722" s="141">
        <v>14400</v>
      </c>
      <c r="R722" s="122">
        <v>14400</v>
      </c>
      <c r="S722" s="1456"/>
      <c r="T722" s="1482"/>
      <c r="U722" s="1461"/>
      <c r="V722" s="1461"/>
      <c r="W722" s="1461"/>
      <c r="X722" s="1461"/>
      <c r="Y722" s="1461"/>
      <c r="Z722" s="1461"/>
    </row>
    <row r="723" spans="1:26" s="1153" customFormat="1" ht="18.75" customHeight="1" x14ac:dyDescent="0.25">
      <c r="A723" s="961" t="s">
        <v>1388</v>
      </c>
      <c r="B723" s="961" t="s">
        <v>123</v>
      </c>
      <c r="C723" s="1356" t="s">
        <v>1546</v>
      </c>
      <c r="D723" s="1355"/>
      <c r="E723" s="1355"/>
      <c r="F723" s="1355"/>
      <c r="G723" s="1355"/>
      <c r="H723" s="381" t="s">
        <v>160</v>
      </c>
      <c r="I723" s="141">
        <v>16400</v>
      </c>
      <c r="J723" s="141">
        <v>21600</v>
      </c>
      <c r="K723" s="141">
        <v>7800</v>
      </c>
      <c r="L723" s="141">
        <f t="shared" si="16"/>
        <v>13800</v>
      </c>
      <c r="M723" s="141">
        <v>21600</v>
      </c>
      <c r="N723" s="141">
        <v>10400</v>
      </c>
      <c r="O723" s="141"/>
      <c r="P723" s="141">
        <v>21600</v>
      </c>
      <c r="Q723" s="141">
        <v>21600</v>
      </c>
      <c r="R723" s="122">
        <v>21600</v>
      </c>
      <c r="S723" s="1462">
        <f>SUM(R715:R723)</f>
        <v>186000</v>
      </c>
      <c r="T723" s="1483"/>
      <c r="U723" s="1256"/>
      <c r="V723" s="1256"/>
      <c r="W723" s="1256"/>
      <c r="X723" s="1256"/>
      <c r="Y723" s="1256"/>
      <c r="Z723" s="1256"/>
    </row>
    <row r="724" spans="1:26" s="48" customFormat="1" ht="17.100000000000001" customHeight="1" x14ac:dyDescent="0.25">
      <c r="A724" s="961" t="s">
        <v>1388</v>
      </c>
      <c r="B724" s="961" t="s">
        <v>123</v>
      </c>
      <c r="C724" s="1385" t="s">
        <v>149</v>
      </c>
      <c r="D724" s="1355"/>
      <c r="E724" s="1355"/>
      <c r="F724" s="1355"/>
      <c r="G724" s="1355"/>
      <c r="H724" s="381" t="s">
        <v>150</v>
      </c>
      <c r="I724" s="141">
        <v>264305</v>
      </c>
      <c r="J724" s="141">
        <v>140918.82</v>
      </c>
      <c r="K724" s="141">
        <v>41761.5</v>
      </c>
      <c r="L724" s="141">
        <f t="shared" si="16"/>
        <v>99157.32</v>
      </c>
      <c r="M724" s="141">
        <v>140918.82</v>
      </c>
      <c r="N724" s="141">
        <v>58523.5</v>
      </c>
      <c r="O724" s="141"/>
      <c r="P724" s="1398">
        <v>146931</v>
      </c>
      <c r="Q724" s="1398">
        <v>146931</v>
      </c>
      <c r="R724" s="122">
        <v>141078</v>
      </c>
      <c r="S724" s="239">
        <f>R724</f>
        <v>141078</v>
      </c>
      <c r="T724" s="1477"/>
      <c r="U724" s="169"/>
      <c r="V724" s="169"/>
      <c r="W724" s="169"/>
      <c r="X724" s="169"/>
      <c r="Y724" s="169"/>
      <c r="Z724" s="169"/>
    </row>
    <row r="725" spans="1:26" s="48" customFormat="1" ht="17.100000000000001" customHeight="1" x14ac:dyDescent="0.25">
      <c r="A725" s="961" t="s">
        <v>1388</v>
      </c>
      <c r="B725" s="961" t="s">
        <v>123</v>
      </c>
      <c r="C725" s="1356" t="s">
        <v>211</v>
      </c>
      <c r="D725" s="1355"/>
      <c r="E725" s="1355"/>
      <c r="F725" s="1355"/>
      <c r="G725" s="1355"/>
      <c r="H725" s="381" t="s">
        <v>212</v>
      </c>
      <c r="I725" s="141">
        <v>3313.69</v>
      </c>
      <c r="J725" s="141">
        <v>5400</v>
      </c>
      <c r="K725" s="141">
        <v>1237.55</v>
      </c>
      <c r="L725" s="141">
        <f t="shared" si="16"/>
        <v>4162.45</v>
      </c>
      <c r="M725" s="141">
        <v>5400</v>
      </c>
      <c r="N725" s="141">
        <v>1762.69</v>
      </c>
      <c r="O725" s="141"/>
      <c r="P725" s="141">
        <v>5400</v>
      </c>
      <c r="Q725" s="141">
        <v>5400</v>
      </c>
      <c r="R725" s="122">
        <v>5400</v>
      </c>
      <c r="S725" s="239">
        <f>R725</f>
        <v>5400</v>
      </c>
      <c r="T725" s="1477"/>
      <c r="U725" s="169"/>
      <c r="V725" s="169"/>
      <c r="W725" s="169"/>
      <c r="X725" s="169"/>
      <c r="Y725" s="169"/>
      <c r="Z725" s="169"/>
    </row>
    <row r="726" spans="1:26" s="48" customFormat="1" ht="17.100000000000001" customHeight="1" x14ac:dyDescent="0.25">
      <c r="A726" s="961" t="s">
        <v>1388</v>
      </c>
      <c r="B726" s="961" t="s">
        <v>123</v>
      </c>
      <c r="C726" s="1356" t="s">
        <v>1568</v>
      </c>
      <c r="D726" s="1355"/>
      <c r="E726" s="1355"/>
      <c r="F726" s="1355"/>
      <c r="G726" s="1355"/>
      <c r="H726" s="221" t="s">
        <v>232</v>
      </c>
      <c r="I726" s="141">
        <v>0</v>
      </c>
      <c r="J726" s="141">
        <v>15000</v>
      </c>
      <c r="K726" s="141"/>
      <c r="L726" s="141">
        <f t="shared" si="16"/>
        <v>15000</v>
      </c>
      <c r="M726" s="141">
        <v>15000</v>
      </c>
      <c r="N726" s="141"/>
      <c r="O726" s="141"/>
      <c r="P726" s="141"/>
      <c r="Q726" s="141"/>
      <c r="R726" s="122">
        <v>5000</v>
      </c>
      <c r="S726" s="239"/>
      <c r="T726" s="1477"/>
      <c r="U726" s="169"/>
      <c r="V726" s="169"/>
      <c r="W726" s="169"/>
      <c r="X726" s="169"/>
      <c r="Y726" s="169"/>
      <c r="Z726" s="169"/>
    </row>
    <row r="727" spans="1:26" s="48" customFormat="1" ht="17.100000000000001" customHeight="1" x14ac:dyDescent="0.25">
      <c r="A727" s="961" t="s">
        <v>1388</v>
      </c>
      <c r="B727" s="961" t="s">
        <v>123</v>
      </c>
      <c r="C727" s="1385" t="s">
        <v>1568</v>
      </c>
      <c r="D727" s="1355"/>
      <c r="E727" s="1383"/>
      <c r="F727" s="1383"/>
      <c r="G727" s="1383"/>
      <c r="H727" s="221" t="s">
        <v>232</v>
      </c>
      <c r="I727" s="141">
        <v>20000</v>
      </c>
      <c r="J727" s="141">
        <v>45000</v>
      </c>
      <c r="K727" s="141"/>
      <c r="L727" s="141">
        <f t="shared" si="16"/>
        <v>45000</v>
      </c>
      <c r="M727" s="141">
        <v>45000</v>
      </c>
      <c r="N727" s="141">
        <v>0</v>
      </c>
      <c r="O727" s="141"/>
      <c r="P727" s="141"/>
      <c r="Q727" s="141"/>
      <c r="R727" s="122">
        <v>15000</v>
      </c>
      <c r="S727" s="239"/>
      <c r="T727" s="1477"/>
      <c r="U727" s="169"/>
      <c r="V727" s="169"/>
      <c r="W727" s="169"/>
      <c r="X727" s="169"/>
      <c r="Y727" s="169"/>
      <c r="Z727" s="169"/>
    </row>
    <row r="728" spans="1:26" s="48" customFormat="1" ht="17.100000000000001" customHeight="1" x14ac:dyDescent="0.25">
      <c r="A728" s="961" t="s">
        <v>1388</v>
      </c>
      <c r="B728" s="961" t="s">
        <v>123</v>
      </c>
      <c r="C728" s="1356" t="s">
        <v>1568</v>
      </c>
      <c r="D728" s="1355"/>
      <c r="E728" s="1355"/>
      <c r="F728" s="1355"/>
      <c r="G728" s="1355"/>
      <c r="H728" s="381"/>
      <c r="I728" s="141"/>
      <c r="J728" s="141"/>
      <c r="K728" s="141"/>
      <c r="L728" s="141"/>
      <c r="M728" s="141"/>
      <c r="N728" s="141"/>
      <c r="O728" s="141"/>
      <c r="P728" s="141"/>
      <c r="Q728" s="141"/>
      <c r="R728" s="122">
        <v>15000</v>
      </c>
      <c r="S728" s="239"/>
      <c r="T728" s="1477"/>
      <c r="U728" s="169"/>
      <c r="V728" s="169"/>
      <c r="W728" s="169"/>
      <c r="X728" s="169"/>
      <c r="Y728" s="169"/>
      <c r="Z728" s="169"/>
    </row>
    <row r="729" spans="1:26" s="48" customFormat="1" ht="18" customHeight="1" x14ac:dyDescent="0.25">
      <c r="A729" s="1404" t="s">
        <v>1388</v>
      </c>
      <c r="B729" s="1404" t="s">
        <v>123</v>
      </c>
      <c r="C729" s="1385" t="s">
        <v>1568</v>
      </c>
      <c r="D729" s="1355"/>
      <c r="E729" s="1355"/>
      <c r="F729" s="1355"/>
      <c r="G729" s="1355"/>
      <c r="H729" s="381" t="s">
        <v>232</v>
      </c>
      <c r="I729" s="141">
        <v>0</v>
      </c>
      <c r="J729" s="141">
        <v>5000</v>
      </c>
      <c r="K729" s="141"/>
      <c r="L729" s="141">
        <f>M729-K729</f>
        <v>5000</v>
      </c>
      <c r="M729" s="141">
        <v>5000</v>
      </c>
      <c r="N729" s="141"/>
      <c r="O729" s="141"/>
      <c r="P729" s="141"/>
      <c r="Q729" s="141"/>
      <c r="R729" s="122">
        <v>10000</v>
      </c>
      <c r="S729" s="239"/>
      <c r="T729" s="1477"/>
      <c r="U729" s="169"/>
      <c r="V729" s="169"/>
      <c r="W729" s="169"/>
      <c r="X729" s="169"/>
      <c r="Y729" s="169"/>
      <c r="Z729" s="169"/>
    </row>
    <row r="730" spans="1:26" s="48" customFormat="1" ht="17.45" customHeight="1" x14ac:dyDescent="0.25">
      <c r="A730" s="1404" t="s">
        <v>1388</v>
      </c>
      <c r="B730" s="1404" t="s">
        <v>123</v>
      </c>
      <c r="C730" s="1356" t="s">
        <v>1568</v>
      </c>
      <c r="D730" s="1355"/>
      <c r="E730" s="1355"/>
      <c r="F730" s="1355"/>
      <c r="G730" s="1355"/>
      <c r="H730" s="381"/>
      <c r="I730" s="141"/>
      <c r="J730" s="141"/>
      <c r="K730" s="141"/>
      <c r="L730" s="141"/>
      <c r="M730" s="141"/>
      <c r="N730" s="141"/>
      <c r="O730" s="141"/>
      <c r="P730" s="141"/>
      <c r="Q730" s="141"/>
      <c r="R730" s="122">
        <v>5000</v>
      </c>
      <c r="S730" s="239">
        <f>SUM(R726:R730)</f>
        <v>50000</v>
      </c>
      <c r="T730" s="1477"/>
      <c r="U730" s="169"/>
      <c r="V730" s="169"/>
      <c r="W730" s="169"/>
      <c r="X730" s="169"/>
      <c r="Y730" s="169"/>
      <c r="Z730" s="169"/>
    </row>
    <row r="731" spans="1:26" s="48" customFormat="1" ht="17.100000000000001" customHeight="1" x14ac:dyDescent="0.25">
      <c r="A731" s="1404" t="s">
        <v>1388</v>
      </c>
      <c r="B731" s="1404" t="s">
        <v>123</v>
      </c>
      <c r="C731" s="1356" t="s">
        <v>1284</v>
      </c>
      <c r="D731" s="1355"/>
      <c r="E731" s="1355"/>
      <c r="F731" s="1355"/>
      <c r="G731" s="1355"/>
      <c r="H731" s="381" t="s">
        <v>136</v>
      </c>
      <c r="I731" s="141">
        <v>0</v>
      </c>
      <c r="J731" s="141">
        <v>154854.26</v>
      </c>
      <c r="K731" s="141"/>
      <c r="L731" s="141">
        <f t="shared" ref="L731:L740" si="17">M731-K731</f>
        <v>154854.26</v>
      </c>
      <c r="M731" s="141">
        <v>154854.26</v>
      </c>
      <c r="N731" s="141"/>
      <c r="O731" s="141"/>
      <c r="P731" s="1398">
        <v>160988.1</v>
      </c>
      <c r="Q731" s="1398">
        <v>160988.1</v>
      </c>
      <c r="R731" s="122">
        <v>154923.6</v>
      </c>
      <c r="S731" s="239">
        <f>R731</f>
        <v>154923.6</v>
      </c>
      <c r="T731" s="1477"/>
      <c r="U731" s="169"/>
      <c r="V731" s="169"/>
      <c r="W731" s="169"/>
      <c r="X731" s="169"/>
      <c r="Y731" s="169"/>
      <c r="Z731" s="169"/>
    </row>
    <row r="732" spans="1:26" s="48" customFormat="1" ht="17.100000000000001" customHeight="1" x14ac:dyDescent="0.25">
      <c r="A732" s="1404" t="s">
        <v>1388</v>
      </c>
      <c r="B732" s="1404" t="s">
        <v>123</v>
      </c>
      <c r="C732" s="1356" t="s">
        <v>1541</v>
      </c>
      <c r="D732" s="1355"/>
      <c r="E732" s="1355"/>
      <c r="F732" s="1355"/>
      <c r="G732" s="1355"/>
      <c r="H732" s="221" t="s">
        <v>140</v>
      </c>
      <c r="I732" s="141">
        <v>71728</v>
      </c>
      <c r="J732" s="141">
        <v>95427</v>
      </c>
      <c r="K732" s="141">
        <v>75076</v>
      </c>
      <c r="L732" s="141">
        <f t="shared" si="17"/>
        <v>20351</v>
      </c>
      <c r="M732" s="141">
        <v>95427</v>
      </c>
      <c r="N732" s="141">
        <v>75076</v>
      </c>
      <c r="O732" s="141"/>
      <c r="P732" s="141">
        <v>99426</v>
      </c>
      <c r="Q732" s="141">
        <v>99426</v>
      </c>
      <c r="R732" s="122">
        <v>95427</v>
      </c>
      <c r="S732" s="1457"/>
      <c r="T732" s="1477"/>
      <c r="U732" s="169"/>
      <c r="V732" s="169"/>
      <c r="W732" s="169"/>
      <c r="X732" s="169"/>
      <c r="Y732" s="169"/>
      <c r="Z732" s="169"/>
    </row>
    <row r="733" spans="1:26" s="48" customFormat="1" ht="17.100000000000001" customHeight="1" x14ac:dyDescent="0.25">
      <c r="A733" s="1404" t="s">
        <v>1388</v>
      </c>
      <c r="B733" s="1404" t="s">
        <v>123</v>
      </c>
      <c r="C733" s="1356" t="s">
        <v>1541</v>
      </c>
      <c r="D733" s="1355"/>
      <c r="E733" s="1355"/>
      <c r="F733" s="1355"/>
      <c r="G733" s="1355"/>
      <c r="H733" s="221" t="s">
        <v>140</v>
      </c>
      <c r="I733" s="141">
        <v>19102</v>
      </c>
      <c r="J733" s="141">
        <v>60650</v>
      </c>
      <c r="K733" s="141">
        <v>20578</v>
      </c>
      <c r="L733" s="141">
        <f t="shared" si="17"/>
        <v>40072</v>
      </c>
      <c r="M733" s="141">
        <v>60650</v>
      </c>
      <c r="N733" s="141">
        <v>20578</v>
      </c>
      <c r="O733" s="141"/>
      <c r="P733" s="141">
        <v>63591</v>
      </c>
      <c r="Q733" s="141">
        <v>63591</v>
      </c>
      <c r="R733" s="122">
        <v>60650</v>
      </c>
      <c r="S733" s="1457"/>
      <c r="T733" s="1477"/>
      <c r="U733" s="169"/>
      <c r="V733" s="169"/>
      <c r="W733" s="169"/>
      <c r="X733" s="169"/>
      <c r="Y733" s="169"/>
      <c r="Z733" s="169"/>
    </row>
    <row r="734" spans="1:26" s="48" customFormat="1" ht="17.100000000000001" customHeight="1" x14ac:dyDescent="0.25">
      <c r="A734" s="1404" t="s">
        <v>1388</v>
      </c>
      <c r="B734" s="1404" t="s">
        <v>123</v>
      </c>
      <c r="C734" s="1356" t="s">
        <v>1541</v>
      </c>
      <c r="D734" s="1355"/>
      <c r="E734" s="1355"/>
      <c r="F734" s="1355"/>
      <c r="G734" s="1355"/>
      <c r="H734" s="221" t="s">
        <v>140</v>
      </c>
      <c r="I734" s="141">
        <v>319500</v>
      </c>
      <c r="J734" s="141">
        <v>606885</v>
      </c>
      <c r="K734" s="141">
        <v>389997</v>
      </c>
      <c r="L734" s="141">
        <f t="shared" si="17"/>
        <v>216888</v>
      </c>
      <c r="M734" s="141">
        <v>606885</v>
      </c>
      <c r="N734" s="141">
        <v>389997</v>
      </c>
      <c r="O734" s="141"/>
      <c r="P734" s="141">
        <v>633365</v>
      </c>
      <c r="Q734" s="141">
        <v>633365</v>
      </c>
      <c r="R734" s="122">
        <v>606885</v>
      </c>
      <c r="S734" s="1457"/>
      <c r="T734" s="1477"/>
      <c r="U734" s="169"/>
      <c r="V734" s="169"/>
      <c r="W734" s="169"/>
      <c r="X734" s="169"/>
      <c r="Y734" s="169"/>
      <c r="Z734" s="169"/>
    </row>
    <row r="735" spans="1:26" ht="18" x14ac:dyDescent="0.25">
      <c r="A735" s="1404" t="s">
        <v>1388</v>
      </c>
      <c r="B735" s="1404" t="s">
        <v>123</v>
      </c>
      <c r="C735" s="1356" t="s">
        <v>1541</v>
      </c>
      <c r="D735" s="1355"/>
      <c r="E735" s="1355"/>
      <c r="F735" s="1355"/>
      <c r="G735" s="1355"/>
      <c r="H735" s="221" t="s">
        <v>140</v>
      </c>
      <c r="I735" s="141">
        <v>107833</v>
      </c>
      <c r="J735" s="141">
        <v>110707</v>
      </c>
      <c r="K735" s="141">
        <v>110614</v>
      </c>
      <c r="L735" s="141">
        <f t="shared" si="17"/>
        <v>93</v>
      </c>
      <c r="M735" s="141">
        <v>110707</v>
      </c>
      <c r="N735" s="141">
        <v>110614</v>
      </c>
      <c r="O735" s="141"/>
      <c r="P735" s="141">
        <v>113358</v>
      </c>
      <c r="Q735" s="141">
        <v>113358</v>
      </c>
      <c r="R735" s="122">
        <v>108053</v>
      </c>
    </row>
    <row r="736" spans="1:26" ht="17.25" customHeight="1" x14ac:dyDescent="0.25">
      <c r="A736" s="1404" t="s">
        <v>1388</v>
      </c>
      <c r="B736" s="1404" t="s">
        <v>123</v>
      </c>
      <c r="C736" s="1356" t="s">
        <v>1541</v>
      </c>
      <c r="D736" s="1355"/>
      <c r="E736" s="1355"/>
      <c r="F736" s="1355"/>
      <c r="G736" s="1355"/>
      <c r="H736" s="221" t="s">
        <v>140</v>
      </c>
      <c r="I736" s="141">
        <v>599071</v>
      </c>
      <c r="J736" s="141">
        <v>873602</v>
      </c>
      <c r="K736" s="141">
        <v>607784</v>
      </c>
      <c r="L736" s="141">
        <f t="shared" si="17"/>
        <v>265818</v>
      </c>
      <c r="M736" s="141">
        <v>873602</v>
      </c>
      <c r="N736" s="141">
        <v>607784</v>
      </c>
      <c r="O736" s="141"/>
      <c r="P736" s="141">
        <v>907873</v>
      </c>
      <c r="Q736" s="141">
        <v>907873</v>
      </c>
      <c r="R736" s="122">
        <v>873279</v>
      </c>
      <c r="S736" s="1457"/>
    </row>
    <row r="737" spans="1:26" ht="19.5" customHeight="1" x14ac:dyDescent="0.25">
      <c r="A737" s="1404" t="s">
        <v>1388</v>
      </c>
      <c r="B737" s="1404" t="s">
        <v>123</v>
      </c>
      <c r="C737" s="1356" t="s">
        <v>1541</v>
      </c>
      <c r="D737" s="1355"/>
      <c r="E737" s="1355"/>
      <c r="F737" s="1355"/>
      <c r="G737" s="1355"/>
      <c r="H737" s="221" t="s">
        <v>140</v>
      </c>
      <c r="I737" s="141">
        <v>140555</v>
      </c>
      <c r="J737" s="141">
        <v>166725</v>
      </c>
      <c r="K737" s="141">
        <v>166725</v>
      </c>
      <c r="L737" s="141">
        <f t="shared" si="17"/>
        <v>0</v>
      </c>
      <c r="M737" s="141">
        <v>166725</v>
      </c>
      <c r="N737" s="141">
        <v>166725</v>
      </c>
      <c r="O737" s="141"/>
      <c r="P737" s="141">
        <v>172371</v>
      </c>
      <c r="Q737" s="141">
        <v>172371</v>
      </c>
      <c r="R737" s="122">
        <v>166725</v>
      </c>
      <c r="S737" s="1457"/>
    </row>
    <row r="738" spans="1:26" s="146" customFormat="1" ht="18" customHeight="1" x14ac:dyDescent="0.25">
      <c r="A738" s="1404" t="s">
        <v>1388</v>
      </c>
      <c r="B738" s="1404" t="s">
        <v>123</v>
      </c>
      <c r="C738" s="1356" t="s">
        <v>1541</v>
      </c>
      <c r="D738" s="1355"/>
      <c r="E738" s="1355"/>
      <c r="F738" s="1355"/>
      <c r="G738" s="1355"/>
      <c r="H738" s="381" t="s">
        <v>140</v>
      </c>
      <c r="I738" s="141">
        <v>233314</v>
      </c>
      <c r="J738" s="141">
        <v>332297</v>
      </c>
      <c r="K738" s="141">
        <v>203800</v>
      </c>
      <c r="L738" s="141">
        <f t="shared" si="17"/>
        <v>128497</v>
      </c>
      <c r="M738" s="141">
        <v>332297</v>
      </c>
      <c r="N738" s="141">
        <v>203800</v>
      </c>
      <c r="O738" s="141"/>
      <c r="P738" s="141">
        <v>344282</v>
      </c>
      <c r="Q738" s="141">
        <v>344282</v>
      </c>
      <c r="R738" s="122">
        <v>331188</v>
      </c>
      <c r="S738" s="239"/>
      <c r="T738" s="1476"/>
    </row>
    <row r="739" spans="1:26" s="146" customFormat="1" ht="18" customHeight="1" x14ac:dyDescent="0.25">
      <c r="A739" s="1404" t="s">
        <v>1388</v>
      </c>
      <c r="B739" s="1404" t="s">
        <v>123</v>
      </c>
      <c r="C739" s="1382" t="s">
        <v>1541</v>
      </c>
      <c r="D739" s="1355"/>
      <c r="E739" s="1355"/>
      <c r="F739" s="1355"/>
      <c r="G739" s="1355"/>
      <c r="H739" s="381" t="s">
        <v>140</v>
      </c>
      <c r="I739" s="141">
        <v>112418</v>
      </c>
      <c r="J739" s="141">
        <v>153894</v>
      </c>
      <c r="K739" s="141">
        <v>117705</v>
      </c>
      <c r="L739" s="141">
        <f t="shared" si="17"/>
        <v>36189</v>
      </c>
      <c r="M739" s="141">
        <v>153894</v>
      </c>
      <c r="N739" s="141">
        <v>117705</v>
      </c>
      <c r="O739" s="141"/>
      <c r="P739" s="141">
        <v>160053</v>
      </c>
      <c r="Q739" s="141">
        <v>160053</v>
      </c>
      <c r="R739" s="122">
        <v>153894</v>
      </c>
      <c r="S739" s="239"/>
      <c r="T739" s="1476"/>
    </row>
    <row r="740" spans="1:26" s="146" customFormat="1" ht="18" customHeight="1" x14ac:dyDescent="0.25">
      <c r="A740" s="1404" t="s">
        <v>1388</v>
      </c>
      <c r="B740" s="1404" t="s">
        <v>123</v>
      </c>
      <c r="C740" s="1356" t="s">
        <v>1541</v>
      </c>
      <c r="D740" s="1355"/>
      <c r="E740" s="1355"/>
      <c r="F740" s="1355"/>
      <c r="G740" s="1355"/>
      <c r="H740" s="381" t="s">
        <v>140</v>
      </c>
      <c r="I740" s="141">
        <v>201336</v>
      </c>
      <c r="J740" s="141">
        <v>263980</v>
      </c>
      <c r="K740" s="141">
        <v>183453</v>
      </c>
      <c r="L740" s="141">
        <f t="shared" si="17"/>
        <v>80527</v>
      </c>
      <c r="M740" s="141">
        <v>263980</v>
      </c>
      <c r="N740" s="141">
        <v>183453</v>
      </c>
      <c r="O740" s="141"/>
      <c r="P740" s="141">
        <v>275087</v>
      </c>
      <c r="Q740" s="141">
        <v>275087</v>
      </c>
      <c r="R740" s="122">
        <v>264031</v>
      </c>
      <c r="S740" s="239">
        <f>SUM(R732:R740)</f>
        <v>2660132</v>
      </c>
      <c r="T740" s="1476"/>
    </row>
    <row r="741" spans="1:26" s="7" customFormat="1" ht="18" customHeight="1" x14ac:dyDescent="0.25">
      <c r="A741" s="573" t="s">
        <v>1388</v>
      </c>
      <c r="B741" s="573" t="s">
        <v>123</v>
      </c>
      <c r="C741" s="1356" t="s">
        <v>1567</v>
      </c>
      <c r="D741" s="1355"/>
      <c r="E741" s="1355"/>
      <c r="F741" s="1355"/>
      <c r="G741" s="1355"/>
      <c r="H741" s="221"/>
      <c r="I741" s="141">
        <v>0</v>
      </c>
      <c r="J741" s="141">
        <v>0</v>
      </c>
      <c r="K741" s="141">
        <v>0</v>
      </c>
      <c r="L741" s="141">
        <v>0</v>
      </c>
      <c r="M741" s="141">
        <v>0</v>
      </c>
      <c r="N741" s="141">
        <v>0</v>
      </c>
      <c r="O741" s="141"/>
      <c r="P741" s="141"/>
      <c r="Q741" s="141"/>
      <c r="R741" s="122">
        <v>658221.56000000006</v>
      </c>
      <c r="S741" s="239">
        <f>R741</f>
        <v>658221.56000000006</v>
      </c>
      <c r="T741" s="1475"/>
      <c r="U741" s="1380"/>
      <c r="V741" s="1380"/>
      <c r="W741" s="1380"/>
      <c r="X741" s="1380"/>
      <c r="Y741" s="1380"/>
      <c r="Z741" s="1380"/>
    </row>
    <row r="742" spans="1:26" s="7" customFormat="1" ht="18" customHeight="1" x14ac:dyDescent="0.25">
      <c r="A742" s="573" t="s">
        <v>1388</v>
      </c>
      <c r="B742" s="573" t="s">
        <v>123</v>
      </c>
      <c r="C742" s="1356" t="s">
        <v>1543</v>
      </c>
      <c r="D742" s="1355"/>
      <c r="E742" s="1355"/>
      <c r="F742" s="1355"/>
      <c r="G742" s="1355"/>
      <c r="H742" s="221" t="s">
        <v>146</v>
      </c>
      <c r="I742" s="141">
        <v>20000</v>
      </c>
      <c r="J742" s="141">
        <v>25000</v>
      </c>
      <c r="K742" s="141"/>
      <c r="L742" s="141">
        <f t="shared" ref="L742:L773" si="18">M742-K742</f>
        <v>25000</v>
      </c>
      <c r="M742" s="141">
        <v>25000</v>
      </c>
      <c r="N742" s="141">
        <v>0</v>
      </c>
      <c r="O742" s="141"/>
      <c r="P742" s="141">
        <v>25000</v>
      </c>
      <c r="Q742" s="141">
        <v>25000</v>
      </c>
      <c r="R742" s="122">
        <v>25000</v>
      </c>
      <c r="S742" s="239"/>
      <c r="T742" s="1475"/>
      <c r="U742" s="1380"/>
      <c r="V742" s="1380"/>
      <c r="W742" s="1380"/>
      <c r="X742" s="1380"/>
      <c r="Y742" s="1380"/>
      <c r="Z742" s="1380"/>
    </row>
    <row r="743" spans="1:26" s="7" customFormat="1" ht="18" customHeight="1" x14ac:dyDescent="0.25">
      <c r="A743" s="573" t="s">
        <v>1388</v>
      </c>
      <c r="B743" s="573" t="s">
        <v>123</v>
      </c>
      <c r="C743" s="1356" t="s">
        <v>1543</v>
      </c>
      <c r="D743" s="1355"/>
      <c r="E743" s="1355"/>
      <c r="F743" s="1355"/>
      <c r="G743" s="1355"/>
      <c r="H743" s="221" t="s">
        <v>146</v>
      </c>
      <c r="I743" s="141">
        <v>5000</v>
      </c>
      <c r="J743" s="141">
        <v>15000</v>
      </c>
      <c r="K743" s="141"/>
      <c r="L743" s="141">
        <f t="shared" si="18"/>
        <v>15000</v>
      </c>
      <c r="M743" s="141">
        <v>15000</v>
      </c>
      <c r="N743" s="141"/>
      <c r="O743" s="141"/>
      <c r="P743" s="141">
        <v>15000</v>
      </c>
      <c r="Q743" s="141">
        <v>15000</v>
      </c>
      <c r="R743" s="122">
        <v>15000</v>
      </c>
      <c r="S743" s="239"/>
      <c r="T743" s="1475"/>
      <c r="U743" s="1380"/>
      <c r="V743" s="1380"/>
      <c r="W743" s="1380"/>
      <c r="X743" s="1380"/>
      <c r="Y743" s="1380"/>
      <c r="Z743" s="1380"/>
    </row>
    <row r="744" spans="1:26" s="7" customFormat="1" ht="18" customHeight="1" x14ac:dyDescent="0.25">
      <c r="A744" s="573" t="s">
        <v>1388</v>
      </c>
      <c r="B744" s="573" t="s">
        <v>123</v>
      </c>
      <c r="C744" s="1356" t="s">
        <v>1543</v>
      </c>
      <c r="D744" s="1355"/>
      <c r="E744" s="1355"/>
      <c r="F744" s="1355"/>
      <c r="G744" s="1355"/>
      <c r="H744" s="221" t="s">
        <v>146</v>
      </c>
      <c r="I744" s="141">
        <v>105000</v>
      </c>
      <c r="J744" s="141">
        <v>150000</v>
      </c>
      <c r="K744" s="141"/>
      <c r="L744" s="141">
        <f t="shared" si="18"/>
        <v>150000</v>
      </c>
      <c r="M744" s="141">
        <v>150000</v>
      </c>
      <c r="N744" s="141"/>
      <c r="O744" s="141"/>
      <c r="P744" s="141">
        <v>150000</v>
      </c>
      <c r="Q744" s="141">
        <v>150000</v>
      </c>
      <c r="R744" s="122">
        <v>150000</v>
      </c>
      <c r="S744" s="239"/>
      <c r="T744" s="1475"/>
      <c r="U744" s="1380"/>
      <c r="V744" s="1380"/>
      <c r="W744" s="1380"/>
      <c r="X744" s="1380"/>
      <c r="Y744" s="1380"/>
      <c r="Z744" s="1380"/>
    </row>
    <row r="745" spans="1:26" s="7" customFormat="1" ht="18" customHeight="1" x14ac:dyDescent="0.25">
      <c r="A745" s="573" t="s">
        <v>1388</v>
      </c>
      <c r="B745" s="573" t="s">
        <v>123</v>
      </c>
      <c r="C745" s="1382" t="s">
        <v>1543</v>
      </c>
      <c r="D745" s="1355"/>
      <c r="E745" s="1381"/>
      <c r="F745" s="1381"/>
      <c r="G745" s="1381"/>
      <c r="H745" s="221" t="s">
        <v>146</v>
      </c>
      <c r="I745" s="141">
        <v>15000</v>
      </c>
      <c r="J745" s="141">
        <v>15000</v>
      </c>
      <c r="K745" s="141"/>
      <c r="L745" s="141">
        <f t="shared" si="18"/>
        <v>15000</v>
      </c>
      <c r="M745" s="141">
        <v>15000</v>
      </c>
      <c r="N745" s="141"/>
      <c r="O745" s="141"/>
      <c r="P745" s="141">
        <v>15000</v>
      </c>
      <c r="Q745" s="141">
        <v>15000</v>
      </c>
      <c r="R745" s="122">
        <v>15000</v>
      </c>
      <c r="S745" s="239"/>
      <c r="T745" s="1475"/>
      <c r="U745" s="1380"/>
      <c r="V745" s="1380"/>
      <c r="W745" s="1380"/>
      <c r="X745" s="1380"/>
      <c r="Y745" s="1380"/>
      <c r="Z745" s="1380"/>
    </row>
    <row r="746" spans="1:26" s="7" customFormat="1" ht="18" customHeight="1" x14ac:dyDescent="0.25">
      <c r="A746" s="573" t="s">
        <v>1388</v>
      </c>
      <c r="B746" s="573" t="s">
        <v>123</v>
      </c>
      <c r="C746" s="1382" t="s">
        <v>1543</v>
      </c>
      <c r="D746" s="1355"/>
      <c r="E746" s="1355"/>
      <c r="F746" s="1355"/>
      <c r="G746" s="1355"/>
      <c r="H746" s="221" t="s">
        <v>146</v>
      </c>
      <c r="I746" s="141">
        <v>195000</v>
      </c>
      <c r="J746" s="141">
        <v>270000</v>
      </c>
      <c r="K746" s="141"/>
      <c r="L746" s="141">
        <f t="shared" si="18"/>
        <v>270000</v>
      </c>
      <c r="M746" s="141">
        <v>270000</v>
      </c>
      <c r="N746" s="141">
        <v>0</v>
      </c>
      <c r="O746" s="141"/>
      <c r="P746" s="141">
        <v>270000</v>
      </c>
      <c r="Q746" s="141">
        <v>270000</v>
      </c>
      <c r="R746" s="122">
        <v>270000</v>
      </c>
      <c r="S746" s="239"/>
      <c r="T746" s="1475"/>
      <c r="U746" s="1380"/>
      <c r="V746" s="1380"/>
      <c r="W746" s="1380"/>
      <c r="X746" s="1380"/>
      <c r="Y746" s="1380"/>
      <c r="Z746" s="1380"/>
    </row>
    <row r="747" spans="1:26" s="7" customFormat="1" ht="18" customHeight="1" x14ac:dyDescent="0.25">
      <c r="A747" s="573" t="s">
        <v>1388</v>
      </c>
      <c r="B747" s="573" t="s">
        <v>123</v>
      </c>
      <c r="C747" s="1382" t="s">
        <v>1543</v>
      </c>
      <c r="D747" s="1355"/>
      <c r="E747" s="1355"/>
      <c r="F747" s="1355"/>
      <c r="G747" s="1355"/>
      <c r="H747" s="221" t="s">
        <v>146</v>
      </c>
      <c r="I747" s="141">
        <v>30000</v>
      </c>
      <c r="J747" s="141">
        <v>30000</v>
      </c>
      <c r="K747" s="141"/>
      <c r="L747" s="141">
        <f t="shared" si="18"/>
        <v>30000</v>
      </c>
      <c r="M747" s="141">
        <v>30000</v>
      </c>
      <c r="N747" s="141"/>
      <c r="O747" s="141"/>
      <c r="P747" s="141">
        <v>30000</v>
      </c>
      <c r="Q747" s="141">
        <v>30000</v>
      </c>
      <c r="R747" s="122">
        <v>30000</v>
      </c>
      <c r="S747" s="239"/>
      <c r="T747" s="1475"/>
      <c r="U747" s="1380"/>
      <c r="V747" s="1380"/>
      <c r="W747" s="1380"/>
      <c r="X747" s="1380"/>
      <c r="Y747" s="1380"/>
      <c r="Z747" s="1380"/>
    </row>
    <row r="748" spans="1:26" s="7" customFormat="1" ht="18" customHeight="1" x14ac:dyDescent="0.25">
      <c r="A748" s="573" t="s">
        <v>1388</v>
      </c>
      <c r="B748" s="573" t="s">
        <v>123</v>
      </c>
      <c r="C748" s="1356" t="s">
        <v>1543</v>
      </c>
      <c r="D748" s="1355"/>
      <c r="E748" s="1355"/>
      <c r="F748" s="1355"/>
      <c r="G748" s="1355"/>
      <c r="H748" s="381" t="s">
        <v>146</v>
      </c>
      <c r="I748" s="141">
        <v>85000</v>
      </c>
      <c r="J748" s="141">
        <v>120000</v>
      </c>
      <c r="K748" s="141"/>
      <c r="L748" s="141">
        <f t="shared" si="18"/>
        <v>120000</v>
      </c>
      <c r="M748" s="141">
        <v>120000</v>
      </c>
      <c r="N748" s="141"/>
      <c r="O748" s="141"/>
      <c r="P748" s="141">
        <v>120000</v>
      </c>
      <c r="Q748" s="141">
        <v>120000</v>
      </c>
      <c r="R748" s="122">
        <v>120000</v>
      </c>
      <c r="S748" s="239"/>
      <c r="T748" s="1475"/>
      <c r="U748" s="1380"/>
      <c r="V748" s="1380"/>
      <c r="W748" s="1380"/>
      <c r="X748" s="1380"/>
      <c r="Y748" s="1380"/>
      <c r="Z748" s="1380"/>
    </row>
    <row r="749" spans="1:26" s="7" customFormat="1" ht="18" customHeight="1" x14ac:dyDescent="0.25">
      <c r="A749" s="573" t="s">
        <v>1388</v>
      </c>
      <c r="B749" s="573" t="s">
        <v>123</v>
      </c>
      <c r="C749" s="1356" t="s">
        <v>1543</v>
      </c>
      <c r="D749" s="1355"/>
      <c r="E749" s="1355"/>
      <c r="F749" s="1355"/>
      <c r="G749" s="1355"/>
      <c r="H749" s="381" t="s">
        <v>146</v>
      </c>
      <c r="I749" s="141">
        <v>45000</v>
      </c>
      <c r="J749" s="141">
        <v>60000</v>
      </c>
      <c r="K749" s="141"/>
      <c r="L749" s="141">
        <f t="shared" si="18"/>
        <v>60000</v>
      </c>
      <c r="M749" s="141">
        <v>60000</v>
      </c>
      <c r="N749" s="141"/>
      <c r="O749" s="141"/>
      <c r="P749" s="141">
        <v>60000</v>
      </c>
      <c r="Q749" s="141">
        <v>60000</v>
      </c>
      <c r="R749" s="122">
        <v>60000</v>
      </c>
      <c r="S749" s="239"/>
      <c r="T749" s="1475"/>
      <c r="U749" s="1380"/>
      <c r="V749" s="1380"/>
      <c r="W749" s="1380"/>
      <c r="X749" s="1380"/>
      <c r="Y749" s="1380"/>
      <c r="Z749" s="1380"/>
    </row>
    <row r="750" spans="1:26" s="7" customFormat="1" ht="18" customHeight="1" x14ac:dyDescent="0.25">
      <c r="A750" s="573" t="s">
        <v>1388</v>
      </c>
      <c r="B750" s="573" t="s">
        <v>123</v>
      </c>
      <c r="C750" s="1356" t="s">
        <v>1543</v>
      </c>
      <c r="D750" s="1355"/>
      <c r="E750" s="1355"/>
      <c r="F750" s="1355"/>
      <c r="G750" s="1355"/>
      <c r="H750" s="381" t="s">
        <v>146</v>
      </c>
      <c r="I750" s="141">
        <v>65000</v>
      </c>
      <c r="J750" s="141">
        <v>90000</v>
      </c>
      <c r="K750" s="141"/>
      <c r="L750" s="141">
        <f t="shared" si="18"/>
        <v>90000</v>
      </c>
      <c r="M750" s="141">
        <v>90000</v>
      </c>
      <c r="N750" s="141"/>
      <c r="O750" s="141"/>
      <c r="P750" s="141">
        <v>90000</v>
      </c>
      <c r="Q750" s="141">
        <v>90000</v>
      </c>
      <c r="R750" s="122">
        <v>90000</v>
      </c>
      <c r="S750" s="239">
        <f>SUM(R742:R750)</f>
        <v>775000</v>
      </c>
      <c r="T750" s="1475"/>
      <c r="U750" s="1380"/>
      <c r="V750" s="1380"/>
      <c r="W750" s="1380"/>
      <c r="X750" s="1380"/>
      <c r="Y750" s="1380"/>
      <c r="Z750" s="1380"/>
    </row>
    <row r="751" spans="1:26" s="7" customFormat="1" ht="18" customHeight="1" x14ac:dyDescent="0.25">
      <c r="A751" s="573" t="s">
        <v>1388</v>
      </c>
      <c r="B751" s="573" t="s">
        <v>123</v>
      </c>
      <c r="C751" s="1356" t="s">
        <v>135</v>
      </c>
      <c r="D751" s="1355"/>
      <c r="E751" s="1355"/>
      <c r="F751" s="1355"/>
      <c r="G751" s="1355"/>
      <c r="H751" s="221" t="s">
        <v>136</v>
      </c>
      <c r="I751" s="141">
        <v>0</v>
      </c>
      <c r="J751" s="141">
        <v>50000</v>
      </c>
      <c r="K751" s="141"/>
      <c r="L751" s="141">
        <f t="shared" si="18"/>
        <v>50000</v>
      </c>
      <c r="M751" s="141">
        <v>50000</v>
      </c>
      <c r="N751" s="141">
        <v>0</v>
      </c>
      <c r="O751" s="141"/>
      <c r="P751" s="141">
        <v>116000</v>
      </c>
      <c r="Q751" s="141">
        <v>116000</v>
      </c>
      <c r="R751" s="122">
        <v>116000</v>
      </c>
      <c r="S751" s="239"/>
      <c r="T751" s="1475"/>
      <c r="U751" s="1380"/>
      <c r="V751" s="1380"/>
      <c r="W751" s="1380"/>
      <c r="X751" s="1380"/>
      <c r="Y751" s="1380"/>
      <c r="Z751" s="1380"/>
    </row>
    <row r="752" spans="1:26" ht="18" customHeight="1" x14ac:dyDescent="0.25">
      <c r="A752" s="573" t="s">
        <v>1388</v>
      </c>
      <c r="B752" s="573" t="s">
        <v>123</v>
      </c>
      <c r="C752" s="1385" t="s">
        <v>135</v>
      </c>
      <c r="D752" s="1355"/>
      <c r="E752" s="1355"/>
      <c r="F752" s="1355"/>
      <c r="G752" s="1355"/>
      <c r="H752" s="221" t="s">
        <v>136</v>
      </c>
      <c r="I752" s="141">
        <v>7949.84</v>
      </c>
      <c r="J752" s="122">
        <v>20000</v>
      </c>
      <c r="K752" s="141"/>
      <c r="L752" s="141">
        <f t="shared" si="18"/>
        <v>20000</v>
      </c>
      <c r="M752" s="122">
        <v>20000</v>
      </c>
      <c r="N752" s="122"/>
      <c r="O752" s="122"/>
      <c r="P752" s="1397">
        <v>20000</v>
      </c>
      <c r="Q752" s="1397">
        <v>20000</v>
      </c>
      <c r="R752" s="122">
        <v>20000</v>
      </c>
    </row>
    <row r="753" spans="1:26" ht="18" customHeight="1" x14ac:dyDescent="0.25">
      <c r="A753" s="573" t="s">
        <v>1388</v>
      </c>
      <c r="B753" s="573" t="s">
        <v>123</v>
      </c>
      <c r="C753" s="1356" t="s">
        <v>135</v>
      </c>
      <c r="D753" s="1355"/>
      <c r="E753" s="1355"/>
      <c r="F753" s="1355"/>
      <c r="G753" s="1355"/>
      <c r="H753" s="221" t="s">
        <v>136</v>
      </c>
      <c r="I753" s="141">
        <v>222540.27</v>
      </c>
      <c r="J753" s="122">
        <v>296799.95</v>
      </c>
      <c r="K753" s="141">
        <v>43612.46</v>
      </c>
      <c r="L753" s="141">
        <f t="shared" si="18"/>
        <v>253187.49000000002</v>
      </c>
      <c r="M753" s="122">
        <v>296799.95</v>
      </c>
      <c r="N753" s="122">
        <v>146703.04000000001</v>
      </c>
      <c r="O753" s="122"/>
      <c r="P753" s="122">
        <v>381063.45</v>
      </c>
      <c r="Q753" s="122">
        <v>381063.45</v>
      </c>
      <c r="R753" s="122">
        <v>381063.45</v>
      </c>
      <c r="S753" s="1450"/>
    </row>
    <row r="754" spans="1:26" s="48" customFormat="1" ht="18" customHeight="1" x14ac:dyDescent="0.25">
      <c r="A754" s="573" t="s">
        <v>1388</v>
      </c>
      <c r="B754" s="573" t="s">
        <v>123</v>
      </c>
      <c r="C754" s="1356" t="s">
        <v>135</v>
      </c>
      <c r="D754" s="1355"/>
      <c r="E754" s="1355"/>
      <c r="F754" s="1355"/>
      <c r="G754" s="1355"/>
      <c r="H754" s="221" t="s">
        <v>136</v>
      </c>
      <c r="I754" s="141">
        <v>33247.5</v>
      </c>
      <c r="J754" s="141">
        <v>40812.5</v>
      </c>
      <c r="K754" s="141"/>
      <c r="L754" s="141">
        <f t="shared" si="18"/>
        <v>40812.5</v>
      </c>
      <c r="M754" s="141">
        <v>40812.5</v>
      </c>
      <c r="N754" s="141"/>
      <c r="O754" s="141"/>
      <c r="P754" s="141">
        <v>41554.69</v>
      </c>
      <c r="Q754" s="141">
        <v>41554.69</v>
      </c>
      <c r="R754" s="122">
        <v>41554.69</v>
      </c>
      <c r="S754" s="1701"/>
      <c r="T754" s="1477"/>
      <c r="U754" s="169"/>
      <c r="V754" s="169"/>
      <c r="W754" s="169"/>
      <c r="X754" s="169"/>
      <c r="Y754" s="169"/>
      <c r="Z754" s="169"/>
    </row>
    <row r="755" spans="1:26" s="1153" customFormat="1" ht="18" customHeight="1" x14ac:dyDescent="0.25">
      <c r="A755" s="573" t="s">
        <v>1388</v>
      </c>
      <c r="B755" s="573" t="s">
        <v>123</v>
      </c>
      <c r="C755" s="1356" t="s">
        <v>135</v>
      </c>
      <c r="D755" s="1355"/>
      <c r="E755" s="1355"/>
      <c r="F755" s="1355"/>
      <c r="G755" s="1355"/>
      <c r="H755" s="221" t="s">
        <v>136</v>
      </c>
      <c r="I755" s="141">
        <v>33448.67</v>
      </c>
      <c r="J755" s="122">
        <v>372794.2</v>
      </c>
      <c r="K755" s="141"/>
      <c r="L755" s="141">
        <f t="shared" si="18"/>
        <v>372794.2</v>
      </c>
      <c r="M755" s="122">
        <v>372794.2</v>
      </c>
      <c r="N755" s="122"/>
      <c r="O755" s="122"/>
      <c r="P755" s="1397">
        <v>372794.2</v>
      </c>
      <c r="Q755" s="1397">
        <v>372794.2</v>
      </c>
      <c r="R755" s="122">
        <v>372794.2</v>
      </c>
      <c r="S755" s="1701"/>
      <c r="T755" s="1483"/>
      <c r="U755" s="1256"/>
      <c r="V755" s="1256"/>
      <c r="W755" s="1256"/>
      <c r="X755" s="1256"/>
      <c r="Y755" s="1256"/>
      <c r="Z755" s="1256"/>
    </row>
    <row r="756" spans="1:26" s="48" customFormat="1" ht="18" customHeight="1" x14ac:dyDescent="0.25">
      <c r="A756" s="573" t="s">
        <v>1388</v>
      </c>
      <c r="B756" s="573" t="s">
        <v>123</v>
      </c>
      <c r="C756" s="1356" t="s">
        <v>135</v>
      </c>
      <c r="D756" s="1355"/>
      <c r="E756" s="1355"/>
      <c r="F756" s="1355"/>
      <c r="G756" s="1355"/>
      <c r="H756" s="221" t="s">
        <v>136</v>
      </c>
      <c r="I756" s="141">
        <v>24999.96</v>
      </c>
      <c r="J756" s="122">
        <v>37971.800000000003</v>
      </c>
      <c r="K756" s="141">
        <v>10240.780000000001</v>
      </c>
      <c r="L756" s="141">
        <f t="shared" si="18"/>
        <v>27731.020000000004</v>
      </c>
      <c r="M756" s="122">
        <v>37971.800000000003</v>
      </c>
      <c r="N756" s="122">
        <v>12110.46</v>
      </c>
      <c r="O756" s="122"/>
      <c r="P756" s="122">
        <v>70035.53</v>
      </c>
      <c r="Q756" s="122">
        <v>70035.53</v>
      </c>
      <c r="R756" s="122">
        <v>70035.53</v>
      </c>
      <c r="S756" s="239"/>
      <c r="T756" s="1477"/>
      <c r="U756" s="169"/>
      <c r="V756" s="169"/>
      <c r="W756" s="169"/>
      <c r="X756" s="169"/>
      <c r="Y756" s="169"/>
      <c r="Z756" s="169"/>
    </row>
    <row r="757" spans="1:26" s="48" customFormat="1" ht="17.45" customHeight="1" x14ac:dyDescent="0.25">
      <c r="A757" s="573" t="s">
        <v>1388</v>
      </c>
      <c r="B757" s="573" t="s">
        <v>123</v>
      </c>
      <c r="C757" s="1356" t="s">
        <v>135</v>
      </c>
      <c r="D757" s="1355"/>
      <c r="E757" s="1355"/>
      <c r="F757" s="1355"/>
      <c r="G757" s="1355"/>
      <c r="H757" s="381" t="s">
        <v>136</v>
      </c>
      <c r="I757" s="141">
        <v>396793.24</v>
      </c>
      <c r="J757" s="141">
        <v>1336195.2</v>
      </c>
      <c r="K757" s="141">
        <v>267774.58</v>
      </c>
      <c r="L757" s="141">
        <f t="shared" si="18"/>
        <v>1068420.6199999999</v>
      </c>
      <c r="M757" s="141">
        <v>1336195.2</v>
      </c>
      <c r="N757" s="141">
        <v>322361.8</v>
      </c>
      <c r="O757" s="141"/>
      <c r="P757" s="141">
        <v>662351.80000000005</v>
      </c>
      <c r="Q757" s="141">
        <v>662351.80000000005</v>
      </c>
      <c r="R757" s="122">
        <v>662351.80000000005</v>
      </c>
      <c r="S757" s="239"/>
      <c r="T757" s="1477"/>
      <c r="U757" s="169"/>
      <c r="V757" s="169"/>
      <c r="W757" s="169"/>
      <c r="X757" s="169"/>
      <c r="Y757" s="169"/>
      <c r="Z757" s="169"/>
    </row>
    <row r="758" spans="1:26" s="48" customFormat="1" ht="17.45" customHeight="1" x14ac:dyDescent="0.25">
      <c r="A758" s="573" t="s">
        <v>1388</v>
      </c>
      <c r="B758" s="573" t="s">
        <v>123</v>
      </c>
      <c r="C758" s="1382" t="s">
        <v>135</v>
      </c>
      <c r="D758" s="1381"/>
      <c r="E758" s="1381"/>
      <c r="F758" s="1381"/>
      <c r="G758" s="1381"/>
      <c r="H758" s="381" t="s">
        <v>136</v>
      </c>
      <c r="I758" s="141">
        <v>290905.75</v>
      </c>
      <c r="J758" s="141">
        <v>486384.24</v>
      </c>
      <c r="K758" s="141">
        <v>128079.73</v>
      </c>
      <c r="L758" s="141">
        <f t="shared" si="18"/>
        <v>358304.51</v>
      </c>
      <c r="M758" s="141">
        <v>486384.24</v>
      </c>
      <c r="N758" s="141">
        <v>177113.62</v>
      </c>
      <c r="O758" s="141"/>
      <c r="P758" s="141">
        <v>507722.97</v>
      </c>
      <c r="Q758" s="141">
        <v>507722.97</v>
      </c>
      <c r="R758" s="122">
        <v>507722.97</v>
      </c>
      <c r="S758" s="239"/>
      <c r="T758" s="1477"/>
      <c r="U758" s="169"/>
      <c r="V758" s="169"/>
      <c r="W758" s="169"/>
      <c r="X758" s="169"/>
      <c r="Y758" s="169"/>
      <c r="Z758" s="169"/>
    </row>
    <row r="759" spans="1:26" s="48" customFormat="1" ht="17.45" customHeight="1" x14ac:dyDescent="0.25">
      <c r="A759" s="573" t="s">
        <v>1388</v>
      </c>
      <c r="B759" s="573" t="s">
        <v>123</v>
      </c>
      <c r="C759" s="1382" t="s">
        <v>135</v>
      </c>
      <c r="D759" s="1381"/>
      <c r="E759" s="1381"/>
      <c r="F759" s="1381"/>
      <c r="G759" s="1381"/>
      <c r="H759" s="381" t="s">
        <v>136</v>
      </c>
      <c r="I759" s="141">
        <v>403386.94</v>
      </c>
      <c r="J759" s="122">
        <v>552447.27</v>
      </c>
      <c r="K759" s="141">
        <v>171067.32</v>
      </c>
      <c r="L759" s="141">
        <f t="shared" si="18"/>
        <v>381379.95</v>
      </c>
      <c r="M759" s="122">
        <v>552447.27</v>
      </c>
      <c r="N759" s="122">
        <v>235525.32</v>
      </c>
      <c r="O759" s="122"/>
      <c r="P759" s="1397">
        <v>720902.73</v>
      </c>
      <c r="Q759" s="1397">
        <v>720902.73</v>
      </c>
      <c r="R759" s="122">
        <v>720902.73</v>
      </c>
      <c r="S759" s="239">
        <f>SUM(R751:R759)</f>
        <v>2892425.37</v>
      </c>
      <c r="T759" s="1477"/>
      <c r="U759" s="169"/>
      <c r="V759" s="169"/>
      <c r="W759" s="169"/>
      <c r="X759" s="169"/>
      <c r="Y759" s="169"/>
      <c r="Z759" s="169"/>
    </row>
    <row r="760" spans="1:26" s="48" customFormat="1" ht="17.100000000000001" customHeight="1" x14ac:dyDescent="0.25">
      <c r="A760" s="573" t="s">
        <v>1388</v>
      </c>
      <c r="B760" s="573" t="s">
        <v>123</v>
      </c>
      <c r="C760" s="1356" t="s">
        <v>155</v>
      </c>
      <c r="D760" s="1355"/>
      <c r="E760" s="1355"/>
      <c r="F760" s="1355"/>
      <c r="G760" s="1355"/>
      <c r="H760" s="221" t="s">
        <v>156</v>
      </c>
      <c r="I760" s="141">
        <v>4800</v>
      </c>
      <c r="J760" s="141">
        <v>6000</v>
      </c>
      <c r="K760" s="141">
        <v>2400</v>
      </c>
      <c r="L760" s="141">
        <f t="shared" si="18"/>
        <v>3600</v>
      </c>
      <c r="M760" s="141">
        <v>6000</v>
      </c>
      <c r="N760" s="141">
        <v>3200</v>
      </c>
      <c r="O760" s="141"/>
      <c r="P760" s="141">
        <v>6000</v>
      </c>
      <c r="Q760" s="141">
        <v>6000</v>
      </c>
      <c r="R760" s="122">
        <v>6000</v>
      </c>
      <c r="S760" s="239"/>
      <c r="T760" s="1477"/>
      <c r="U760" s="169"/>
      <c r="V760" s="169"/>
      <c r="W760" s="169"/>
      <c r="X760" s="169"/>
      <c r="Y760" s="169"/>
      <c r="Z760" s="169"/>
    </row>
    <row r="761" spans="1:26" s="48" customFormat="1" ht="17.100000000000001" customHeight="1" x14ac:dyDescent="0.25">
      <c r="A761" s="573" t="s">
        <v>1388</v>
      </c>
      <c r="B761" s="573" t="s">
        <v>123</v>
      </c>
      <c r="C761" s="1356" t="s">
        <v>155</v>
      </c>
      <c r="D761" s="1355"/>
      <c r="E761" s="1355"/>
      <c r="F761" s="1355"/>
      <c r="G761" s="1355"/>
      <c r="H761" s="221" t="s">
        <v>156</v>
      </c>
      <c r="I761" s="141">
        <v>1200</v>
      </c>
      <c r="J761" s="141">
        <v>3600</v>
      </c>
      <c r="K761" s="141">
        <v>600</v>
      </c>
      <c r="L761" s="141">
        <f t="shared" si="18"/>
        <v>3000</v>
      </c>
      <c r="M761" s="141">
        <v>3600</v>
      </c>
      <c r="N761" s="141">
        <v>800</v>
      </c>
      <c r="O761" s="141"/>
      <c r="P761" s="141">
        <v>3600</v>
      </c>
      <c r="Q761" s="141">
        <v>3600</v>
      </c>
      <c r="R761" s="122">
        <v>3600</v>
      </c>
      <c r="S761" s="239"/>
      <c r="T761" s="1477"/>
      <c r="U761" s="169"/>
      <c r="V761" s="169"/>
      <c r="W761" s="169"/>
      <c r="X761" s="169"/>
      <c r="Y761" s="169"/>
      <c r="Z761" s="169"/>
    </row>
    <row r="762" spans="1:26" s="48" customFormat="1" ht="17.100000000000001" customHeight="1" x14ac:dyDescent="0.25">
      <c r="A762" s="573" t="s">
        <v>1388</v>
      </c>
      <c r="B762" s="573" t="s">
        <v>123</v>
      </c>
      <c r="C762" s="1382" t="s">
        <v>155</v>
      </c>
      <c r="D762" s="1355"/>
      <c r="E762" s="1355"/>
      <c r="F762" s="1355"/>
      <c r="G762" s="1355"/>
      <c r="H762" s="221" t="s">
        <v>156</v>
      </c>
      <c r="I762" s="141">
        <v>24300</v>
      </c>
      <c r="J762" s="141">
        <v>36000</v>
      </c>
      <c r="K762" s="141">
        <v>12600</v>
      </c>
      <c r="L762" s="141">
        <f t="shared" si="18"/>
        <v>23400</v>
      </c>
      <c r="M762" s="141">
        <v>36000</v>
      </c>
      <c r="N762" s="141">
        <v>16800</v>
      </c>
      <c r="O762" s="141"/>
      <c r="P762" s="141">
        <v>36000</v>
      </c>
      <c r="Q762" s="141">
        <v>36000</v>
      </c>
      <c r="R762" s="122">
        <v>36000</v>
      </c>
      <c r="S762" s="239"/>
      <c r="T762" s="1477"/>
      <c r="U762" s="169"/>
      <c r="V762" s="169"/>
      <c r="W762" s="169"/>
      <c r="X762" s="169"/>
      <c r="Y762" s="169"/>
      <c r="Z762" s="169"/>
    </row>
    <row r="763" spans="1:26" s="48" customFormat="1" ht="17.100000000000001" customHeight="1" x14ac:dyDescent="0.25">
      <c r="A763" s="573" t="s">
        <v>1388</v>
      </c>
      <c r="B763" s="573" t="s">
        <v>123</v>
      </c>
      <c r="C763" s="1356" t="s">
        <v>155</v>
      </c>
      <c r="D763" s="1355"/>
      <c r="E763" s="1355"/>
      <c r="F763" s="1355"/>
      <c r="G763" s="1355"/>
      <c r="H763" s="221" t="s">
        <v>156</v>
      </c>
      <c r="I763" s="141">
        <v>3600</v>
      </c>
      <c r="J763" s="141">
        <v>3600</v>
      </c>
      <c r="K763" s="141">
        <v>1800</v>
      </c>
      <c r="L763" s="141">
        <f t="shared" si="18"/>
        <v>1800</v>
      </c>
      <c r="M763" s="141">
        <v>3600</v>
      </c>
      <c r="N763" s="141">
        <v>2200</v>
      </c>
      <c r="O763" s="141"/>
      <c r="P763" s="141">
        <v>3600</v>
      </c>
      <c r="Q763" s="141">
        <v>3600</v>
      </c>
      <c r="R763" s="122">
        <v>3600</v>
      </c>
      <c r="S763" s="239"/>
      <c r="T763" s="1477"/>
      <c r="U763" s="169"/>
      <c r="V763" s="169"/>
      <c r="W763" s="169"/>
      <c r="X763" s="169"/>
      <c r="Y763" s="169"/>
      <c r="Z763" s="169"/>
    </row>
    <row r="764" spans="1:26" s="48" customFormat="1" ht="17.100000000000001" customHeight="1" x14ac:dyDescent="0.25">
      <c r="A764" s="573" t="s">
        <v>1388</v>
      </c>
      <c r="B764" s="573" t="s">
        <v>123</v>
      </c>
      <c r="C764" s="1356" t="s">
        <v>155</v>
      </c>
      <c r="D764" s="1355"/>
      <c r="E764" s="1355"/>
      <c r="F764" s="1355"/>
      <c r="G764" s="1355"/>
      <c r="H764" s="221" t="s">
        <v>156</v>
      </c>
      <c r="I764" s="141">
        <v>48300</v>
      </c>
      <c r="J764" s="141">
        <v>64800</v>
      </c>
      <c r="K764" s="141">
        <v>22800</v>
      </c>
      <c r="L764" s="141">
        <f t="shared" si="18"/>
        <v>42000</v>
      </c>
      <c r="M764" s="141">
        <v>64800</v>
      </c>
      <c r="N764" s="141">
        <v>30400</v>
      </c>
      <c r="O764" s="141"/>
      <c r="P764" s="141">
        <v>64800</v>
      </c>
      <c r="Q764" s="141">
        <v>64800</v>
      </c>
      <c r="R764" s="122">
        <v>64800</v>
      </c>
      <c r="S764" s="239"/>
      <c r="T764" s="1477"/>
      <c r="U764" s="169"/>
      <c r="V764" s="169"/>
      <c r="W764" s="169"/>
      <c r="X764" s="169"/>
      <c r="Y764" s="169"/>
      <c r="Z764" s="169"/>
    </row>
    <row r="765" spans="1:26" s="48" customFormat="1" ht="17.100000000000001" customHeight="1" x14ac:dyDescent="0.25">
      <c r="A765" s="573" t="s">
        <v>1388</v>
      </c>
      <c r="B765" s="573" t="s">
        <v>123</v>
      </c>
      <c r="C765" s="1382" t="s">
        <v>155</v>
      </c>
      <c r="D765" s="1355"/>
      <c r="E765" s="1355"/>
      <c r="F765" s="1355"/>
      <c r="G765" s="1355"/>
      <c r="H765" s="221" t="s">
        <v>156</v>
      </c>
      <c r="I765" s="141">
        <v>7000</v>
      </c>
      <c r="J765" s="141">
        <v>7200</v>
      </c>
      <c r="K765" s="141">
        <v>3600</v>
      </c>
      <c r="L765" s="141">
        <f t="shared" si="18"/>
        <v>3600</v>
      </c>
      <c r="M765" s="141">
        <v>7200</v>
      </c>
      <c r="N765" s="141">
        <v>4800</v>
      </c>
      <c r="O765" s="141"/>
      <c r="P765" s="141">
        <v>7200</v>
      </c>
      <c r="Q765" s="141">
        <v>7200</v>
      </c>
      <c r="R765" s="122">
        <v>7200</v>
      </c>
      <c r="S765" s="239"/>
      <c r="T765" s="1477"/>
      <c r="U765" s="169"/>
      <c r="V765" s="169"/>
      <c r="W765" s="169"/>
      <c r="X765" s="169"/>
      <c r="Y765" s="169"/>
      <c r="Z765" s="169"/>
    </row>
    <row r="766" spans="1:26" s="48" customFormat="1" ht="17.100000000000001" customHeight="1" x14ac:dyDescent="0.25">
      <c r="A766" s="573" t="s">
        <v>1388</v>
      </c>
      <c r="B766" s="573" t="s">
        <v>123</v>
      </c>
      <c r="C766" s="1382" t="s">
        <v>155</v>
      </c>
      <c r="D766" s="1355"/>
      <c r="E766" s="1355"/>
      <c r="F766" s="1355"/>
      <c r="G766" s="1355"/>
      <c r="H766" s="381" t="s">
        <v>156</v>
      </c>
      <c r="I766" s="141">
        <v>23305.919999999998</v>
      </c>
      <c r="J766" s="141">
        <v>28800</v>
      </c>
      <c r="K766" s="141">
        <v>9000</v>
      </c>
      <c r="L766" s="141">
        <f t="shared" si="18"/>
        <v>19800</v>
      </c>
      <c r="M766" s="141">
        <v>28800</v>
      </c>
      <c r="N766" s="141">
        <v>12000</v>
      </c>
      <c r="O766" s="141"/>
      <c r="P766" s="141">
        <v>28800</v>
      </c>
      <c r="Q766" s="141">
        <v>28800</v>
      </c>
      <c r="R766" s="122">
        <v>28800</v>
      </c>
      <c r="S766" s="239"/>
      <c r="T766" s="1477"/>
      <c r="U766" s="169"/>
      <c r="V766" s="169"/>
      <c r="W766" s="169"/>
      <c r="X766" s="169"/>
      <c r="Y766" s="169"/>
      <c r="Z766" s="169"/>
    </row>
    <row r="767" spans="1:26" s="48" customFormat="1" ht="17.100000000000001" customHeight="1" x14ac:dyDescent="0.25">
      <c r="A767" s="573" t="s">
        <v>1388</v>
      </c>
      <c r="B767" s="573" t="s">
        <v>123</v>
      </c>
      <c r="C767" s="1356" t="s">
        <v>155</v>
      </c>
      <c r="D767" s="1355"/>
      <c r="E767" s="1355"/>
      <c r="F767" s="1355"/>
      <c r="G767" s="1355"/>
      <c r="H767" s="381" t="s">
        <v>156</v>
      </c>
      <c r="I767" s="141">
        <v>11100</v>
      </c>
      <c r="J767" s="141">
        <v>14400</v>
      </c>
      <c r="K767" s="141">
        <v>5400</v>
      </c>
      <c r="L767" s="141">
        <f t="shared" si="18"/>
        <v>9000</v>
      </c>
      <c r="M767" s="141">
        <v>14400</v>
      </c>
      <c r="N767" s="141">
        <v>7200</v>
      </c>
      <c r="O767" s="141"/>
      <c r="P767" s="141">
        <v>14400</v>
      </c>
      <c r="Q767" s="141">
        <v>14400</v>
      </c>
      <c r="R767" s="122">
        <v>14400</v>
      </c>
      <c r="S767" s="239"/>
      <c r="T767" s="1477"/>
      <c r="U767" s="169"/>
      <c r="V767" s="169"/>
      <c r="W767" s="169"/>
      <c r="X767" s="169"/>
      <c r="Y767" s="169"/>
      <c r="Z767" s="169"/>
    </row>
    <row r="768" spans="1:26" s="48" customFormat="1" ht="17.100000000000001" customHeight="1" x14ac:dyDescent="0.25">
      <c r="A768" s="573" t="s">
        <v>1388</v>
      </c>
      <c r="B768" s="573" t="s">
        <v>123</v>
      </c>
      <c r="C768" s="1356" t="s">
        <v>155</v>
      </c>
      <c r="D768" s="1355"/>
      <c r="E768" s="1355"/>
      <c r="F768" s="1355"/>
      <c r="G768" s="1355"/>
      <c r="H768" s="381" t="s">
        <v>156</v>
      </c>
      <c r="I768" s="141">
        <v>16400</v>
      </c>
      <c r="J768" s="141">
        <v>21600</v>
      </c>
      <c r="K768" s="141">
        <v>7800</v>
      </c>
      <c r="L768" s="141">
        <f t="shared" si="18"/>
        <v>13800</v>
      </c>
      <c r="M768" s="141">
        <v>21600</v>
      </c>
      <c r="N768" s="141">
        <v>10400</v>
      </c>
      <c r="O768" s="141"/>
      <c r="P768" s="141">
        <v>21600</v>
      </c>
      <c r="Q768" s="141">
        <v>21600</v>
      </c>
      <c r="R768" s="122">
        <v>21600</v>
      </c>
      <c r="S768" s="239">
        <f>SUM(R760:R768)</f>
        <v>186000</v>
      </c>
      <c r="T768" s="1477"/>
      <c r="U768" s="169"/>
      <c r="V768" s="169"/>
      <c r="W768" s="169"/>
      <c r="X768" s="169"/>
      <c r="Y768" s="169"/>
      <c r="Z768" s="169"/>
    </row>
    <row r="769" spans="1:26" s="48" customFormat="1" ht="17.100000000000001" customHeight="1" x14ac:dyDescent="0.25">
      <c r="A769" s="573" t="s">
        <v>1388</v>
      </c>
      <c r="B769" s="573" t="s">
        <v>123</v>
      </c>
      <c r="C769" s="1356" t="s">
        <v>129</v>
      </c>
      <c r="D769" s="1355"/>
      <c r="E769" s="1355"/>
      <c r="F769" s="1355"/>
      <c r="G769" s="1355"/>
      <c r="H769" s="1390" t="s">
        <v>130</v>
      </c>
      <c r="I769" s="141">
        <v>94727.31</v>
      </c>
      <c r="J769" s="141">
        <v>120000</v>
      </c>
      <c r="K769" s="141">
        <v>46363.65</v>
      </c>
      <c r="L769" s="141">
        <f t="shared" si="18"/>
        <v>73636.350000000006</v>
      </c>
      <c r="M769" s="141">
        <v>120000</v>
      </c>
      <c r="N769" s="141">
        <v>62272.74</v>
      </c>
      <c r="O769" s="141"/>
      <c r="P769" s="141">
        <v>120000</v>
      </c>
      <c r="Q769" s="141">
        <v>120000</v>
      </c>
      <c r="R769" s="122">
        <v>120000</v>
      </c>
      <c r="S769" s="239"/>
      <c r="T769" s="1477"/>
      <c r="U769" s="169"/>
      <c r="V769" s="169"/>
      <c r="W769" s="169"/>
      <c r="X769" s="169"/>
      <c r="Y769" s="169"/>
      <c r="Z769" s="169"/>
    </row>
    <row r="770" spans="1:26" s="48" customFormat="1" ht="17.100000000000001" customHeight="1" x14ac:dyDescent="0.25">
      <c r="A770" s="573" t="s">
        <v>1388</v>
      </c>
      <c r="B770" s="573" t="s">
        <v>123</v>
      </c>
      <c r="C770" s="1356" t="s">
        <v>129</v>
      </c>
      <c r="D770" s="1355"/>
      <c r="E770" s="1355"/>
      <c r="F770" s="1355"/>
      <c r="G770" s="1355"/>
      <c r="H770" s="1390" t="s">
        <v>130</v>
      </c>
      <c r="I770" s="141">
        <v>24000</v>
      </c>
      <c r="J770" s="141">
        <v>72000</v>
      </c>
      <c r="K770" s="141">
        <v>12000</v>
      </c>
      <c r="L770" s="141">
        <f t="shared" si="18"/>
        <v>60000</v>
      </c>
      <c r="M770" s="141">
        <v>72000</v>
      </c>
      <c r="N770" s="141">
        <v>16000</v>
      </c>
      <c r="O770" s="141"/>
      <c r="P770" s="141">
        <v>72000</v>
      </c>
      <c r="Q770" s="141">
        <v>72000</v>
      </c>
      <c r="R770" s="122">
        <v>72000</v>
      </c>
      <c r="S770" s="239"/>
      <c r="T770" s="1477"/>
      <c r="U770" s="169"/>
      <c r="V770" s="169"/>
      <c r="W770" s="169"/>
      <c r="X770" s="169"/>
      <c r="Y770" s="169"/>
      <c r="Z770" s="169"/>
    </row>
    <row r="771" spans="1:26" s="48" customFormat="1" ht="17.100000000000001" customHeight="1" x14ac:dyDescent="0.25">
      <c r="A771" s="573" t="s">
        <v>1388</v>
      </c>
      <c r="B771" s="573" t="s">
        <v>123</v>
      </c>
      <c r="C771" s="1356" t="s">
        <v>129</v>
      </c>
      <c r="D771" s="1355"/>
      <c r="E771" s="1355"/>
      <c r="F771" s="1355"/>
      <c r="G771" s="1355"/>
      <c r="H771" s="1390" t="s">
        <v>130</v>
      </c>
      <c r="I771" s="141">
        <v>482818.23</v>
      </c>
      <c r="J771" s="141">
        <v>720000</v>
      </c>
      <c r="K771" s="141">
        <v>250363.65</v>
      </c>
      <c r="L771" s="141">
        <f t="shared" si="18"/>
        <v>469636.35</v>
      </c>
      <c r="M771" s="141">
        <v>720000</v>
      </c>
      <c r="N771" s="141">
        <v>334272.74</v>
      </c>
      <c r="O771" s="141"/>
      <c r="P771" s="141">
        <v>720000</v>
      </c>
      <c r="Q771" s="141">
        <v>720000</v>
      </c>
      <c r="R771" s="122">
        <v>720000</v>
      </c>
      <c r="S771" s="239"/>
      <c r="T771" s="1477"/>
      <c r="U771" s="169"/>
      <c r="V771" s="169"/>
      <c r="W771" s="169"/>
      <c r="X771" s="169"/>
      <c r="Y771" s="169"/>
      <c r="Z771" s="169"/>
    </row>
    <row r="772" spans="1:26" s="48" customFormat="1" ht="17.100000000000001" customHeight="1" x14ac:dyDescent="0.25">
      <c r="A772" s="573" t="s">
        <v>1388</v>
      </c>
      <c r="B772" s="573" t="s">
        <v>123</v>
      </c>
      <c r="C772" s="1382" t="s">
        <v>129</v>
      </c>
      <c r="D772" s="1381"/>
      <c r="E772" s="1381"/>
      <c r="F772" s="1381"/>
      <c r="G772" s="1381"/>
      <c r="H772" s="1390" t="s">
        <v>130</v>
      </c>
      <c r="I772" s="141">
        <v>72000</v>
      </c>
      <c r="J772" s="141">
        <v>72000</v>
      </c>
      <c r="K772" s="141">
        <v>36000</v>
      </c>
      <c r="L772" s="141">
        <f t="shared" si="18"/>
        <v>36000</v>
      </c>
      <c r="M772" s="141">
        <v>72000</v>
      </c>
      <c r="N772" s="141">
        <v>44000</v>
      </c>
      <c r="O772" s="141"/>
      <c r="P772" s="141">
        <v>72000</v>
      </c>
      <c r="Q772" s="141">
        <v>72000</v>
      </c>
      <c r="R772" s="122">
        <v>72000</v>
      </c>
      <c r="S772" s="239"/>
      <c r="T772" s="1477"/>
      <c r="U772" s="169"/>
      <c r="V772" s="169"/>
      <c r="W772" s="169"/>
      <c r="X772" s="169"/>
      <c r="Y772" s="169"/>
      <c r="Z772" s="169"/>
    </row>
    <row r="773" spans="1:26" s="48" customFormat="1" ht="17.100000000000001" customHeight="1" x14ac:dyDescent="0.25">
      <c r="A773" s="573" t="s">
        <v>1388</v>
      </c>
      <c r="B773" s="573" t="s">
        <v>123</v>
      </c>
      <c r="C773" s="1382" t="s">
        <v>129</v>
      </c>
      <c r="D773" s="1381"/>
      <c r="E773" s="1381"/>
      <c r="F773" s="1381"/>
      <c r="G773" s="1381"/>
      <c r="H773" s="1390" t="s">
        <v>130</v>
      </c>
      <c r="I773" s="141">
        <v>956000.33</v>
      </c>
      <c r="J773" s="141">
        <v>1296000</v>
      </c>
      <c r="K773" s="141">
        <v>444363.73</v>
      </c>
      <c r="L773" s="141">
        <f t="shared" si="18"/>
        <v>851636.27</v>
      </c>
      <c r="M773" s="141">
        <v>1296000</v>
      </c>
      <c r="N773" s="141">
        <v>595454.65</v>
      </c>
      <c r="O773" s="141"/>
      <c r="P773" s="141">
        <v>1296000</v>
      </c>
      <c r="Q773" s="141">
        <v>1296000</v>
      </c>
      <c r="R773" s="122">
        <v>1296000</v>
      </c>
      <c r="S773" s="239"/>
      <c r="T773" s="1477"/>
      <c r="U773" s="169"/>
      <c r="V773" s="169"/>
      <c r="W773" s="169"/>
      <c r="X773" s="169"/>
      <c r="Y773" s="169"/>
      <c r="Z773" s="169"/>
    </row>
    <row r="774" spans="1:26" s="48" customFormat="1" ht="17.100000000000001" customHeight="1" x14ac:dyDescent="0.25">
      <c r="A774" s="573" t="s">
        <v>1388</v>
      </c>
      <c r="B774" s="573" t="s">
        <v>123</v>
      </c>
      <c r="C774" s="1356" t="s">
        <v>129</v>
      </c>
      <c r="D774" s="1355"/>
      <c r="E774" s="1355"/>
      <c r="F774" s="1355"/>
      <c r="G774" s="1355"/>
      <c r="H774" s="1390" t="s">
        <v>130</v>
      </c>
      <c r="I774" s="141">
        <v>137818.22</v>
      </c>
      <c r="J774" s="141">
        <v>144000</v>
      </c>
      <c r="K774" s="141">
        <v>70363.649999999994</v>
      </c>
      <c r="L774" s="141">
        <f t="shared" ref="L774:L805" si="19">M774-K774</f>
        <v>73636.350000000006</v>
      </c>
      <c r="M774" s="141">
        <v>144000</v>
      </c>
      <c r="N774" s="141">
        <v>94272.74</v>
      </c>
      <c r="O774" s="141"/>
      <c r="P774" s="141">
        <v>144000</v>
      </c>
      <c r="Q774" s="141">
        <v>144000</v>
      </c>
      <c r="R774" s="122">
        <v>144000</v>
      </c>
      <c r="S774" s="239"/>
      <c r="T774" s="1477"/>
      <c r="U774" s="169"/>
      <c r="V774" s="169"/>
      <c r="W774" s="169"/>
      <c r="X774" s="169"/>
      <c r="Y774" s="169"/>
      <c r="Z774" s="169"/>
    </row>
    <row r="775" spans="1:26" s="48" customFormat="1" ht="17.100000000000001" customHeight="1" x14ac:dyDescent="0.25">
      <c r="A775" s="573" t="s">
        <v>1388</v>
      </c>
      <c r="B775" s="573" t="s">
        <v>123</v>
      </c>
      <c r="C775" s="1356" t="s">
        <v>129</v>
      </c>
      <c r="D775" s="1355"/>
      <c r="E775" s="1355"/>
      <c r="F775" s="1355"/>
      <c r="G775" s="1355"/>
      <c r="H775" s="1392" t="s">
        <v>130</v>
      </c>
      <c r="I775" s="141">
        <v>410363.8</v>
      </c>
      <c r="J775" s="141">
        <v>576000</v>
      </c>
      <c r="K775" s="141">
        <v>173454.6</v>
      </c>
      <c r="L775" s="141">
        <f t="shared" si="19"/>
        <v>402545.4</v>
      </c>
      <c r="M775" s="141">
        <v>576000</v>
      </c>
      <c r="N775" s="141">
        <v>233272.78</v>
      </c>
      <c r="O775" s="141"/>
      <c r="P775" s="141">
        <v>576000</v>
      </c>
      <c r="Q775" s="141">
        <v>576000</v>
      </c>
      <c r="R775" s="122">
        <v>576000</v>
      </c>
      <c r="S775" s="239"/>
      <c r="T775" s="1477"/>
      <c r="U775" s="169"/>
      <c r="V775" s="169"/>
      <c r="W775" s="169"/>
      <c r="X775" s="169"/>
      <c r="Y775" s="169"/>
      <c r="Z775" s="169"/>
    </row>
    <row r="776" spans="1:26" s="48" customFormat="1" ht="18" customHeight="1" x14ac:dyDescent="0.25">
      <c r="A776" s="573" t="s">
        <v>1388</v>
      </c>
      <c r="B776" s="573" t="s">
        <v>123</v>
      </c>
      <c r="C776" s="1356" t="s">
        <v>129</v>
      </c>
      <c r="D776" s="1355"/>
      <c r="E776" s="1355"/>
      <c r="F776" s="1355"/>
      <c r="G776" s="1355"/>
      <c r="H776" s="1392" t="s">
        <v>130</v>
      </c>
      <c r="I776" s="141">
        <v>216818.31</v>
      </c>
      <c r="J776" s="141">
        <v>288000</v>
      </c>
      <c r="K776" s="141">
        <v>102909.17</v>
      </c>
      <c r="L776" s="141">
        <f t="shared" si="19"/>
        <v>185090.83000000002</v>
      </c>
      <c r="M776" s="141">
        <v>288000</v>
      </c>
      <c r="N776" s="141">
        <v>138727.35</v>
      </c>
      <c r="O776" s="141"/>
      <c r="P776" s="141">
        <v>288000</v>
      </c>
      <c r="Q776" s="141">
        <v>288000</v>
      </c>
      <c r="R776" s="122">
        <v>288000</v>
      </c>
      <c r="S776" s="1456"/>
      <c r="T776" s="1477"/>
      <c r="U776" s="169"/>
      <c r="V776" s="169"/>
      <c r="W776" s="169"/>
      <c r="X776" s="169"/>
      <c r="Y776" s="169"/>
      <c r="Z776" s="169"/>
    </row>
    <row r="777" spans="1:26" s="48" customFormat="1" ht="18" customHeight="1" x14ac:dyDescent="0.25">
      <c r="A777" s="573" t="s">
        <v>1388</v>
      </c>
      <c r="B777" s="573" t="s">
        <v>123</v>
      </c>
      <c r="C777" s="1356" t="s">
        <v>129</v>
      </c>
      <c r="D777" s="1355"/>
      <c r="E777" s="1355"/>
      <c r="F777" s="1355"/>
      <c r="G777" s="1355"/>
      <c r="H777" s="1392" t="s">
        <v>130</v>
      </c>
      <c r="I777" s="141">
        <v>327909.09000000003</v>
      </c>
      <c r="J777" s="141">
        <v>432000</v>
      </c>
      <c r="K777" s="141">
        <v>156000</v>
      </c>
      <c r="L777" s="141">
        <f t="shared" si="19"/>
        <v>276000</v>
      </c>
      <c r="M777" s="141">
        <v>432000</v>
      </c>
      <c r="N777" s="141">
        <v>208000</v>
      </c>
      <c r="O777" s="141"/>
      <c r="P777" s="141">
        <v>432000</v>
      </c>
      <c r="Q777" s="141">
        <v>432000</v>
      </c>
      <c r="R777" s="122">
        <v>432000</v>
      </c>
      <c r="S777" s="1456">
        <f>SUM(R769:R777)</f>
        <v>3720000</v>
      </c>
      <c r="T777" s="1477"/>
      <c r="U777" s="169"/>
      <c r="V777" s="169"/>
      <c r="W777" s="169"/>
      <c r="X777" s="169"/>
      <c r="Y777" s="169"/>
      <c r="Z777" s="169"/>
    </row>
    <row r="778" spans="1:26" s="48" customFormat="1" ht="17.45" customHeight="1" x14ac:dyDescent="0.25">
      <c r="A778" s="573" t="s">
        <v>1388</v>
      </c>
      <c r="B778" s="573" t="s">
        <v>123</v>
      </c>
      <c r="C778" s="1356" t="s">
        <v>157</v>
      </c>
      <c r="D778" s="1355"/>
      <c r="E778" s="1355"/>
      <c r="F778" s="1355"/>
      <c r="G778" s="1355"/>
      <c r="H778" s="221" t="s">
        <v>158</v>
      </c>
      <c r="I778" s="141">
        <v>12911.14</v>
      </c>
      <c r="J778" s="141">
        <v>45782.8</v>
      </c>
      <c r="K778" s="141">
        <v>7114.05</v>
      </c>
      <c r="L778" s="141">
        <f t="shared" si="19"/>
        <v>38668.75</v>
      </c>
      <c r="M778" s="141">
        <v>45782.8</v>
      </c>
      <c r="N778" s="141">
        <v>10117.09</v>
      </c>
      <c r="O778" s="141"/>
      <c r="P778" s="141">
        <v>26845.02</v>
      </c>
      <c r="Q778" s="141">
        <v>26845.02</v>
      </c>
      <c r="R778" s="122">
        <v>25765.29</v>
      </c>
      <c r="S778" s="239"/>
      <c r="T778" s="1477"/>
      <c r="U778" s="169"/>
      <c r="V778" s="169"/>
      <c r="W778" s="169"/>
      <c r="X778" s="169"/>
      <c r="Y778" s="169"/>
      <c r="Z778" s="169"/>
    </row>
    <row r="779" spans="1:26" s="48" customFormat="1" ht="17.100000000000001" customHeight="1" x14ac:dyDescent="0.25">
      <c r="A779" s="573" t="s">
        <v>1388</v>
      </c>
      <c r="B779" s="573" t="s">
        <v>123</v>
      </c>
      <c r="C779" s="1356" t="s">
        <v>157</v>
      </c>
      <c r="D779" s="1355"/>
      <c r="E779" s="1355"/>
      <c r="F779" s="1355"/>
      <c r="G779" s="1355"/>
      <c r="H779" s="221" t="s">
        <v>158</v>
      </c>
      <c r="I779" s="141">
        <v>3438.36</v>
      </c>
      <c r="J779" s="141">
        <v>29262.799999999999</v>
      </c>
      <c r="K779" s="141">
        <v>1948.11</v>
      </c>
      <c r="L779" s="141">
        <f t="shared" si="19"/>
        <v>27314.69</v>
      </c>
      <c r="M779" s="141">
        <v>29262.799999999999</v>
      </c>
      <c r="N779" s="141">
        <v>2771.23</v>
      </c>
      <c r="O779" s="141"/>
      <c r="P779" s="141">
        <v>17169.57</v>
      </c>
      <c r="Q779" s="141">
        <v>17169.57</v>
      </c>
      <c r="R779" s="122">
        <v>16375.5</v>
      </c>
      <c r="S779" s="239"/>
      <c r="T779" s="1477"/>
      <c r="U779" s="169"/>
      <c r="V779" s="169"/>
      <c r="W779" s="169"/>
      <c r="X779" s="169"/>
      <c r="Y779" s="169"/>
      <c r="Z779" s="169"/>
    </row>
    <row r="780" spans="1:26" s="48" customFormat="1" ht="17.100000000000001" customHeight="1" x14ac:dyDescent="0.25">
      <c r="A780" s="573" t="s">
        <v>1388</v>
      </c>
      <c r="B780" s="573" t="s">
        <v>123</v>
      </c>
      <c r="C780" s="1356" t="s">
        <v>157</v>
      </c>
      <c r="D780" s="1355"/>
      <c r="E780" s="1355"/>
      <c r="F780" s="1355"/>
      <c r="G780" s="1355"/>
      <c r="H780" s="221" t="s">
        <v>158</v>
      </c>
      <c r="I780" s="141">
        <v>63130.5</v>
      </c>
      <c r="J780" s="141">
        <v>291221.27</v>
      </c>
      <c r="K780" s="141">
        <v>37036.980000000003</v>
      </c>
      <c r="L780" s="141">
        <f t="shared" si="19"/>
        <v>254184.29</v>
      </c>
      <c r="M780" s="141">
        <v>291221.27</v>
      </c>
      <c r="N780" s="141">
        <v>52636.86</v>
      </c>
      <c r="O780" s="141"/>
      <c r="P780" s="141">
        <v>171008.55</v>
      </c>
      <c r="Q780" s="141">
        <v>171008.55</v>
      </c>
      <c r="R780" s="122">
        <v>163863.18</v>
      </c>
      <c r="S780" s="239"/>
      <c r="T780" s="1477"/>
      <c r="U780" s="169"/>
      <c r="V780" s="169"/>
      <c r="W780" s="169"/>
      <c r="X780" s="169"/>
      <c r="Y780" s="169"/>
      <c r="Z780" s="169"/>
    </row>
    <row r="781" spans="1:26" s="48" customFormat="1" ht="17.100000000000001" customHeight="1" x14ac:dyDescent="0.25">
      <c r="A781" s="573" t="s">
        <v>1388</v>
      </c>
      <c r="B781" s="573" t="s">
        <v>123</v>
      </c>
      <c r="C781" s="1356" t="s">
        <v>157</v>
      </c>
      <c r="D781" s="1355"/>
      <c r="E781" s="1355"/>
      <c r="F781" s="1355"/>
      <c r="G781" s="1355"/>
      <c r="H781" s="221" t="s">
        <v>158</v>
      </c>
      <c r="I781" s="141">
        <v>15501.83</v>
      </c>
      <c r="J781" s="141">
        <v>51561.36</v>
      </c>
      <c r="K781" s="141">
        <v>8694.31</v>
      </c>
      <c r="L781" s="141">
        <f t="shared" si="19"/>
        <v>42867.05</v>
      </c>
      <c r="M781" s="141">
        <v>51561.36</v>
      </c>
      <c r="N781" s="141">
        <v>9789.3700000000008</v>
      </c>
      <c r="O781" s="141"/>
      <c r="P781" s="141">
        <v>30606.66</v>
      </c>
      <c r="Q781" s="141">
        <v>30606.66</v>
      </c>
      <c r="R781" s="122">
        <v>29174.31</v>
      </c>
      <c r="S781" s="239"/>
      <c r="T781" s="1477"/>
      <c r="U781" s="169"/>
      <c r="V781" s="169"/>
      <c r="W781" s="169"/>
      <c r="X781" s="169"/>
      <c r="Y781" s="169"/>
      <c r="Z781" s="169"/>
    </row>
    <row r="782" spans="1:26" s="48" customFormat="1" ht="17.100000000000001" customHeight="1" x14ac:dyDescent="0.25">
      <c r="A782" s="573" t="s">
        <v>1388</v>
      </c>
      <c r="B782" s="573" t="s">
        <v>123</v>
      </c>
      <c r="C782" s="1356" t="s">
        <v>157</v>
      </c>
      <c r="D782" s="1355"/>
      <c r="E782" s="1355"/>
      <c r="F782" s="1355"/>
      <c r="G782" s="1355"/>
      <c r="H782" s="221" t="s">
        <v>158</v>
      </c>
      <c r="I782" s="141">
        <v>104260.31</v>
      </c>
      <c r="J782" s="141">
        <v>415621.71</v>
      </c>
      <c r="K782" s="141">
        <v>55372.08</v>
      </c>
      <c r="L782" s="141">
        <f t="shared" si="19"/>
        <v>360249.63</v>
      </c>
      <c r="M782" s="141">
        <v>415621.71</v>
      </c>
      <c r="N782" s="141">
        <v>79329.2</v>
      </c>
      <c r="O782" s="141"/>
      <c r="P782" s="141">
        <v>244981.8</v>
      </c>
      <c r="Q782" s="141">
        <v>244981.8</v>
      </c>
      <c r="R782" s="122">
        <v>235811.88</v>
      </c>
      <c r="S782" s="239"/>
      <c r="T782" s="1477"/>
      <c r="U782" s="169"/>
      <c r="V782" s="169"/>
      <c r="W782" s="169"/>
      <c r="X782" s="169"/>
      <c r="Y782" s="169"/>
      <c r="Z782" s="169"/>
    </row>
    <row r="783" spans="1:26" s="48" customFormat="1" ht="18" customHeight="1" x14ac:dyDescent="0.25">
      <c r="A783" s="573" t="s">
        <v>1388</v>
      </c>
      <c r="B783" s="573" t="s">
        <v>123</v>
      </c>
      <c r="C783" s="1382" t="s">
        <v>157</v>
      </c>
      <c r="D783" s="1355"/>
      <c r="E783" s="1355"/>
      <c r="F783" s="1355"/>
      <c r="G783" s="1355"/>
      <c r="H783" s="221" t="s">
        <v>158</v>
      </c>
      <c r="I783" s="141">
        <v>24257.09</v>
      </c>
      <c r="J783" s="141">
        <v>77821.2</v>
      </c>
      <c r="K783" s="141">
        <v>13895.04</v>
      </c>
      <c r="L783" s="141">
        <f t="shared" si="19"/>
        <v>63926.159999999996</v>
      </c>
      <c r="M783" s="141">
        <v>77821.2</v>
      </c>
      <c r="N783" s="141">
        <v>20378.32</v>
      </c>
      <c r="O783" s="141"/>
      <c r="P783" s="141">
        <v>46540.17</v>
      </c>
      <c r="Q783" s="141">
        <v>46540.17</v>
      </c>
      <c r="R783" s="122">
        <v>45015.75</v>
      </c>
      <c r="S783" s="239"/>
      <c r="T783" s="1477"/>
      <c r="U783" s="169"/>
      <c r="V783" s="169"/>
      <c r="W783" s="169"/>
      <c r="X783" s="169"/>
      <c r="Y783" s="169"/>
      <c r="Z783" s="169"/>
    </row>
    <row r="784" spans="1:26" s="48" customFormat="1" ht="18" customHeight="1" x14ac:dyDescent="0.25">
      <c r="A784" s="573" t="s">
        <v>1388</v>
      </c>
      <c r="B784" s="573" t="s">
        <v>123</v>
      </c>
      <c r="C784" s="1356" t="s">
        <v>157</v>
      </c>
      <c r="D784" s="1355"/>
      <c r="E784" s="1355"/>
      <c r="F784" s="1355"/>
      <c r="G784" s="1355"/>
      <c r="H784" s="381" t="s">
        <v>158</v>
      </c>
      <c r="I784" s="141">
        <v>40134.129999999997</v>
      </c>
      <c r="J784" s="141">
        <v>159880.53</v>
      </c>
      <c r="K784" s="141">
        <v>19358.259999999998</v>
      </c>
      <c r="L784" s="141">
        <f t="shared" si="19"/>
        <v>140522.26999999999</v>
      </c>
      <c r="M784" s="141">
        <v>159880.53</v>
      </c>
      <c r="N784" s="141">
        <v>27513.74</v>
      </c>
      <c r="O784" s="141"/>
      <c r="P784" s="141">
        <v>92956.14</v>
      </c>
      <c r="Q784" s="141">
        <v>92956.14</v>
      </c>
      <c r="R784" s="122">
        <v>89424.77</v>
      </c>
      <c r="S784" s="239"/>
      <c r="T784" s="1477"/>
      <c r="U784" s="169"/>
      <c r="V784" s="169"/>
      <c r="W784" s="169"/>
      <c r="X784" s="169"/>
      <c r="Y784" s="169"/>
      <c r="Z784" s="169"/>
    </row>
    <row r="785" spans="1:26" s="48" customFormat="1" ht="18" customHeight="1" x14ac:dyDescent="0.25">
      <c r="A785" s="573" t="s">
        <v>1388</v>
      </c>
      <c r="B785" s="573" t="s">
        <v>123</v>
      </c>
      <c r="C785" s="1382" t="s">
        <v>157</v>
      </c>
      <c r="D785" s="1355"/>
      <c r="E785" s="1355"/>
      <c r="F785" s="1355"/>
      <c r="G785" s="1355"/>
      <c r="H785" s="381" t="s">
        <v>158</v>
      </c>
      <c r="I785" s="141">
        <v>20822.939999999999</v>
      </c>
      <c r="J785" s="141">
        <v>73926.149999999994</v>
      </c>
      <c r="K785" s="141">
        <v>11164.56</v>
      </c>
      <c r="L785" s="141">
        <f t="shared" si="19"/>
        <v>62761.59</v>
      </c>
      <c r="M785" s="141">
        <v>73926.149999999994</v>
      </c>
      <c r="N785" s="141">
        <v>15872.76</v>
      </c>
      <c r="O785" s="141"/>
      <c r="P785" s="141">
        <v>43214.31</v>
      </c>
      <c r="Q785" s="141">
        <v>43214.31</v>
      </c>
      <c r="R785" s="122">
        <v>41551.379999999997</v>
      </c>
      <c r="S785" s="239"/>
      <c r="T785" s="1477"/>
      <c r="U785" s="169"/>
      <c r="V785" s="169"/>
      <c r="W785" s="169"/>
      <c r="X785" s="169"/>
      <c r="Y785" s="169"/>
      <c r="Z785" s="169"/>
    </row>
    <row r="786" spans="1:26" s="48" customFormat="1" ht="18" customHeight="1" x14ac:dyDescent="0.25">
      <c r="A786" s="573" t="s">
        <v>1388</v>
      </c>
      <c r="B786" s="573" t="s">
        <v>123</v>
      </c>
      <c r="C786" s="1382" t="s">
        <v>157</v>
      </c>
      <c r="D786" s="1355"/>
      <c r="E786" s="1355"/>
      <c r="F786" s="1355"/>
      <c r="G786" s="1355"/>
      <c r="H786" s="381" t="s">
        <v>158</v>
      </c>
      <c r="I786" s="141">
        <v>34684.42</v>
      </c>
      <c r="J786" s="141">
        <v>126949.55</v>
      </c>
      <c r="K786" s="141">
        <v>17409.13</v>
      </c>
      <c r="L786" s="141">
        <f t="shared" si="19"/>
        <v>109540.42</v>
      </c>
      <c r="M786" s="141">
        <v>126949.55</v>
      </c>
      <c r="N786" s="141">
        <v>24747.25</v>
      </c>
      <c r="O786" s="141"/>
      <c r="P786" s="141">
        <v>74273.490000000005</v>
      </c>
      <c r="Q786" s="141">
        <v>74273.490000000005</v>
      </c>
      <c r="R786" s="122">
        <v>71298.63</v>
      </c>
      <c r="S786" s="239">
        <f>SUM(R778:R786)</f>
        <v>718280.69000000006</v>
      </c>
      <c r="T786" s="1477"/>
      <c r="U786" s="169"/>
      <c r="V786" s="169"/>
      <c r="W786" s="169"/>
      <c r="X786" s="169"/>
      <c r="Y786" s="169"/>
      <c r="Z786" s="169"/>
    </row>
    <row r="787" spans="1:26" s="48" customFormat="1" ht="18" customHeight="1" x14ac:dyDescent="0.25">
      <c r="A787" s="573" t="s">
        <v>1388</v>
      </c>
      <c r="B787" s="573" t="s">
        <v>123</v>
      </c>
      <c r="C787" s="1356" t="s">
        <v>131</v>
      </c>
      <c r="D787" s="1355"/>
      <c r="E787" s="1355"/>
      <c r="F787" s="1355"/>
      <c r="G787" s="1355"/>
      <c r="H787" s="221" t="s">
        <v>132</v>
      </c>
      <c r="I787" s="141">
        <v>70500</v>
      </c>
      <c r="J787" s="141">
        <v>72000</v>
      </c>
      <c r="K787" s="141">
        <v>36000</v>
      </c>
      <c r="L787" s="141">
        <f t="shared" si="19"/>
        <v>36000</v>
      </c>
      <c r="M787" s="141">
        <v>72000</v>
      </c>
      <c r="N787" s="141">
        <v>48000</v>
      </c>
      <c r="O787" s="141"/>
      <c r="P787" s="141">
        <v>72000</v>
      </c>
      <c r="Q787" s="141">
        <v>72000</v>
      </c>
      <c r="R787" s="122">
        <v>72000</v>
      </c>
      <c r="S787" s="239"/>
      <c r="T787" s="1477"/>
      <c r="U787" s="169"/>
      <c r="V787" s="169"/>
      <c r="W787" s="169"/>
      <c r="X787" s="169"/>
      <c r="Y787" s="169"/>
      <c r="Z787" s="169"/>
    </row>
    <row r="788" spans="1:26" s="48" customFormat="1" ht="17.100000000000001" customHeight="1" x14ac:dyDescent="0.25">
      <c r="A788" s="573" t="s">
        <v>1388</v>
      </c>
      <c r="B788" s="573" t="s">
        <v>123</v>
      </c>
      <c r="C788" s="1356" t="s">
        <v>131</v>
      </c>
      <c r="D788" s="1355"/>
      <c r="E788" s="1355"/>
      <c r="F788" s="1355"/>
      <c r="G788" s="1355"/>
      <c r="H788" s="221" t="s">
        <v>132</v>
      </c>
      <c r="I788" s="141">
        <v>67500</v>
      </c>
      <c r="J788" s="141">
        <v>72000</v>
      </c>
      <c r="K788" s="141">
        <v>36000</v>
      </c>
      <c r="L788" s="141">
        <f t="shared" si="19"/>
        <v>36000</v>
      </c>
      <c r="M788" s="141">
        <v>72000</v>
      </c>
      <c r="N788" s="141">
        <v>36000</v>
      </c>
      <c r="O788" s="141"/>
      <c r="P788" s="141">
        <v>72000</v>
      </c>
      <c r="Q788" s="141">
        <v>72000</v>
      </c>
      <c r="R788" s="122">
        <v>72000</v>
      </c>
      <c r="S788" s="239"/>
      <c r="T788" s="1477"/>
      <c r="U788" s="169"/>
      <c r="V788" s="169"/>
      <c r="W788" s="169"/>
      <c r="X788" s="169"/>
      <c r="Y788" s="169"/>
      <c r="Z788" s="169"/>
    </row>
    <row r="789" spans="1:26" s="48" customFormat="1" ht="18" customHeight="1" x14ac:dyDescent="0.25">
      <c r="A789" s="573" t="s">
        <v>1388</v>
      </c>
      <c r="B789" s="573" t="s">
        <v>123</v>
      </c>
      <c r="C789" s="1356" t="s">
        <v>131</v>
      </c>
      <c r="D789" s="1355"/>
      <c r="E789" s="1355"/>
      <c r="F789" s="1355"/>
      <c r="G789" s="1355"/>
      <c r="H789" s="221" t="s">
        <v>132</v>
      </c>
      <c r="I789" s="141">
        <v>67500</v>
      </c>
      <c r="J789" s="141">
        <v>72000</v>
      </c>
      <c r="K789" s="141">
        <v>36000</v>
      </c>
      <c r="L789" s="141">
        <f t="shared" si="19"/>
        <v>36000</v>
      </c>
      <c r="M789" s="141">
        <v>72000</v>
      </c>
      <c r="N789" s="141">
        <v>48000</v>
      </c>
      <c r="O789" s="141"/>
      <c r="P789" s="141">
        <v>72000</v>
      </c>
      <c r="Q789" s="141">
        <v>72000</v>
      </c>
      <c r="R789" s="122">
        <v>72000</v>
      </c>
      <c r="S789" s="1456"/>
      <c r="T789" s="1477"/>
      <c r="U789" s="169"/>
      <c r="V789" s="169"/>
      <c r="W789" s="169"/>
      <c r="X789" s="169"/>
      <c r="Y789" s="169"/>
      <c r="Z789" s="169"/>
    </row>
    <row r="790" spans="1:26" s="48" customFormat="1" ht="18" customHeight="1" x14ac:dyDescent="0.25">
      <c r="A790" s="573" t="s">
        <v>1388</v>
      </c>
      <c r="B790" s="573" t="s">
        <v>123</v>
      </c>
      <c r="C790" s="1356" t="s">
        <v>131</v>
      </c>
      <c r="D790" s="1355"/>
      <c r="E790" s="1355"/>
      <c r="F790" s="1355"/>
      <c r="G790" s="1355"/>
      <c r="H790" s="221" t="s">
        <v>132</v>
      </c>
      <c r="I790" s="141">
        <v>67500</v>
      </c>
      <c r="J790" s="141">
        <v>72000</v>
      </c>
      <c r="K790" s="141">
        <v>33000</v>
      </c>
      <c r="L790" s="141">
        <f t="shared" si="19"/>
        <v>39000</v>
      </c>
      <c r="M790" s="141">
        <v>72000</v>
      </c>
      <c r="N790" s="141">
        <v>45000</v>
      </c>
      <c r="O790" s="141"/>
      <c r="P790" s="141">
        <v>72000</v>
      </c>
      <c r="Q790" s="141">
        <v>72000</v>
      </c>
      <c r="R790" s="122">
        <v>72000</v>
      </c>
      <c r="S790" s="1456">
        <f>SUM(R787:R790)</f>
        <v>288000</v>
      </c>
      <c r="T790" s="1477"/>
      <c r="U790" s="169"/>
      <c r="V790" s="169"/>
      <c r="W790" s="169"/>
      <c r="X790" s="169"/>
      <c r="Y790" s="169"/>
      <c r="Z790" s="169"/>
    </row>
    <row r="791" spans="1:26" ht="18" x14ac:dyDescent="0.25">
      <c r="A791" s="573" t="s">
        <v>1388</v>
      </c>
      <c r="B791" s="573" t="s">
        <v>123</v>
      </c>
      <c r="C791" s="1356" t="s">
        <v>1545</v>
      </c>
      <c r="D791" s="1355"/>
      <c r="E791" s="1355"/>
      <c r="F791" s="1355"/>
      <c r="G791" s="1355"/>
      <c r="H791" s="221" t="s">
        <v>154</v>
      </c>
      <c r="I791" s="141">
        <v>103288.32000000001</v>
      </c>
      <c r="J791" s="141">
        <v>137269.20000000001</v>
      </c>
      <c r="K791" s="141">
        <v>53189.4</v>
      </c>
      <c r="L791" s="141">
        <f t="shared" si="19"/>
        <v>84079.800000000017</v>
      </c>
      <c r="M791" s="141">
        <v>137269.20000000001</v>
      </c>
      <c r="N791" s="141">
        <v>71207.64</v>
      </c>
      <c r="O791" s="141"/>
      <c r="P791" s="141">
        <v>143173.44</v>
      </c>
      <c r="Q791" s="141">
        <v>143173.44</v>
      </c>
      <c r="R791" s="122">
        <v>137414.88</v>
      </c>
    </row>
    <row r="792" spans="1:26" s="7" customFormat="1" ht="18" customHeight="1" x14ac:dyDescent="0.25">
      <c r="A792" s="573" t="s">
        <v>1388</v>
      </c>
      <c r="B792" s="573" t="s">
        <v>123</v>
      </c>
      <c r="C792" s="1356" t="s">
        <v>1545</v>
      </c>
      <c r="D792" s="1355"/>
      <c r="E792" s="1355"/>
      <c r="F792" s="1355"/>
      <c r="G792" s="1355"/>
      <c r="H792" s="221" t="s">
        <v>154</v>
      </c>
      <c r="I792" s="141">
        <v>27506.880000000001</v>
      </c>
      <c r="J792" s="141">
        <v>87281.52</v>
      </c>
      <c r="K792" s="141">
        <v>14761.68</v>
      </c>
      <c r="L792" s="141">
        <f t="shared" si="19"/>
        <v>72519.839999999997</v>
      </c>
      <c r="M792" s="141">
        <v>87281.52</v>
      </c>
      <c r="N792" s="141">
        <v>19700.400000000001</v>
      </c>
      <c r="O792" s="141"/>
      <c r="P792" s="141">
        <v>91571.04</v>
      </c>
      <c r="Q792" s="141">
        <v>91571.04</v>
      </c>
      <c r="R792" s="122">
        <v>87336</v>
      </c>
      <c r="S792" s="239"/>
      <c r="T792" s="1475"/>
      <c r="U792" s="1380"/>
      <c r="V792" s="1380"/>
      <c r="W792" s="1380"/>
      <c r="X792" s="1380"/>
      <c r="Y792" s="1380"/>
      <c r="Z792" s="1380"/>
    </row>
    <row r="793" spans="1:26" s="7" customFormat="1" ht="18" customHeight="1" x14ac:dyDescent="0.25">
      <c r="A793" s="573" t="s">
        <v>1388</v>
      </c>
      <c r="B793" s="573" t="s">
        <v>123</v>
      </c>
      <c r="C793" s="1356" t="s">
        <v>1545</v>
      </c>
      <c r="D793" s="1355"/>
      <c r="E793" s="1355"/>
      <c r="F793" s="1355"/>
      <c r="G793" s="1355"/>
      <c r="H793" s="221" t="s">
        <v>154</v>
      </c>
      <c r="I793" s="141">
        <v>499525.65</v>
      </c>
      <c r="J793" s="141">
        <v>873776.12</v>
      </c>
      <c r="K793" s="141">
        <v>279928.93</v>
      </c>
      <c r="L793" s="141">
        <f t="shared" si="19"/>
        <v>593847.18999999994</v>
      </c>
      <c r="M793" s="141">
        <v>873776.12</v>
      </c>
      <c r="N793" s="141">
        <v>373528.21</v>
      </c>
      <c r="O793" s="141"/>
      <c r="P793" s="141">
        <v>912045.6</v>
      </c>
      <c r="Q793" s="141">
        <v>912045.6</v>
      </c>
      <c r="R793" s="122">
        <v>873936.96</v>
      </c>
      <c r="S793" s="239"/>
      <c r="T793" s="1475"/>
      <c r="U793" s="1380"/>
      <c r="V793" s="1380"/>
      <c r="W793" s="1380"/>
      <c r="X793" s="1380"/>
      <c r="Y793" s="1380"/>
      <c r="Z793" s="1380"/>
    </row>
    <row r="794" spans="1:26" s="7" customFormat="1" ht="18" customHeight="1" x14ac:dyDescent="0.25">
      <c r="A794" s="573" t="s">
        <v>1388</v>
      </c>
      <c r="B794" s="573" t="s">
        <v>123</v>
      </c>
      <c r="C794" s="1356" t="s">
        <v>1545</v>
      </c>
      <c r="D794" s="1355"/>
      <c r="E794" s="1355"/>
      <c r="F794" s="1355"/>
      <c r="G794" s="1355"/>
      <c r="H794" s="221" t="s">
        <v>154</v>
      </c>
      <c r="I794" s="141">
        <v>155279.51999999999</v>
      </c>
      <c r="J794" s="141">
        <v>159401.51999999999</v>
      </c>
      <c r="K794" s="141">
        <v>79625.52</v>
      </c>
      <c r="L794" s="141">
        <f t="shared" si="19"/>
        <v>79775.999999999985</v>
      </c>
      <c r="M794" s="141">
        <v>159401.51999999999</v>
      </c>
      <c r="N794" s="141">
        <v>86195.88</v>
      </c>
      <c r="O794" s="141"/>
      <c r="P794" s="141">
        <v>163235.51999999999</v>
      </c>
      <c r="Q794" s="141">
        <v>163235.51999999999</v>
      </c>
      <c r="R794" s="122">
        <v>155596.32</v>
      </c>
      <c r="S794" s="239"/>
      <c r="T794" s="1475"/>
      <c r="U794" s="1380"/>
      <c r="V794" s="1380"/>
      <c r="W794" s="1380"/>
      <c r="X794" s="1380"/>
      <c r="Y794" s="1380"/>
      <c r="Z794" s="1380"/>
    </row>
    <row r="795" spans="1:26" s="7" customFormat="1" ht="18" customHeight="1" x14ac:dyDescent="0.25">
      <c r="A795" s="573" t="s">
        <v>1388</v>
      </c>
      <c r="B795" s="573" t="s">
        <v>123</v>
      </c>
      <c r="C795" s="1356" t="s">
        <v>1545</v>
      </c>
      <c r="D795" s="1355"/>
      <c r="E795" s="1355"/>
      <c r="F795" s="1355"/>
      <c r="G795" s="1355"/>
      <c r="H795" s="221" t="s">
        <v>154</v>
      </c>
      <c r="I795" s="141">
        <v>868445.21</v>
      </c>
      <c r="J795" s="141">
        <v>1257780.33</v>
      </c>
      <c r="K795" s="141">
        <v>432392.45</v>
      </c>
      <c r="L795" s="141">
        <f t="shared" si="19"/>
        <v>825387.88000000012</v>
      </c>
      <c r="M795" s="141">
        <v>1257780.33</v>
      </c>
      <c r="N795" s="141">
        <v>577195.18000000005</v>
      </c>
      <c r="O795" s="141"/>
      <c r="P795" s="141">
        <v>1307337.1200000001</v>
      </c>
      <c r="Q795" s="141">
        <v>1307337.1200000001</v>
      </c>
      <c r="R795" s="122">
        <v>1257663.3600000001</v>
      </c>
      <c r="S795" s="239"/>
      <c r="T795" s="1475"/>
      <c r="U795" s="1380"/>
      <c r="V795" s="1380"/>
      <c r="W795" s="1380"/>
      <c r="X795" s="1380"/>
      <c r="Y795" s="1380"/>
      <c r="Z795" s="1380"/>
    </row>
    <row r="796" spans="1:26" s="7" customFormat="1" ht="18" customHeight="1" x14ac:dyDescent="0.25">
      <c r="A796" s="573" t="s">
        <v>1388</v>
      </c>
      <c r="B796" s="573" t="s">
        <v>123</v>
      </c>
      <c r="C796" s="1382" t="s">
        <v>1545</v>
      </c>
      <c r="D796" s="1355"/>
      <c r="E796" s="1355"/>
      <c r="F796" s="1355"/>
      <c r="G796" s="1355"/>
      <c r="H796" s="221" t="s">
        <v>154</v>
      </c>
      <c r="I796" s="141">
        <v>224137.87</v>
      </c>
      <c r="J796" s="141">
        <v>239379.12</v>
      </c>
      <c r="K796" s="141">
        <v>119300.04</v>
      </c>
      <c r="L796" s="141">
        <f t="shared" si="19"/>
        <v>120079.08</v>
      </c>
      <c r="M796" s="141">
        <v>239379.12</v>
      </c>
      <c r="N796" s="141">
        <v>159314.04</v>
      </c>
      <c r="O796" s="141"/>
      <c r="P796" s="141">
        <v>246847.68</v>
      </c>
      <c r="Q796" s="141">
        <v>246847.68</v>
      </c>
      <c r="R796" s="122">
        <v>239401.44</v>
      </c>
      <c r="S796" s="239"/>
      <c r="T796" s="1475"/>
      <c r="U796" s="1380"/>
      <c r="V796" s="1380"/>
      <c r="W796" s="1380"/>
      <c r="X796" s="1380"/>
      <c r="Y796" s="1380"/>
      <c r="Z796" s="1380"/>
    </row>
    <row r="797" spans="1:26" s="7" customFormat="1" ht="18" customHeight="1" x14ac:dyDescent="0.25">
      <c r="A797" s="573" t="s">
        <v>1388</v>
      </c>
      <c r="B797" s="573" t="s">
        <v>123</v>
      </c>
      <c r="C797" s="1382" t="s">
        <v>1545</v>
      </c>
      <c r="D797" s="1355"/>
      <c r="E797" s="1381"/>
      <c r="F797" s="1381"/>
      <c r="G797" s="1381"/>
      <c r="H797" s="381" t="s">
        <v>154</v>
      </c>
      <c r="I797" s="141">
        <v>317497.32</v>
      </c>
      <c r="J797" s="141">
        <v>478528.48</v>
      </c>
      <c r="K797" s="141">
        <v>143973.98000000001</v>
      </c>
      <c r="L797" s="141">
        <f t="shared" si="19"/>
        <v>334554.5</v>
      </c>
      <c r="M797" s="141">
        <v>478528.48</v>
      </c>
      <c r="N797" s="141">
        <v>192906.86</v>
      </c>
      <c r="O797" s="141"/>
      <c r="P797" s="141">
        <v>495766.08</v>
      </c>
      <c r="Q797" s="141">
        <v>495766.08</v>
      </c>
      <c r="R797" s="122">
        <v>476932.08</v>
      </c>
      <c r="S797" s="239"/>
      <c r="T797" s="1475"/>
      <c r="U797" s="1380"/>
      <c r="V797" s="1380"/>
      <c r="W797" s="1380"/>
      <c r="X797" s="1380"/>
      <c r="Y797" s="1380"/>
      <c r="Z797" s="1380"/>
    </row>
    <row r="798" spans="1:26" s="7" customFormat="1" ht="18" customHeight="1" x14ac:dyDescent="0.25">
      <c r="A798" s="573" t="s">
        <v>1388</v>
      </c>
      <c r="B798" s="573" t="s">
        <v>123</v>
      </c>
      <c r="C798" s="1356" t="s">
        <v>1545</v>
      </c>
      <c r="D798" s="1355"/>
      <c r="E798" s="1355"/>
      <c r="F798" s="1355"/>
      <c r="G798" s="1355"/>
      <c r="H798" s="381" t="s">
        <v>154</v>
      </c>
      <c r="I798" s="141">
        <v>165221</v>
      </c>
      <c r="J798" s="141">
        <v>221418.44</v>
      </c>
      <c r="K798" s="141">
        <v>82325.58</v>
      </c>
      <c r="L798" s="141">
        <f t="shared" si="19"/>
        <v>139092.85999999999</v>
      </c>
      <c r="M798" s="141">
        <v>221418.44</v>
      </c>
      <c r="N798" s="141">
        <v>110574.78</v>
      </c>
      <c r="O798" s="141"/>
      <c r="P798" s="141">
        <v>230476.32</v>
      </c>
      <c r="Q798" s="141">
        <v>230476.32</v>
      </c>
      <c r="R798" s="122">
        <v>221607.36</v>
      </c>
      <c r="S798" s="239"/>
      <c r="T798" s="1475"/>
      <c r="U798" s="1380"/>
      <c r="V798" s="1380"/>
      <c r="W798" s="1380"/>
      <c r="X798" s="1380"/>
      <c r="Y798" s="1380"/>
      <c r="Z798" s="1380"/>
    </row>
    <row r="799" spans="1:26" s="7" customFormat="1" ht="18" customHeight="1" x14ac:dyDescent="0.25">
      <c r="A799" s="573" t="s">
        <v>1388</v>
      </c>
      <c r="B799" s="573" t="s">
        <v>123</v>
      </c>
      <c r="C799" s="1356" t="s">
        <v>1545</v>
      </c>
      <c r="D799" s="1355"/>
      <c r="E799" s="1355"/>
      <c r="F799" s="1355"/>
      <c r="G799" s="1355"/>
      <c r="H799" s="381" t="s">
        <v>154</v>
      </c>
      <c r="I799" s="141">
        <v>277386.34999999998</v>
      </c>
      <c r="J799" s="141">
        <v>379944.33</v>
      </c>
      <c r="K799" s="141">
        <v>131884.35999999999</v>
      </c>
      <c r="L799" s="141">
        <f t="shared" si="19"/>
        <v>248059.97000000003</v>
      </c>
      <c r="M799" s="141">
        <v>379944.33</v>
      </c>
      <c r="N799" s="141">
        <v>175913.08</v>
      </c>
      <c r="O799" s="141"/>
      <c r="P799" s="141">
        <v>396125.28</v>
      </c>
      <c r="Q799" s="141">
        <v>396125.28</v>
      </c>
      <c r="R799" s="122">
        <v>380259.36</v>
      </c>
      <c r="S799" s="239">
        <f>SUM(R791:R799)</f>
        <v>3830147.76</v>
      </c>
      <c r="T799" s="1475"/>
      <c r="U799" s="1380"/>
      <c r="V799" s="1380"/>
      <c r="W799" s="1380"/>
      <c r="X799" s="1380"/>
      <c r="Y799" s="1380"/>
      <c r="Z799" s="1380"/>
    </row>
    <row r="800" spans="1:26" s="7" customFormat="1" ht="18" customHeight="1" x14ac:dyDescent="0.25">
      <c r="A800" s="573" t="s">
        <v>1388</v>
      </c>
      <c r="B800" s="573" t="s">
        <v>123</v>
      </c>
      <c r="C800" s="1356" t="s">
        <v>126</v>
      </c>
      <c r="D800" s="1355"/>
      <c r="E800" s="1355"/>
      <c r="F800" s="1355"/>
      <c r="G800" s="1355"/>
      <c r="H800" s="221" t="s">
        <v>127</v>
      </c>
      <c r="I800" s="141">
        <v>131517.53</v>
      </c>
      <c r="J800" s="141">
        <v>143928</v>
      </c>
      <c r="K800" s="141">
        <v>62760.15</v>
      </c>
      <c r="L800" s="141">
        <f t="shared" si="19"/>
        <v>81167.850000000006</v>
      </c>
      <c r="M800" s="141">
        <v>143928</v>
      </c>
      <c r="N800" s="141">
        <v>86202.89</v>
      </c>
      <c r="O800" s="141"/>
      <c r="P800" s="141">
        <v>149628</v>
      </c>
      <c r="Q800" s="141">
        <v>149628</v>
      </c>
      <c r="R800" s="122">
        <v>143928</v>
      </c>
      <c r="S800" s="239"/>
      <c r="T800" s="1475"/>
      <c r="U800" s="1380"/>
      <c r="V800" s="1380"/>
      <c r="W800" s="1380"/>
      <c r="X800" s="1380"/>
      <c r="Y800" s="1380"/>
      <c r="Z800" s="1380"/>
    </row>
    <row r="801" spans="1:26" s="7" customFormat="1" ht="18" customHeight="1" x14ac:dyDescent="0.25">
      <c r="A801" s="573" t="s">
        <v>1388</v>
      </c>
      <c r="B801" s="573" t="s">
        <v>123</v>
      </c>
      <c r="C801" s="1382" t="s">
        <v>126</v>
      </c>
      <c r="D801" s="1355"/>
      <c r="E801" s="1355"/>
      <c r="F801" s="1355"/>
      <c r="G801" s="1355"/>
      <c r="H801" s="221" t="s">
        <v>127</v>
      </c>
      <c r="I801" s="141">
        <v>130993.9</v>
      </c>
      <c r="J801" s="141">
        <v>287856</v>
      </c>
      <c r="K801" s="141">
        <v>62760.15</v>
      </c>
      <c r="L801" s="141">
        <f t="shared" si="19"/>
        <v>225095.85</v>
      </c>
      <c r="M801" s="141">
        <v>287856</v>
      </c>
      <c r="N801" s="141">
        <v>86202.89</v>
      </c>
      <c r="O801" s="141"/>
      <c r="P801" s="141">
        <v>299256</v>
      </c>
      <c r="Q801" s="141">
        <v>299256</v>
      </c>
      <c r="R801" s="122">
        <v>287856</v>
      </c>
      <c r="S801" s="239"/>
      <c r="T801" s="1475"/>
      <c r="U801" s="1380"/>
      <c r="V801" s="1380"/>
      <c r="W801" s="1380"/>
      <c r="X801" s="1380"/>
      <c r="Y801" s="1380"/>
      <c r="Z801" s="1380"/>
    </row>
    <row r="802" spans="1:26" s="7" customFormat="1" ht="18" customHeight="1" x14ac:dyDescent="0.25">
      <c r="A802" s="573" t="s">
        <v>1388</v>
      </c>
      <c r="B802" s="573" t="s">
        <v>123</v>
      </c>
      <c r="C802" s="1382" t="s">
        <v>126</v>
      </c>
      <c r="D802" s="1355"/>
      <c r="E802" s="1355"/>
      <c r="F802" s="1355"/>
      <c r="G802" s="1355"/>
      <c r="H802" s="221" t="s">
        <v>127</v>
      </c>
      <c r="I802" s="141">
        <v>849520.99</v>
      </c>
      <c r="J802" s="141">
        <v>1237056</v>
      </c>
      <c r="K802" s="141">
        <v>420645.47</v>
      </c>
      <c r="L802" s="141">
        <f t="shared" si="19"/>
        <v>816410.53</v>
      </c>
      <c r="M802" s="141">
        <v>1237056</v>
      </c>
      <c r="N802" s="141">
        <v>578475.03</v>
      </c>
      <c r="O802" s="141"/>
      <c r="P802" s="141">
        <v>1285584</v>
      </c>
      <c r="Q802" s="141">
        <v>1285584</v>
      </c>
      <c r="R802" s="122">
        <v>1237056</v>
      </c>
      <c r="S802" s="239"/>
      <c r="T802" s="1475"/>
      <c r="U802" s="1380"/>
      <c r="V802" s="1380"/>
      <c r="W802" s="1380"/>
      <c r="X802" s="1380"/>
      <c r="Y802" s="1380"/>
      <c r="Z802" s="1380"/>
    </row>
    <row r="803" spans="1:26" s="7" customFormat="1" ht="18" customHeight="1" x14ac:dyDescent="0.25">
      <c r="A803" s="573" t="s">
        <v>1388</v>
      </c>
      <c r="B803" s="573" t="s">
        <v>123</v>
      </c>
      <c r="C803" s="1356" t="s">
        <v>126</v>
      </c>
      <c r="D803" s="1355"/>
      <c r="E803" s="1355"/>
      <c r="F803" s="1355"/>
      <c r="G803" s="1355"/>
      <c r="H803" s="221" t="s">
        <v>127</v>
      </c>
      <c r="I803" s="141">
        <v>131517.53</v>
      </c>
      <c r="J803" s="141">
        <v>143928</v>
      </c>
      <c r="K803" s="141">
        <v>62760.15</v>
      </c>
      <c r="L803" s="141">
        <f t="shared" si="19"/>
        <v>81167.850000000006</v>
      </c>
      <c r="M803" s="141">
        <v>143928</v>
      </c>
      <c r="N803" s="141">
        <v>86202.89</v>
      </c>
      <c r="O803" s="141"/>
      <c r="P803" s="141">
        <v>149628</v>
      </c>
      <c r="Q803" s="141">
        <v>149628</v>
      </c>
      <c r="R803" s="122">
        <v>143928</v>
      </c>
      <c r="S803" s="239"/>
      <c r="T803" s="1475"/>
      <c r="U803" s="1380"/>
      <c r="V803" s="1380"/>
      <c r="W803" s="1380"/>
      <c r="X803" s="1380"/>
      <c r="Y803" s="1380"/>
      <c r="Z803" s="1380"/>
    </row>
    <row r="804" spans="1:26" s="7" customFormat="1" ht="18" customHeight="1" x14ac:dyDescent="0.25">
      <c r="A804" s="573" t="s">
        <v>1388</v>
      </c>
      <c r="B804" s="573" t="s">
        <v>123</v>
      </c>
      <c r="C804" s="1356" t="s">
        <v>126</v>
      </c>
      <c r="D804" s="1355"/>
      <c r="E804" s="1355"/>
      <c r="F804" s="1355"/>
      <c r="G804" s="1355"/>
      <c r="H804" s="381" t="s">
        <v>127</v>
      </c>
      <c r="I804" s="141">
        <v>504064.82</v>
      </c>
      <c r="J804" s="141">
        <v>813600</v>
      </c>
      <c r="K804" s="141">
        <v>235483.78</v>
      </c>
      <c r="L804" s="141">
        <f t="shared" si="19"/>
        <v>578116.22</v>
      </c>
      <c r="M804" s="141">
        <v>813600</v>
      </c>
      <c r="N804" s="141">
        <v>324855.40000000002</v>
      </c>
      <c r="O804" s="141"/>
      <c r="P804" s="141">
        <v>845424</v>
      </c>
      <c r="Q804" s="141">
        <v>845424</v>
      </c>
      <c r="R804" s="122">
        <v>813600</v>
      </c>
      <c r="S804" s="239"/>
      <c r="T804" s="1475"/>
      <c r="U804" s="1380"/>
      <c r="V804" s="1380"/>
      <c r="W804" s="1380"/>
      <c r="X804" s="1380"/>
      <c r="Y804" s="1380"/>
      <c r="Z804" s="1380"/>
    </row>
    <row r="805" spans="1:26" s="7" customFormat="1" ht="18" customHeight="1" x14ac:dyDescent="0.25">
      <c r="A805" s="573" t="s">
        <v>1388</v>
      </c>
      <c r="B805" s="573" t="s">
        <v>123</v>
      </c>
      <c r="C805" s="1382" t="s">
        <v>126</v>
      </c>
      <c r="D805" s="1355"/>
      <c r="E805" s="1355"/>
      <c r="F805" s="1355"/>
      <c r="G805" s="1355"/>
      <c r="H805" s="381" t="s">
        <v>127</v>
      </c>
      <c r="I805" s="141">
        <v>373236.6</v>
      </c>
      <c r="J805" s="141">
        <v>542400</v>
      </c>
      <c r="K805" s="141">
        <v>163515.26999999999</v>
      </c>
      <c r="L805" s="141">
        <f t="shared" si="19"/>
        <v>378884.73</v>
      </c>
      <c r="M805" s="141">
        <v>542400</v>
      </c>
      <c r="N805" s="141">
        <v>230287.17</v>
      </c>
      <c r="O805" s="141"/>
      <c r="P805" s="141">
        <v>563616</v>
      </c>
      <c r="Q805" s="141">
        <v>563616</v>
      </c>
      <c r="R805" s="122">
        <v>542400</v>
      </c>
      <c r="S805" s="239">
        <f>SUM(R800:R805)</f>
        <v>3168768</v>
      </c>
      <c r="T805" s="1475"/>
      <c r="U805" s="1380"/>
      <c r="V805" s="1380"/>
      <c r="W805" s="1380"/>
      <c r="X805" s="1380"/>
      <c r="Y805" s="1380"/>
      <c r="Z805" s="1380"/>
    </row>
    <row r="806" spans="1:26" s="7" customFormat="1" ht="18" customHeight="1" x14ac:dyDescent="0.25">
      <c r="A806" s="573" t="s">
        <v>1388</v>
      </c>
      <c r="B806" s="573" t="s">
        <v>123</v>
      </c>
      <c r="C806" s="1356" t="s">
        <v>124</v>
      </c>
      <c r="D806" s="1355"/>
      <c r="E806" s="1355"/>
      <c r="F806" s="1355"/>
      <c r="G806" s="1355"/>
      <c r="H806" s="221" t="s">
        <v>125</v>
      </c>
      <c r="I806" s="141">
        <v>722496</v>
      </c>
      <c r="J806" s="141">
        <v>993912</v>
      </c>
      <c r="K806" s="141">
        <v>377278</v>
      </c>
      <c r="L806" s="141">
        <f t="shared" ref="L806:L828" si="20">M806-K806</f>
        <v>622704</v>
      </c>
      <c r="M806" s="141">
        <f>993912+6070</f>
        <v>999982</v>
      </c>
      <c r="N806" s="141">
        <v>503442</v>
      </c>
      <c r="O806" s="141"/>
      <c r="P806" s="141">
        <v>1043484</v>
      </c>
      <c r="Q806" s="141">
        <v>1043484</v>
      </c>
      <c r="R806" s="122">
        <v>1001196</v>
      </c>
      <c r="S806" s="239"/>
      <c r="T806" s="1475"/>
      <c r="U806" s="1380"/>
      <c r="V806" s="1380"/>
      <c r="W806" s="1380"/>
      <c r="X806" s="1380"/>
      <c r="Y806" s="1380"/>
      <c r="Z806" s="1380"/>
    </row>
    <row r="807" spans="1:26" s="7" customFormat="1" ht="18" customHeight="1" x14ac:dyDescent="0.25">
      <c r="A807" s="573" t="s">
        <v>1388</v>
      </c>
      <c r="B807" s="573" t="s">
        <v>123</v>
      </c>
      <c r="C807" s="1356" t="s">
        <v>124</v>
      </c>
      <c r="D807" s="1355"/>
      <c r="E807" s="1355"/>
      <c r="F807" s="1355"/>
      <c r="G807" s="1355"/>
      <c r="H807" s="221" t="s">
        <v>125</v>
      </c>
      <c r="I807" s="141">
        <v>229224</v>
      </c>
      <c r="J807" s="141">
        <v>725076</v>
      </c>
      <c r="K807" s="141">
        <v>123014</v>
      </c>
      <c r="L807" s="141">
        <f t="shared" si="20"/>
        <v>604332</v>
      </c>
      <c r="M807" s="141">
        <f>725076+2270</f>
        <v>727346</v>
      </c>
      <c r="N807" s="141">
        <v>164170</v>
      </c>
      <c r="O807" s="141"/>
      <c r="P807" s="141">
        <v>763092</v>
      </c>
      <c r="Q807" s="141">
        <v>763092</v>
      </c>
      <c r="R807" s="122">
        <v>727800</v>
      </c>
      <c r="S807" s="239"/>
      <c r="T807" s="1475"/>
      <c r="U807" s="1380"/>
      <c r="V807" s="1380"/>
      <c r="W807" s="1380"/>
      <c r="X807" s="1380"/>
      <c r="Y807" s="1380"/>
      <c r="Z807" s="1380"/>
    </row>
    <row r="808" spans="1:26" s="7" customFormat="1" ht="18" customHeight="1" x14ac:dyDescent="0.25">
      <c r="A808" s="573" t="s">
        <v>1388</v>
      </c>
      <c r="B808" s="573" t="s">
        <v>123</v>
      </c>
      <c r="C808" s="1356" t="s">
        <v>124</v>
      </c>
      <c r="D808" s="1355"/>
      <c r="E808" s="1355"/>
      <c r="F808" s="1355"/>
      <c r="G808" s="1355"/>
      <c r="H808" s="221" t="s">
        <v>125</v>
      </c>
      <c r="I808" s="141">
        <v>4042229.2</v>
      </c>
      <c r="J808" s="141">
        <v>6989580</v>
      </c>
      <c r="K808" s="141">
        <v>2266857.5</v>
      </c>
      <c r="L808" s="141">
        <f t="shared" si="20"/>
        <v>4726754.13</v>
      </c>
      <c r="M808" s="141">
        <f>6989580+4031.63</f>
        <v>6993611.6299999999</v>
      </c>
      <c r="N808" s="141">
        <v>3022863.5</v>
      </c>
      <c r="O808" s="141"/>
      <c r="P808" s="141">
        <v>7301124</v>
      </c>
      <c r="Q808" s="141">
        <v>7301124</v>
      </c>
      <c r="R808" s="122">
        <f>6994764+188</f>
        <v>6994952</v>
      </c>
      <c r="S808" s="239"/>
      <c r="T808" s="1475"/>
      <c r="U808" s="1380"/>
      <c r="V808" s="1380"/>
      <c r="W808" s="1380"/>
      <c r="X808" s="1380"/>
      <c r="Y808" s="1380"/>
      <c r="Z808" s="1380"/>
    </row>
    <row r="809" spans="1:26" s="7" customFormat="1" ht="18" customHeight="1" x14ac:dyDescent="0.25">
      <c r="A809" s="573" t="s">
        <v>1388</v>
      </c>
      <c r="B809" s="573" t="s">
        <v>123</v>
      </c>
      <c r="C809" s="1356" t="s">
        <v>124</v>
      </c>
      <c r="D809" s="1355"/>
      <c r="E809" s="1355"/>
      <c r="F809" s="1355"/>
      <c r="G809" s="1355"/>
      <c r="H809" s="221" t="s">
        <v>125</v>
      </c>
      <c r="I809" s="141">
        <v>1293996</v>
      </c>
      <c r="J809" s="141">
        <v>1325712</v>
      </c>
      <c r="K809" s="141">
        <v>663546</v>
      </c>
      <c r="L809" s="141">
        <f t="shared" si="20"/>
        <v>664800</v>
      </c>
      <c r="M809" s="141">
        <f>1325712+2634</f>
        <v>1328346</v>
      </c>
      <c r="N809" s="141">
        <v>718299</v>
      </c>
      <c r="O809" s="141"/>
      <c r="P809" s="141">
        <v>1360296</v>
      </c>
      <c r="Q809" s="141">
        <v>1360296</v>
      </c>
      <c r="R809" s="122">
        <v>1296636</v>
      </c>
      <c r="S809" s="239"/>
      <c r="T809" s="1475"/>
      <c r="U809" s="1380"/>
      <c r="V809" s="1380"/>
      <c r="W809" s="1380"/>
      <c r="X809" s="1380"/>
      <c r="Y809" s="1380"/>
      <c r="Z809" s="1380"/>
    </row>
    <row r="810" spans="1:26" s="7" customFormat="1" ht="18" customHeight="1" x14ac:dyDescent="0.25">
      <c r="A810" s="573" t="s">
        <v>1388</v>
      </c>
      <c r="B810" s="573" t="s">
        <v>123</v>
      </c>
      <c r="C810" s="1356" t="s">
        <v>124</v>
      </c>
      <c r="D810" s="1355"/>
      <c r="E810" s="1355"/>
      <c r="F810" s="1355"/>
      <c r="G810" s="1355"/>
      <c r="H810" s="221" t="s">
        <v>125</v>
      </c>
      <c r="I810" s="141">
        <f>6357291.32+553.05</f>
        <v>6357844.3700000001</v>
      </c>
      <c r="J810" s="141">
        <v>9234504</v>
      </c>
      <c r="K810" s="141">
        <v>3161016.55</v>
      </c>
      <c r="L810" s="141">
        <f t="shared" si="20"/>
        <v>6083430.1700000009</v>
      </c>
      <c r="M810" s="141">
        <f>9234504+9942.72</f>
        <v>9244446.7200000007</v>
      </c>
      <c r="N810" s="141">
        <f>4210059.46+135.27</f>
        <v>4210194.7299999995</v>
      </c>
      <c r="O810" s="141"/>
      <c r="P810" s="141">
        <v>9608892</v>
      </c>
      <c r="Q810" s="141">
        <v>9608892</v>
      </c>
      <c r="R810" s="122">
        <f>9242292+1180</f>
        <v>9243472</v>
      </c>
      <c r="S810" s="239"/>
      <c r="T810" s="1475"/>
      <c r="U810" s="1380"/>
      <c r="V810" s="1380"/>
      <c r="W810" s="1380"/>
      <c r="X810" s="1380"/>
      <c r="Y810" s="1380"/>
      <c r="Z810" s="1380"/>
    </row>
    <row r="811" spans="1:26" s="7" customFormat="1" ht="18" customHeight="1" x14ac:dyDescent="0.25">
      <c r="A811" s="573" t="s">
        <v>1388</v>
      </c>
      <c r="B811" s="573" t="s">
        <v>123</v>
      </c>
      <c r="C811" s="1356" t="s">
        <v>124</v>
      </c>
      <c r="D811" s="1355"/>
      <c r="E811" s="1355"/>
      <c r="F811" s="1355"/>
      <c r="G811" s="1355"/>
      <c r="H811" s="221" t="s">
        <v>125</v>
      </c>
      <c r="I811" s="141">
        <v>1734736.04</v>
      </c>
      <c r="J811" s="141">
        <v>1855656</v>
      </c>
      <c r="K811" s="141">
        <v>928200</v>
      </c>
      <c r="L811" s="141">
        <f t="shared" si="20"/>
        <v>928386</v>
      </c>
      <c r="M811" s="141">
        <f>1855656+930</f>
        <v>1856586</v>
      </c>
      <c r="N811" s="141">
        <v>1237662</v>
      </c>
      <c r="O811" s="141"/>
      <c r="P811" s="141">
        <v>1918824</v>
      </c>
      <c r="Q811" s="141">
        <v>1918824</v>
      </c>
      <c r="R811" s="122">
        <v>1856772</v>
      </c>
      <c r="S811" s="239"/>
      <c r="T811" s="1475"/>
      <c r="U811" s="1380"/>
      <c r="V811" s="1380"/>
      <c r="W811" s="1380"/>
      <c r="X811" s="1380"/>
      <c r="Y811" s="1380"/>
      <c r="Z811" s="1380"/>
    </row>
    <row r="812" spans="1:26" s="7" customFormat="1" ht="18" customHeight="1" x14ac:dyDescent="0.25">
      <c r="A812" s="573" t="s">
        <v>1388</v>
      </c>
      <c r="B812" s="573" t="s">
        <v>123</v>
      </c>
      <c r="C812" s="1356" t="s">
        <v>124</v>
      </c>
      <c r="D812" s="1355"/>
      <c r="E812" s="1355"/>
      <c r="F812" s="1355"/>
      <c r="G812" s="1355"/>
      <c r="H812" s="381" t="s">
        <v>125</v>
      </c>
      <c r="I812" s="141">
        <f>2149277.01+83</f>
        <v>2149360.0099999998</v>
      </c>
      <c r="J812" s="141">
        <v>3171624</v>
      </c>
      <c r="K812" s="141">
        <v>951203.5</v>
      </c>
      <c r="L812" s="141">
        <f t="shared" si="20"/>
        <v>2222933.88</v>
      </c>
      <c r="M812" s="141">
        <f>3171624+2513.38</f>
        <v>3174137.38</v>
      </c>
      <c r="N812" s="141">
        <f>1268577.43+51.41</f>
        <v>1268628.8399999999</v>
      </c>
      <c r="O812" s="141"/>
      <c r="P812" s="141">
        <v>3285960</v>
      </c>
      <c r="Q812" s="141">
        <v>3285960</v>
      </c>
      <c r="R812" s="122">
        <f>3160656+178</f>
        <v>3160834</v>
      </c>
      <c r="S812" s="239"/>
      <c r="T812" s="1475"/>
      <c r="U812" s="1380"/>
      <c r="V812" s="1380"/>
      <c r="W812" s="1380"/>
      <c r="X812" s="1380"/>
      <c r="Y812" s="1380"/>
      <c r="Z812" s="1380"/>
    </row>
    <row r="813" spans="1:26" s="7" customFormat="1" ht="18" customHeight="1" x14ac:dyDescent="0.25">
      <c r="A813" s="573" t="s">
        <v>1388</v>
      </c>
      <c r="B813" s="573" t="s">
        <v>123</v>
      </c>
      <c r="C813" s="1356" t="s">
        <v>124</v>
      </c>
      <c r="D813" s="1355"/>
      <c r="E813" s="1355"/>
      <c r="F813" s="1355"/>
      <c r="G813" s="1355"/>
      <c r="H813" s="381" t="s">
        <v>125</v>
      </c>
      <c r="I813" s="141">
        <v>987959.67</v>
      </c>
      <c r="J813" s="141">
        <v>1296300</v>
      </c>
      <c r="K813" s="141">
        <v>514282.33</v>
      </c>
      <c r="L813" s="141">
        <f t="shared" si="20"/>
        <v>788471.29999999981</v>
      </c>
      <c r="M813" s="141">
        <f>1296300+6453.63</f>
        <v>1302753.6299999999</v>
      </c>
      <c r="N813" s="141">
        <v>681892.33</v>
      </c>
      <c r="O813" s="141"/>
      <c r="P813" s="141">
        <v>1357020</v>
      </c>
      <c r="Q813" s="141">
        <v>1357020</v>
      </c>
      <c r="R813" s="122">
        <v>1304328</v>
      </c>
      <c r="S813" s="239"/>
      <c r="T813" s="1475"/>
      <c r="U813" s="1380"/>
      <c r="V813" s="1380"/>
      <c r="W813" s="1380"/>
      <c r="X813" s="1380"/>
      <c r="Y813" s="1380"/>
      <c r="Z813" s="1380"/>
    </row>
    <row r="814" spans="1:26" s="7" customFormat="1" ht="18" customHeight="1" x14ac:dyDescent="0.25">
      <c r="A814" s="573" t="s">
        <v>1388</v>
      </c>
      <c r="B814" s="573" t="s">
        <v>123</v>
      </c>
      <c r="C814" s="1382" t="s">
        <v>124</v>
      </c>
      <c r="D814" s="1355"/>
      <c r="E814" s="1355"/>
      <c r="F814" s="1355"/>
      <c r="G814" s="1355"/>
      <c r="H814" s="381" t="s">
        <v>125</v>
      </c>
      <c r="I814" s="141">
        <f>2311480.54+101.18</f>
        <v>2311581.7200000002</v>
      </c>
      <c r="J814" s="141">
        <v>3160164</v>
      </c>
      <c r="K814" s="141">
        <v>1099152.82</v>
      </c>
      <c r="L814" s="141">
        <f t="shared" si="20"/>
        <v>2067049.9000000001</v>
      </c>
      <c r="M814" s="141">
        <f>3160164+6038.72</f>
        <v>3166202.72</v>
      </c>
      <c r="N814" s="141">
        <v>1466058.82</v>
      </c>
      <c r="O814" s="141"/>
      <c r="P814" s="141">
        <v>3301044</v>
      </c>
      <c r="Q814" s="141">
        <v>3301044</v>
      </c>
      <c r="R814" s="122">
        <f>3168372+456</f>
        <v>3168828</v>
      </c>
      <c r="S814" s="239">
        <f>SUM(R806:R814)</f>
        <v>28754818</v>
      </c>
      <c r="T814" s="1475"/>
      <c r="U814" s="1380"/>
      <c r="V814" s="1380"/>
      <c r="W814" s="1380"/>
      <c r="X814" s="1380"/>
      <c r="Y814" s="1380"/>
      <c r="Z814" s="1380"/>
    </row>
    <row r="815" spans="1:26" s="7" customFormat="1" ht="18" customHeight="1" x14ac:dyDescent="0.25">
      <c r="A815" s="573" t="s">
        <v>1388</v>
      </c>
      <c r="B815" s="573" t="s">
        <v>123</v>
      </c>
      <c r="C815" s="1382" t="s">
        <v>210</v>
      </c>
      <c r="D815" s="1355"/>
      <c r="E815" s="1381"/>
      <c r="F815" s="1381"/>
      <c r="G815" s="1381"/>
      <c r="H815" s="381" t="s">
        <v>464</v>
      </c>
      <c r="I815" s="141">
        <v>23800</v>
      </c>
      <c r="J815" s="141">
        <v>54000</v>
      </c>
      <c r="K815" s="141">
        <v>9075</v>
      </c>
      <c r="L815" s="141">
        <f t="shared" si="20"/>
        <v>44925</v>
      </c>
      <c r="M815" s="141">
        <v>54000</v>
      </c>
      <c r="N815" s="141">
        <v>12925</v>
      </c>
      <c r="O815" s="141"/>
      <c r="P815" s="141">
        <v>54000</v>
      </c>
      <c r="Q815" s="141">
        <v>54000</v>
      </c>
      <c r="R815" s="122">
        <v>54000</v>
      </c>
      <c r="S815" s="239">
        <f>SUM(P815:R815)</f>
        <v>162000</v>
      </c>
      <c r="T815" s="1475"/>
      <c r="U815" s="1380"/>
      <c r="V815" s="1380"/>
      <c r="W815" s="1380"/>
      <c r="X815" s="1380"/>
      <c r="Y815" s="1380"/>
      <c r="Z815" s="1380"/>
    </row>
    <row r="816" spans="1:26" s="7" customFormat="1" ht="18" customHeight="1" x14ac:dyDescent="0.25">
      <c r="A816" s="573" t="s">
        <v>1388</v>
      </c>
      <c r="B816" s="573" t="s">
        <v>123</v>
      </c>
      <c r="C816" s="1356" t="s">
        <v>133</v>
      </c>
      <c r="D816" s="1355"/>
      <c r="E816" s="1355"/>
      <c r="F816" s="1355"/>
      <c r="G816" s="1355"/>
      <c r="H816" s="221" t="s">
        <v>134</v>
      </c>
      <c r="I816" s="141">
        <v>70500</v>
      </c>
      <c r="J816" s="141">
        <v>72000</v>
      </c>
      <c r="K816" s="141">
        <v>36000</v>
      </c>
      <c r="L816" s="141">
        <f t="shared" si="20"/>
        <v>36000</v>
      </c>
      <c r="M816" s="141">
        <v>72000</v>
      </c>
      <c r="N816" s="141">
        <v>48000</v>
      </c>
      <c r="O816" s="141"/>
      <c r="P816" s="141">
        <v>72000</v>
      </c>
      <c r="Q816" s="141">
        <v>72000</v>
      </c>
      <c r="R816" s="122">
        <v>72000</v>
      </c>
      <c r="S816" s="239"/>
      <c r="T816" s="1475"/>
      <c r="U816" s="1380"/>
      <c r="V816" s="1380"/>
      <c r="W816" s="1380"/>
      <c r="X816" s="1380"/>
      <c r="Y816" s="1380"/>
      <c r="Z816" s="1380"/>
    </row>
    <row r="817" spans="1:26" s="7" customFormat="1" ht="18" customHeight="1" x14ac:dyDescent="0.25">
      <c r="A817" s="573" t="s">
        <v>1388</v>
      </c>
      <c r="B817" s="573" t="s">
        <v>123</v>
      </c>
      <c r="C817" s="1356" t="s">
        <v>133</v>
      </c>
      <c r="D817" s="1355"/>
      <c r="E817" s="1355"/>
      <c r="F817" s="1355"/>
      <c r="G817" s="1355"/>
      <c r="H817" s="221" t="s">
        <v>134</v>
      </c>
      <c r="I817" s="141">
        <v>67500</v>
      </c>
      <c r="J817" s="141">
        <v>72000</v>
      </c>
      <c r="K817" s="141">
        <v>36000</v>
      </c>
      <c r="L817" s="141">
        <f t="shared" si="20"/>
        <v>36000</v>
      </c>
      <c r="M817" s="141">
        <v>72000</v>
      </c>
      <c r="N817" s="141">
        <v>36000</v>
      </c>
      <c r="O817" s="141"/>
      <c r="P817" s="141">
        <v>72000</v>
      </c>
      <c r="Q817" s="141">
        <v>72000</v>
      </c>
      <c r="R817" s="122">
        <v>72000</v>
      </c>
      <c r="S817" s="239"/>
      <c r="T817" s="1475"/>
      <c r="U817" s="1380"/>
      <c r="V817" s="1380"/>
      <c r="W817" s="1380"/>
      <c r="X817" s="1380"/>
      <c r="Y817" s="1380"/>
      <c r="Z817" s="1380"/>
    </row>
    <row r="818" spans="1:26" s="7" customFormat="1" ht="18" customHeight="1" x14ac:dyDescent="0.25">
      <c r="A818" s="573" t="s">
        <v>1388</v>
      </c>
      <c r="B818" s="573" t="s">
        <v>123</v>
      </c>
      <c r="C818" s="1356" t="s">
        <v>133</v>
      </c>
      <c r="D818" s="1355"/>
      <c r="E818" s="1355"/>
      <c r="F818" s="1355"/>
      <c r="G818" s="1355"/>
      <c r="H818" s="221" t="s">
        <v>134</v>
      </c>
      <c r="I818" s="141">
        <v>67500</v>
      </c>
      <c r="J818" s="141">
        <v>72000</v>
      </c>
      <c r="K818" s="141">
        <v>36000</v>
      </c>
      <c r="L818" s="141">
        <f t="shared" si="20"/>
        <v>36000</v>
      </c>
      <c r="M818" s="141">
        <v>72000</v>
      </c>
      <c r="N818" s="141">
        <v>48000</v>
      </c>
      <c r="O818" s="141"/>
      <c r="P818" s="141">
        <v>72000</v>
      </c>
      <c r="Q818" s="141">
        <v>72000</v>
      </c>
      <c r="R818" s="122">
        <v>72000</v>
      </c>
      <c r="S818" s="239"/>
      <c r="T818" s="1475"/>
      <c r="U818" s="1380"/>
      <c r="V818" s="1380"/>
      <c r="W818" s="1380"/>
      <c r="X818" s="1380"/>
      <c r="Y818" s="1380"/>
      <c r="Z818" s="1380"/>
    </row>
    <row r="819" spans="1:26" s="7" customFormat="1" ht="18" customHeight="1" x14ac:dyDescent="0.25">
      <c r="A819" s="573" t="s">
        <v>1388</v>
      </c>
      <c r="B819" s="573" t="s">
        <v>123</v>
      </c>
      <c r="C819" s="1356" t="s">
        <v>133</v>
      </c>
      <c r="D819" s="1355"/>
      <c r="E819" s="1355"/>
      <c r="F819" s="1355"/>
      <c r="G819" s="1355"/>
      <c r="H819" s="221" t="s">
        <v>134</v>
      </c>
      <c r="I819" s="141">
        <v>67500</v>
      </c>
      <c r="J819" s="141">
        <v>72000</v>
      </c>
      <c r="K819" s="141">
        <v>33000</v>
      </c>
      <c r="L819" s="141">
        <f t="shared" si="20"/>
        <v>39000</v>
      </c>
      <c r="M819" s="141">
        <v>72000</v>
      </c>
      <c r="N819" s="141">
        <v>45000</v>
      </c>
      <c r="O819" s="141"/>
      <c r="P819" s="141">
        <v>72000</v>
      </c>
      <c r="Q819" s="141">
        <v>72000</v>
      </c>
      <c r="R819" s="122">
        <v>72000</v>
      </c>
      <c r="S819" s="239">
        <f>SUM(R816:R819)</f>
        <v>288000</v>
      </c>
      <c r="T819" s="1475"/>
      <c r="U819" s="1380"/>
      <c r="V819" s="1380"/>
      <c r="W819" s="1380"/>
      <c r="X819" s="1380"/>
      <c r="Y819" s="1380"/>
      <c r="Z819" s="1380"/>
    </row>
    <row r="820" spans="1:26" s="7" customFormat="1" ht="18" customHeight="1" x14ac:dyDescent="0.25">
      <c r="A820" s="573" t="s">
        <v>1388</v>
      </c>
      <c r="B820" s="573" t="s">
        <v>123</v>
      </c>
      <c r="C820" s="1356" t="s">
        <v>141</v>
      </c>
      <c r="D820" s="1355"/>
      <c r="E820" s="1355"/>
      <c r="F820" s="1355"/>
      <c r="G820" s="1355"/>
      <c r="H820" s="221" t="s">
        <v>142</v>
      </c>
      <c r="I820" s="141">
        <v>71728</v>
      </c>
      <c r="J820" s="141">
        <v>95427</v>
      </c>
      <c r="K820" s="141"/>
      <c r="L820" s="141">
        <f t="shared" si="20"/>
        <v>95427</v>
      </c>
      <c r="M820" s="141">
        <v>95427</v>
      </c>
      <c r="N820" s="141">
        <v>0</v>
      </c>
      <c r="O820" s="141"/>
      <c r="P820" s="141">
        <v>99426</v>
      </c>
      <c r="Q820" s="141">
        <v>99426</v>
      </c>
      <c r="R820" s="122">
        <v>95427</v>
      </c>
      <c r="S820" s="239"/>
      <c r="T820" s="1475"/>
      <c r="U820" s="1380"/>
      <c r="V820" s="1380"/>
      <c r="W820" s="1380"/>
      <c r="X820" s="1380"/>
      <c r="Y820" s="1380"/>
      <c r="Z820" s="1380"/>
    </row>
    <row r="821" spans="1:26" ht="18" customHeight="1" x14ac:dyDescent="0.25">
      <c r="A821" s="573" t="s">
        <v>1388</v>
      </c>
      <c r="B821" s="573" t="s">
        <v>123</v>
      </c>
      <c r="C821" s="1356" t="s">
        <v>141</v>
      </c>
      <c r="D821" s="1355"/>
      <c r="E821" s="1355"/>
      <c r="F821" s="1355"/>
      <c r="G821" s="1355"/>
      <c r="H821" s="221" t="s">
        <v>142</v>
      </c>
      <c r="I821" s="141">
        <v>19102</v>
      </c>
      <c r="J821" s="141">
        <v>60650</v>
      </c>
      <c r="K821" s="141"/>
      <c r="L821" s="141">
        <f t="shared" si="20"/>
        <v>60650</v>
      </c>
      <c r="M821" s="141">
        <v>60650</v>
      </c>
      <c r="N821" s="141"/>
      <c r="O821" s="141"/>
      <c r="P821" s="141">
        <v>63591</v>
      </c>
      <c r="Q821" s="141">
        <v>63591</v>
      </c>
      <c r="R821" s="122">
        <v>60650</v>
      </c>
    </row>
    <row r="822" spans="1:26" ht="18" customHeight="1" x14ac:dyDescent="0.25">
      <c r="A822" s="573" t="s">
        <v>1388</v>
      </c>
      <c r="B822" s="573" t="s">
        <v>123</v>
      </c>
      <c r="C822" s="1382" t="s">
        <v>141</v>
      </c>
      <c r="D822" s="1355"/>
      <c r="E822" s="1355"/>
      <c r="F822" s="1355"/>
      <c r="G822" s="1355"/>
      <c r="H822" s="221" t="s">
        <v>142</v>
      </c>
      <c r="I822" s="141">
        <v>371079</v>
      </c>
      <c r="J822" s="141">
        <v>606885</v>
      </c>
      <c r="K822" s="141"/>
      <c r="L822" s="141">
        <f t="shared" si="20"/>
        <v>606885</v>
      </c>
      <c r="M822" s="141">
        <v>606885</v>
      </c>
      <c r="N822" s="141"/>
      <c r="O822" s="141"/>
      <c r="P822" s="141">
        <v>633365</v>
      </c>
      <c r="Q822" s="141">
        <v>633365</v>
      </c>
      <c r="R822" s="122">
        <v>606885</v>
      </c>
    </row>
    <row r="823" spans="1:26" ht="18" customHeight="1" x14ac:dyDescent="0.25">
      <c r="A823" s="573" t="s">
        <v>1388</v>
      </c>
      <c r="B823" s="573" t="s">
        <v>123</v>
      </c>
      <c r="C823" s="1356" t="s">
        <v>141</v>
      </c>
      <c r="D823" s="1355"/>
      <c r="E823" s="1355"/>
      <c r="F823" s="1355"/>
      <c r="G823" s="1355"/>
      <c r="H823" s="221" t="s">
        <v>142</v>
      </c>
      <c r="I823" s="141">
        <v>107833</v>
      </c>
      <c r="J823" s="141">
        <v>110707</v>
      </c>
      <c r="K823" s="141"/>
      <c r="L823" s="141">
        <f t="shared" si="20"/>
        <v>110707</v>
      </c>
      <c r="M823" s="141">
        <v>110707</v>
      </c>
      <c r="N823" s="141"/>
      <c r="O823" s="141"/>
      <c r="P823" s="141">
        <v>113358</v>
      </c>
      <c r="Q823" s="141">
        <v>113358</v>
      </c>
      <c r="R823" s="122">
        <v>108053</v>
      </c>
      <c r="S823" s="1450"/>
    </row>
    <row r="824" spans="1:26" s="7" customFormat="1" ht="18" customHeight="1" x14ac:dyDescent="0.25">
      <c r="A824" s="573" t="s">
        <v>1388</v>
      </c>
      <c r="B824" s="573" t="s">
        <v>123</v>
      </c>
      <c r="C824" s="1382" t="s">
        <v>141</v>
      </c>
      <c r="D824" s="1355"/>
      <c r="E824" s="1355"/>
      <c r="F824" s="1355"/>
      <c r="G824" s="1355"/>
      <c r="H824" s="221" t="s">
        <v>142</v>
      </c>
      <c r="I824" s="141">
        <v>617464.6</v>
      </c>
      <c r="J824" s="141">
        <v>873602</v>
      </c>
      <c r="K824" s="141"/>
      <c r="L824" s="141">
        <f t="shared" si="20"/>
        <v>873602</v>
      </c>
      <c r="M824" s="141">
        <v>873602</v>
      </c>
      <c r="N824" s="141">
        <v>0</v>
      </c>
      <c r="O824" s="141"/>
      <c r="P824" s="141">
        <v>907873</v>
      </c>
      <c r="Q824" s="141">
        <v>907873</v>
      </c>
      <c r="R824" s="122">
        <v>873574</v>
      </c>
      <c r="S824" s="1460"/>
      <c r="T824" s="1475"/>
      <c r="U824" s="1380"/>
      <c r="V824" s="1380"/>
      <c r="W824" s="1380"/>
      <c r="X824" s="1380"/>
      <c r="Y824" s="1380"/>
      <c r="Z824" s="1380"/>
    </row>
    <row r="825" spans="1:26" s="7" customFormat="1" ht="15.75" customHeight="1" x14ac:dyDescent="0.25">
      <c r="A825" s="573" t="s">
        <v>1388</v>
      </c>
      <c r="B825" s="573" t="s">
        <v>123</v>
      </c>
      <c r="C825" s="1356" t="s">
        <v>141</v>
      </c>
      <c r="D825" s="1355"/>
      <c r="E825" s="1355"/>
      <c r="F825" s="1355"/>
      <c r="G825" s="1355"/>
      <c r="H825" s="221" t="s">
        <v>142</v>
      </c>
      <c r="I825" s="141">
        <v>160991</v>
      </c>
      <c r="J825" s="141">
        <v>166725</v>
      </c>
      <c r="K825" s="141"/>
      <c r="L825" s="141">
        <f t="shared" si="20"/>
        <v>166725</v>
      </c>
      <c r="M825" s="141">
        <v>166725</v>
      </c>
      <c r="N825" s="141"/>
      <c r="O825" s="141"/>
      <c r="P825" s="141">
        <v>172371</v>
      </c>
      <c r="Q825" s="141">
        <v>172371</v>
      </c>
      <c r="R825" s="122">
        <v>166725</v>
      </c>
      <c r="S825" s="239"/>
      <c r="T825" s="1475"/>
      <c r="U825" s="1380"/>
      <c r="V825" s="1380"/>
      <c r="W825" s="1380"/>
      <c r="X825" s="1380"/>
      <c r="Y825" s="1380"/>
      <c r="Z825" s="1380"/>
    </row>
    <row r="826" spans="1:26" s="48" customFormat="1" ht="18" customHeight="1" x14ac:dyDescent="0.25">
      <c r="A826" s="573" t="s">
        <v>1388</v>
      </c>
      <c r="B826" s="573" t="s">
        <v>123</v>
      </c>
      <c r="C826" s="1356" t="s">
        <v>141</v>
      </c>
      <c r="D826" s="1355"/>
      <c r="E826" s="1355"/>
      <c r="F826" s="1355"/>
      <c r="G826" s="1355"/>
      <c r="H826" s="381" t="s">
        <v>142</v>
      </c>
      <c r="I826" s="141">
        <v>228835.6</v>
      </c>
      <c r="J826" s="141">
        <v>332384</v>
      </c>
      <c r="K826" s="141"/>
      <c r="L826" s="141">
        <f t="shared" si="20"/>
        <v>332384</v>
      </c>
      <c r="M826" s="141">
        <v>332384</v>
      </c>
      <c r="N826" s="141"/>
      <c r="O826" s="141"/>
      <c r="P826" s="141">
        <v>344282</v>
      </c>
      <c r="Q826" s="141">
        <v>344282</v>
      </c>
      <c r="R826" s="122">
        <v>331277</v>
      </c>
      <c r="S826" s="239"/>
      <c r="T826" s="1477"/>
      <c r="U826" s="169"/>
      <c r="V826" s="169"/>
      <c r="W826" s="169"/>
      <c r="X826" s="169"/>
      <c r="Y826" s="169"/>
      <c r="Z826" s="169"/>
    </row>
    <row r="827" spans="1:26" s="48" customFormat="1" ht="18" customHeight="1" x14ac:dyDescent="0.25">
      <c r="A827" s="573" t="s">
        <v>1388</v>
      </c>
      <c r="B827" s="573" t="s">
        <v>123</v>
      </c>
      <c r="C827" s="1356" t="s">
        <v>141</v>
      </c>
      <c r="D827" s="1355"/>
      <c r="E827" s="1355"/>
      <c r="F827" s="1355"/>
      <c r="G827" s="1355"/>
      <c r="H827" s="381" t="s">
        <v>142</v>
      </c>
      <c r="I827" s="141">
        <v>112418</v>
      </c>
      <c r="J827" s="141">
        <v>153894</v>
      </c>
      <c r="K827" s="141"/>
      <c r="L827" s="141">
        <f t="shared" si="20"/>
        <v>153894</v>
      </c>
      <c r="M827" s="141">
        <v>153894</v>
      </c>
      <c r="N827" s="141"/>
      <c r="O827" s="141"/>
      <c r="P827" s="141">
        <v>160053</v>
      </c>
      <c r="Q827" s="141">
        <v>160053</v>
      </c>
      <c r="R827" s="122">
        <v>153894</v>
      </c>
      <c r="S827" s="239"/>
      <c r="T827" s="1477"/>
      <c r="U827" s="169"/>
      <c r="V827" s="169"/>
      <c r="W827" s="169"/>
      <c r="X827" s="169"/>
      <c r="Y827" s="169"/>
      <c r="Z827" s="169"/>
    </row>
    <row r="828" spans="1:26" s="48" customFormat="1" ht="21.75" customHeight="1" x14ac:dyDescent="0.25">
      <c r="A828" s="573" t="s">
        <v>1388</v>
      </c>
      <c r="B828" s="573" t="s">
        <v>123</v>
      </c>
      <c r="C828" s="1356" t="s">
        <v>141</v>
      </c>
      <c r="D828" s="1355"/>
      <c r="E828" s="1355"/>
      <c r="F828" s="1355"/>
      <c r="G828" s="1355"/>
      <c r="H828" s="381" t="s">
        <v>142</v>
      </c>
      <c r="I828" s="141">
        <v>199442.8</v>
      </c>
      <c r="J828" s="141">
        <v>263980</v>
      </c>
      <c r="K828" s="141"/>
      <c r="L828" s="141">
        <f t="shared" si="20"/>
        <v>263980</v>
      </c>
      <c r="M828" s="141">
        <v>263980</v>
      </c>
      <c r="N828" s="141"/>
      <c r="O828" s="141"/>
      <c r="P828" s="141">
        <v>275087</v>
      </c>
      <c r="Q828" s="141">
        <v>275087</v>
      </c>
      <c r="R828" s="122">
        <v>264145</v>
      </c>
      <c r="S828" s="1468">
        <f>SUM(R820:R828)</f>
        <v>2660630</v>
      </c>
      <c r="T828" s="1477"/>
      <c r="U828" s="169"/>
      <c r="V828" s="169"/>
      <c r="W828" s="169"/>
      <c r="X828" s="169"/>
      <c r="Y828" s="169"/>
      <c r="Z828" s="169"/>
    </row>
    <row r="829" spans="1:26" s="48" customFormat="1" ht="21.75" customHeight="1" x14ac:dyDescent="0.25">
      <c r="A829" s="573"/>
      <c r="B829" s="573"/>
      <c r="C829" s="1382"/>
      <c r="D829" s="1381"/>
      <c r="E829" s="1381"/>
      <c r="F829" s="1381"/>
      <c r="G829" s="1381"/>
      <c r="H829" s="381"/>
      <c r="I829" s="141"/>
      <c r="J829" s="141"/>
      <c r="K829" s="141"/>
      <c r="L829" s="141"/>
      <c r="M829" s="141"/>
      <c r="N829" s="141"/>
      <c r="O829" s="141"/>
      <c r="P829" s="141"/>
      <c r="Q829" s="141"/>
      <c r="R829" s="122"/>
      <c r="S829" s="1468"/>
      <c r="T829" s="1477"/>
      <c r="U829" s="169"/>
      <c r="V829" s="169"/>
      <c r="W829" s="169"/>
      <c r="X829" s="169"/>
      <c r="Y829" s="169"/>
      <c r="Z829" s="169"/>
    </row>
    <row r="830" spans="1:26" s="48" customFormat="1" ht="21.75" customHeight="1" x14ac:dyDescent="0.25">
      <c r="A830" s="573"/>
      <c r="B830" s="573"/>
      <c r="C830" s="1382"/>
      <c r="D830" s="1381"/>
      <c r="E830" s="1381"/>
      <c r="F830" s="1381"/>
      <c r="G830" s="1381"/>
      <c r="H830" s="381"/>
      <c r="I830" s="141"/>
      <c r="J830" s="141"/>
      <c r="K830" s="141"/>
      <c r="L830" s="141"/>
      <c r="M830" s="141"/>
      <c r="N830" s="141"/>
      <c r="O830" s="141"/>
      <c r="P830" s="141"/>
      <c r="Q830" s="141"/>
      <c r="R830" s="122"/>
      <c r="S830" s="1468"/>
      <c r="T830" s="1477"/>
      <c r="U830" s="169"/>
      <c r="V830" s="169"/>
      <c r="W830" s="169"/>
      <c r="X830" s="169"/>
      <c r="Y830" s="169"/>
      <c r="Z830" s="169"/>
    </row>
    <row r="831" spans="1:26" s="48" customFormat="1" ht="18" customHeight="1" x14ac:dyDescent="0.25">
      <c r="A831" s="961" t="s">
        <v>1386</v>
      </c>
      <c r="B831" s="961" t="s">
        <v>123</v>
      </c>
      <c r="C831" s="1356" t="s">
        <v>143</v>
      </c>
      <c r="D831" s="1355"/>
      <c r="E831" s="1355"/>
      <c r="F831" s="1355"/>
      <c r="G831" s="1355"/>
      <c r="H831" s="381" t="s">
        <v>144</v>
      </c>
      <c r="I831" s="141">
        <v>45000</v>
      </c>
      <c r="J831" s="141">
        <v>55000</v>
      </c>
      <c r="K831" s="141"/>
      <c r="L831" s="141">
        <f t="shared" ref="L831:L862" si="21">M831-K831</f>
        <v>55000</v>
      </c>
      <c r="M831" s="141">
        <v>55000</v>
      </c>
      <c r="N831" s="141">
        <v>0</v>
      </c>
      <c r="O831" s="141"/>
      <c r="P831" s="141">
        <v>55000</v>
      </c>
      <c r="Q831" s="141">
        <v>55000</v>
      </c>
      <c r="R831" s="122">
        <v>55000</v>
      </c>
      <c r="S831" s="239"/>
      <c r="T831" s="1477"/>
      <c r="U831" s="169"/>
      <c r="V831" s="169"/>
      <c r="W831" s="169"/>
      <c r="X831" s="169"/>
      <c r="Y831" s="169"/>
      <c r="Z831" s="169"/>
    </row>
    <row r="832" spans="1:26" s="48" customFormat="1" ht="18" customHeight="1" x14ac:dyDescent="0.25">
      <c r="A832" s="961" t="s">
        <v>1386</v>
      </c>
      <c r="B832" s="961" t="s">
        <v>123</v>
      </c>
      <c r="C832" s="1356" t="s">
        <v>143</v>
      </c>
      <c r="D832" s="1355"/>
      <c r="E832" s="1355"/>
      <c r="F832" s="1355"/>
      <c r="G832" s="1355"/>
      <c r="H832" s="221" t="s">
        <v>144</v>
      </c>
      <c r="I832" s="141">
        <v>66000</v>
      </c>
      <c r="J832" s="141">
        <v>150000</v>
      </c>
      <c r="K832" s="141"/>
      <c r="L832" s="141">
        <f t="shared" si="21"/>
        <v>150000</v>
      </c>
      <c r="M832" s="141">
        <v>150000</v>
      </c>
      <c r="N832" s="141">
        <v>0</v>
      </c>
      <c r="O832" s="141"/>
      <c r="P832" s="141">
        <v>150000</v>
      </c>
      <c r="Q832" s="141">
        <v>150000</v>
      </c>
      <c r="R832" s="122">
        <v>150000</v>
      </c>
      <c r="S832" s="239"/>
      <c r="T832" s="1477"/>
      <c r="U832" s="169"/>
      <c r="V832" s="169"/>
      <c r="W832" s="169"/>
      <c r="X832" s="169"/>
      <c r="Y832" s="169"/>
      <c r="Z832" s="169"/>
    </row>
    <row r="833" spans="1:26" s="48" customFormat="1" ht="18" customHeight="1" x14ac:dyDescent="0.25">
      <c r="A833" s="961" t="s">
        <v>1386</v>
      </c>
      <c r="B833" s="961" t="s">
        <v>123</v>
      </c>
      <c r="C833" s="1356" t="s">
        <v>143</v>
      </c>
      <c r="D833" s="1355"/>
      <c r="E833" s="1355"/>
      <c r="F833" s="1355"/>
      <c r="G833" s="1355"/>
      <c r="H833" s="381" t="s">
        <v>144</v>
      </c>
      <c r="I833" s="141">
        <v>20000</v>
      </c>
      <c r="J833" s="141">
        <v>20000</v>
      </c>
      <c r="K833" s="141"/>
      <c r="L833" s="141">
        <f t="shared" si="21"/>
        <v>20000</v>
      </c>
      <c r="M833" s="141">
        <v>20000</v>
      </c>
      <c r="N833" s="141">
        <v>0</v>
      </c>
      <c r="O833" s="141"/>
      <c r="P833" s="141">
        <v>20000</v>
      </c>
      <c r="Q833" s="141">
        <v>20000</v>
      </c>
      <c r="R833" s="122">
        <v>20000</v>
      </c>
      <c r="S833" s="239"/>
      <c r="T833" s="1477"/>
      <c r="U833" s="169"/>
      <c r="V833" s="169"/>
      <c r="W833" s="169"/>
      <c r="X833" s="169"/>
      <c r="Y833" s="169"/>
      <c r="Z833" s="169"/>
    </row>
    <row r="834" spans="1:26" s="48" customFormat="1" ht="18" customHeight="1" x14ac:dyDescent="0.25">
      <c r="A834" s="961" t="s">
        <v>1386</v>
      </c>
      <c r="B834" s="961" t="s">
        <v>123</v>
      </c>
      <c r="C834" s="1356" t="s">
        <v>143</v>
      </c>
      <c r="D834" s="1355"/>
      <c r="E834" s="1355"/>
      <c r="F834" s="1355"/>
      <c r="G834" s="1355"/>
      <c r="H834" s="381" t="s">
        <v>144</v>
      </c>
      <c r="I834" s="141">
        <v>10000</v>
      </c>
      <c r="J834" s="141">
        <v>20000</v>
      </c>
      <c r="K834" s="141"/>
      <c r="L834" s="141">
        <f t="shared" si="21"/>
        <v>20000</v>
      </c>
      <c r="M834" s="141">
        <v>20000</v>
      </c>
      <c r="N834" s="141">
        <v>0</v>
      </c>
      <c r="O834" s="141"/>
      <c r="P834" s="141">
        <v>20000</v>
      </c>
      <c r="Q834" s="141">
        <v>20000</v>
      </c>
      <c r="R834" s="122">
        <v>20000</v>
      </c>
      <c r="S834" s="239"/>
      <c r="T834" s="1477"/>
      <c r="U834" s="169"/>
      <c r="V834" s="169"/>
      <c r="W834" s="169"/>
      <c r="X834" s="169"/>
      <c r="Y834" s="169"/>
      <c r="Z834" s="169"/>
    </row>
    <row r="835" spans="1:26" s="48" customFormat="1" ht="18" customHeight="1" x14ac:dyDescent="0.25">
      <c r="A835" s="961" t="s">
        <v>1386</v>
      </c>
      <c r="B835" s="961" t="s">
        <v>123</v>
      </c>
      <c r="C835" s="1356" t="s">
        <v>143</v>
      </c>
      <c r="D835" s="1355"/>
      <c r="E835" s="1355"/>
      <c r="F835" s="1355"/>
      <c r="G835" s="1355"/>
      <c r="H835" s="221" t="s">
        <v>144</v>
      </c>
      <c r="I835" s="141">
        <v>10000</v>
      </c>
      <c r="J835" s="141">
        <v>15000</v>
      </c>
      <c r="K835" s="141"/>
      <c r="L835" s="141">
        <f t="shared" si="21"/>
        <v>15000</v>
      </c>
      <c r="M835" s="141">
        <v>15000</v>
      </c>
      <c r="N835" s="141">
        <v>0</v>
      </c>
      <c r="O835" s="141"/>
      <c r="P835" s="141">
        <v>15000</v>
      </c>
      <c r="Q835" s="141">
        <v>15000</v>
      </c>
      <c r="R835" s="122">
        <v>15000</v>
      </c>
      <c r="S835" s="239"/>
      <c r="T835" s="1477"/>
      <c r="U835" s="169"/>
      <c r="V835" s="169"/>
      <c r="W835" s="169"/>
      <c r="X835" s="169"/>
      <c r="Y835" s="169"/>
      <c r="Z835" s="169"/>
    </row>
    <row r="836" spans="1:26" s="48" customFormat="1" ht="18" customHeight="1" x14ac:dyDescent="0.25">
      <c r="A836" s="961" t="s">
        <v>1386</v>
      </c>
      <c r="B836" s="961" t="s">
        <v>123</v>
      </c>
      <c r="C836" s="1356" t="s">
        <v>143</v>
      </c>
      <c r="D836" s="1355"/>
      <c r="E836" s="1355"/>
      <c r="F836" s="1355"/>
      <c r="G836" s="1355"/>
      <c r="H836" s="221" t="s">
        <v>144</v>
      </c>
      <c r="I836" s="141">
        <v>18500</v>
      </c>
      <c r="J836" s="141">
        <v>20000</v>
      </c>
      <c r="K836" s="141"/>
      <c r="L836" s="141">
        <f t="shared" si="21"/>
        <v>20000</v>
      </c>
      <c r="M836" s="141">
        <v>20000</v>
      </c>
      <c r="N836" s="141"/>
      <c r="O836" s="141"/>
      <c r="P836" s="141">
        <v>20000</v>
      </c>
      <c r="Q836" s="141">
        <v>20000</v>
      </c>
      <c r="R836" s="122">
        <v>20000</v>
      </c>
      <c r="S836" s="239"/>
      <c r="T836" s="1477"/>
      <c r="U836" s="169"/>
      <c r="V836" s="169"/>
      <c r="W836" s="169"/>
      <c r="X836" s="169"/>
      <c r="Y836" s="169"/>
      <c r="Z836" s="169"/>
    </row>
    <row r="837" spans="1:26" s="48" customFormat="1" ht="18" customHeight="1" x14ac:dyDescent="0.25">
      <c r="A837" s="961" t="s">
        <v>1386</v>
      </c>
      <c r="B837" s="961" t="s">
        <v>123</v>
      </c>
      <c r="C837" s="1356" t="s">
        <v>143</v>
      </c>
      <c r="D837" s="1355"/>
      <c r="E837" s="1355"/>
      <c r="F837" s="1355"/>
      <c r="G837" s="1355"/>
      <c r="H837" s="221" t="s">
        <v>144</v>
      </c>
      <c r="I837" s="141">
        <v>19750</v>
      </c>
      <c r="J837" s="141">
        <v>35000</v>
      </c>
      <c r="K837" s="141"/>
      <c r="L837" s="141">
        <f t="shared" si="21"/>
        <v>35000</v>
      </c>
      <c r="M837" s="141">
        <v>35000</v>
      </c>
      <c r="N837" s="141"/>
      <c r="O837" s="141"/>
      <c r="P837" s="141">
        <v>35000</v>
      </c>
      <c r="Q837" s="141">
        <v>35000</v>
      </c>
      <c r="R837" s="122">
        <v>35000</v>
      </c>
      <c r="S837" s="239"/>
      <c r="T837" s="1477"/>
      <c r="U837" s="169"/>
      <c r="V837" s="169"/>
      <c r="W837" s="169"/>
      <c r="X837" s="169"/>
      <c r="Y837" s="169"/>
      <c r="Z837" s="169"/>
    </row>
    <row r="838" spans="1:26" s="48" customFormat="1" ht="18" customHeight="1" x14ac:dyDescent="0.25">
      <c r="A838" s="961" t="s">
        <v>1386</v>
      </c>
      <c r="B838" s="961" t="s">
        <v>123</v>
      </c>
      <c r="C838" s="1356" t="s">
        <v>143</v>
      </c>
      <c r="D838" s="1355"/>
      <c r="E838" s="1355"/>
      <c r="F838" s="1355"/>
      <c r="G838" s="1355"/>
      <c r="H838" s="221" t="s">
        <v>144</v>
      </c>
      <c r="I838" s="141">
        <v>180000</v>
      </c>
      <c r="J838" s="141">
        <v>185000</v>
      </c>
      <c r="K838" s="141"/>
      <c r="L838" s="141">
        <f t="shared" si="21"/>
        <v>185000</v>
      </c>
      <c r="M838" s="141">
        <v>185000</v>
      </c>
      <c r="N838" s="141"/>
      <c r="O838" s="141"/>
      <c r="P838" s="141">
        <v>185000</v>
      </c>
      <c r="Q838" s="141">
        <v>185000</v>
      </c>
      <c r="R838" s="122">
        <v>185000</v>
      </c>
      <c r="S838" s="1456"/>
      <c r="T838" s="1477"/>
      <c r="U838" s="169"/>
      <c r="V838" s="169"/>
      <c r="W838" s="169"/>
      <c r="X838" s="169"/>
      <c r="Y838" s="169"/>
      <c r="Z838" s="169"/>
    </row>
    <row r="839" spans="1:26" s="48" customFormat="1" ht="18" customHeight="1" x14ac:dyDescent="0.25">
      <c r="A839" s="961" t="s">
        <v>1386</v>
      </c>
      <c r="B839" s="961" t="s">
        <v>123</v>
      </c>
      <c r="C839" s="1356" t="s">
        <v>143</v>
      </c>
      <c r="D839" s="1355"/>
      <c r="E839" s="1355"/>
      <c r="F839" s="1355"/>
      <c r="G839" s="1355"/>
      <c r="H839" s="221" t="s">
        <v>144</v>
      </c>
      <c r="I839" s="141">
        <v>55000</v>
      </c>
      <c r="J839" s="141">
        <v>90000</v>
      </c>
      <c r="K839" s="141"/>
      <c r="L839" s="141">
        <f t="shared" si="21"/>
        <v>90000</v>
      </c>
      <c r="M839" s="141">
        <v>90000</v>
      </c>
      <c r="N839" s="141">
        <v>0</v>
      </c>
      <c r="O839" s="141"/>
      <c r="P839" s="141">
        <v>90000</v>
      </c>
      <c r="Q839" s="141">
        <v>90000</v>
      </c>
      <c r="R839" s="122">
        <v>90000</v>
      </c>
      <c r="S839" s="1456"/>
      <c r="T839" s="1477"/>
      <c r="U839" s="169"/>
      <c r="V839" s="169"/>
      <c r="W839" s="169"/>
      <c r="X839" s="169"/>
      <c r="Y839" s="169"/>
      <c r="Z839" s="169"/>
    </row>
    <row r="840" spans="1:26" s="48" customFormat="1" ht="18" customHeight="1" x14ac:dyDescent="0.25">
      <c r="A840" s="961" t="s">
        <v>1386</v>
      </c>
      <c r="B840" s="961" t="s">
        <v>123</v>
      </c>
      <c r="C840" s="1356" t="s">
        <v>143</v>
      </c>
      <c r="D840" s="1355"/>
      <c r="E840" s="1355"/>
      <c r="F840" s="1355"/>
      <c r="G840" s="1355"/>
      <c r="H840" s="221" t="s">
        <v>144</v>
      </c>
      <c r="I840" s="141">
        <v>1000</v>
      </c>
      <c r="J840" s="141">
        <v>15000</v>
      </c>
      <c r="K840" s="141"/>
      <c r="L840" s="141">
        <f t="shared" si="21"/>
        <v>15000</v>
      </c>
      <c r="M840" s="141">
        <v>15000</v>
      </c>
      <c r="N840" s="141"/>
      <c r="O840" s="141"/>
      <c r="P840" s="141">
        <v>15000</v>
      </c>
      <c r="Q840" s="141">
        <v>15000</v>
      </c>
      <c r="R840" s="122">
        <v>15000</v>
      </c>
      <c r="S840" s="239"/>
      <c r="T840" s="1477"/>
      <c r="U840" s="169"/>
      <c r="V840" s="169"/>
      <c r="W840" s="169"/>
      <c r="X840" s="169"/>
      <c r="Y840" s="169"/>
      <c r="Z840" s="169"/>
    </row>
    <row r="841" spans="1:26" s="48" customFormat="1" ht="18" customHeight="1" x14ac:dyDescent="0.25">
      <c r="A841" s="961" t="s">
        <v>1386</v>
      </c>
      <c r="B841" s="961" t="s">
        <v>123</v>
      </c>
      <c r="C841" s="1356" t="s">
        <v>143</v>
      </c>
      <c r="D841" s="1355"/>
      <c r="E841" s="1355"/>
      <c r="F841" s="1355"/>
      <c r="G841" s="1355"/>
      <c r="H841" s="381" t="s">
        <v>144</v>
      </c>
      <c r="I841" s="141">
        <v>0</v>
      </c>
      <c r="J841" s="141">
        <v>10000</v>
      </c>
      <c r="K841" s="141"/>
      <c r="L841" s="141">
        <f t="shared" si="21"/>
        <v>10000</v>
      </c>
      <c r="M841" s="141">
        <v>10000</v>
      </c>
      <c r="N841" s="141"/>
      <c r="O841" s="141"/>
      <c r="P841" s="141">
        <v>10000</v>
      </c>
      <c r="Q841" s="141">
        <v>10000</v>
      </c>
      <c r="R841" s="122">
        <v>10000</v>
      </c>
      <c r="S841" s="239"/>
      <c r="T841" s="1477"/>
      <c r="U841" s="169"/>
      <c r="V841" s="169"/>
      <c r="W841" s="169"/>
      <c r="X841" s="169"/>
      <c r="Y841" s="169"/>
      <c r="Z841" s="169"/>
    </row>
    <row r="842" spans="1:26" s="48" customFormat="1" ht="18" customHeight="1" x14ac:dyDescent="0.25">
      <c r="A842" s="961" t="s">
        <v>1386</v>
      </c>
      <c r="B842" s="961" t="s">
        <v>123</v>
      </c>
      <c r="C842" s="1382" t="s">
        <v>143</v>
      </c>
      <c r="D842" s="1381"/>
      <c r="E842" s="1381"/>
      <c r="F842" s="1381"/>
      <c r="G842" s="1381"/>
      <c r="H842" s="381" t="s">
        <v>144</v>
      </c>
      <c r="I842" s="141">
        <v>15000</v>
      </c>
      <c r="J842" s="141">
        <v>20000</v>
      </c>
      <c r="K842" s="141"/>
      <c r="L842" s="141">
        <f t="shared" si="21"/>
        <v>20000</v>
      </c>
      <c r="M842" s="141">
        <v>20000</v>
      </c>
      <c r="N842" s="141"/>
      <c r="O842" s="141"/>
      <c r="P842" s="141">
        <v>20000</v>
      </c>
      <c r="Q842" s="141">
        <v>20000</v>
      </c>
      <c r="R842" s="122">
        <v>20000</v>
      </c>
      <c r="S842" s="239"/>
      <c r="T842" s="1477"/>
      <c r="U842" s="169"/>
      <c r="V842" s="169"/>
      <c r="W842" s="169"/>
      <c r="X842" s="169"/>
      <c r="Y842" s="169"/>
      <c r="Z842" s="169"/>
    </row>
    <row r="843" spans="1:26" s="48" customFormat="1" ht="18" customHeight="1" x14ac:dyDescent="0.25">
      <c r="A843" s="961" t="s">
        <v>1386</v>
      </c>
      <c r="B843" s="961" t="s">
        <v>123</v>
      </c>
      <c r="C843" s="1382" t="s">
        <v>143</v>
      </c>
      <c r="D843" s="1355"/>
      <c r="E843" s="1355"/>
      <c r="F843" s="1355"/>
      <c r="G843" s="1355"/>
      <c r="H843" s="381" t="s">
        <v>144</v>
      </c>
      <c r="I843" s="141">
        <v>45000</v>
      </c>
      <c r="J843" s="141">
        <v>70000</v>
      </c>
      <c r="K843" s="141"/>
      <c r="L843" s="141">
        <f t="shared" si="21"/>
        <v>70000</v>
      </c>
      <c r="M843" s="141">
        <v>70000</v>
      </c>
      <c r="N843" s="141">
        <v>0</v>
      </c>
      <c r="O843" s="141"/>
      <c r="P843" s="141">
        <v>70000</v>
      </c>
      <c r="Q843" s="141">
        <v>70000</v>
      </c>
      <c r="R843" s="122">
        <v>70000</v>
      </c>
      <c r="S843" s="239"/>
      <c r="T843" s="1477"/>
      <c r="U843" s="169"/>
      <c r="V843" s="169"/>
      <c r="W843" s="169"/>
      <c r="X843" s="169"/>
      <c r="Y843" s="169"/>
      <c r="Z843" s="169"/>
    </row>
    <row r="844" spans="1:26" s="48" customFormat="1" ht="18" customHeight="1" x14ac:dyDescent="0.25">
      <c r="A844" s="961" t="s">
        <v>1386</v>
      </c>
      <c r="B844" s="961" t="s">
        <v>123</v>
      </c>
      <c r="C844" s="1356" t="s">
        <v>143</v>
      </c>
      <c r="D844" s="1355"/>
      <c r="E844" s="1355"/>
      <c r="F844" s="1355"/>
      <c r="G844" s="1355"/>
      <c r="H844" s="381" t="s">
        <v>144</v>
      </c>
      <c r="I844" s="141">
        <v>30000</v>
      </c>
      <c r="J844" s="141">
        <v>30000</v>
      </c>
      <c r="K844" s="141"/>
      <c r="L844" s="141">
        <f t="shared" si="21"/>
        <v>30000</v>
      </c>
      <c r="M844" s="141">
        <v>30000</v>
      </c>
      <c r="N844" s="141"/>
      <c r="O844" s="141"/>
      <c r="P844" s="141">
        <v>30000</v>
      </c>
      <c r="Q844" s="141">
        <v>30000</v>
      </c>
      <c r="R844" s="122">
        <v>30000</v>
      </c>
      <c r="S844" s="239"/>
      <c r="T844" s="1477"/>
      <c r="U844" s="169"/>
      <c r="V844" s="169"/>
      <c r="W844" s="169"/>
      <c r="X844" s="169"/>
      <c r="Y844" s="169"/>
      <c r="Z844" s="169"/>
    </row>
    <row r="845" spans="1:26" s="48" customFormat="1" ht="18" customHeight="1" x14ac:dyDescent="0.25">
      <c r="A845" s="961" t="s">
        <v>1386</v>
      </c>
      <c r="B845" s="961" t="s">
        <v>123</v>
      </c>
      <c r="C845" s="1356" t="s">
        <v>143</v>
      </c>
      <c r="D845" s="1355"/>
      <c r="E845" s="1355"/>
      <c r="F845" s="1355"/>
      <c r="G845" s="1355"/>
      <c r="H845" s="221" t="s">
        <v>144</v>
      </c>
      <c r="I845" s="141">
        <v>55000</v>
      </c>
      <c r="J845" s="141">
        <v>65000</v>
      </c>
      <c r="K845" s="141"/>
      <c r="L845" s="141">
        <f t="shared" si="21"/>
        <v>65000</v>
      </c>
      <c r="M845" s="141">
        <v>65000</v>
      </c>
      <c r="N845" s="141"/>
      <c r="O845" s="141"/>
      <c r="P845" s="141">
        <v>65000</v>
      </c>
      <c r="Q845" s="141">
        <v>65000</v>
      </c>
      <c r="R845" s="122">
        <v>65000</v>
      </c>
      <c r="S845" s="239"/>
      <c r="T845" s="1477"/>
      <c r="U845" s="169"/>
      <c r="V845" s="169"/>
      <c r="W845" s="169"/>
      <c r="X845" s="169"/>
      <c r="Y845" s="169"/>
      <c r="Z845" s="169"/>
    </row>
    <row r="846" spans="1:26" s="48" customFormat="1" ht="18" customHeight="1" x14ac:dyDescent="0.25">
      <c r="A846" s="961" t="s">
        <v>1386</v>
      </c>
      <c r="B846" s="961" t="s">
        <v>123</v>
      </c>
      <c r="C846" s="1356" t="s">
        <v>143</v>
      </c>
      <c r="D846" s="1355"/>
      <c r="E846" s="1355"/>
      <c r="F846" s="1355"/>
      <c r="G846" s="1355"/>
      <c r="H846" s="221" t="s">
        <v>144</v>
      </c>
      <c r="I846" s="141">
        <v>180000</v>
      </c>
      <c r="J846" s="141">
        <v>225000</v>
      </c>
      <c r="K846" s="141"/>
      <c r="L846" s="141">
        <f t="shared" si="21"/>
        <v>225000</v>
      </c>
      <c r="M846" s="141">
        <v>225000</v>
      </c>
      <c r="N846" s="141"/>
      <c r="O846" s="141"/>
      <c r="P846" s="141">
        <v>225000</v>
      </c>
      <c r="Q846" s="141">
        <v>225000</v>
      </c>
      <c r="R846" s="122">
        <v>225000</v>
      </c>
      <c r="S846" s="239"/>
      <c r="T846" s="1477"/>
      <c r="U846" s="169"/>
      <c r="V846" s="169"/>
      <c r="W846" s="169"/>
      <c r="X846" s="169"/>
      <c r="Y846" s="169"/>
      <c r="Z846" s="169"/>
    </row>
    <row r="847" spans="1:26" s="48" customFormat="1" ht="18" customHeight="1" x14ac:dyDescent="0.25">
      <c r="A847" s="961" t="s">
        <v>1386</v>
      </c>
      <c r="B847" s="961" t="s">
        <v>123</v>
      </c>
      <c r="C847" s="1382" t="s">
        <v>143</v>
      </c>
      <c r="D847" s="1355"/>
      <c r="E847" s="1355"/>
      <c r="F847" s="1355"/>
      <c r="G847" s="1355"/>
      <c r="H847" s="221" t="s">
        <v>144</v>
      </c>
      <c r="I847" s="141">
        <v>70000</v>
      </c>
      <c r="J847" s="141">
        <v>90000</v>
      </c>
      <c r="K847" s="141"/>
      <c r="L847" s="141">
        <f t="shared" si="21"/>
        <v>90000</v>
      </c>
      <c r="M847" s="141">
        <v>90000</v>
      </c>
      <c r="N847" s="141"/>
      <c r="O847" s="141"/>
      <c r="P847" s="141">
        <v>90000</v>
      </c>
      <c r="Q847" s="141">
        <v>90000</v>
      </c>
      <c r="R847" s="122">
        <v>90000</v>
      </c>
      <c r="S847" s="239"/>
      <c r="T847" s="1477"/>
      <c r="U847" s="169"/>
      <c r="V847" s="169"/>
      <c r="W847" s="169"/>
      <c r="X847" s="169"/>
      <c r="Y847" s="169"/>
      <c r="Z847" s="169"/>
    </row>
    <row r="848" spans="1:26" s="48" customFormat="1" ht="18" customHeight="1" x14ac:dyDescent="0.25">
      <c r="A848" s="961" t="s">
        <v>1386</v>
      </c>
      <c r="B848" s="961" t="s">
        <v>123</v>
      </c>
      <c r="C848" s="1356" t="s">
        <v>143</v>
      </c>
      <c r="D848" s="1355"/>
      <c r="E848" s="1355"/>
      <c r="F848" s="1355"/>
      <c r="G848" s="1355"/>
      <c r="H848" s="221" t="s">
        <v>144</v>
      </c>
      <c r="I848" s="141">
        <v>35000</v>
      </c>
      <c r="J848" s="141">
        <v>60000</v>
      </c>
      <c r="K848" s="141"/>
      <c r="L848" s="141">
        <f t="shared" si="21"/>
        <v>60000</v>
      </c>
      <c r="M848" s="141">
        <v>60000</v>
      </c>
      <c r="N848" s="141"/>
      <c r="O848" s="141"/>
      <c r="P848" s="141">
        <v>60000</v>
      </c>
      <c r="Q848" s="141">
        <v>60000</v>
      </c>
      <c r="R848" s="122">
        <v>60000</v>
      </c>
      <c r="S848" s="239"/>
      <c r="T848" s="1477"/>
      <c r="U848" s="169"/>
      <c r="V848" s="169"/>
      <c r="W848" s="169"/>
      <c r="X848" s="169"/>
      <c r="Y848" s="169"/>
      <c r="Z848" s="169"/>
    </row>
    <row r="849" spans="1:26" s="48" customFormat="1" ht="18" customHeight="1" x14ac:dyDescent="0.25">
      <c r="A849" s="961" t="s">
        <v>1386</v>
      </c>
      <c r="B849" s="961" t="s">
        <v>123</v>
      </c>
      <c r="C849" s="1356" t="s">
        <v>143</v>
      </c>
      <c r="D849" s="1355"/>
      <c r="E849" s="1355"/>
      <c r="F849" s="1355"/>
      <c r="G849" s="1355"/>
      <c r="H849" s="221" t="s">
        <v>144</v>
      </c>
      <c r="I849" s="141">
        <v>20000</v>
      </c>
      <c r="J849" s="141">
        <v>20000</v>
      </c>
      <c r="K849" s="141"/>
      <c r="L849" s="141">
        <f t="shared" si="21"/>
        <v>20000</v>
      </c>
      <c r="M849" s="141">
        <v>20000</v>
      </c>
      <c r="N849" s="141"/>
      <c r="O849" s="141"/>
      <c r="P849" s="141">
        <v>20000</v>
      </c>
      <c r="Q849" s="141">
        <v>20000</v>
      </c>
      <c r="R849" s="122">
        <v>20000</v>
      </c>
      <c r="S849" s="239">
        <f>SUM(R831:R849)</f>
        <v>1195000</v>
      </c>
      <c r="T849" s="1477"/>
      <c r="U849" s="169"/>
      <c r="V849" s="169"/>
      <c r="W849" s="169"/>
      <c r="X849" s="169"/>
      <c r="Y849" s="169"/>
      <c r="Z849" s="169"/>
    </row>
    <row r="850" spans="1:26" s="48" customFormat="1" ht="18" customHeight="1" x14ac:dyDescent="0.25">
      <c r="A850" s="961" t="s">
        <v>1386</v>
      </c>
      <c r="B850" s="961" t="s">
        <v>123</v>
      </c>
      <c r="C850" s="1356" t="s">
        <v>2061</v>
      </c>
      <c r="D850" s="1355"/>
      <c r="E850" s="1355"/>
      <c r="F850" s="1355"/>
      <c r="G850" s="1355"/>
      <c r="H850" s="381" t="s">
        <v>138</v>
      </c>
      <c r="I850" s="141">
        <v>54000</v>
      </c>
      <c r="J850" s="141">
        <v>66000</v>
      </c>
      <c r="K850" s="141">
        <v>48000</v>
      </c>
      <c r="L850" s="141">
        <f t="shared" si="21"/>
        <v>18000</v>
      </c>
      <c r="M850" s="141">
        <v>66000</v>
      </c>
      <c r="N850" s="141">
        <v>48000</v>
      </c>
      <c r="O850" s="141"/>
      <c r="P850" s="141">
        <v>66000</v>
      </c>
      <c r="Q850" s="141">
        <v>66000</v>
      </c>
      <c r="R850" s="122">
        <v>66000</v>
      </c>
      <c r="S850" s="239"/>
      <c r="T850" s="1477"/>
      <c r="U850" s="169"/>
      <c r="V850" s="169"/>
      <c r="W850" s="169"/>
      <c r="X850" s="169"/>
      <c r="Y850" s="169"/>
      <c r="Z850" s="169"/>
    </row>
    <row r="851" spans="1:26" s="48" customFormat="1" ht="18" customHeight="1" x14ac:dyDescent="0.25">
      <c r="A851" s="961" t="s">
        <v>1386</v>
      </c>
      <c r="B851" s="961" t="s">
        <v>123</v>
      </c>
      <c r="C851" s="1356" t="s">
        <v>2061</v>
      </c>
      <c r="D851" s="1355"/>
      <c r="E851" s="1355"/>
      <c r="F851" s="1355"/>
      <c r="G851" s="1355"/>
      <c r="H851" s="221" t="s">
        <v>138</v>
      </c>
      <c r="I851" s="141">
        <v>72000</v>
      </c>
      <c r="J851" s="141">
        <v>180000</v>
      </c>
      <c r="K851" s="141">
        <v>84000</v>
      </c>
      <c r="L851" s="141">
        <f t="shared" si="21"/>
        <v>96000</v>
      </c>
      <c r="M851" s="141">
        <v>180000</v>
      </c>
      <c r="N851" s="141">
        <v>84000</v>
      </c>
      <c r="O851" s="141"/>
      <c r="P851" s="141">
        <v>180000</v>
      </c>
      <c r="Q851" s="141">
        <v>180000</v>
      </c>
      <c r="R851" s="122">
        <v>180000</v>
      </c>
      <c r="S851" s="239"/>
      <c r="T851" s="1477"/>
      <c r="U851" s="169"/>
      <c r="V851" s="169"/>
      <c r="W851" s="169"/>
      <c r="X851" s="169"/>
      <c r="Y851" s="169"/>
      <c r="Z851" s="169"/>
    </row>
    <row r="852" spans="1:26" s="48" customFormat="1" ht="18" customHeight="1" x14ac:dyDescent="0.25">
      <c r="A852" s="961" t="s">
        <v>1386</v>
      </c>
      <c r="B852" s="961" t="s">
        <v>123</v>
      </c>
      <c r="C852" s="1356" t="s">
        <v>2061</v>
      </c>
      <c r="D852" s="1355"/>
      <c r="E852" s="1355"/>
      <c r="F852" s="1355"/>
      <c r="G852" s="1355"/>
      <c r="H852" s="381" t="s">
        <v>138</v>
      </c>
      <c r="I852" s="141">
        <v>24000</v>
      </c>
      <c r="J852" s="141">
        <v>24000</v>
      </c>
      <c r="K852" s="141">
        <v>24000</v>
      </c>
      <c r="L852" s="141">
        <f t="shared" si="21"/>
        <v>0</v>
      </c>
      <c r="M852" s="141">
        <v>24000</v>
      </c>
      <c r="N852" s="141">
        <v>24000</v>
      </c>
      <c r="O852" s="141"/>
      <c r="P852" s="141">
        <v>24000</v>
      </c>
      <c r="Q852" s="141">
        <v>24000</v>
      </c>
      <c r="R852" s="122">
        <v>24000</v>
      </c>
      <c r="S852" s="239"/>
      <c r="T852" s="1477"/>
      <c r="U852" s="169"/>
      <c r="V852" s="169"/>
      <c r="W852" s="169"/>
      <c r="X852" s="169"/>
      <c r="Y852" s="169"/>
      <c r="Z852" s="169"/>
    </row>
    <row r="853" spans="1:26" s="48" customFormat="1" ht="18" customHeight="1" x14ac:dyDescent="0.25">
      <c r="A853" s="961" t="s">
        <v>1386</v>
      </c>
      <c r="B853" s="961" t="s">
        <v>123</v>
      </c>
      <c r="C853" s="1356" t="s">
        <v>2061</v>
      </c>
      <c r="D853" s="1355"/>
      <c r="E853" s="1355"/>
      <c r="F853" s="1355"/>
      <c r="G853" s="1355"/>
      <c r="H853" s="381" t="s">
        <v>138</v>
      </c>
      <c r="I853" s="141">
        <v>12000</v>
      </c>
      <c r="J853" s="141">
        <v>24000</v>
      </c>
      <c r="K853" s="141">
        <v>12000</v>
      </c>
      <c r="L853" s="141">
        <f t="shared" si="21"/>
        <v>12000</v>
      </c>
      <c r="M853" s="141">
        <v>24000</v>
      </c>
      <c r="N853" s="141">
        <v>12000</v>
      </c>
      <c r="O853" s="141"/>
      <c r="P853" s="141">
        <v>24000</v>
      </c>
      <c r="Q853" s="141">
        <v>24000</v>
      </c>
      <c r="R853" s="122">
        <v>24000</v>
      </c>
      <c r="S853" s="239"/>
      <c r="T853" s="1477"/>
      <c r="U853" s="169"/>
      <c r="V853" s="169"/>
      <c r="W853" s="169"/>
      <c r="X853" s="169"/>
      <c r="Y853" s="169"/>
      <c r="Z853" s="169"/>
    </row>
    <row r="854" spans="1:26" s="48" customFormat="1" ht="18" customHeight="1" x14ac:dyDescent="0.25">
      <c r="A854" s="961" t="s">
        <v>1386</v>
      </c>
      <c r="B854" s="961" t="s">
        <v>123</v>
      </c>
      <c r="C854" s="1356" t="s">
        <v>2061</v>
      </c>
      <c r="D854" s="1355"/>
      <c r="E854" s="1355"/>
      <c r="F854" s="1355"/>
      <c r="G854" s="1355"/>
      <c r="H854" s="221" t="s">
        <v>138</v>
      </c>
      <c r="I854" s="141">
        <v>12000</v>
      </c>
      <c r="J854" s="141">
        <v>18000</v>
      </c>
      <c r="K854" s="141">
        <v>12000</v>
      </c>
      <c r="L854" s="141">
        <f t="shared" si="21"/>
        <v>6000</v>
      </c>
      <c r="M854" s="141">
        <v>18000</v>
      </c>
      <c r="N854" s="141">
        <v>12000</v>
      </c>
      <c r="O854" s="141"/>
      <c r="P854" s="141">
        <v>18000</v>
      </c>
      <c r="Q854" s="141">
        <v>18000</v>
      </c>
      <c r="R854" s="122">
        <v>18000</v>
      </c>
      <c r="S854" s="239"/>
      <c r="T854" s="1477"/>
      <c r="U854" s="169"/>
      <c r="V854" s="169"/>
      <c r="W854" s="169"/>
      <c r="X854" s="169"/>
      <c r="Y854" s="169"/>
      <c r="Z854" s="169"/>
    </row>
    <row r="855" spans="1:26" s="48" customFormat="1" ht="18" customHeight="1" x14ac:dyDescent="0.25">
      <c r="A855" s="961" t="s">
        <v>1386</v>
      </c>
      <c r="B855" s="961" t="s">
        <v>123</v>
      </c>
      <c r="C855" s="1356" t="s">
        <v>2061</v>
      </c>
      <c r="D855" s="1355"/>
      <c r="E855" s="1355"/>
      <c r="F855" s="1355"/>
      <c r="G855" s="1355"/>
      <c r="H855" s="221" t="s">
        <v>138</v>
      </c>
      <c r="I855" s="141">
        <v>18000</v>
      </c>
      <c r="J855" s="141">
        <v>24000</v>
      </c>
      <c r="K855" s="141">
        <v>18000</v>
      </c>
      <c r="L855" s="141">
        <f t="shared" si="21"/>
        <v>6000</v>
      </c>
      <c r="M855" s="141">
        <v>24000</v>
      </c>
      <c r="N855" s="141">
        <v>18000</v>
      </c>
      <c r="O855" s="141"/>
      <c r="P855" s="141">
        <v>24000</v>
      </c>
      <c r="Q855" s="141">
        <v>24000</v>
      </c>
      <c r="R855" s="122">
        <v>24000</v>
      </c>
      <c r="S855" s="1456"/>
      <c r="T855" s="1477"/>
      <c r="U855" s="169"/>
      <c r="V855" s="169"/>
      <c r="W855" s="169"/>
      <c r="X855" s="169"/>
      <c r="Y855" s="169"/>
      <c r="Z855" s="169"/>
    </row>
    <row r="856" spans="1:26" s="48" customFormat="1" ht="18" customHeight="1" x14ac:dyDescent="0.25">
      <c r="A856" s="961" t="s">
        <v>1386</v>
      </c>
      <c r="B856" s="961" t="s">
        <v>123</v>
      </c>
      <c r="C856" s="1356" t="s">
        <v>2061</v>
      </c>
      <c r="D856" s="1355"/>
      <c r="E856" s="1355"/>
      <c r="F856" s="1355"/>
      <c r="G856" s="1355"/>
      <c r="H856" s="221" t="s">
        <v>138</v>
      </c>
      <c r="I856" s="141">
        <v>24000</v>
      </c>
      <c r="J856" s="141">
        <v>42000</v>
      </c>
      <c r="K856" s="141">
        <v>18000</v>
      </c>
      <c r="L856" s="141">
        <f t="shared" si="21"/>
        <v>24000</v>
      </c>
      <c r="M856" s="141">
        <v>42000</v>
      </c>
      <c r="N856" s="141">
        <v>18000</v>
      </c>
      <c r="O856" s="141"/>
      <c r="P856" s="141">
        <v>42000</v>
      </c>
      <c r="Q856" s="141">
        <v>42000</v>
      </c>
      <c r="R856" s="122">
        <v>42000</v>
      </c>
      <c r="S856" s="239"/>
      <c r="T856" s="1477"/>
      <c r="U856" s="169"/>
      <c r="V856" s="169"/>
      <c r="W856" s="169"/>
      <c r="X856" s="169"/>
      <c r="Y856" s="169"/>
      <c r="Z856" s="169"/>
    </row>
    <row r="857" spans="1:26" s="48" customFormat="1" ht="18" customHeight="1" x14ac:dyDescent="0.25">
      <c r="A857" s="961" t="s">
        <v>1386</v>
      </c>
      <c r="B857" s="961" t="s">
        <v>123</v>
      </c>
      <c r="C857" s="1382" t="s">
        <v>2061</v>
      </c>
      <c r="D857" s="1355"/>
      <c r="E857" s="1355"/>
      <c r="F857" s="1355"/>
      <c r="G857" s="1355"/>
      <c r="H857" s="221" t="s">
        <v>138</v>
      </c>
      <c r="I857" s="141">
        <v>198000</v>
      </c>
      <c r="J857" s="141">
        <v>222000</v>
      </c>
      <c r="K857" s="141">
        <v>210000</v>
      </c>
      <c r="L857" s="141">
        <f t="shared" si="21"/>
        <v>12000</v>
      </c>
      <c r="M857" s="141">
        <v>222000</v>
      </c>
      <c r="N857" s="141">
        <v>210000</v>
      </c>
      <c r="O857" s="141"/>
      <c r="P857" s="141">
        <v>222000</v>
      </c>
      <c r="Q857" s="141">
        <v>222000</v>
      </c>
      <c r="R857" s="122">
        <v>222000</v>
      </c>
      <c r="S857" s="239"/>
      <c r="T857" s="1477"/>
      <c r="U857" s="169"/>
      <c r="V857" s="169"/>
      <c r="W857" s="169"/>
      <c r="X857" s="169"/>
      <c r="Y857" s="169"/>
      <c r="Z857" s="169"/>
    </row>
    <row r="858" spans="1:26" s="48" customFormat="1" ht="18" customHeight="1" x14ac:dyDescent="0.25">
      <c r="A858" s="961" t="s">
        <v>1386</v>
      </c>
      <c r="B858" s="961" t="s">
        <v>123</v>
      </c>
      <c r="C858" s="1382" t="s">
        <v>2061</v>
      </c>
      <c r="D858" s="1355"/>
      <c r="E858" s="1381"/>
      <c r="F858" s="1381"/>
      <c r="G858" s="1381"/>
      <c r="H858" s="221" t="s">
        <v>138</v>
      </c>
      <c r="I858" s="141">
        <v>66000</v>
      </c>
      <c r="J858" s="141">
        <v>108000</v>
      </c>
      <c r="K858" s="141">
        <v>66000</v>
      </c>
      <c r="L858" s="141">
        <f t="shared" si="21"/>
        <v>42000</v>
      </c>
      <c r="M858" s="141">
        <v>108000</v>
      </c>
      <c r="N858" s="141">
        <v>66000</v>
      </c>
      <c r="O858" s="141"/>
      <c r="P858" s="141">
        <v>108000</v>
      </c>
      <c r="Q858" s="141">
        <v>108000</v>
      </c>
      <c r="R858" s="122">
        <v>108000</v>
      </c>
      <c r="S858" s="239"/>
      <c r="T858" s="1477"/>
      <c r="U858" s="169"/>
      <c r="V858" s="169"/>
      <c r="W858" s="169"/>
      <c r="X858" s="169"/>
      <c r="Y858" s="169"/>
      <c r="Z858" s="169"/>
    </row>
    <row r="859" spans="1:26" s="48" customFormat="1" ht="18" customHeight="1" x14ac:dyDescent="0.25">
      <c r="A859" s="961" t="s">
        <v>1386</v>
      </c>
      <c r="B859" s="961" t="s">
        <v>123</v>
      </c>
      <c r="C859" s="1356" t="s">
        <v>2061</v>
      </c>
      <c r="D859" s="1355"/>
      <c r="E859" s="1355"/>
      <c r="F859" s="1355"/>
      <c r="G859" s="1355"/>
      <c r="H859" s="221" t="s">
        <v>138</v>
      </c>
      <c r="I859" s="141">
        <v>0</v>
      </c>
      <c r="J859" s="141">
        <v>18000</v>
      </c>
      <c r="K859" s="141">
        <v>6000</v>
      </c>
      <c r="L859" s="141">
        <f t="shared" si="21"/>
        <v>12000</v>
      </c>
      <c r="M859" s="141">
        <v>18000</v>
      </c>
      <c r="N859" s="141">
        <v>6000</v>
      </c>
      <c r="O859" s="141"/>
      <c r="P859" s="141">
        <v>18000</v>
      </c>
      <c r="Q859" s="141">
        <v>18000</v>
      </c>
      <c r="R859" s="122">
        <v>18000</v>
      </c>
      <c r="S859" s="239"/>
      <c r="T859" s="1477"/>
      <c r="U859" s="169"/>
      <c r="V859" s="169"/>
      <c r="W859" s="169"/>
      <c r="X859" s="169"/>
      <c r="Y859" s="169"/>
      <c r="Z859" s="169"/>
    </row>
    <row r="860" spans="1:26" s="48" customFormat="1" ht="18.75" customHeight="1" x14ac:dyDescent="0.25">
      <c r="A860" s="961" t="s">
        <v>1386</v>
      </c>
      <c r="B860" s="961" t="s">
        <v>123</v>
      </c>
      <c r="C860" s="1356" t="s">
        <v>2061</v>
      </c>
      <c r="D860" s="1355"/>
      <c r="E860" s="1355"/>
      <c r="F860" s="1355"/>
      <c r="G860" s="1355"/>
      <c r="H860" s="381" t="s">
        <v>138</v>
      </c>
      <c r="I860" s="141">
        <v>0</v>
      </c>
      <c r="J860" s="141">
        <v>12000</v>
      </c>
      <c r="K860" s="141"/>
      <c r="L860" s="141">
        <f t="shared" si="21"/>
        <v>12000</v>
      </c>
      <c r="M860" s="141">
        <v>12000</v>
      </c>
      <c r="N860" s="141"/>
      <c r="O860" s="141"/>
      <c r="P860" s="141">
        <v>12000</v>
      </c>
      <c r="Q860" s="141">
        <v>12000</v>
      </c>
      <c r="R860" s="122">
        <v>12000</v>
      </c>
      <c r="S860" s="239"/>
      <c r="T860" s="1477"/>
      <c r="U860" s="169"/>
      <c r="V860" s="169"/>
      <c r="W860" s="169"/>
      <c r="X860" s="169"/>
      <c r="Y860" s="169"/>
      <c r="Z860" s="169"/>
    </row>
    <row r="861" spans="1:26" s="48" customFormat="1" ht="18" customHeight="1" x14ac:dyDescent="0.25">
      <c r="A861" s="961" t="s">
        <v>1386</v>
      </c>
      <c r="B861" s="961" t="s">
        <v>123</v>
      </c>
      <c r="C861" s="1356" t="s">
        <v>2061</v>
      </c>
      <c r="D861" s="1355"/>
      <c r="E861" s="1355"/>
      <c r="F861" s="1355"/>
      <c r="G861" s="1355"/>
      <c r="H861" s="381" t="s">
        <v>138</v>
      </c>
      <c r="I861" s="141">
        <v>18000</v>
      </c>
      <c r="J861" s="141">
        <v>24000</v>
      </c>
      <c r="K861" s="141">
        <v>18000</v>
      </c>
      <c r="L861" s="141">
        <f t="shared" si="21"/>
        <v>6000</v>
      </c>
      <c r="M861" s="141">
        <v>24000</v>
      </c>
      <c r="N861" s="141">
        <v>18000</v>
      </c>
      <c r="O861" s="141"/>
      <c r="P861" s="141">
        <v>24000</v>
      </c>
      <c r="Q861" s="141">
        <v>24000</v>
      </c>
      <c r="R861" s="122">
        <v>24000</v>
      </c>
      <c r="S861" s="1456"/>
      <c r="T861" s="1477"/>
      <c r="U861" s="169"/>
      <c r="V861" s="169"/>
      <c r="W861" s="169"/>
      <c r="X861" s="169"/>
      <c r="Y861" s="169"/>
      <c r="Z861" s="169"/>
    </row>
    <row r="862" spans="1:26" s="48" customFormat="1" ht="18" customHeight="1" x14ac:dyDescent="0.25">
      <c r="A862" s="961" t="s">
        <v>1386</v>
      </c>
      <c r="B862" s="961" t="s">
        <v>123</v>
      </c>
      <c r="C862" s="1356" t="s">
        <v>2061</v>
      </c>
      <c r="D862" s="1355"/>
      <c r="E862" s="1355"/>
      <c r="F862" s="1355"/>
      <c r="G862" s="1355"/>
      <c r="H862" s="381" t="s">
        <v>138</v>
      </c>
      <c r="I862" s="141">
        <v>54000</v>
      </c>
      <c r="J862" s="141">
        <v>84000</v>
      </c>
      <c r="K862" s="141">
        <v>54000</v>
      </c>
      <c r="L862" s="141">
        <f t="shared" si="21"/>
        <v>30000</v>
      </c>
      <c r="M862" s="141">
        <v>84000</v>
      </c>
      <c r="N862" s="141">
        <v>54000</v>
      </c>
      <c r="O862" s="141"/>
      <c r="P862" s="141">
        <v>84000</v>
      </c>
      <c r="Q862" s="141">
        <v>84000</v>
      </c>
      <c r="R862" s="122">
        <v>84000</v>
      </c>
      <c r="S862" s="1456"/>
      <c r="T862" s="1477"/>
      <c r="U862" s="169"/>
      <c r="V862" s="169"/>
      <c r="W862" s="169"/>
      <c r="X862" s="169"/>
      <c r="Y862" s="169"/>
      <c r="Z862" s="169"/>
    </row>
    <row r="863" spans="1:26" ht="18" x14ac:dyDescent="0.25">
      <c r="A863" s="961" t="s">
        <v>1386</v>
      </c>
      <c r="B863" s="961" t="s">
        <v>123</v>
      </c>
      <c r="C863" s="1356" t="s">
        <v>2061</v>
      </c>
      <c r="D863" s="1355"/>
      <c r="E863" s="1355"/>
      <c r="F863" s="1355"/>
      <c r="G863" s="1355"/>
      <c r="H863" s="381" t="s">
        <v>138</v>
      </c>
      <c r="I863" s="141">
        <v>30000</v>
      </c>
      <c r="J863" s="141">
        <v>36000</v>
      </c>
      <c r="K863" s="141">
        <v>30000</v>
      </c>
      <c r="L863" s="141">
        <f t="shared" ref="L863:L887" si="22">M863-K863</f>
        <v>6000</v>
      </c>
      <c r="M863" s="141">
        <v>36000</v>
      </c>
      <c r="N863" s="141">
        <v>30000</v>
      </c>
      <c r="O863" s="141"/>
      <c r="P863" s="141">
        <v>36000</v>
      </c>
      <c r="Q863" s="141">
        <v>36000</v>
      </c>
      <c r="R863" s="122">
        <v>36000</v>
      </c>
    </row>
    <row r="864" spans="1:26" ht="18" x14ac:dyDescent="0.25">
      <c r="A864" s="961" t="s">
        <v>1386</v>
      </c>
      <c r="B864" s="961" t="s">
        <v>123</v>
      </c>
      <c r="C864" s="1356" t="s">
        <v>2061</v>
      </c>
      <c r="D864" s="1355"/>
      <c r="E864" s="1355"/>
      <c r="F864" s="1355"/>
      <c r="G864" s="1355"/>
      <c r="H864" s="221" t="s">
        <v>138</v>
      </c>
      <c r="I864" s="141">
        <v>48000</v>
      </c>
      <c r="J864" s="141">
        <v>78000</v>
      </c>
      <c r="K864" s="141">
        <v>66000</v>
      </c>
      <c r="L864" s="141">
        <f t="shared" si="22"/>
        <v>12000</v>
      </c>
      <c r="M864" s="141">
        <v>78000</v>
      </c>
      <c r="N864" s="141">
        <v>66000</v>
      </c>
      <c r="O864" s="141"/>
      <c r="P864" s="141">
        <v>78000</v>
      </c>
      <c r="Q864" s="141">
        <v>78000</v>
      </c>
      <c r="R864" s="122">
        <v>78000</v>
      </c>
    </row>
    <row r="865" spans="1:21" ht="18" x14ac:dyDescent="0.25">
      <c r="A865" s="961" t="s">
        <v>1386</v>
      </c>
      <c r="B865" s="961" t="s">
        <v>123</v>
      </c>
      <c r="C865" s="1356" t="s">
        <v>2061</v>
      </c>
      <c r="D865" s="1355"/>
      <c r="E865" s="1355"/>
      <c r="F865" s="1355"/>
      <c r="G865" s="1355"/>
      <c r="H865" s="221" t="s">
        <v>138</v>
      </c>
      <c r="I865" s="141">
        <v>222000</v>
      </c>
      <c r="J865" s="141">
        <v>270000</v>
      </c>
      <c r="K865" s="141">
        <v>216000</v>
      </c>
      <c r="L865" s="141">
        <f t="shared" si="22"/>
        <v>54000</v>
      </c>
      <c r="M865" s="141">
        <v>270000</v>
      </c>
      <c r="N865" s="141">
        <v>216000</v>
      </c>
      <c r="O865" s="141"/>
      <c r="P865" s="141">
        <v>270000</v>
      </c>
      <c r="Q865" s="141">
        <v>270000</v>
      </c>
      <c r="R865" s="122">
        <v>270000</v>
      </c>
    </row>
    <row r="866" spans="1:21" s="10" customFormat="1" ht="18" x14ac:dyDescent="0.25">
      <c r="A866" s="961" t="s">
        <v>1386</v>
      </c>
      <c r="B866" s="961" t="s">
        <v>123</v>
      </c>
      <c r="C866" s="1356" t="s">
        <v>2061</v>
      </c>
      <c r="D866" s="1355"/>
      <c r="E866" s="1355"/>
      <c r="F866" s="1355"/>
      <c r="G866" s="1355"/>
      <c r="H866" s="221" t="s">
        <v>138</v>
      </c>
      <c r="I866" s="141">
        <v>84000</v>
      </c>
      <c r="J866" s="141">
        <v>108000</v>
      </c>
      <c r="K866" s="141">
        <v>84000</v>
      </c>
      <c r="L866" s="141">
        <f t="shared" si="22"/>
        <v>24000</v>
      </c>
      <c r="M866" s="141">
        <v>108000</v>
      </c>
      <c r="N866" s="141">
        <v>84000</v>
      </c>
      <c r="O866" s="141"/>
      <c r="P866" s="141">
        <v>108000</v>
      </c>
      <c r="Q866" s="141">
        <v>108000</v>
      </c>
      <c r="R866" s="122">
        <v>108000</v>
      </c>
      <c r="S866" s="239"/>
      <c r="T866" s="1476"/>
      <c r="U866" s="146"/>
    </row>
    <row r="867" spans="1:21" s="10" customFormat="1" ht="18" x14ac:dyDescent="0.25">
      <c r="A867" s="961" t="s">
        <v>1386</v>
      </c>
      <c r="B867" s="961" t="s">
        <v>123</v>
      </c>
      <c r="C867" s="1356" t="s">
        <v>2061</v>
      </c>
      <c r="D867" s="1355"/>
      <c r="E867" s="1355"/>
      <c r="F867" s="1355"/>
      <c r="G867" s="1355"/>
      <c r="H867" s="221" t="s">
        <v>138</v>
      </c>
      <c r="I867" s="141">
        <v>42000</v>
      </c>
      <c r="J867" s="141">
        <v>72000</v>
      </c>
      <c r="K867" s="141">
        <v>42000</v>
      </c>
      <c r="L867" s="141">
        <f t="shared" si="22"/>
        <v>30000</v>
      </c>
      <c r="M867" s="141">
        <v>72000</v>
      </c>
      <c r="N867" s="141">
        <v>42000</v>
      </c>
      <c r="O867" s="141"/>
      <c r="P867" s="141">
        <v>72000</v>
      </c>
      <c r="Q867" s="141">
        <v>72000</v>
      </c>
      <c r="R867" s="122">
        <v>72000</v>
      </c>
      <c r="S867" s="239"/>
      <c r="T867" s="1476"/>
      <c r="U867" s="146"/>
    </row>
    <row r="868" spans="1:21" s="10" customFormat="1" ht="18" x14ac:dyDescent="0.25">
      <c r="A868" s="961" t="s">
        <v>1386</v>
      </c>
      <c r="B868" s="961" t="s">
        <v>123</v>
      </c>
      <c r="C868" s="1356" t="s">
        <v>2061</v>
      </c>
      <c r="D868" s="1355"/>
      <c r="E868" s="1355"/>
      <c r="F868" s="1355"/>
      <c r="G868" s="1355"/>
      <c r="H868" s="221" t="s">
        <v>138</v>
      </c>
      <c r="I868" s="141">
        <v>24000</v>
      </c>
      <c r="J868" s="141">
        <v>24000</v>
      </c>
      <c r="K868" s="141">
        <v>24000</v>
      </c>
      <c r="L868" s="141">
        <f t="shared" si="22"/>
        <v>0</v>
      </c>
      <c r="M868" s="141">
        <v>24000</v>
      </c>
      <c r="N868" s="141">
        <v>24000</v>
      </c>
      <c r="O868" s="141"/>
      <c r="P868" s="141">
        <v>24000</v>
      </c>
      <c r="Q868" s="141">
        <v>24000</v>
      </c>
      <c r="R868" s="122">
        <v>24000</v>
      </c>
      <c r="S868" s="239">
        <f>SUM(R850:R868)</f>
        <v>1434000</v>
      </c>
      <c r="T868" s="1476"/>
      <c r="U868" s="146"/>
    </row>
    <row r="869" spans="1:21" s="10" customFormat="1" ht="18" x14ac:dyDescent="0.25">
      <c r="A869" s="961" t="s">
        <v>1386</v>
      </c>
      <c r="B869" s="961" t="s">
        <v>123</v>
      </c>
      <c r="C869" s="1356" t="s">
        <v>1546</v>
      </c>
      <c r="D869" s="1355"/>
      <c r="E869" s="1355"/>
      <c r="F869" s="1355"/>
      <c r="G869" s="1355"/>
      <c r="H869" s="381" t="s">
        <v>160</v>
      </c>
      <c r="I869" s="141">
        <v>10800</v>
      </c>
      <c r="J869" s="141">
        <v>13200</v>
      </c>
      <c r="K869" s="141">
        <v>5400</v>
      </c>
      <c r="L869" s="141">
        <f t="shared" si="22"/>
        <v>7800</v>
      </c>
      <c r="M869" s="141">
        <v>13200</v>
      </c>
      <c r="N869" s="141">
        <v>7200</v>
      </c>
      <c r="O869" s="141"/>
      <c r="P869" s="141">
        <v>13200</v>
      </c>
      <c r="Q869" s="141">
        <v>13200</v>
      </c>
      <c r="R869" s="122">
        <v>13200</v>
      </c>
      <c r="S869" s="239"/>
      <c r="T869" s="1476"/>
      <c r="U869" s="146"/>
    </row>
    <row r="870" spans="1:21" s="10" customFormat="1" ht="18" x14ac:dyDescent="0.25">
      <c r="A870" s="961" t="s">
        <v>1386</v>
      </c>
      <c r="B870" s="961" t="s">
        <v>123</v>
      </c>
      <c r="C870" s="1356" t="s">
        <v>1546</v>
      </c>
      <c r="D870" s="1355"/>
      <c r="E870" s="1355"/>
      <c r="F870" s="1355"/>
      <c r="G870" s="1355"/>
      <c r="H870" s="221" t="s">
        <v>160</v>
      </c>
      <c r="I870" s="141">
        <v>15700</v>
      </c>
      <c r="J870" s="141">
        <v>36000</v>
      </c>
      <c r="K870" s="141">
        <v>8100</v>
      </c>
      <c r="L870" s="141">
        <f t="shared" si="22"/>
        <v>27900</v>
      </c>
      <c r="M870" s="141">
        <v>36000</v>
      </c>
      <c r="N870" s="141">
        <v>10500</v>
      </c>
      <c r="O870" s="141"/>
      <c r="P870" s="141">
        <v>36000</v>
      </c>
      <c r="Q870" s="141">
        <v>36000</v>
      </c>
      <c r="R870" s="122">
        <v>36000</v>
      </c>
      <c r="S870" s="239"/>
      <c r="T870" s="1476"/>
      <c r="U870" s="146"/>
    </row>
    <row r="871" spans="1:21" s="10" customFormat="1" ht="18" x14ac:dyDescent="0.25">
      <c r="A871" s="961" t="s">
        <v>1386</v>
      </c>
      <c r="B871" s="961" t="s">
        <v>123</v>
      </c>
      <c r="C871" s="1356" t="s">
        <v>1546</v>
      </c>
      <c r="D871" s="1355"/>
      <c r="E871" s="1355"/>
      <c r="F871" s="1355"/>
      <c r="G871" s="1355"/>
      <c r="H871" s="381" t="s">
        <v>160</v>
      </c>
      <c r="I871" s="141">
        <v>4800</v>
      </c>
      <c r="J871" s="141">
        <v>4800</v>
      </c>
      <c r="K871" s="141">
        <v>2400</v>
      </c>
      <c r="L871" s="141">
        <f t="shared" si="22"/>
        <v>2400</v>
      </c>
      <c r="M871" s="141">
        <v>4800</v>
      </c>
      <c r="N871" s="141">
        <v>3200</v>
      </c>
      <c r="O871" s="141"/>
      <c r="P871" s="141">
        <v>4800</v>
      </c>
      <c r="Q871" s="141">
        <v>4800</v>
      </c>
      <c r="R871" s="122">
        <v>4800</v>
      </c>
      <c r="S871" s="239"/>
      <c r="T871" s="1476"/>
      <c r="U871" s="146"/>
    </row>
    <row r="872" spans="1:21" s="10" customFormat="1" ht="18" x14ac:dyDescent="0.25">
      <c r="A872" s="961" t="s">
        <v>1386</v>
      </c>
      <c r="B872" s="961" t="s">
        <v>123</v>
      </c>
      <c r="C872" s="1356" t="s">
        <v>1546</v>
      </c>
      <c r="D872" s="1355"/>
      <c r="E872" s="1355"/>
      <c r="F872" s="1355"/>
      <c r="G872" s="1355"/>
      <c r="H872" s="381" t="s">
        <v>160</v>
      </c>
      <c r="I872" s="141">
        <v>2400</v>
      </c>
      <c r="J872" s="141">
        <v>4800</v>
      </c>
      <c r="K872" s="141">
        <v>1200</v>
      </c>
      <c r="L872" s="141">
        <f t="shared" si="22"/>
        <v>3600</v>
      </c>
      <c r="M872" s="141">
        <v>4800</v>
      </c>
      <c r="N872" s="141">
        <v>1600</v>
      </c>
      <c r="O872" s="141"/>
      <c r="P872" s="141">
        <v>4800</v>
      </c>
      <c r="Q872" s="141">
        <v>4800</v>
      </c>
      <c r="R872" s="122">
        <v>4800</v>
      </c>
      <c r="S872" s="239"/>
      <c r="T872" s="1476"/>
      <c r="U872" s="146"/>
    </row>
    <row r="873" spans="1:21" s="10" customFormat="1" ht="18" x14ac:dyDescent="0.25">
      <c r="A873" s="961" t="s">
        <v>1386</v>
      </c>
      <c r="B873" s="961" t="s">
        <v>123</v>
      </c>
      <c r="C873" s="1356" t="s">
        <v>1546</v>
      </c>
      <c r="D873" s="1355"/>
      <c r="E873" s="1355"/>
      <c r="F873" s="1355"/>
      <c r="G873" s="1355"/>
      <c r="H873" s="221" t="s">
        <v>160</v>
      </c>
      <c r="I873" s="141">
        <v>2400</v>
      </c>
      <c r="J873" s="141">
        <v>3600</v>
      </c>
      <c r="K873" s="141">
        <v>1200</v>
      </c>
      <c r="L873" s="141">
        <f t="shared" si="22"/>
        <v>2400</v>
      </c>
      <c r="M873" s="141">
        <v>3600</v>
      </c>
      <c r="N873" s="141">
        <v>1600</v>
      </c>
      <c r="O873" s="141"/>
      <c r="P873" s="141">
        <v>3600</v>
      </c>
      <c r="Q873" s="141">
        <v>3600</v>
      </c>
      <c r="R873" s="122">
        <v>3600</v>
      </c>
      <c r="S873" s="239"/>
      <c r="T873" s="1476"/>
      <c r="U873" s="146"/>
    </row>
    <row r="874" spans="1:21" s="10" customFormat="1" ht="18" x14ac:dyDescent="0.25">
      <c r="A874" s="961" t="s">
        <v>1386</v>
      </c>
      <c r="B874" s="961" t="s">
        <v>123</v>
      </c>
      <c r="C874" s="1356" t="s">
        <v>1546</v>
      </c>
      <c r="D874" s="1355"/>
      <c r="E874" s="1355"/>
      <c r="F874" s="1355"/>
      <c r="G874" s="1355"/>
      <c r="H874" s="221" t="s">
        <v>160</v>
      </c>
      <c r="I874" s="141">
        <v>4000</v>
      </c>
      <c r="J874" s="141">
        <v>4800</v>
      </c>
      <c r="K874" s="141">
        <v>1800</v>
      </c>
      <c r="L874" s="141">
        <f t="shared" si="22"/>
        <v>3000</v>
      </c>
      <c r="M874" s="141">
        <v>4800</v>
      </c>
      <c r="N874" s="141">
        <v>2400</v>
      </c>
      <c r="O874" s="141"/>
      <c r="P874" s="141">
        <v>4800</v>
      </c>
      <c r="Q874" s="141">
        <v>4800</v>
      </c>
      <c r="R874" s="122">
        <v>4800</v>
      </c>
      <c r="S874" s="239"/>
      <c r="T874" s="1476"/>
      <c r="U874" s="146"/>
    </row>
    <row r="875" spans="1:21" s="10" customFormat="1" ht="18" x14ac:dyDescent="0.25">
      <c r="A875" s="961" t="s">
        <v>1386</v>
      </c>
      <c r="B875" s="961" t="s">
        <v>123</v>
      </c>
      <c r="C875" s="1356" t="s">
        <v>1546</v>
      </c>
      <c r="D875" s="1355"/>
      <c r="E875" s="1355"/>
      <c r="F875" s="1355"/>
      <c r="G875" s="1355"/>
      <c r="H875" s="221" t="s">
        <v>160</v>
      </c>
      <c r="I875" s="141">
        <v>4600</v>
      </c>
      <c r="J875" s="141">
        <v>8400</v>
      </c>
      <c r="K875" s="141">
        <v>1800</v>
      </c>
      <c r="L875" s="141">
        <f t="shared" si="22"/>
        <v>6600</v>
      </c>
      <c r="M875" s="141">
        <v>8400</v>
      </c>
      <c r="N875" s="141">
        <v>2400</v>
      </c>
      <c r="O875" s="141"/>
      <c r="P875" s="141">
        <v>8400</v>
      </c>
      <c r="Q875" s="141">
        <v>8400</v>
      </c>
      <c r="R875" s="122">
        <v>8400</v>
      </c>
      <c r="S875" s="239"/>
      <c r="T875" s="1476"/>
      <c r="U875" s="146"/>
    </row>
    <row r="876" spans="1:21" s="10" customFormat="1" ht="18" x14ac:dyDescent="0.25">
      <c r="A876" s="961" t="s">
        <v>1386</v>
      </c>
      <c r="B876" s="961" t="s">
        <v>123</v>
      </c>
      <c r="C876" s="1356" t="s">
        <v>1546</v>
      </c>
      <c r="D876" s="1355"/>
      <c r="E876" s="1355"/>
      <c r="F876" s="1355"/>
      <c r="G876" s="1355"/>
      <c r="H876" s="221" t="s">
        <v>160</v>
      </c>
      <c r="I876" s="141">
        <v>41900</v>
      </c>
      <c r="J876" s="141">
        <v>44400</v>
      </c>
      <c r="K876" s="141">
        <v>21000</v>
      </c>
      <c r="L876" s="141">
        <f t="shared" si="22"/>
        <v>23400</v>
      </c>
      <c r="M876" s="141">
        <v>44400</v>
      </c>
      <c r="N876" s="141">
        <v>27600</v>
      </c>
      <c r="O876" s="141"/>
      <c r="P876" s="141">
        <v>44400</v>
      </c>
      <c r="Q876" s="141">
        <v>44400</v>
      </c>
      <c r="R876" s="122">
        <v>44400</v>
      </c>
      <c r="S876" s="239"/>
      <c r="T876" s="1476"/>
      <c r="U876" s="146"/>
    </row>
    <row r="877" spans="1:21" s="10" customFormat="1" ht="18" x14ac:dyDescent="0.25">
      <c r="A877" s="961" t="s">
        <v>1386</v>
      </c>
      <c r="B877" s="961" t="s">
        <v>123</v>
      </c>
      <c r="C877" s="1356" t="s">
        <v>1546</v>
      </c>
      <c r="D877" s="1355"/>
      <c r="E877" s="1355"/>
      <c r="F877" s="1355"/>
      <c r="G877" s="1355"/>
      <c r="H877" s="221" t="s">
        <v>160</v>
      </c>
      <c r="I877" s="141">
        <v>13200</v>
      </c>
      <c r="J877" s="141">
        <v>21600</v>
      </c>
      <c r="K877" s="141">
        <v>6600</v>
      </c>
      <c r="L877" s="141">
        <f t="shared" si="22"/>
        <v>15000</v>
      </c>
      <c r="M877" s="141">
        <v>21600</v>
      </c>
      <c r="N877" s="141">
        <v>8800</v>
      </c>
      <c r="O877" s="141"/>
      <c r="P877" s="141">
        <v>21600</v>
      </c>
      <c r="Q877" s="141">
        <v>21600</v>
      </c>
      <c r="R877" s="122">
        <v>21600</v>
      </c>
      <c r="S877" s="239"/>
      <c r="T877" s="1476"/>
      <c r="U877" s="146"/>
    </row>
    <row r="878" spans="1:21" s="10" customFormat="1" ht="18" x14ac:dyDescent="0.25">
      <c r="A878" s="961" t="s">
        <v>1386</v>
      </c>
      <c r="B878" s="961" t="s">
        <v>123</v>
      </c>
      <c r="C878" s="1356" t="s">
        <v>1546</v>
      </c>
      <c r="D878" s="1355"/>
      <c r="E878" s="1355"/>
      <c r="F878" s="1355"/>
      <c r="G878" s="1355"/>
      <c r="H878" s="221" t="s">
        <v>160</v>
      </c>
      <c r="I878" s="141">
        <v>300</v>
      </c>
      <c r="J878" s="141">
        <v>3600</v>
      </c>
      <c r="K878" s="141">
        <v>600</v>
      </c>
      <c r="L878" s="141">
        <f t="shared" si="22"/>
        <v>3000</v>
      </c>
      <c r="M878" s="141">
        <v>3600</v>
      </c>
      <c r="N878" s="141">
        <v>800</v>
      </c>
      <c r="O878" s="141"/>
      <c r="P878" s="141">
        <v>3600</v>
      </c>
      <c r="Q878" s="141">
        <v>3600</v>
      </c>
      <c r="R878" s="122">
        <v>3600</v>
      </c>
      <c r="S878" s="239"/>
      <c r="T878" s="1476"/>
      <c r="U878" s="146"/>
    </row>
    <row r="879" spans="1:21" s="10" customFormat="1" ht="18" x14ac:dyDescent="0.25">
      <c r="A879" s="961" t="s">
        <v>1386</v>
      </c>
      <c r="B879" s="961" t="s">
        <v>123</v>
      </c>
      <c r="C879" s="1356" t="s">
        <v>1546</v>
      </c>
      <c r="D879" s="1355"/>
      <c r="E879" s="1355"/>
      <c r="F879" s="1355"/>
      <c r="G879" s="1355"/>
      <c r="H879" s="381" t="s">
        <v>160</v>
      </c>
      <c r="I879" s="141">
        <v>0</v>
      </c>
      <c r="J879" s="141">
        <v>2400</v>
      </c>
      <c r="K879" s="141"/>
      <c r="L879" s="141">
        <f t="shared" si="22"/>
        <v>2400</v>
      </c>
      <c r="M879" s="141">
        <v>2400</v>
      </c>
      <c r="N879" s="141"/>
      <c r="O879" s="141"/>
      <c r="P879" s="141">
        <v>2400</v>
      </c>
      <c r="Q879" s="141">
        <v>2400</v>
      </c>
      <c r="R879" s="122">
        <v>2400</v>
      </c>
      <c r="S879" s="239"/>
      <c r="T879" s="1476"/>
      <c r="U879" s="146"/>
    </row>
    <row r="880" spans="1:21" s="10" customFormat="1" ht="18" x14ac:dyDescent="0.25">
      <c r="A880" s="961" t="s">
        <v>1386</v>
      </c>
      <c r="B880" s="961" t="s">
        <v>123</v>
      </c>
      <c r="C880" s="1356" t="s">
        <v>1546</v>
      </c>
      <c r="D880" s="1355"/>
      <c r="E880" s="1355"/>
      <c r="F880" s="1355"/>
      <c r="G880" s="1355"/>
      <c r="H880" s="381" t="s">
        <v>160</v>
      </c>
      <c r="I880" s="141">
        <v>3600</v>
      </c>
      <c r="J880" s="141">
        <v>4800</v>
      </c>
      <c r="K880" s="141">
        <v>1800</v>
      </c>
      <c r="L880" s="141">
        <f t="shared" si="22"/>
        <v>3000</v>
      </c>
      <c r="M880" s="141">
        <v>4800</v>
      </c>
      <c r="N880" s="141">
        <v>2400</v>
      </c>
      <c r="O880" s="141"/>
      <c r="P880" s="141">
        <v>4800</v>
      </c>
      <c r="Q880" s="141">
        <v>4800</v>
      </c>
      <c r="R880" s="122">
        <v>4800</v>
      </c>
      <c r="S880" s="239"/>
      <c r="T880" s="1476"/>
      <c r="U880" s="146"/>
    </row>
    <row r="881" spans="1:26" s="10" customFormat="1" ht="18" x14ac:dyDescent="0.25">
      <c r="A881" s="961" t="s">
        <v>1386</v>
      </c>
      <c r="B881" s="961" t="s">
        <v>123</v>
      </c>
      <c r="C881" s="1356" t="s">
        <v>1546</v>
      </c>
      <c r="D881" s="1355"/>
      <c r="E881" s="1355"/>
      <c r="F881" s="1355"/>
      <c r="G881" s="1355"/>
      <c r="H881" s="381" t="s">
        <v>160</v>
      </c>
      <c r="I881" s="141">
        <v>10800</v>
      </c>
      <c r="J881" s="141">
        <v>16800</v>
      </c>
      <c r="K881" s="141">
        <v>5400</v>
      </c>
      <c r="L881" s="141">
        <f t="shared" si="22"/>
        <v>11400</v>
      </c>
      <c r="M881" s="141">
        <v>16800</v>
      </c>
      <c r="N881" s="141">
        <v>7200</v>
      </c>
      <c r="O881" s="141"/>
      <c r="P881" s="141">
        <v>16800</v>
      </c>
      <c r="Q881" s="141">
        <v>16800</v>
      </c>
      <c r="R881" s="122">
        <v>16800</v>
      </c>
      <c r="S881" s="239"/>
      <c r="T881" s="1476"/>
      <c r="U881" s="146"/>
    </row>
    <row r="882" spans="1:26" s="10" customFormat="1" ht="18" customHeight="1" x14ac:dyDescent="0.25">
      <c r="A882" s="961" t="s">
        <v>1386</v>
      </c>
      <c r="B882" s="961" t="s">
        <v>123</v>
      </c>
      <c r="C882" s="1356" t="s">
        <v>1546</v>
      </c>
      <c r="D882" s="1355"/>
      <c r="E882" s="1355"/>
      <c r="F882" s="1355"/>
      <c r="G882" s="1355"/>
      <c r="H882" s="381" t="s">
        <v>160</v>
      </c>
      <c r="I882" s="141">
        <v>6300</v>
      </c>
      <c r="J882" s="141">
        <v>7200</v>
      </c>
      <c r="K882" s="141">
        <v>3100</v>
      </c>
      <c r="L882" s="141">
        <f t="shared" si="22"/>
        <v>4100</v>
      </c>
      <c r="M882" s="141">
        <v>7200</v>
      </c>
      <c r="N882" s="141">
        <v>4100</v>
      </c>
      <c r="O882" s="141"/>
      <c r="P882" s="141">
        <v>7200</v>
      </c>
      <c r="Q882" s="141">
        <v>7200</v>
      </c>
      <c r="R882" s="122">
        <v>7200</v>
      </c>
      <c r="S882" s="239"/>
      <c r="T882" s="1476"/>
      <c r="U882" s="146"/>
    </row>
    <row r="883" spans="1:26" s="10" customFormat="1" ht="18" customHeight="1" x14ac:dyDescent="0.25">
      <c r="A883" s="961" t="s">
        <v>1386</v>
      </c>
      <c r="B883" s="961" t="s">
        <v>123</v>
      </c>
      <c r="C883" s="1356" t="s">
        <v>1546</v>
      </c>
      <c r="D883" s="1355"/>
      <c r="E883" s="1355"/>
      <c r="F883" s="1355"/>
      <c r="G883" s="1355"/>
      <c r="H883" s="221" t="s">
        <v>160</v>
      </c>
      <c r="I883" s="141">
        <v>12500</v>
      </c>
      <c r="J883" s="141">
        <v>15600</v>
      </c>
      <c r="K883" s="141">
        <v>6600</v>
      </c>
      <c r="L883" s="141">
        <f t="shared" si="22"/>
        <v>9000</v>
      </c>
      <c r="M883" s="141">
        <v>15600</v>
      </c>
      <c r="N883" s="141">
        <v>8600</v>
      </c>
      <c r="O883" s="141"/>
      <c r="P883" s="141">
        <v>15600</v>
      </c>
      <c r="Q883" s="141">
        <v>15600</v>
      </c>
      <c r="R883" s="122">
        <v>15600</v>
      </c>
      <c r="S883" s="239"/>
      <c r="T883" s="1476"/>
      <c r="U883" s="146"/>
    </row>
    <row r="884" spans="1:26" s="10" customFormat="1" ht="18" customHeight="1" x14ac:dyDescent="0.25">
      <c r="A884" s="961" t="s">
        <v>1386</v>
      </c>
      <c r="B884" s="961" t="s">
        <v>123</v>
      </c>
      <c r="C884" s="1356" t="s">
        <v>1546</v>
      </c>
      <c r="D884" s="1355"/>
      <c r="E884" s="1355"/>
      <c r="F884" s="1355"/>
      <c r="G884" s="1355"/>
      <c r="H884" s="221" t="s">
        <v>160</v>
      </c>
      <c r="I884" s="141">
        <v>43500</v>
      </c>
      <c r="J884" s="141">
        <v>54000</v>
      </c>
      <c r="K884" s="141">
        <v>21600</v>
      </c>
      <c r="L884" s="141">
        <f t="shared" si="22"/>
        <v>32400</v>
      </c>
      <c r="M884" s="141">
        <v>54000</v>
      </c>
      <c r="N884" s="141">
        <v>28800</v>
      </c>
      <c r="O884" s="141"/>
      <c r="P884" s="141">
        <v>54000</v>
      </c>
      <c r="Q884" s="141">
        <v>54000</v>
      </c>
      <c r="R884" s="122">
        <v>54000</v>
      </c>
      <c r="S884" s="1450"/>
      <c r="T884" s="1476"/>
      <c r="U884" s="146"/>
    </row>
    <row r="885" spans="1:26" s="7" customFormat="1" ht="18" customHeight="1" x14ac:dyDescent="0.25">
      <c r="A885" s="961" t="s">
        <v>1386</v>
      </c>
      <c r="B885" s="961" t="s">
        <v>123</v>
      </c>
      <c r="C885" s="1356" t="s">
        <v>1546</v>
      </c>
      <c r="D885" s="1355"/>
      <c r="E885" s="1355"/>
      <c r="F885" s="1355"/>
      <c r="G885" s="1355"/>
      <c r="H885" s="221" t="s">
        <v>160</v>
      </c>
      <c r="I885" s="141">
        <v>16800</v>
      </c>
      <c r="J885" s="141">
        <v>21600</v>
      </c>
      <c r="K885" s="141">
        <v>8400</v>
      </c>
      <c r="L885" s="141">
        <f t="shared" si="22"/>
        <v>13200</v>
      </c>
      <c r="M885" s="141">
        <v>21600</v>
      </c>
      <c r="N885" s="141">
        <v>11200</v>
      </c>
      <c r="O885" s="141"/>
      <c r="P885" s="141">
        <v>21600</v>
      </c>
      <c r="Q885" s="141">
        <v>21600</v>
      </c>
      <c r="R885" s="122">
        <v>21600</v>
      </c>
      <c r="S885" s="1460"/>
      <c r="T885" s="1475"/>
      <c r="U885" s="1380"/>
      <c r="V885" s="1380"/>
      <c r="W885" s="1380"/>
      <c r="X885" s="1380"/>
      <c r="Y885" s="1380"/>
      <c r="Z885" s="1380"/>
    </row>
    <row r="886" spans="1:26" ht="15.75" customHeight="1" x14ac:dyDescent="0.25">
      <c r="A886" s="961" t="s">
        <v>1386</v>
      </c>
      <c r="B886" s="961" t="s">
        <v>123</v>
      </c>
      <c r="C886" s="1356" t="s">
        <v>1546</v>
      </c>
      <c r="D886" s="1355"/>
      <c r="E886" s="1355"/>
      <c r="F886" s="1355"/>
      <c r="G886" s="1355"/>
      <c r="H886" s="221" t="s">
        <v>160</v>
      </c>
      <c r="I886" s="141">
        <v>8500</v>
      </c>
      <c r="J886" s="141">
        <v>14400</v>
      </c>
      <c r="K886" s="141">
        <v>4200</v>
      </c>
      <c r="L886" s="141">
        <f t="shared" si="22"/>
        <v>10200</v>
      </c>
      <c r="M886" s="141">
        <v>14400</v>
      </c>
      <c r="N886" s="141">
        <v>5600</v>
      </c>
      <c r="O886" s="141"/>
      <c r="P886" s="141">
        <v>14400</v>
      </c>
      <c r="Q886" s="141">
        <v>14400</v>
      </c>
      <c r="R886" s="122">
        <v>14400</v>
      </c>
    </row>
    <row r="887" spans="1:26" s="146" customFormat="1" ht="18" customHeight="1" x14ac:dyDescent="0.25">
      <c r="A887" s="961" t="s">
        <v>1386</v>
      </c>
      <c r="B887" s="961" t="s">
        <v>123</v>
      </c>
      <c r="C887" s="1356" t="s">
        <v>1546</v>
      </c>
      <c r="D887" s="1355"/>
      <c r="E887" s="1355"/>
      <c r="F887" s="1355"/>
      <c r="G887" s="1355"/>
      <c r="H887" s="221" t="s">
        <v>160</v>
      </c>
      <c r="I887" s="141">
        <v>4800</v>
      </c>
      <c r="J887" s="141">
        <v>4800</v>
      </c>
      <c r="K887" s="141">
        <v>2400</v>
      </c>
      <c r="L887" s="141">
        <f t="shared" si="22"/>
        <v>2400</v>
      </c>
      <c r="M887" s="141">
        <v>4800</v>
      </c>
      <c r="N887" s="141">
        <v>3200</v>
      </c>
      <c r="O887" s="141"/>
      <c r="P887" s="141">
        <v>4800</v>
      </c>
      <c r="Q887" s="141">
        <v>4800</v>
      </c>
      <c r="R887" s="122">
        <v>4800</v>
      </c>
      <c r="S887" s="239">
        <f>SUM(R869:R887)</f>
        <v>286800</v>
      </c>
      <c r="T887" s="1476"/>
    </row>
    <row r="888" spans="1:26" s="146" customFormat="1" ht="18" x14ac:dyDescent="0.25">
      <c r="A888" s="961" t="s">
        <v>1386</v>
      </c>
      <c r="B888" s="961" t="s">
        <v>123</v>
      </c>
      <c r="C888" s="1356" t="s">
        <v>1568</v>
      </c>
      <c r="D888" s="1355"/>
      <c r="E888" s="1355"/>
      <c r="F888" s="1355"/>
      <c r="G888" s="1355"/>
      <c r="H888" s="381"/>
      <c r="I888" s="141">
        <v>0</v>
      </c>
      <c r="J888" s="141">
        <v>0</v>
      </c>
      <c r="K888" s="141">
        <v>0</v>
      </c>
      <c r="L888" s="141">
        <v>0</v>
      </c>
      <c r="M888" s="141">
        <v>0</v>
      </c>
      <c r="N888" s="141">
        <v>0</v>
      </c>
      <c r="O888" s="141"/>
      <c r="P888" s="141"/>
      <c r="Q888" s="141"/>
      <c r="R888" s="122">
        <v>10000</v>
      </c>
      <c r="S888" s="239"/>
      <c r="T888" s="1476"/>
    </row>
    <row r="889" spans="1:26" s="146" customFormat="1" ht="18" customHeight="1" x14ac:dyDescent="0.25">
      <c r="A889" s="961" t="s">
        <v>1386</v>
      </c>
      <c r="B889" s="961" t="s">
        <v>123</v>
      </c>
      <c r="C889" s="1356" t="s">
        <v>1568</v>
      </c>
      <c r="D889" s="1355"/>
      <c r="E889" s="1355"/>
      <c r="F889" s="1355"/>
      <c r="G889" s="1355"/>
      <c r="H889" s="221"/>
      <c r="I889" s="141"/>
      <c r="J889" s="141"/>
      <c r="K889" s="141"/>
      <c r="L889" s="141"/>
      <c r="M889" s="141"/>
      <c r="N889" s="141"/>
      <c r="O889" s="141"/>
      <c r="P889" s="141"/>
      <c r="Q889" s="141"/>
      <c r="R889" s="122">
        <v>5000</v>
      </c>
      <c r="S889" s="239"/>
      <c r="T889" s="1476"/>
    </row>
    <row r="890" spans="1:26" s="146" customFormat="1" ht="18" customHeight="1" x14ac:dyDescent="0.25">
      <c r="A890" s="961" t="s">
        <v>1386</v>
      </c>
      <c r="B890" s="961" t="s">
        <v>123</v>
      </c>
      <c r="C890" s="1356" t="s">
        <v>1568</v>
      </c>
      <c r="D890" s="1355"/>
      <c r="E890" s="1355"/>
      <c r="F890" s="1355"/>
      <c r="G890" s="1355"/>
      <c r="H890" s="221"/>
      <c r="I890" s="141">
        <v>0</v>
      </c>
      <c r="J890" s="141"/>
      <c r="K890" s="141"/>
      <c r="L890" s="141">
        <f t="shared" ref="L890:L912" si="23">M890-K890</f>
        <v>35000</v>
      </c>
      <c r="M890" s="141">
        <v>35000</v>
      </c>
      <c r="N890" s="141">
        <v>0</v>
      </c>
      <c r="O890" s="141"/>
      <c r="P890" s="141"/>
      <c r="Q890" s="141"/>
      <c r="R890" s="122">
        <v>5000</v>
      </c>
      <c r="S890" s="239"/>
      <c r="T890" s="1476"/>
    </row>
    <row r="891" spans="1:26" s="146" customFormat="1" ht="18" customHeight="1" x14ac:dyDescent="0.25">
      <c r="A891" s="961" t="s">
        <v>1386</v>
      </c>
      <c r="B891" s="961" t="s">
        <v>123</v>
      </c>
      <c r="C891" s="1356" t="s">
        <v>1633</v>
      </c>
      <c r="D891" s="1355"/>
      <c r="E891" s="1355"/>
      <c r="F891" s="1355"/>
      <c r="G891" s="1355"/>
      <c r="H891" s="221" t="s">
        <v>232</v>
      </c>
      <c r="I891" s="141">
        <v>10000</v>
      </c>
      <c r="J891" s="141">
        <v>30000</v>
      </c>
      <c r="K891" s="141"/>
      <c r="L891" s="141">
        <f t="shared" si="23"/>
        <v>30000</v>
      </c>
      <c r="M891" s="141">
        <v>30000</v>
      </c>
      <c r="N891" s="141"/>
      <c r="O891" s="141"/>
      <c r="P891" s="141"/>
      <c r="Q891" s="141"/>
      <c r="R891" s="122">
        <v>5000</v>
      </c>
      <c r="S891" s="239"/>
      <c r="T891" s="1476"/>
    </row>
    <row r="892" spans="1:26" s="146" customFormat="1" ht="18" customHeight="1" x14ac:dyDescent="0.25">
      <c r="A892" s="961" t="s">
        <v>1386</v>
      </c>
      <c r="B892" s="961" t="s">
        <v>123</v>
      </c>
      <c r="C892" s="1382" t="s">
        <v>1568</v>
      </c>
      <c r="D892" s="1355"/>
      <c r="E892" s="1355"/>
      <c r="F892" s="1355"/>
      <c r="G892" s="1355"/>
      <c r="H892" s="221" t="s">
        <v>232</v>
      </c>
      <c r="I892" s="141">
        <v>10000</v>
      </c>
      <c r="J892" s="141">
        <v>10000</v>
      </c>
      <c r="K892" s="141"/>
      <c r="L892" s="141">
        <f t="shared" si="23"/>
        <v>10000</v>
      </c>
      <c r="M892" s="141">
        <v>10000</v>
      </c>
      <c r="N892" s="141"/>
      <c r="O892" s="141"/>
      <c r="P892" s="141"/>
      <c r="Q892" s="141"/>
      <c r="R892" s="122">
        <v>5000</v>
      </c>
      <c r="S892" s="239">
        <f>SUM(R888:R892)</f>
        <v>30000</v>
      </c>
      <c r="T892" s="1476"/>
    </row>
    <row r="893" spans="1:26" s="146" customFormat="1" ht="18" customHeight="1" x14ac:dyDescent="0.25">
      <c r="A893" s="961" t="s">
        <v>1386</v>
      </c>
      <c r="B893" s="961" t="s">
        <v>123</v>
      </c>
      <c r="C893" s="1382" t="s">
        <v>1541</v>
      </c>
      <c r="D893" s="1355"/>
      <c r="E893" s="1381"/>
      <c r="F893" s="1381"/>
      <c r="G893" s="1381"/>
      <c r="H893" s="381" t="s">
        <v>140</v>
      </c>
      <c r="I893" s="141">
        <v>303083</v>
      </c>
      <c r="J893" s="141">
        <v>344152</v>
      </c>
      <c r="K893" s="141">
        <v>311714</v>
      </c>
      <c r="L893" s="141">
        <f t="shared" si="23"/>
        <v>32438</v>
      </c>
      <c r="M893" s="141">
        <v>344152</v>
      </c>
      <c r="N893" s="141">
        <v>311714</v>
      </c>
      <c r="O893" s="141"/>
      <c r="P893" s="141">
        <v>356579</v>
      </c>
      <c r="Q893" s="141">
        <v>356579</v>
      </c>
      <c r="R893" s="122">
        <v>346523</v>
      </c>
      <c r="S893" s="239"/>
      <c r="T893" s="1476"/>
    </row>
    <row r="894" spans="1:26" s="146" customFormat="1" ht="18" customHeight="1" x14ac:dyDescent="0.25">
      <c r="A894" s="961" t="s">
        <v>1386</v>
      </c>
      <c r="B894" s="961" t="s">
        <v>123</v>
      </c>
      <c r="C894" s="1356" t="s">
        <v>1541</v>
      </c>
      <c r="D894" s="1355"/>
      <c r="E894" s="1355"/>
      <c r="F894" s="1355"/>
      <c r="G894" s="1355"/>
      <c r="H894" s="221" t="s">
        <v>140</v>
      </c>
      <c r="I894" s="141">
        <v>133606</v>
      </c>
      <c r="J894" s="141">
        <v>382392</v>
      </c>
      <c r="K894" s="141">
        <v>167148</v>
      </c>
      <c r="L894" s="141">
        <f t="shared" si="23"/>
        <v>215244</v>
      </c>
      <c r="M894" s="141">
        <v>382392</v>
      </c>
      <c r="N894" s="141">
        <v>167148</v>
      </c>
      <c r="O894" s="141"/>
      <c r="P894" s="141">
        <v>397663</v>
      </c>
      <c r="Q894" s="141">
        <v>397663</v>
      </c>
      <c r="R894" s="122">
        <v>382392</v>
      </c>
      <c r="S894" s="239"/>
      <c r="T894" s="1476"/>
    </row>
    <row r="895" spans="1:26" s="146" customFormat="1" ht="18" customHeight="1" x14ac:dyDescent="0.25">
      <c r="A895" s="961" t="s">
        <v>1386</v>
      </c>
      <c r="B895" s="961" t="s">
        <v>123</v>
      </c>
      <c r="C895" s="1356" t="s">
        <v>1541</v>
      </c>
      <c r="D895" s="1355"/>
      <c r="E895" s="1355"/>
      <c r="F895" s="1355"/>
      <c r="G895" s="1355"/>
      <c r="H895" s="381" t="s">
        <v>140</v>
      </c>
      <c r="I895" s="141">
        <v>68132</v>
      </c>
      <c r="J895" s="141">
        <v>71779</v>
      </c>
      <c r="K895" s="141">
        <v>71501</v>
      </c>
      <c r="L895" s="141">
        <f t="shared" si="23"/>
        <v>278</v>
      </c>
      <c r="M895" s="141">
        <v>71779</v>
      </c>
      <c r="N895" s="141">
        <v>71501</v>
      </c>
      <c r="O895" s="141"/>
      <c r="P895" s="141">
        <v>74876</v>
      </c>
      <c r="Q895" s="141">
        <v>74876</v>
      </c>
      <c r="R895" s="122">
        <v>71779</v>
      </c>
      <c r="S895" s="239"/>
      <c r="T895" s="1476"/>
    </row>
    <row r="896" spans="1:26" s="146" customFormat="1" ht="18" customHeight="1" x14ac:dyDescent="0.25">
      <c r="A896" s="961" t="s">
        <v>1386</v>
      </c>
      <c r="B896" s="961" t="s">
        <v>123</v>
      </c>
      <c r="C896" s="1382" t="s">
        <v>1541</v>
      </c>
      <c r="D896" s="1355"/>
      <c r="E896" s="1355"/>
      <c r="F896" s="1355"/>
      <c r="G896" s="1355"/>
      <c r="H896" s="381" t="s">
        <v>140</v>
      </c>
      <c r="I896" s="141">
        <v>30711</v>
      </c>
      <c r="J896" s="141">
        <v>75806</v>
      </c>
      <c r="K896" s="141">
        <v>32530</v>
      </c>
      <c r="L896" s="141">
        <f t="shared" si="23"/>
        <v>43276</v>
      </c>
      <c r="M896" s="141">
        <v>75806</v>
      </c>
      <c r="N896" s="141">
        <v>32530</v>
      </c>
      <c r="O896" s="141"/>
      <c r="P896" s="141">
        <v>79352</v>
      </c>
      <c r="Q896" s="141">
        <v>79352</v>
      </c>
      <c r="R896" s="122">
        <v>75806</v>
      </c>
      <c r="S896" s="239"/>
      <c r="T896" s="1476"/>
    </row>
    <row r="897" spans="1:20" s="146" customFormat="1" ht="18" customHeight="1" x14ac:dyDescent="0.25">
      <c r="A897" s="961" t="s">
        <v>1386</v>
      </c>
      <c r="B897" s="961" t="s">
        <v>123</v>
      </c>
      <c r="C897" s="1382" t="s">
        <v>1541</v>
      </c>
      <c r="D897" s="1355"/>
      <c r="E897" s="1381"/>
      <c r="F897" s="1381"/>
      <c r="G897" s="1381"/>
      <c r="H897" s="221" t="s">
        <v>140</v>
      </c>
      <c r="I897" s="141">
        <v>38380</v>
      </c>
      <c r="J897" s="141">
        <v>60516</v>
      </c>
      <c r="K897" s="141">
        <v>40165</v>
      </c>
      <c r="L897" s="141">
        <f t="shared" si="23"/>
        <v>20351</v>
      </c>
      <c r="M897" s="141">
        <v>60516</v>
      </c>
      <c r="N897" s="141">
        <v>40165</v>
      </c>
      <c r="O897" s="141"/>
      <c r="P897" s="141">
        <v>63460</v>
      </c>
      <c r="Q897" s="141">
        <v>63460</v>
      </c>
      <c r="R897" s="122">
        <v>60516</v>
      </c>
      <c r="S897" s="239"/>
      <c r="T897" s="1476"/>
    </row>
    <row r="898" spans="1:20" s="146" customFormat="1" ht="18" x14ac:dyDescent="0.25">
      <c r="A898" s="961" t="s">
        <v>1386</v>
      </c>
      <c r="B898" s="961" t="s">
        <v>123</v>
      </c>
      <c r="C898" s="1356" t="s">
        <v>1541</v>
      </c>
      <c r="D898" s="1355"/>
      <c r="E898" s="1355"/>
      <c r="F898" s="1355"/>
      <c r="G898" s="1355"/>
      <c r="H898" s="221" t="s">
        <v>140</v>
      </c>
      <c r="I898" s="141">
        <v>84920</v>
      </c>
      <c r="J898" s="141">
        <v>103560</v>
      </c>
      <c r="K898" s="141">
        <v>88362</v>
      </c>
      <c r="L898" s="141">
        <f t="shared" si="23"/>
        <v>15198</v>
      </c>
      <c r="M898" s="141">
        <v>103560</v>
      </c>
      <c r="N898" s="141">
        <v>88362</v>
      </c>
      <c r="O898" s="141"/>
      <c r="P898" s="141">
        <v>106602</v>
      </c>
      <c r="Q898" s="141">
        <v>106602</v>
      </c>
      <c r="R898" s="122">
        <v>103560</v>
      </c>
      <c r="S898" s="1456"/>
      <c r="T898" s="1476"/>
    </row>
    <row r="899" spans="1:20" s="146" customFormat="1" ht="18" x14ac:dyDescent="0.25">
      <c r="A899" s="961" t="s">
        <v>1386</v>
      </c>
      <c r="B899" s="961" t="s">
        <v>123</v>
      </c>
      <c r="C899" s="1356" t="s">
        <v>1541</v>
      </c>
      <c r="D899" s="1355"/>
      <c r="E899" s="1355"/>
      <c r="F899" s="1355"/>
      <c r="G899" s="1355"/>
      <c r="H899" s="221" t="s">
        <v>140</v>
      </c>
      <c r="I899" s="141">
        <v>147303</v>
      </c>
      <c r="J899" s="141">
        <v>203493</v>
      </c>
      <c r="K899" s="141">
        <v>118117</v>
      </c>
      <c r="L899" s="141">
        <f t="shared" si="23"/>
        <v>85376</v>
      </c>
      <c r="M899" s="141">
        <v>203493</v>
      </c>
      <c r="N899" s="141">
        <v>118117</v>
      </c>
      <c r="O899" s="141"/>
      <c r="P899" s="141">
        <v>211293</v>
      </c>
      <c r="Q899" s="141">
        <v>211293</v>
      </c>
      <c r="R899" s="122">
        <v>204979</v>
      </c>
      <c r="S899" s="239"/>
      <c r="T899" s="1476"/>
    </row>
    <row r="900" spans="1:20" s="146" customFormat="1" ht="18" customHeight="1" x14ac:dyDescent="0.25">
      <c r="A900" s="961" t="s">
        <v>1386</v>
      </c>
      <c r="B900" s="961" t="s">
        <v>123</v>
      </c>
      <c r="C900" s="1356" t="s">
        <v>1541</v>
      </c>
      <c r="D900" s="1355"/>
      <c r="E900" s="1355"/>
      <c r="F900" s="1355"/>
      <c r="G900" s="1355"/>
      <c r="H900" s="221" t="s">
        <v>140</v>
      </c>
      <c r="I900" s="141">
        <v>1205172</v>
      </c>
      <c r="J900" s="141">
        <v>1258089</v>
      </c>
      <c r="K900" s="141">
        <v>1236145</v>
      </c>
      <c r="L900" s="141">
        <f t="shared" si="23"/>
        <v>21944</v>
      </c>
      <c r="M900" s="141">
        <v>1258089</v>
      </c>
      <c r="N900" s="141">
        <v>1236145</v>
      </c>
      <c r="O900" s="141"/>
      <c r="P900" s="141">
        <v>1299549</v>
      </c>
      <c r="Q900" s="141">
        <v>1299549</v>
      </c>
      <c r="R900" s="122">
        <v>1264756</v>
      </c>
      <c r="S900" s="239"/>
      <c r="T900" s="1476"/>
    </row>
    <row r="901" spans="1:20" s="146" customFormat="1" ht="18" customHeight="1" x14ac:dyDescent="0.25">
      <c r="A901" s="961" t="s">
        <v>1386</v>
      </c>
      <c r="B901" s="961" t="s">
        <v>123</v>
      </c>
      <c r="C901" s="1356" t="s">
        <v>1541</v>
      </c>
      <c r="D901" s="1355"/>
      <c r="E901" s="1355"/>
      <c r="F901" s="1355"/>
      <c r="G901" s="1355"/>
      <c r="H901" s="221" t="s">
        <v>140</v>
      </c>
      <c r="I901" s="141">
        <v>227535</v>
      </c>
      <c r="J901" s="141">
        <v>360457</v>
      </c>
      <c r="K901" s="141">
        <v>236876</v>
      </c>
      <c r="L901" s="141">
        <f t="shared" si="23"/>
        <v>123581</v>
      </c>
      <c r="M901" s="141">
        <v>360457</v>
      </c>
      <c r="N901" s="141">
        <v>236876</v>
      </c>
      <c r="O901" s="141"/>
      <c r="P901" s="141">
        <v>374393</v>
      </c>
      <c r="Q901" s="141">
        <v>374393</v>
      </c>
      <c r="R901" s="122">
        <v>360457</v>
      </c>
      <c r="S901" s="239"/>
      <c r="T901" s="1476"/>
    </row>
    <row r="902" spans="1:20" s="146" customFormat="1" ht="18" x14ac:dyDescent="0.25">
      <c r="A902" s="961" t="s">
        <v>1386</v>
      </c>
      <c r="B902" s="961" t="s">
        <v>123</v>
      </c>
      <c r="C902" s="1356" t="s">
        <v>1541</v>
      </c>
      <c r="D902" s="1355"/>
      <c r="E902" s="1355"/>
      <c r="F902" s="1355"/>
      <c r="G902" s="1355"/>
      <c r="H902" s="221" t="s">
        <v>140</v>
      </c>
      <c r="I902" s="141">
        <v>0</v>
      </c>
      <c r="J902" s="141">
        <v>106126</v>
      </c>
      <c r="K902" s="141">
        <v>80630</v>
      </c>
      <c r="L902" s="141">
        <f t="shared" si="23"/>
        <v>25496</v>
      </c>
      <c r="M902" s="141">
        <v>106126</v>
      </c>
      <c r="N902" s="141">
        <v>80630</v>
      </c>
      <c r="O902" s="141"/>
      <c r="P902" s="141">
        <v>108663</v>
      </c>
      <c r="Q902" s="141">
        <v>108663</v>
      </c>
      <c r="R902" s="122">
        <v>106126</v>
      </c>
      <c r="S902" s="239"/>
      <c r="T902" s="1476"/>
    </row>
    <row r="903" spans="1:20" s="146" customFormat="1" ht="18" x14ac:dyDescent="0.25">
      <c r="A903" s="573" t="s">
        <v>1386</v>
      </c>
      <c r="B903" s="573" t="s">
        <v>123</v>
      </c>
      <c r="C903" s="1356" t="s">
        <v>1541</v>
      </c>
      <c r="D903" s="1355"/>
      <c r="E903" s="1355"/>
      <c r="F903" s="1355"/>
      <c r="G903" s="1355"/>
      <c r="H903" s="381" t="s">
        <v>140</v>
      </c>
      <c r="I903" s="141">
        <v>0</v>
      </c>
      <c r="J903" s="141">
        <v>92624</v>
      </c>
      <c r="K903" s="141"/>
      <c r="L903" s="141">
        <f t="shared" si="23"/>
        <v>92624</v>
      </c>
      <c r="M903" s="141">
        <v>92624</v>
      </c>
      <c r="N903" s="141"/>
      <c r="O903" s="141"/>
      <c r="P903" s="141">
        <v>94621</v>
      </c>
      <c r="Q903" s="141">
        <v>94621</v>
      </c>
      <c r="R903" s="122">
        <v>92624</v>
      </c>
      <c r="S903" s="239"/>
      <c r="T903" s="1476"/>
    </row>
    <row r="904" spans="1:20" s="146" customFormat="1" ht="18" customHeight="1" x14ac:dyDescent="0.25">
      <c r="A904" s="573" t="s">
        <v>1386</v>
      </c>
      <c r="B904" s="573" t="s">
        <v>123</v>
      </c>
      <c r="C904" s="1356" t="s">
        <v>1541</v>
      </c>
      <c r="D904" s="1355"/>
      <c r="E904" s="1355"/>
      <c r="F904" s="1355"/>
      <c r="G904" s="1355"/>
      <c r="H904" s="381" t="s">
        <v>140</v>
      </c>
      <c r="I904" s="141">
        <v>142607</v>
      </c>
      <c r="J904" s="141">
        <v>163533</v>
      </c>
      <c r="K904" s="141">
        <v>147927</v>
      </c>
      <c r="L904" s="141">
        <f t="shared" si="23"/>
        <v>15606</v>
      </c>
      <c r="M904" s="141">
        <v>163533</v>
      </c>
      <c r="N904" s="141">
        <v>147927</v>
      </c>
      <c r="O904" s="141"/>
      <c r="P904" s="141">
        <v>168135</v>
      </c>
      <c r="Q904" s="141">
        <v>168135</v>
      </c>
      <c r="R904" s="122">
        <v>163533</v>
      </c>
      <c r="S904" s="239"/>
      <c r="T904" s="1476"/>
    </row>
    <row r="905" spans="1:20" s="146" customFormat="1" ht="18" x14ac:dyDescent="0.25">
      <c r="A905" s="573" t="s">
        <v>1386</v>
      </c>
      <c r="B905" s="573" t="s">
        <v>123</v>
      </c>
      <c r="C905" s="1356" t="s">
        <v>1541</v>
      </c>
      <c r="D905" s="1355"/>
      <c r="E905" s="1355"/>
      <c r="F905" s="1355"/>
      <c r="G905" s="1355"/>
      <c r="H905" s="381" t="s">
        <v>140</v>
      </c>
      <c r="I905" s="141">
        <v>236544</v>
      </c>
      <c r="J905" s="141">
        <v>363814</v>
      </c>
      <c r="K905" s="141">
        <v>248126</v>
      </c>
      <c r="L905" s="141">
        <f t="shared" si="23"/>
        <v>115688</v>
      </c>
      <c r="M905" s="141">
        <v>363814</v>
      </c>
      <c r="N905" s="141">
        <v>248126</v>
      </c>
      <c r="O905" s="141"/>
      <c r="P905" s="141">
        <v>377655</v>
      </c>
      <c r="Q905" s="141">
        <v>377655</v>
      </c>
      <c r="R905" s="122">
        <v>363914</v>
      </c>
      <c r="S905" s="239"/>
      <c r="T905" s="1476"/>
    </row>
    <row r="906" spans="1:20" ht="18" x14ac:dyDescent="0.25">
      <c r="A906" s="573" t="s">
        <v>1386</v>
      </c>
      <c r="B906" s="573" t="s">
        <v>123</v>
      </c>
      <c r="C906" s="1356" t="s">
        <v>1541</v>
      </c>
      <c r="D906" s="1355"/>
      <c r="E906" s="1355"/>
      <c r="F906" s="1355"/>
      <c r="G906" s="1355"/>
      <c r="H906" s="381" t="s">
        <v>140</v>
      </c>
      <c r="I906" s="141">
        <v>155537</v>
      </c>
      <c r="J906" s="141">
        <v>173074</v>
      </c>
      <c r="K906" s="141">
        <v>144694</v>
      </c>
      <c r="L906" s="141">
        <f t="shared" si="23"/>
        <v>28380</v>
      </c>
      <c r="M906" s="141">
        <v>173074</v>
      </c>
      <c r="N906" s="141">
        <v>144694</v>
      </c>
      <c r="O906" s="141"/>
      <c r="P906" s="141">
        <v>178729</v>
      </c>
      <c r="Q906" s="141">
        <v>178729</v>
      </c>
      <c r="R906" s="122">
        <v>172772</v>
      </c>
    </row>
    <row r="907" spans="1:20" ht="18" x14ac:dyDescent="0.25">
      <c r="A907" s="573" t="s">
        <v>1386</v>
      </c>
      <c r="B907" s="573" t="s">
        <v>123</v>
      </c>
      <c r="C907" s="1356" t="s">
        <v>1541</v>
      </c>
      <c r="D907" s="1355"/>
      <c r="E907" s="1355"/>
      <c r="F907" s="1355"/>
      <c r="G907" s="1355"/>
      <c r="H907" s="221" t="s">
        <v>140</v>
      </c>
      <c r="I907" s="141">
        <v>231993</v>
      </c>
      <c r="J907" s="141">
        <v>315174</v>
      </c>
      <c r="K907" s="141">
        <v>283755</v>
      </c>
      <c r="L907" s="141">
        <f t="shared" si="23"/>
        <v>31419</v>
      </c>
      <c r="M907" s="141">
        <v>315174</v>
      </c>
      <c r="N907" s="141">
        <v>283755</v>
      </c>
      <c r="O907" s="141"/>
      <c r="P907" s="141">
        <v>326709</v>
      </c>
      <c r="Q907" s="141">
        <v>326709</v>
      </c>
      <c r="R907" s="122">
        <v>315048</v>
      </c>
    </row>
    <row r="908" spans="1:20" ht="18" x14ac:dyDescent="0.25">
      <c r="A908" s="573" t="s">
        <v>1386</v>
      </c>
      <c r="B908" s="573" t="s">
        <v>123</v>
      </c>
      <c r="C908" s="1356" t="s">
        <v>1541</v>
      </c>
      <c r="D908" s="1355"/>
      <c r="E908" s="1355"/>
      <c r="F908" s="1355"/>
      <c r="G908" s="1355"/>
      <c r="H908" s="221" t="s">
        <v>140</v>
      </c>
      <c r="I908" s="141">
        <v>521499</v>
      </c>
      <c r="J908" s="141">
        <v>650419</v>
      </c>
      <c r="K908" s="141">
        <v>544821</v>
      </c>
      <c r="L908" s="141">
        <f t="shared" si="23"/>
        <v>105598</v>
      </c>
      <c r="M908" s="141">
        <v>650419</v>
      </c>
      <c r="N908" s="141">
        <v>544821</v>
      </c>
      <c r="O908" s="141"/>
      <c r="P908" s="141">
        <v>675296</v>
      </c>
      <c r="Q908" s="141">
        <v>675296</v>
      </c>
      <c r="R908" s="122">
        <v>650509</v>
      </c>
    </row>
    <row r="909" spans="1:20" ht="18" x14ac:dyDescent="0.25">
      <c r="A909" s="573" t="s">
        <v>1386</v>
      </c>
      <c r="B909" s="573" t="s">
        <v>123</v>
      </c>
      <c r="C909" s="1356" t="s">
        <v>1541</v>
      </c>
      <c r="D909" s="1355"/>
      <c r="E909" s="1355"/>
      <c r="F909" s="1355"/>
      <c r="G909" s="1355"/>
      <c r="H909" s="221" t="s">
        <v>140</v>
      </c>
      <c r="I909" s="141">
        <v>295338</v>
      </c>
      <c r="J909" s="141">
        <v>423507</v>
      </c>
      <c r="K909" s="141">
        <v>309801</v>
      </c>
      <c r="L909" s="141">
        <f t="shared" si="23"/>
        <v>113706</v>
      </c>
      <c r="M909" s="141">
        <v>423507</v>
      </c>
      <c r="N909" s="141">
        <v>309801</v>
      </c>
      <c r="O909" s="141"/>
      <c r="P909" s="141">
        <v>438957</v>
      </c>
      <c r="Q909" s="141">
        <v>438957</v>
      </c>
      <c r="R909" s="122">
        <v>423557</v>
      </c>
    </row>
    <row r="910" spans="1:20" ht="18" x14ac:dyDescent="0.25">
      <c r="A910" s="573" t="s">
        <v>1386</v>
      </c>
      <c r="B910" s="573" t="s">
        <v>123</v>
      </c>
      <c r="C910" s="1382" t="s">
        <v>1541</v>
      </c>
      <c r="D910" s="1355"/>
      <c r="E910" s="1355"/>
      <c r="F910" s="1355"/>
      <c r="G910" s="1355"/>
      <c r="H910" s="221" t="s">
        <v>140</v>
      </c>
      <c r="I910" s="141">
        <v>197657</v>
      </c>
      <c r="J910" s="141">
        <v>343955</v>
      </c>
      <c r="K910" s="141">
        <v>205758</v>
      </c>
      <c r="L910" s="141">
        <f t="shared" si="23"/>
        <v>138197</v>
      </c>
      <c r="M910" s="141">
        <v>343955</v>
      </c>
      <c r="N910" s="141">
        <v>205758</v>
      </c>
      <c r="O910" s="141"/>
      <c r="P910" s="141">
        <v>356283</v>
      </c>
      <c r="Q910" s="141">
        <v>356283</v>
      </c>
      <c r="R910" s="122">
        <v>343955</v>
      </c>
    </row>
    <row r="911" spans="1:20" ht="18" x14ac:dyDescent="0.25">
      <c r="A911" s="573" t="s">
        <v>1386</v>
      </c>
      <c r="B911" s="573" t="s">
        <v>123</v>
      </c>
      <c r="C911" s="1382" t="s">
        <v>1541</v>
      </c>
      <c r="D911" s="1355"/>
      <c r="E911" s="1381"/>
      <c r="F911" s="1381"/>
      <c r="G911" s="1381"/>
      <c r="H911" s="221" t="s">
        <v>140</v>
      </c>
      <c r="I911" s="141">
        <v>126612</v>
      </c>
      <c r="J911" s="141">
        <v>130414</v>
      </c>
      <c r="K911" s="141">
        <v>130414</v>
      </c>
      <c r="L911" s="141">
        <f t="shared" si="23"/>
        <v>0</v>
      </c>
      <c r="M911" s="141">
        <v>130414</v>
      </c>
      <c r="N911" s="141">
        <v>130414</v>
      </c>
      <c r="O911" s="141"/>
      <c r="P911" s="141">
        <v>135325</v>
      </c>
      <c r="Q911" s="141">
        <v>135325</v>
      </c>
      <c r="R911" s="122">
        <v>131773</v>
      </c>
      <c r="S911" s="239">
        <f>SUM(R893:R911)</f>
        <v>5634579</v>
      </c>
    </row>
    <row r="912" spans="1:20" ht="18" x14ac:dyDescent="0.25">
      <c r="A912" s="573" t="s">
        <v>1386</v>
      </c>
      <c r="B912" s="573" t="s">
        <v>123</v>
      </c>
      <c r="C912" s="1356" t="s">
        <v>1567</v>
      </c>
      <c r="D912" s="1355"/>
      <c r="E912" s="1355"/>
      <c r="F912" s="1355"/>
      <c r="G912" s="1355"/>
      <c r="H912" s="221"/>
      <c r="I912" s="141">
        <v>0</v>
      </c>
      <c r="J912" s="141">
        <v>1432449.2</v>
      </c>
      <c r="K912" s="141"/>
      <c r="L912" s="141">
        <f t="shared" si="23"/>
        <v>1432449.2</v>
      </c>
      <c r="M912" s="141">
        <v>1432449.2</v>
      </c>
      <c r="N912" s="141">
        <v>335600.4</v>
      </c>
      <c r="O912" s="141"/>
      <c r="P912" s="141">
        <v>1432449.2</v>
      </c>
      <c r="Q912" s="141">
        <v>1432449.2</v>
      </c>
      <c r="R912" s="122">
        <v>868404.62</v>
      </c>
    </row>
    <row r="913" spans="1:26" ht="18" x14ac:dyDescent="0.25">
      <c r="A913" s="573" t="s">
        <v>1386</v>
      </c>
      <c r="B913" s="573" t="s">
        <v>123</v>
      </c>
      <c r="C913" s="1356" t="s">
        <v>1567</v>
      </c>
      <c r="D913" s="1355"/>
      <c r="E913" s="1355"/>
      <c r="F913" s="1355"/>
      <c r="G913" s="1355"/>
      <c r="H913" s="221"/>
      <c r="I913" s="141"/>
      <c r="J913" s="141"/>
      <c r="K913" s="141"/>
      <c r="L913" s="141"/>
      <c r="M913" s="141"/>
      <c r="N913" s="141"/>
      <c r="O913" s="141"/>
      <c r="P913" s="141"/>
      <c r="Q913" s="141"/>
      <c r="R913" s="122">
        <v>2267217.65</v>
      </c>
      <c r="S913" s="239">
        <f>SUM(R912:R913)</f>
        <v>3135622.27</v>
      </c>
    </row>
    <row r="914" spans="1:26" ht="18" x14ac:dyDescent="0.25">
      <c r="A914" s="573" t="s">
        <v>1386</v>
      </c>
      <c r="B914" s="573" t="s">
        <v>123</v>
      </c>
      <c r="C914" s="1356" t="s">
        <v>1543</v>
      </c>
      <c r="D914" s="1355"/>
      <c r="E914" s="1355"/>
      <c r="F914" s="1355"/>
      <c r="G914" s="1355"/>
      <c r="H914" s="381" t="s">
        <v>146</v>
      </c>
      <c r="I914" s="141">
        <v>45000</v>
      </c>
      <c r="J914" s="141">
        <v>55000</v>
      </c>
      <c r="K914" s="141"/>
      <c r="L914" s="141">
        <f t="shared" ref="L914:L945" si="24">M914-K914</f>
        <v>55000</v>
      </c>
      <c r="M914" s="141">
        <v>55000</v>
      </c>
      <c r="N914" s="141">
        <v>0</v>
      </c>
      <c r="O914" s="141"/>
      <c r="P914" s="141">
        <v>55000</v>
      </c>
      <c r="Q914" s="141">
        <v>55000</v>
      </c>
      <c r="R914" s="122">
        <v>55000</v>
      </c>
    </row>
    <row r="915" spans="1:26" s="1378" customFormat="1" ht="18" customHeight="1" x14ac:dyDescent="0.25">
      <c r="A915" s="573" t="s">
        <v>1386</v>
      </c>
      <c r="B915" s="573" t="s">
        <v>123</v>
      </c>
      <c r="C915" s="1356" t="s">
        <v>1543</v>
      </c>
      <c r="D915" s="1355"/>
      <c r="E915" s="1355"/>
      <c r="F915" s="1355"/>
      <c r="G915" s="1355"/>
      <c r="H915" s="221" t="s">
        <v>146</v>
      </c>
      <c r="I915" s="141">
        <v>67000</v>
      </c>
      <c r="J915" s="141">
        <v>150000</v>
      </c>
      <c r="K915" s="141"/>
      <c r="L915" s="141">
        <f t="shared" si="24"/>
        <v>150000</v>
      </c>
      <c r="M915" s="141">
        <v>150000</v>
      </c>
      <c r="N915" s="141">
        <v>0</v>
      </c>
      <c r="O915" s="141"/>
      <c r="P915" s="141">
        <v>150000</v>
      </c>
      <c r="Q915" s="141">
        <v>150000</v>
      </c>
      <c r="R915" s="122">
        <v>150000</v>
      </c>
      <c r="S915" s="239"/>
      <c r="T915" s="1476"/>
    </row>
    <row r="916" spans="1:26" s="1378" customFormat="1" ht="18" customHeight="1" x14ac:dyDescent="0.25">
      <c r="A916" s="573" t="s">
        <v>1386</v>
      </c>
      <c r="B916" s="573" t="s">
        <v>123</v>
      </c>
      <c r="C916" s="1356" t="s">
        <v>1543</v>
      </c>
      <c r="D916" s="1355"/>
      <c r="E916" s="1355"/>
      <c r="F916" s="1355"/>
      <c r="G916" s="1355"/>
      <c r="H916" s="381" t="s">
        <v>146</v>
      </c>
      <c r="I916" s="141">
        <v>20000</v>
      </c>
      <c r="J916" s="141">
        <v>20000</v>
      </c>
      <c r="K916" s="141"/>
      <c r="L916" s="141">
        <f t="shared" si="24"/>
        <v>20000</v>
      </c>
      <c r="M916" s="141">
        <v>20000</v>
      </c>
      <c r="N916" s="141">
        <v>0</v>
      </c>
      <c r="O916" s="141"/>
      <c r="P916" s="141">
        <v>20000</v>
      </c>
      <c r="Q916" s="141">
        <v>20000</v>
      </c>
      <c r="R916" s="122">
        <v>20000</v>
      </c>
      <c r="S916" s="239"/>
      <c r="T916" s="1476"/>
    </row>
    <row r="917" spans="1:26" s="1378" customFormat="1" ht="18" customHeight="1" x14ac:dyDescent="0.25">
      <c r="A917" s="573" t="s">
        <v>1386</v>
      </c>
      <c r="B917" s="573" t="s">
        <v>123</v>
      </c>
      <c r="C917" s="1356" t="s">
        <v>1543</v>
      </c>
      <c r="D917" s="1355"/>
      <c r="E917" s="1355"/>
      <c r="F917" s="1355"/>
      <c r="G917" s="1355"/>
      <c r="H917" s="381" t="s">
        <v>146</v>
      </c>
      <c r="I917" s="141">
        <v>10000</v>
      </c>
      <c r="J917" s="141">
        <v>20000</v>
      </c>
      <c r="K917" s="141"/>
      <c r="L917" s="141">
        <f t="shared" si="24"/>
        <v>20000</v>
      </c>
      <c r="M917" s="141">
        <v>20000</v>
      </c>
      <c r="N917" s="141">
        <v>0</v>
      </c>
      <c r="O917" s="141"/>
      <c r="P917" s="141">
        <v>20000</v>
      </c>
      <c r="Q917" s="141">
        <v>20000</v>
      </c>
      <c r="R917" s="122">
        <v>20000</v>
      </c>
      <c r="S917" s="1450"/>
      <c r="T917" s="1476"/>
    </row>
    <row r="918" spans="1:26" s="7" customFormat="1" ht="18" customHeight="1" x14ac:dyDescent="0.25">
      <c r="A918" s="573" t="s">
        <v>1386</v>
      </c>
      <c r="B918" s="573" t="s">
        <v>123</v>
      </c>
      <c r="C918" s="1356" t="s">
        <v>1543</v>
      </c>
      <c r="D918" s="1355"/>
      <c r="E918" s="1355"/>
      <c r="F918" s="1355"/>
      <c r="G918" s="1355"/>
      <c r="H918" s="221" t="s">
        <v>146</v>
      </c>
      <c r="I918" s="141">
        <v>10000</v>
      </c>
      <c r="J918" s="141">
        <v>15000</v>
      </c>
      <c r="K918" s="141"/>
      <c r="L918" s="141">
        <f t="shared" si="24"/>
        <v>15000</v>
      </c>
      <c r="M918" s="141">
        <v>15000</v>
      </c>
      <c r="N918" s="141">
        <v>0</v>
      </c>
      <c r="O918" s="141"/>
      <c r="P918" s="141">
        <v>15000</v>
      </c>
      <c r="Q918" s="141">
        <v>15000</v>
      </c>
      <c r="R918" s="122">
        <v>15000</v>
      </c>
      <c r="S918" s="1460"/>
      <c r="T918" s="1475"/>
      <c r="U918" s="1380"/>
      <c r="V918" s="1380"/>
      <c r="W918" s="1380"/>
      <c r="X918" s="1380"/>
      <c r="Y918" s="1380"/>
      <c r="Z918" s="1380"/>
    </row>
    <row r="919" spans="1:26" ht="18" x14ac:dyDescent="0.25">
      <c r="A919" s="573" t="s">
        <v>1386</v>
      </c>
      <c r="B919" s="573" t="s">
        <v>123</v>
      </c>
      <c r="C919" s="1356" t="s">
        <v>1543</v>
      </c>
      <c r="D919" s="1355"/>
      <c r="E919" s="1355"/>
      <c r="F919" s="1355"/>
      <c r="G919" s="1355"/>
      <c r="H919" s="221" t="s">
        <v>146</v>
      </c>
      <c r="I919" s="141">
        <v>15000</v>
      </c>
      <c r="J919" s="141">
        <v>20000</v>
      </c>
      <c r="K919" s="141"/>
      <c r="L919" s="141">
        <f t="shared" si="24"/>
        <v>20000</v>
      </c>
      <c r="M919" s="141">
        <v>20000</v>
      </c>
      <c r="N919" s="141"/>
      <c r="O919" s="141"/>
      <c r="P919" s="141">
        <v>20000</v>
      </c>
      <c r="Q919" s="141">
        <v>20000</v>
      </c>
      <c r="R919" s="122">
        <v>20000</v>
      </c>
    </row>
    <row r="920" spans="1:26" s="146" customFormat="1" ht="18" x14ac:dyDescent="0.25">
      <c r="A920" s="573" t="s">
        <v>1386</v>
      </c>
      <c r="B920" s="573" t="s">
        <v>123</v>
      </c>
      <c r="C920" s="1356" t="s">
        <v>1543</v>
      </c>
      <c r="D920" s="1355"/>
      <c r="E920" s="1355"/>
      <c r="F920" s="1355"/>
      <c r="G920" s="1355"/>
      <c r="H920" s="221" t="s">
        <v>146</v>
      </c>
      <c r="I920" s="141">
        <v>15000</v>
      </c>
      <c r="J920" s="141">
        <v>35000</v>
      </c>
      <c r="K920" s="141"/>
      <c r="L920" s="141">
        <f t="shared" si="24"/>
        <v>35000</v>
      </c>
      <c r="M920" s="141">
        <v>35000</v>
      </c>
      <c r="N920" s="141"/>
      <c r="O920" s="141"/>
      <c r="P920" s="141">
        <v>35000</v>
      </c>
      <c r="Q920" s="141">
        <v>35000</v>
      </c>
      <c r="R920" s="122">
        <v>35000</v>
      </c>
      <c r="S920" s="239"/>
      <c r="T920" s="1476"/>
    </row>
    <row r="921" spans="1:26" s="146" customFormat="1" ht="18" x14ac:dyDescent="0.25">
      <c r="A921" s="573" t="s">
        <v>1386</v>
      </c>
      <c r="B921" s="573" t="s">
        <v>123</v>
      </c>
      <c r="C921" s="1382" t="s">
        <v>1543</v>
      </c>
      <c r="D921" s="1355"/>
      <c r="E921" s="1355"/>
      <c r="F921" s="1355"/>
      <c r="G921" s="1355"/>
      <c r="H921" s="221" t="s">
        <v>146</v>
      </c>
      <c r="I921" s="141">
        <v>180000</v>
      </c>
      <c r="J921" s="141">
        <v>185000</v>
      </c>
      <c r="K921" s="141"/>
      <c r="L921" s="141">
        <f t="shared" si="24"/>
        <v>185000</v>
      </c>
      <c r="M921" s="141">
        <v>185000</v>
      </c>
      <c r="N921" s="141"/>
      <c r="O921" s="141"/>
      <c r="P921" s="141">
        <v>185000</v>
      </c>
      <c r="Q921" s="141">
        <v>185000</v>
      </c>
      <c r="R921" s="122">
        <v>185000</v>
      </c>
      <c r="S921" s="239"/>
      <c r="T921" s="1476"/>
    </row>
    <row r="922" spans="1:26" s="48" customFormat="1" ht="21.75" customHeight="1" x14ac:dyDescent="0.25">
      <c r="A922" s="573" t="s">
        <v>1386</v>
      </c>
      <c r="B922" s="573" t="s">
        <v>123</v>
      </c>
      <c r="C922" s="1382" t="s">
        <v>1543</v>
      </c>
      <c r="D922" s="1355"/>
      <c r="E922" s="1355"/>
      <c r="F922" s="1355"/>
      <c r="G922" s="1355"/>
      <c r="H922" s="221" t="s">
        <v>146</v>
      </c>
      <c r="I922" s="141">
        <v>55000</v>
      </c>
      <c r="J922" s="141">
        <v>90000</v>
      </c>
      <c r="K922" s="141"/>
      <c r="L922" s="141">
        <f t="shared" si="24"/>
        <v>90000</v>
      </c>
      <c r="M922" s="141">
        <v>90000</v>
      </c>
      <c r="N922" s="141">
        <v>0</v>
      </c>
      <c r="O922" s="141"/>
      <c r="P922" s="141">
        <v>90000</v>
      </c>
      <c r="Q922" s="141">
        <v>90000</v>
      </c>
      <c r="R922" s="122">
        <v>90000</v>
      </c>
      <c r="S922" s="1701"/>
      <c r="T922" s="1477"/>
      <c r="U922" s="169"/>
      <c r="V922" s="169"/>
      <c r="W922" s="169"/>
      <c r="X922" s="169"/>
      <c r="Y922" s="169"/>
      <c r="Z922" s="169"/>
    </row>
    <row r="923" spans="1:26" s="1153" customFormat="1" ht="18.75" customHeight="1" x14ac:dyDescent="0.25">
      <c r="A923" s="573" t="s">
        <v>1386</v>
      </c>
      <c r="B923" s="573" t="s">
        <v>123</v>
      </c>
      <c r="C923" s="1356" t="s">
        <v>1543</v>
      </c>
      <c r="D923" s="1355"/>
      <c r="E923" s="1355"/>
      <c r="F923" s="1355"/>
      <c r="G923" s="1355"/>
      <c r="H923" s="221" t="s">
        <v>146</v>
      </c>
      <c r="I923" s="141">
        <v>2000</v>
      </c>
      <c r="J923" s="141">
        <v>15000</v>
      </c>
      <c r="K923" s="141"/>
      <c r="L923" s="141">
        <f t="shared" si="24"/>
        <v>15000</v>
      </c>
      <c r="M923" s="141">
        <v>15000</v>
      </c>
      <c r="N923" s="141"/>
      <c r="O923" s="141"/>
      <c r="P923" s="141">
        <v>15000</v>
      </c>
      <c r="Q923" s="141">
        <v>15000</v>
      </c>
      <c r="R923" s="122">
        <v>15000</v>
      </c>
      <c r="S923" s="1701"/>
      <c r="T923" s="1483"/>
      <c r="U923" s="1256"/>
      <c r="V923" s="1256"/>
      <c r="W923" s="1256"/>
      <c r="X923" s="1256"/>
      <c r="Y923" s="1256"/>
      <c r="Z923" s="1256"/>
    </row>
    <row r="924" spans="1:26" s="48" customFormat="1" ht="18" customHeight="1" x14ac:dyDescent="0.25">
      <c r="A924" s="573" t="s">
        <v>1386</v>
      </c>
      <c r="B924" s="573" t="s">
        <v>123</v>
      </c>
      <c r="C924" s="1356" t="s">
        <v>1543</v>
      </c>
      <c r="D924" s="1355"/>
      <c r="E924" s="1355"/>
      <c r="F924" s="1355"/>
      <c r="G924" s="1355"/>
      <c r="H924" s="381" t="s">
        <v>146</v>
      </c>
      <c r="I924" s="141">
        <v>0</v>
      </c>
      <c r="J924" s="141">
        <v>10000</v>
      </c>
      <c r="K924" s="141"/>
      <c r="L924" s="141">
        <f t="shared" si="24"/>
        <v>10000</v>
      </c>
      <c r="M924" s="141">
        <v>10000</v>
      </c>
      <c r="N924" s="141"/>
      <c r="O924" s="141"/>
      <c r="P924" s="141">
        <v>10000</v>
      </c>
      <c r="Q924" s="141">
        <v>10000</v>
      </c>
      <c r="R924" s="122">
        <v>10000</v>
      </c>
      <c r="S924" s="239"/>
      <c r="T924" s="1477"/>
      <c r="U924" s="169"/>
      <c r="V924" s="169"/>
      <c r="W924" s="169"/>
      <c r="X924" s="169"/>
      <c r="Y924" s="169"/>
      <c r="Z924" s="169"/>
    </row>
    <row r="925" spans="1:26" s="146" customFormat="1" ht="18" customHeight="1" x14ac:dyDescent="0.25">
      <c r="A925" s="573" t="s">
        <v>1386</v>
      </c>
      <c r="B925" s="573" t="s">
        <v>123</v>
      </c>
      <c r="C925" s="1356" t="s">
        <v>1543</v>
      </c>
      <c r="D925" s="1355"/>
      <c r="E925" s="1355"/>
      <c r="F925" s="1355"/>
      <c r="G925" s="1355"/>
      <c r="H925" s="381" t="s">
        <v>146</v>
      </c>
      <c r="I925" s="141">
        <v>15000</v>
      </c>
      <c r="J925" s="141">
        <v>20000</v>
      </c>
      <c r="K925" s="141"/>
      <c r="L925" s="141">
        <f t="shared" si="24"/>
        <v>20000</v>
      </c>
      <c r="M925" s="141">
        <v>20000</v>
      </c>
      <c r="N925" s="141"/>
      <c r="O925" s="141"/>
      <c r="P925" s="141">
        <v>20000</v>
      </c>
      <c r="Q925" s="141">
        <v>20000</v>
      </c>
      <c r="R925" s="122">
        <v>20000</v>
      </c>
      <c r="S925" s="239"/>
      <c r="T925" s="1476"/>
    </row>
    <row r="926" spans="1:26" s="146" customFormat="1" ht="18" customHeight="1" x14ac:dyDescent="0.25">
      <c r="A926" s="573" t="s">
        <v>1386</v>
      </c>
      <c r="B926" s="573" t="s">
        <v>123</v>
      </c>
      <c r="C926" s="1356" t="s">
        <v>1543</v>
      </c>
      <c r="D926" s="1355"/>
      <c r="E926" s="1355"/>
      <c r="F926" s="1355"/>
      <c r="G926" s="1355"/>
      <c r="H926" s="381" t="s">
        <v>146</v>
      </c>
      <c r="I926" s="141">
        <v>45000</v>
      </c>
      <c r="J926" s="141">
        <v>70000</v>
      </c>
      <c r="K926" s="141"/>
      <c r="L926" s="141">
        <f t="shared" si="24"/>
        <v>70000</v>
      </c>
      <c r="M926" s="141">
        <v>70000</v>
      </c>
      <c r="N926" s="141">
        <v>0</v>
      </c>
      <c r="O926" s="141"/>
      <c r="P926" s="141">
        <v>70000</v>
      </c>
      <c r="Q926" s="141">
        <v>70000</v>
      </c>
      <c r="R926" s="122">
        <v>70000</v>
      </c>
      <c r="S926" s="239"/>
      <c r="T926" s="1476"/>
    </row>
    <row r="927" spans="1:26" s="146" customFormat="1" ht="18" customHeight="1" x14ac:dyDescent="0.25">
      <c r="A927" s="573" t="s">
        <v>1386</v>
      </c>
      <c r="B927" s="573" t="s">
        <v>123</v>
      </c>
      <c r="C927" s="1356" t="s">
        <v>1543</v>
      </c>
      <c r="D927" s="1355"/>
      <c r="E927" s="1355"/>
      <c r="F927" s="1355"/>
      <c r="G927" s="1355"/>
      <c r="H927" s="381" t="s">
        <v>146</v>
      </c>
      <c r="I927" s="141">
        <v>30000</v>
      </c>
      <c r="J927" s="141">
        <v>30000</v>
      </c>
      <c r="K927" s="141"/>
      <c r="L927" s="141">
        <f t="shared" si="24"/>
        <v>30000</v>
      </c>
      <c r="M927" s="141">
        <v>30000</v>
      </c>
      <c r="N927" s="141"/>
      <c r="O927" s="141"/>
      <c r="P927" s="141">
        <v>30000</v>
      </c>
      <c r="Q927" s="141">
        <v>30000</v>
      </c>
      <c r="R927" s="122">
        <v>30000</v>
      </c>
      <c r="S927" s="239"/>
      <c r="T927" s="1476"/>
    </row>
    <row r="928" spans="1:26" s="146" customFormat="1" ht="18" customHeight="1" x14ac:dyDescent="0.25">
      <c r="A928" s="573" t="s">
        <v>1386</v>
      </c>
      <c r="B928" s="573" t="s">
        <v>123</v>
      </c>
      <c r="C928" s="1356" t="s">
        <v>1543</v>
      </c>
      <c r="D928" s="1355"/>
      <c r="E928" s="1355"/>
      <c r="F928" s="1355"/>
      <c r="G928" s="1355"/>
      <c r="H928" s="221" t="s">
        <v>146</v>
      </c>
      <c r="I928" s="141">
        <v>55000</v>
      </c>
      <c r="J928" s="141">
        <v>65000</v>
      </c>
      <c r="K928" s="141"/>
      <c r="L928" s="141">
        <f t="shared" si="24"/>
        <v>65000</v>
      </c>
      <c r="M928" s="141">
        <v>65000</v>
      </c>
      <c r="N928" s="141"/>
      <c r="O928" s="141"/>
      <c r="P928" s="141">
        <v>65000</v>
      </c>
      <c r="Q928" s="141">
        <v>65000</v>
      </c>
      <c r="R928" s="122">
        <v>65000</v>
      </c>
      <c r="S928" s="239"/>
      <c r="T928" s="1476"/>
    </row>
    <row r="929" spans="1:20" s="146" customFormat="1" ht="18" customHeight="1" x14ac:dyDescent="0.25">
      <c r="A929" s="573" t="s">
        <v>1386</v>
      </c>
      <c r="B929" s="573" t="s">
        <v>123</v>
      </c>
      <c r="C929" s="1356" t="s">
        <v>1543</v>
      </c>
      <c r="D929" s="1355"/>
      <c r="E929" s="1355"/>
      <c r="F929" s="1355"/>
      <c r="G929" s="1355"/>
      <c r="H929" s="221" t="s">
        <v>146</v>
      </c>
      <c r="I929" s="141">
        <v>180000</v>
      </c>
      <c r="J929" s="141">
        <v>225000</v>
      </c>
      <c r="K929" s="141"/>
      <c r="L929" s="141">
        <f t="shared" si="24"/>
        <v>225000</v>
      </c>
      <c r="M929" s="141">
        <v>225000</v>
      </c>
      <c r="N929" s="141"/>
      <c r="O929" s="141"/>
      <c r="P929" s="141">
        <v>225000</v>
      </c>
      <c r="Q929" s="141">
        <v>225000</v>
      </c>
      <c r="R929" s="122">
        <v>225000</v>
      </c>
      <c r="S929" s="239"/>
      <c r="T929" s="1476"/>
    </row>
    <row r="930" spans="1:20" s="146" customFormat="1" ht="18" customHeight="1" x14ac:dyDescent="0.25">
      <c r="A930" s="573" t="s">
        <v>1386</v>
      </c>
      <c r="B930" s="573" t="s">
        <v>123</v>
      </c>
      <c r="C930" s="1356" t="s">
        <v>1543</v>
      </c>
      <c r="D930" s="1355"/>
      <c r="E930" s="1355"/>
      <c r="F930" s="1355"/>
      <c r="G930" s="1355"/>
      <c r="H930" s="221" t="s">
        <v>146</v>
      </c>
      <c r="I930" s="141">
        <v>70000</v>
      </c>
      <c r="J930" s="141">
        <v>90000</v>
      </c>
      <c r="K930" s="141"/>
      <c r="L930" s="141">
        <f t="shared" si="24"/>
        <v>90000</v>
      </c>
      <c r="M930" s="141">
        <v>90000</v>
      </c>
      <c r="N930" s="141"/>
      <c r="O930" s="141"/>
      <c r="P930" s="141">
        <v>90000</v>
      </c>
      <c r="Q930" s="141">
        <v>90000</v>
      </c>
      <c r="R930" s="122">
        <v>90000</v>
      </c>
      <c r="S930" s="239"/>
      <c r="T930" s="1476"/>
    </row>
    <row r="931" spans="1:20" s="146" customFormat="1" ht="18" x14ac:dyDescent="0.25">
      <c r="A931" s="573" t="s">
        <v>1386</v>
      </c>
      <c r="B931" s="573" t="s">
        <v>123</v>
      </c>
      <c r="C931" s="1356" t="s">
        <v>1543</v>
      </c>
      <c r="D931" s="1355"/>
      <c r="E931" s="1355"/>
      <c r="F931" s="1355"/>
      <c r="G931" s="1355"/>
      <c r="H931" s="221" t="s">
        <v>146</v>
      </c>
      <c r="I931" s="141">
        <v>35000</v>
      </c>
      <c r="J931" s="141">
        <v>60000</v>
      </c>
      <c r="K931" s="141"/>
      <c r="L931" s="141">
        <f t="shared" si="24"/>
        <v>60000</v>
      </c>
      <c r="M931" s="141">
        <v>60000</v>
      </c>
      <c r="N931" s="141"/>
      <c r="O931" s="141"/>
      <c r="P931" s="141">
        <v>60000</v>
      </c>
      <c r="Q931" s="141">
        <v>60000</v>
      </c>
      <c r="R931" s="122">
        <v>60000</v>
      </c>
      <c r="S931" s="239"/>
      <c r="T931" s="1476"/>
    </row>
    <row r="932" spans="1:20" s="146" customFormat="1" ht="18" customHeight="1" x14ac:dyDescent="0.25">
      <c r="A932" s="573" t="s">
        <v>1386</v>
      </c>
      <c r="B932" s="573" t="s">
        <v>123</v>
      </c>
      <c r="C932" s="1356" t="s">
        <v>1543</v>
      </c>
      <c r="D932" s="1355"/>
      <c r="E932" s="1355"/>
      <c r="F932" s="1355"/>
      <c r="G932" s="1355"/>
      <c r="H932" s="221" t="s">
        <v>146</v>
      </c>
      <c r="I932" s="141">
        <v>20000</v>
      </c>
      <c r="J932" s="141">
        <v>20000</v>
      </c>
      <c r="K932" s="141"/>
      <c r="L932" s="141">
        <f t="shared" si="24"/>
        <v>20000</v>
      </c>
      <c r="M932" s="141">
        <v>20000</v>
      </c>
      <c r="N932" s="141"/>
      <c r="O932" s="141"/>
      <c r="P932" s="141">
        <v>20000</v>
      </c>
      <c r="Q932" s="141">
        <v>20000</v>
      </c>
      <c r="R932" s="122">
        <v>20000</v>
      </c>
      <c r="S932" s="239">
        <f>SUM(R914:R932)</f>
        <v>1195000</v>
      </c>
      <c r="T932" s="1476"/>
    </row>
    <row r="933" spans="1:20" s="146" customFormat="1" ht="18" customHeight="1" x14ac:dyDescent="0.25">
      <c r="A933" s="573" t="s">
        <v>1386</v>
      </c>
      <c r="B933" s="573" t="s">
        <v>123</v>
      </c>
      <c r="C933" s="1356" t="s">
        <v>135</v>
      </c>
      <c r="D933" s="1355"/>
      <c r="E933" s="1355"/>
      <c r="F933" s="1355"/>
      <c r="G933" s="1355"/>
      <c r="H933" s="381" t="s">
        <v>136</v>
      </c>
      <c r="I933" s="141">
        <v>451499.39</v>
      </c>
      <c r="J933" s="122">
        <v>449366.65</v>
      </c>
      <c r="K933" s="141">
        <v>138699.79999999999</v>
      </c>
      <c r="L933" s="141">
        <f t="shared" si="24"/>
        <v>310666.85000000003</v>
      </c>
      <c r="M933" s="122">
        <v>449366.65</v>
      </c>
      <c r="N933" s="122">
        <v>204140.27</v>
      </c>
      <c r="O933" s="122"/>
      <c r="P933" s="1397">
        <v>449366.65</v>
      </c>
      <c r="Q933" s="1397">
        <v>449366.65</v>
      </c>
      <c r="R933" s="122">
        <v>688125.6</v>
      </c>
      <c r="S933" s="239"/>
      <c r="T933" s="1476"/>
    </row>
    <row r="934" spans="1:20" s="146" customFormat="1" ht="18" customHeight="1" x14ac:dyDescent="0.25">
      <c r="A934" s="573" t="s">
        <v>1386</v>
      </c>
      <c r="B934" s="573" t="s">
        <v>123</v>
      </c>
      <c r="C934" s="1356" t="s">
        <v>135</v>
      </c>
      <c r="D934" s="1355"/>
      <c r="E934" s="1355"/>
      <c r="F934" s="1355"/>
      <c r="G934" s="1355"/>
      <c r="H934" s="221" t="s">
        <v>136</v>
      </c>
      <c r="I934" s="141">
        <v>496448.51</v>
      </c>
      <c r="J934" s="141">
        <v>625404.56000000006</v>
      </c>
      <c r="K934" s="141">
        <v>223051.6</v>
      </c>
      <c r="L934" s="141">
        <f t="shared" si="24"/>
        <v>402352.96000000008</v>
      </c>
      <c r="M934" s="141">
        <v>625404.56000000006</v>
      </c>
      <c r="N934" s="141">
        <v>296667.15000000002</v>
      </c>
      <c r="O934" s="141"/>
      <c r="P934" s="141">
        <v>641151.32999999996</v>
      </c>
      <c r="Q934" s="141">
        <v>641151.32999999996</v>
      </c>
      <c r="R934" s="122">
        <v>641151.32999999996</v>
      </c>
      <c r="S934" s="239"/>
      <c r="T934" s="1476"/>
    </row>
    <row r="935" spans="1:20" s="146" customFormat="1" ht="18" customHeight="1" x14ac:dyDescent="0.25">
      <c r="A935" s="573" t="s">
        <v>1386</v>
      </c>
      <c r="B935" s="573" t="s">
        <v>123</v>
      </c>
      <c r="C935" s="1385" t="s">
        <v>135</v>
      </c>
      <c r="D935" s="1355"/>
      <c r="E935" s="1355"/>
      <c r="F935" s="1355"/>
      <c r="G935" s="1355"/>
      <c r="H935" s="381" t="s">
        <v>136</v>
      </c>
      <c r="I935" s="141">
        <v>0</v>
      </c>
      <c r="J935" s="122">
        <v>62788.800000000003</v>
      </c>
      <c r="K935" s="141"/>
      <c r="L935" s="141">
        <f t="shared" si="24"/>
        <v>62788.800000000003</v>
      </c>
      <c r="M935" s="122">
        <v>62788.800000000003</v>
      </c>
      <c r="N935" s="141">
        <v>0</v>
      </c>
      <c r="O935" s="122"/>
      <c r="P935" s="1397">
        <v>62788.800000000003</v>
      </c>
      <c r="Q935" s="1397">
        <v>62788.800000000003</v>
      </c>
      <c r="R935" s="122">
        <v>62788.800000000003</v>
      </c>
      <c r="S935" s="239"/>
      <c r="T935" s="1476"/>
    </row>
    <row r="936" spans="1:20" s="146" customFormat="1" ht="18" x14ac:dyDescent="0.25">
      <c r="A936" s="573" t="s">
        <v>1386</v>
      </c>
      <c r="B936" s="573" t="s">
        <v>123</v>
      </c>
      <c r="C936" s="1356" t="s">
        <v>135</v>
      </c>
      <c r="D936" s="1355"/>
      <c r="E936" s="1355"/>
      <c r="F936" s="1355"/>
      <c r="G936" s="1355"/>
      <c r="H936" s="381" t="s">
        <v>136</v>
      </c>
      <c r="I936" s="141">
        <v>22218.04</v>
      </c>
      <c r="J936" s="141">
        <v>65629.69</v>
      </c>
      <c r="K936" s="141">
        <v>21817.03</v>
      </c>
      <c r="L936" s="141">
        <f t="shared" si="24"/>
        <v>43812.66</v>
      </c>
      <c r="M936" s="141">
        <v>65629.69</v>
      </c>
      <c r="N936" s="141">
        <v>21817.03</v>
      </c>
      <c r="O936" s="141"/>
      <c r="P936" s="141">
        <v>60730.94</v>
      </c>
      <c r="Q936" s="141">
        <v>60730.94</v>
      </c>
      <c r="R936" s="122">
        <v>60730.94</v>
      </c>
      <c r="S936" s="239"/>
      <c r="T936" s="1476"/>
    </row>
    <row r="937" spans="1:20" s="146" customFormat="1" ht="18" customHeight="1" x14ac:dyDescent="0.25">
      <c r="A937" s="573" t="s">
        <v>1386</v>
      </c>
      <c r="B937" s="573" t="s">
        <v>123</v>
      </c>
      <c r="C937" s="1356" t="s">
        <v>135</v>
      </c>
      <c r="D937" s="1355"/>
      <c r="E937" s="1355"/>
      <c r="F937" s="1355"/>
      <c r="G937" s="1355"/>
      <c r="H937" s="221" t="s">
        <v>136</v>
      </c>
      <c r="I937" s="141">
        <v>36053.019999999997</v>
      </c>
      <c r="J937" s="122">
        <v>69927.27</v>
      </c>
      <c r="K937" s="141"/>
      <c r="L937" s="141">
        <f t="shared" si="24"/>
        <v>69927.27</v>
      </c>
      <c r="M937" s="122">
        <v>69927.27</v>
      </c>
      <c r="N937" s="141">
        <v>0</v>
      </c>
      <c r="O937" s="122"/>
      <c r="P937" s="1397">
        <v>73027.27</v>
      </c>
      <c r="Q937" s="1397">
        <v>73027.27</v>
      </c>
      <c r="R937" s="122">
        <v>73027.27</v>
      </c>
      <c r="S937" s="239"/>
      <c r="T937" s="1476"/>
    </row>
    <row r="938" spans="1:20" s="146" customFormat="1" ht="18" x14ac:dyDescent="0.25">
      <c r="A938" s="573" t="s">
        <v>1386</v>
      </c>
      <c r="B938" s="573" t="s">
        <v>123</v>
      </c>
      <c r="C938" s="1356" t="s">
        <v>135</v>
      </c>
      <c r="D938" s="1355"/>
      <c r="E938" s="1355"/>
      <c r="F938" s="1355"/>
      <c r="G938" s="1355"/>
      <c r="H938" s="221" t="s">
        <v>136</v>
      </c>
      <c r="I938" s="141">
        <v>150688.32000000001</v>
      </c>
      <c r="J938" s="141">
        <v>434249.1</v>
      </c>
      <c r="K938" s="141">
        <v>29714.25</v>
      </c>
      <c r="L938" s="141">
        <f t="shared" si="24"/>
        <v>404534.85</v>
      </c>
      <c r="M938" s="141">
        <v>434249.1</v>
      </c>
      <c r="N938" s="141">
        <v>37083.99</v>
      </c>
      <c r="O938" s="141"/>
      <c r="P938" s="141">
        <v>434249.1</v>
      </c>
      <c r="Q938" s="141">
        <v>434249.1</v>
      </c>
      <c r="R938" s="122">
        <v>434249.1</v>
      </c>
      <c r="S938" s="239"/>
      <c r="T938" s="1476"/>
    </row>
    <row r="939" spans="1:20" s="146" customFormat="1" ht="18" x14ac:dyDescent="0.25">
      <c r="A939" s="573" t="s">
        <v>1386</v>
      </c>
      <c r="B939" s="573" t="s">
        <v>123</v>
      </c>
      <c r="C939" s="1356" t="s">
        <v>135</v>
      </c>
      <c r="D939" s="1355"/>
      <c r="E939" s="1355"/>
      <c r="F939" s="1355"/>
      <c r="G939" s="1355"/>
      <c r="H939" s="221" t="s">
        <v>136</v>
      </c>
      <c r="I939" s="141">
        <v>0</v>
      </c>
      <c r="J939" s="141">
        <v>30000</v>
      </c>
      <c r="K939" s="141"/>
      <c r="L939" s="141">
        <f t="shared" si="24"/>
        <v>30000</v>
      </c>
      <c r="M939" s="141">
        <v>30000</v>
      </c>
      <c r="N939" s="141"/>
      <c r="O939" s="141"/>
      <c r="P939" s="1398">
        <v>30000</v>
      </c>
      <c r="Q939" s="1398">
        <v>30000</v>
      </c>
      <c r="R939" s="122">
        <v>30000</v>
      </c>
      <c r="S939" s="239"/>
      <c r="T939" s="1476"/>
    </row>
    <row r="940" spans="1:20" s="146" customFormat="1" ht="18" x14ac:dyDescent="0.25">
      <c r="A940" s="573" t="s">
        <v>1386</v>
      </c>
      <c r="B940" s="573" t="s">
        <v>123</v>
      </c>
      <c r="C940" s="1382" t="s">
        <v>135</v>
      </c>
      <c r="D940" s="1355"/>
      <c r="E940" s="1355"/>
      <c r="F940" s="1355"/>
      <c r="G940" s="1355"/>
      <c r="H940" s="221" t="s">
        <v>136</v>
      </c>
      <c r="I940" s="141">
        <v>0</v>
      </c>
      <c r="J940" s="122">
        <v>50000</v>
      </c>
      <c r="K940" s="141"/>
      <c r="L940" s="141">
        <f t="shared" si="24"/>
        <v>50000</v>
      </c>
      <c r="M940" s="122">
        <v>50000</v>
      </c>
      <c r="N940" s="122"/>
      <c r="O940" s="122"/>
      <c r="P940" s="1397">
        <v>50000</v>
      </c>
      <c r="Q940" s="1397">
        <v>50000</v>
      </c>
      <c r="R940" s="122">
        <v>50000</v>
      </c>
      <c r="S940" s="239"/>
      <c r="T940" s="1476"/>
    </row>
    <row r="941" spans="1:20" s="146" customFormat="1" ht="18" customHeight="1" x14ac:dyDescent="0.25">
      <c r="A941" s="573" t="s">
        <v>1386</v>
      </c>
      <c r="B941" s="573" t="s">
        <v>123</v>
      </c>
      <c r="C941" s="1356" t="s">
        <v>135</v>
      </c>
      <c r="D941" s="1355"/>
      <c r="E941" s="1355"/>
      <c r="F941" s="1355"/>
      <c r="G941" s="1355"/>
      <c r="H941" s="221" t="s">
        <v>136</v>
      </c>
      <c r="I941" s="141">
        <v>0</v>
      </c>
      <c r="J941" s="122">
        <v>100000</v>
      </c>
      <c r="K941" s="141"/>
      <c r="L941" s="141">
        <f t="shared" si="24"/>
        <v>100000</v>
      </c>
      <c r="M941" s="122">
        <v>100000</v>
      </c>
      <c r="N941" s="122"/>
      <c r="O941" s="122"/>
      <c r="P941" s="1397">
        <v>100000</v>
      </c>
      <c r="Q941" s="1397">
        <v>100000</v>
      </c>
      <c r="R941" s="122">
        <v>100000</v>
      </c>
      <c r="S941" s="239"/>
      <c r="T941" s="1476"/>
    </row>
    <row r="942" spans="1:20" s="146" customFormat="1" ht="18" customHeight="1" x14ac:dyDescent="0.25">
      <c r="A942" s="573" t="s">
        <v>1386</v>
      </c>
      <c r="B942" s="573" t="s">
        <v>123</v>
      </c>
      <c r="C942" s="1382" t="s">
        <v>135</v>
      </c>
      <c r="D942" s="1355"/>
      <c r="E942" s="1355"/>
      <c r="F942" s="1355"/>
      <c r="G942" s="1355"/>
      <c r="H942" s="381" t="s">
        <v>136</v>
      </c>
      <c r="I942" s="141">
        <v>17353.580000000002</v>
      </c>
      <c r="J942" s="141">
        <v>119869.8</v>
      </c>
      <c r="K942" s="141"/>
      <c r="L942" s="141">
        <f t="shared" si="24"/>
        <v>119869.8</v>
      </c>
      <c r="M942" s="141">
        <v>119869.8</v>
      </c>
      <c r="N942" s="141"/>
      <c r="O942" s="141"/>
      <c r="P942" s="141">
        <v>125055.8</v>
      </c>
      <c r="Q942" s="141">
        <v>125055.8</v>
      </c>
      <c r="R942" s="122">
        <v>125055.8</v>
      </c>
      <c r="S942" s="239"/>
      <c r="T942" s="1476"/>
    </row>
    <row r="943" spans="1:20" s="146" customFormat="1" ht="18" customHeight="1" x14ac:dyDescent="0.25">
      <c r="A943" s="573" t="s">
        <v>1386</v>
      </c>
      <c r="B943" s="573" t="s">
        <v>123</v>
      </c>
      <c r="C943" s="1356" t="s">
        <v>135</v>
      </c>
      <c r="D943" s="1355"/>
      <c r="E943" s="1355"/>
      <c r="F943" s="1355"/>
      <c r="G943" s="1355"/>
      <c r="H943" s="381" t="s">
        <v>136</v>
      </c>
      <c r="I943" s="141">
        <v>88510.95</v>
      </c>
      <c r="J943" s="122">
        <v>147000</v>
      </c>
      <c r="K943" s="141">
        <v>45390.36</v>
      </c>
      <c r="L943" s="141">
        <f t="shared" si="24"/>
        <v>101609.64</v>
      </c>
      <c r="M943" s="122">
        <v>147000</v>
      </c>
      <c r="N943" s="122">
        <v>45390.36</v>
      </c>
      <c r="O943" s="122"/>
      <c r="P943" s="122">
        <v>157909.72</v>
      </c>
      <c r="Q943" s="122">
        <v>157909.72</v>
      </c>
      <c r="R943" s="122">
        <v>157909.72</v>
      </c>
      <c r="S943" s="239"/>
      <c r="T943" s="1476"/>
    </row>
    <row r="944" spans="1:20" s="146" customFormat="1" ht="18" customHeight="1" x14ac:dyDescent="0.25">
      <c r="A944" s="573" t="s">
        <v>1386</v>
      </c>
      <c r="B944" s="573" t="s">
        <v>123</v>
      </c>
      <c r="C944" s="1356" t="s">
        <v>135</v>
      </c>
      <c r="D944" s="1355"/>
      <c r="E944" s="1355"/>
      <c r="F944" s="1355"/>
      <c r="G944" s="1355"/>
      <c r="H944" s="381" t="s">
        <v>136</v>
      </c>
      <c r="I944" s="141"/>
      <c r="J944" s="122">
        <v>68040.570000000007</v>
      </c>
      <c r="K944" s="141"/>
      <c r="L944" s="141">
        <f t="shared" si="24"/>
        <v>68040.570000000007</v>
      </c>
      <c r="M944" s="122">
        <v>68040.570000000007</v>
      </c>
      <c r="N944" s="122"/>
      <c r="O944" s="122"/>
      <c r="P944" s="122">
        <v>62805.68</v>
      </c>
      <c r="Q944" s="122">
        <v>62805.68</v>
      </c>
      <c r="R944" s="122">
        <v>62805.68</v>
      </c>
      <c r="S944" s="239"/>
      <c r="T944" s="1476"/>
    </row>
    <row r="945" spans="1:20" s="146" customFormat="1" ht="18" customHeight="1" x14ac:dyDescent="0.25">
      <c r="A945" s="573" t="s">
        <v>1386</v>
      </c>
      <c r="B945" s="573" t="s">
        <v>123</v>
      </c>
      <c r="C945" s="1356" t="s">
        <v>135</v>
      </c>
      <c r="D945" s="1355"/>
      <c r="E945" s="1355"/>
      <c r="F945" s="1355"/>
      <c r="G945" s="1355"/>
      <c r="H945" s="221" t="s">
        <v>136</v>
      </c>
      <c r="I945" s="141">
        <v>79686.22</v>
      </c>
      <c r="J945" s="122">
        <v>307591.45</v>
      </c>
      <c r="K945" s="141">
        <v>90824.97</v>
      </c>
      <c r="L945" s="141">
        <f t="shared" si="24"/>
        <v>216766.48</v>
      </c>
      <c r="M945" s="122">
        <v>307591.45</v>
      </c>
      <c r="N945" s="122">
        <v>90824.97</v>
      </c>
      <c r="O945" s="122"/>
      <c r="P945" s="122">
        <v>282310.5</v>
      </c>
      <c r="Q945" s="122">
        <v>282310.5</v>
      </c>
      <c r="R945" s="122">
        <v>282310.5</v>
      </c>
      <c r="S945" s="239"/>
      <c r="T945" s="1476"/>
    </row>
    <row r="946" spans="1:20" s="146" customFormat="1" ht="18" x14ac:dyDescent="0.25">
      <c r="A946" s="573" t="s">
        <v>1386</v>
      </c>
      <c r="B946" s="573" t="s">
        <v>123</v>
      </c>
      <c r="C946" s="1356" t="s">
        <v>135</v>
      </c>
      <c r="D946" s="1355"/>
      <c r="E946" s="1355"/>
      <c r="F946" s="1355"/>
      <c r="G946" s="1355"/>
      <c r="H946" s="221" t="s">
        <v>136</v>
      </c>
      <c r="I946" s="141">
        <v>476064.45</v>
      </c>
      <c r="J946" s="141">
        <v>481917.36</v>
      </c>
      <c r="K946" s="141">
        <v>96680.87</v>
      </c>
      <c r="L946" s="141">
        <f t="shared" ref="L946:L977" si="25">M946-K946</f>
        <v>385236.49</v>
      </c>
      <c r="M946" s="141">
        <v>481917.36</v>
      </c>
      <c r="N946" s="141">
        <v>96680.87</v>
      </c>
      <c r="O946" s="141"/>
      <c r="P946" s="141">
        <v>481917.36</v>
      </c>
      <c r="Q946" s="141">
        <v>481917.36</v>
      </c>
      <c r="R946" s="122">
        <v>481917.36</v>
      </c>
      <c r="S946" s="1456"/>
      <c r="T946" s="1476"/>
    </row>
    <row r="947" spans="1:20" s="146" customFormat="1" ht="18" x14ac:dyDescent="0.25">
      <c r="A947" s="573" t="s">
        <v>1386</v>
      </c>
      <c r="B947" s="573" t="s">
        <v>123</v>
      </c>
      <c r="C947" s="1356" t="s">
        <v>135</v>
      </c>
      <c r="D947" s="1355"/>
      <c r="E947" s="1355"/>
      <c r="F947" s="1355"/>
      <c r="G947" s="1355"/>
      <c r="H947" s="221" t="s">
        <v>136</v>
      </c>
      <c r="I947" s="141">
        <v>65204.06</v>
      </c>
      <c r="J947" s="141">
        <v>171673.02</v>
      </c>
      <c r="K947" s="141">
        <v>96203.04</v>
      </c>
      <c r="L947" s="141">
        <f t="shared" si="25"/>
        <v>75469.98</v>
      </c>
      <c r="M947" s="141">
        <v>171673.02</v>
      </c>
      <c r="N947" s="141">
        <v>96203.04</v>
      </c>
      <c r="O947" s="141"/>
      <c r="P947" s="141">
        <v>131284.43</v>
      </c>
      <c r="Q947" s="141">
        <v>131284.43</v>
      </c>
      <c r="R947" s="122">
        <v>131284.43</v>
      </c>
      <c r="S947" s="239"/>
      <c r="T947" s="1476"/>
    </row>
    <row r="948" spans="1:20" s="146" customFormat="1" ht="18" customHeight="1" x14ac:dyDescent="0.25">
      <c r="A948" s="573" t="s">
        <v>1386</v>
      </c>
      <c r="B948" s="573" t="s">
        <v>123</v>
      </c>
      <c r="C948" s="1385" t="s">
        <v>135</v>
      </c>
      <c r="D948" s="1355"/>
      <c r="E948" s="1355"/>
      <c r="F948" s="1355"/>
      <c r="G948" s="1355"/>
      <c r="H948" s="221" t="s">
        <v>232</v>
      </c>
      <c r="I948" s="141">
        <v>100565.54</v>
      </c>
      <c r="J948" s="122">
        <v>306733.64</v>
      </c>
      <c r="K948" s="141">
        <v>21970.42</v>
      </c>
      <c r="L948" s="141">
        <f t="shared" si="25"/>
        <v>284763.22000000003</v>
      </c>
      <c r="M948" s="122">
        <v>306733.64</v>
      </c>
      <c r="N948" s="122">
        <v>34828.949999999997</v>
      </c>
      <c r="O948" s="122"/>
      <c r="P948" s="122">
        <v>341258.18</v>
      </c>
      <c r="Q948" s="122">
        <v>341258.18</v>
      </c>
      <c r="R948" s="122">
        <v>341258.18</v>
      </c>
      <c r="S948" s="239">
        <f>SUM(R933:R948)</f>
        <v>3722614.7100000004</v>
      </c>
      <c r="T948" s="1476"/>
    </row>
    <row r="949" spans="1:20" s="146" customFormat="1" ht="18" customHeight="1" x14ac:dyDescent="0.25">
      <c r="A949" s="573" t="s">
        <v>1386</v>
      </c>
      <c r="B949" s="573" t="s">
        <v>123</v>
      </c>
      <c r="C949" s="1356" t="s">
        <v>155</v>
      </c>
      <c r="D949" s="1355"/>
      <c r="E949" s="1355"/>
      <c r="F949" s="1355"/>
      <c r="G949" s="1355"/>
      <c r="H949" s="381" t="s">
        <v>156</v>
      </c>
      <c r="I949" s="141">
        <v>10800</v>
      </c>
      <c r="J949" s="141">
        <v>13200</v>
      </c>
      <c r="K949" s="141">
        <v>5400</v>
      </c>
      <c r="L949" s="141">
        <f t="shared" si="25"/>
        <v>7800</v>
      </c>
      <c r="M949" s="141">
        <v>13200</v>
      </c>
      <c r="N949" s="141">
        <v>7200</v>
      </c>
      <c r="O949" s="141"/>
      <c r="P949" s="141">
        <v>13200</v>
      </c>
      <c r="Q949" s="141">
        <v>13200</v>
      </c>
      <c r="R949" s="122">
        <v>13200</v>
      </c>
      <c r="S949" s="239"/>
      <c r="T949" s="1476"/>
    </row>
    <row r="950" spans="1:20" s="146" customFormat="1" ht="18" x14ac:dyDescent="0.25">
      <c r="A950" s="573" t="s">
        <v>1386</v>
      </c>
      <c r="B950" s="573" t="s">
        <v>123</v>
      </c>
      <c r="C950" s="1356" t="s">
        <v>155</v>
      </c>
      <c r="D950" s="1355"/>
      <c r="E950" s="1355"/>
      <c r="F950" s="1355"/>
      <c r="G950" s="1355"/>
      <c r="H950" s="221" t="s">
        <v>156</v>
      </c>
      <c r="I950" s="141">
        <v>15700</v>
      </c>
      <c r="J950" s="141">
        <v>36000</v>
      </c>
      <c r="K950" s="141">
        <v>8200</v>
      </c>
      <c r="L950" s="141">
        <f t="shared" si="25"/>
        <v>27800</v>
      </c>
      <c r="M950" s="141">
        <v>36000</v>
      </c>
      <c r="N950" s="141">
        <v>10600</v>
      </c>
      <c r="O950" s="141"/>
      <c r="P950" s="141">
        <v>36000</v>
      </c>
      <c r="Q950" s="141">
        <v>36000</v>
      </c>
      <c r="R950" s="122">
        <v>36000</v>
      </c>
      <c r="S950" s="239"/>
      <c r="T950" s="1476"/>
    </row>
    <row r="951" spans="1:20" s="146" customFormat="1" ht="18" x14ac:dyDescent="0.25">
      <c r="A951" s="573" t="s">
        <v>1386</v>
      </c>
      <c r="B951" s="573" t="s">
        <v>123</v>
      </c>
      <c r="C951" s="1356" t="s">
        <v>155</v>
      </c>
      <c r="D951" s="1355"/>
      <c r="E951" s="1355"/>
      <c r="F951" s="1355"/>
      <c r="G951" s="1355"/>
      <c r="H951" s="381" t="s">
        <v>156</v>
      </c>
      <c r="I951" s="141">
        <v>4800</v>
      </c>
      <c r="J951" s="141">
        <v>4800</v>
      </c>
      <c r="K951" s="141">
        <v>2400</v>
      </c>
      <c r="L951" s="141">
        <f t="shared" si="25"/>
        <v>2400</v>
      </c>
      <c r="M951" s="141">
        <v>4800</v>
      </c>
      <c r="N951" s="141">
        <v>3200</v>
      </c>
      <c r="O951" s="141"/>
      <c r="P951" s="141">
        <v>4800</v>
      </c>
      <c r="Q951" s="141">
        <v>4800</v>
      </c>
      <c r="R951" s="122">
        <v>4800</v>
      </c>
      <c r="S951" s="239"/>
      <c r="T951" s="1476"/>
    </row>
    <row r="952" spans="1:20" ht="18" x14ac:dyDescent="0.25">
      <c r="A952" s="573" t="s">
        <v>1386</v>
      </c>
      <c r="B952" s="573" t="s">
        <v>123</v>
      </c>
      <c r="C952" s="1356" t="s">
        <v>155</v>
      </c>
      <c r="D952" s="1355"/>
      <c r="E952" s="1355"/>
      <c r="F952" s="1355"/>
      <c r="G952" s="1355"/>
      <c r="H952" s="381" t="s">
        <v>156</v>
      </c>
      <c r="I952" s="141">
        <v>2400</v>
      </c>
      <c r="J952" s="141">
        <v>4800</v>
      </c>
      <c r="K952" s="141">
        <v>1200</v>
      </c>
      <c r="L952" s="141">
        <f t="shared" si="25"/>
        <v>3600</v>
      </c>
      <c r="M952" s="141">
        <v>4800</v>
      </c>
      <c r="N952" s="141">
        <v>1600</v>
      </c>
      <c r="O952" s="141"/>
      <c r="P952" s="141">
        <v>4800</v>
      </c>
      <c r="Q952" s="141">
        <v>4800</v>
      </c>
      <c r="R952" s="122">
        <v>4800</v>
      </c>
    </row>
    <row r="953" spans="1:20" ht="18" x14ac:dyDescent="0.25">
      <c r="A953" s="573" t="s">
        <v>1386</v>
      </c>
      <c r="B953" s="573" t="s">
        <v>123</v>
      </c>
      <c r="C953" s="1356" t="s">
        <v>155</v>
      </c>
      <c r="D953" s="1355"/>
      <c r="E953" s="1355"/>
      <c r="F953" s="1355"/>
      <c r="G953" s="1355"/>
      <c r="H953" s="221" t="s">
        <v>156</v>
      </c>
      <c r="I953" s="141">
        <v>2400</v>
      </c>
      <c r="J953" s="141">
        <v>3600</v>
      </c>
      <c r="K953" s="141">
        <v>1200</v>
      </c>
      <c r="L953" s="141">
        <f t="shared" si="25"/>
        <v>2400</v>
      </c>
      <c r="M953" s="141">
        <v>3600</v>
      </c>
      <c r="N953" s="141">
        <v>1600</v>
      </c>
      <c r="O953" s="141"/>
      <c r="P953" s="141">
        <v>3600</v>
      </c>
      <c r="Q953" s="141">
        <v>3600</v>
      </c>
      <c r="R953" s="122">
        <v>3600</v>
      </c>
    </row>
    <row r="954" spans="1:20" ht="18" x14ac:dyDescent="0.25">
      <c r="A954" s="573" t="s">
        <v>1386</v>
      </c>
      <c r="B954" s="573" t="s">
        <v>123</v>
      </c>
      <c r="C954" s="1356" t="s">
        <v>155</v>
      </c>
      <c r="D954" s="1355"/>
      <c r="E954" s="1355"/>
      <c r="F954" s="1355"/>
      <c r="G954" s="1355"/>
      <c r="H954" s="221" t="s">
        <v>156</v>
      </c>
      <c r="I954" s="141">
        <v>4000</v>
      </c>
      <c r="J954" s="141">
        <v>4800</v>
      </c>
      <c r="K954" s="141">
        <v>1800</v>
      </c>
      <c r="L954" s="141">
        <f t="shared" si="25"/>
        <v>3000</v>
      </c>
      <c r="M954" s="141">
        <v>4800</v>
      </c>
      <c r="N954" s="141">
        <v>2400</v>
      </c>
      <c r="O954" s="141"/>
      <c r="P954" s="141">
        <v>4800</v>
      </c>
      <c r="Q954" s="141">
        <v>4800</v>
      </c>
      <c r="R954" s="122">
        <v>4800</v>
      </c>
    </row>
    <row r="955" spans="1:20" ht="18" x14ac:dyDescent="0.25">
      <c r="A955" s="573" t="s">
        <v>1386</v>
      </c>
      <c r="B955" s="573" t="s">
        <v>123</v>
      </c>
      <c r="C955" s="1356" t="s">
        <v>155</v>
      </c>
      <c r="D955" s="1355"/>
      <c r="E955" s="1355"/>
      <c r="F955" s="1355"/>
      <c r="G955" s="1355"/>
      <c r="H955" s="221" t="s">
        <v>156</v>
      </c>
      <c r="I955" s="141">
        <v>4600</v>
      </c>
      <c r="J955" s="141">
        <v>8400</v>
      </c>
      <c r="K955" s="141">
        <v>1800</v>
      </c>
      <c r="L955" s="141">
        <f t="shared" si="25"/>
        <v>6600</v>
      </c>
      <c r="M955" s="141">
        <v>8400</v>
      </c>
      <c r="N955" s="141">
        <v>2400</v>
      </c>
      <c r="O955" s="141"/>
      <c r="P955" s="141">
        <v>8400</v>
      </c>
      <c r="Q955" s="141">
        <v>8400</v>
      </c>
      <c r="R955" s="122">
        <v>8400</v>
      </c>
    </row>
    <row r="956" spans="1:20" ht="18" x14ac:dyDescent="0.25">
      <c r="A956" s="573" t="s">
        <v>1386</v>
      </c>
      <c r="B956" s="573" t="s">
        <v>123</v>
      </c>
      <c r="C956" s="1356" t="s">
        <v>155</v>
      </c>
      <c r="D956" s="1355"/>
      <c r="E956" s="1355"/>
      <c r="F956" s="1355"/>
      <c r="G956" s="1355"/>
      <c r="H956" s="221" t="s">
        <v>156</v>
      </c>
      <c r="I956" s="141">
        <v>43100</v>
      </c>
      <c r="J956" s="141">
        <v>44400</v>
      </c>
      <c r="K956" s="141">
        <v>21600</v>
      </c>
      <c r="L956" s="141">
        <f t="shared" si="25"/>
        <v>22800</v>
      </c>
      <c r="M956" s="141">
        <v>44400</v>
      </c>
      <c r="N956" s="141">
        <v>28400</v>
      </c>
      <c r="O956" s="141"/>
      <c r="P956" s="141">
        <v>44400</v>
      </c>
      <c r="Q956" s="141">
        <v>44400</v>
      </c>
      <c r="R956" s="122">
        <v>44400</v>
      </c>
    </row>
    <row r="957" spans="1:20" ht="18" x14ac:dyDescent="0.25">
      <c r="A957" s="573" t="s">
        <v>1386</v>
      </c>
      <c r="B957" s="573" t="s">
        <v>123</v>
      </c>
      <c r="C957" s="1382" t="s">
        <v>155</v>
      </c>
      <c r="D957" s="1355"/>
      <c r="E957" s="1355"/>
      <c r="F957" s="1355"/>
      <c r="G957" s="1355"/>
      <c r="H957" s="221" t="s">
        <v>156</v>
      </c>
      <c r="I957" s="141">
        <v>13200</v>
      </c>
      <c r="J957" s="141">
        <v>21600</v>
      </c>
      <c r="K957" s="141">
        <v>6600</v>
      </c>
      <c r="L957" s="141">
        <f t="shared" si="25"/>
        <v>15000</v>
      </c>
      <c r="M957" s="141">
        <v>21600</v>
      </c>
      <c r="N957" s="141">
        <v>8800</v>
      </c>
      <c r="O957" s="141"/>
      <c r="P957" s="141">
        <v>21600</v>
      </c>
      <c r="Q957" s="141">
        <v>21600</v>
      </c>
      <c r="R957" s="122">
        <v>21600</v>
      </c>
    </row>
    <row r="958" spans="1:20" ht="18" x14ac:dyDescent="0.25">
      <c r="A958" s="573" t="s">
        <v>1386</v>
      </c>
      <c r="B958" s="573" t="s">
        <v>123</v>
      </c>
      <c r="C958" s="1382" t="s">
        <v>155</v>
      </c>
      <c r="D958" s="1355"/>
      <c r="E958" s="1381"/>
      <c r="F958" s="1381"/>
      <c r="G958" s="1381"/>
      <c r="H958" s="221" t="s">
        <v>156</v>
      </c>
      <c r="I958" s="141">
        <v>300</v>
      </c>
      <c r="J958" s="141">
        <v>3600</v>
      </c>
      <c r="K958" s="141">
        <v>600</v>
      </c>
      <c r="L958" s="141">
        <f t="shared" si="25"/>
        <v>3000</v>
      </c>
      <c r="M958" s="141">
        <v>3600</v>
      </c>
      <c r="N958" s="141">
        <v>800</v>
      </c>
      <c r="O958" s="141"/>
      <c r="P958" s="141">
        <v>3600</v>
      </c>
      <c r="Q958" s="141">
        <v>3600</v>
      </c>
      <c r="R958" s="122">
        <v>3600</v>
      </c>
    </row>
    <row r="959" spans="1:20" ht="18" x14ac:dyDescent="0.25">
      <c r="A959" s="573" t="s">
        <v>1386</v>
      </c>
      <c r="B959" s="573" t="s">
        <v>123</v>
      </c>
      <c r="C959" s="1382" t="s">
        <v>155</v>
      </c>
      <c r="D959" s="1355"/>
      <c r="E959" s="1381"/>
      <c r="F959" s="1381"/>
      <c r="G959" s="1381"/>
      <c r="H959" s="381" t="s">
        <v>156</v>
      </c>
      <c r="I959" s="141">
        <v>0</v>
      </c>
      <c r="J959" s="141">
        <v>2400</v>
      </c>
      <c r="K959" s="141"/>
      <c r="L959" s="141">
        <f t="shared" si="25"/>
        <v>2400</v>
      </c>
      <c r="M959" s="141">
        <v>2400</v>
      </c>
      <c r="N959" s="141"/>
      <c r="O959" s="141"/>
      <c r="P959" s="141">
        <v>2400</v>
      </c>
      <c r="Q959" s="141">
        <v>2400</v>
      </c>
      <c r="R959" s="122">
        <v>2400</v>
      </c>
    </row>
    <row r="960" spans="1:20" ht="18" x14ac:dyDescent="0.25">
      <c r="A960" s="573" t="s">
        <v>1386</v>
      </c>
      <c r="B960" s="573" t="s">
        <v>123</v>
      </c>
      <c r="C960" s="1356" t="s">
        <v>155</v>
      </c>
      <c r="D960" s="1355"/>
      <c r="E960" s="1355"/>
      <c r="F960" s="1355"/>
      <c r="G960" s="1355"/>
      <c r="H960" s="381" t="s">
        <v>156</v>
      </c>
      <c r="I960" s="141">
        <v>3600</v>
      </c>
      <c r="J960" s="141">
        <v>4800</v>
      </c>
      <c r="K960" s="141">
        <v>1800</v>
      </c>
      <c r="L960" s="141">
        <f t="shared" si="25"/>
        <v>3000</v>
      </c>
      <c r="M960" s="141">
        <v>4800</v>
      </c>
      <c r="N960" s="141">
        <v>2400</v>
      </c>
      <c r="O960" s="141"/>
      <c r="P960" s="141">
        <v>4800</v>
      </c>
      <c r="Q960" s="141">
        <v>4800</v>
      </c>
      <c r="R960" s="122">
        <v>4800</v>
      </c>
    </row>
    <row r="961" spans="1:20" ht="18" x14ac:dyDescent="0.25">
      <c r="A961" s="573" t="s">
        <v>1386</v>
      </c>
      <c r="B961" s="573" t="s">
        <v>123</v>
      </c>
      <c r="C961" s="1356" t="s">
        <v>155</v>
      </c>
      <c r="D961" s="1355"/>
      <c r="E961" s="1355"/>
      <c r="F961" s="1355"/>
      <c r="G961" s="1355"/>
      <c r="H961" s="381" t="s">
        <v>156</v>
      </c>
      <c r="I961" s="141">
        <v>10800</v>
      </c>
      <c r="J961" s="141">
        <v>16800</v>
      </c>
      <c r="K961" s="141">
        <v>5400</v>
      </c>
      <c r="L961" s="141">
        <f t="shared" si="25"/>
        <v>11400</v>
      </c>
      <c r="M961" s="141">
        <v>16800</v>
      </c>
      <c r="N961" s="141">
        <v>7200</v>
      </c>
      <c r="O961" s="141"/>
      <c r="P961" s="141">
        <v>16800</v>
      </c>
      <c r="Q961" s="141">
        <v>16800</v>
      </c>
      <c r="R961" s="122">
        <v>16800</v>
      </c>
    </row>
    <row r="962" spans="1:20" ht="18" x14ac:dyDescent="0.25">
      <c r="A962" s="573" t="s">
        <v>1386</v>
      </c>
      <c r="B962" s="573" t="s">
        <v>123</v>
      </c>
      <c r="C962" s="1382" t="s">
        <v>155</v>
      </c>
      <c r="D962" s="1355"/>
      <c r="E962" s="1355"/>
      <c r="F962" s="1355"/>
      <c r="G962" s="1355"/>
      <c r="H962" s="381" t="s">
        <v>156</v>
      </c>
      <c r="I962" s="141">
        <v>6300</v>
      </c>
      <c r="J962" s="141">
        <v>7200</v>
      </c>
      <c r="K962" s="141">
        <v>3100</v>
      </c>
      <c r="L962" s="141">
        <f t="shared" si="25"/>
        <v>4100</v>
      </c>
      <c r="M962" s="141">
        <v>7200</v>
      </c>
      <c r="N962" s="141">
        <v>4100</v>
      </c>
      <c r="O962" s="141"/>
      <c r="P962" s="141">
        <v>7200</v>
      </c>
      <c r="Q962" s="141">
        <v>7200</v>
      </c>
      <c r="R962" s="122">
        <v>7200</v>
      </c>
      <c r="S962" s="1456"/>
    </row>
    <row r="963" spans="1:20" ht="18" x14ac:dyDescent="0.25">
      <c r="A963" s="573" t="s">
        <v>1386</v>
      </c>
      <c r="B963" s="573" t="s">
        <v>123</v>
      </c>
      <c r="C963" s="1356" t="s">
        <v>155</v>
      </c>
      <c r="D963" s="1355"/>
      <c r="E963" s="1355"/>
      <c r="F963" s="1355"/>
      <c r="G963" s="1355"/>
      <c r="H963" s="221" t="s">
        <v>156</v>
      </c>
      <c r="I963" s="141">
        <v>12500</v>
      </c>
      <c r="J963" s="141">
        <v>15600</v>
      </c>
      <c r="K963" s="141">
        <v>6600</v>
      </c>
      <c r="L963" s="141">
        <f t="shared" si="25"/>
        <v>9000</v>
      </c>
      <c r="M963" s="141">
        <v>15600</v>
      </c>
      <c r="N963" s="141">
        <v>8600</v>
      </c>
      <c r="O963" s="141"/>
      <c r="P963" s="141">
        <v>15600</v>
      </c>
      <c r="Q963" s="141">
        <v>15600</v>
      </c>
      <c r="R963" s="122">
        <v>15600</v>
      </c>
      <c r="S963" s="1456"/>
    </row>
    <row r="964" spans="1:20" s="146" customFormat="1" ht="18" customHeight="1" x14ac:dyDescent="0.25">
      <c r="A964" s="573" t="s">
        <v>1386</v>
      </c>
      <c r="B964" s="573" t="s">
        <v>123</v>
      </c>
      <c r="C964" s="1356" t="s">
        <v>155</v>
      </c>
      <c r="D964" s="1355"/>
      <c r="E964" s="1355"/>
      <c r="F964" s="1355"/>
      <c r="G964" s="1355"/>
      <c r="H964" s="221" t="s">
        <v>156</v>
      </c>
      <c r="I964" s="141">
        <v>43500</v>
      </c>
      <c r="J964" s="141">
        <v>54000</v>
      </c>
      <c r="K964" s="141">
        <v>21600</v>
      </c>
      <c r="L964" s="141">
        <f t="shared" si="25"/>
        <v>32400</v>
      </c>
      <c r="M964" s="141">
        <v>54000</v>
      </c>
      <c r="N964" s="141">
        <v>28800</v>
      </c>
      <c r="O964" s="141"/>
      <c r="P964" s="141">
        <v>54000</v>
      </c>
      <c r="Q964" s="141">
        <v>54000</v>
      </c>
      <c r="R964" s="122">
        <v>54000</v>
      </c>
      <c r="S964" s="239"/>
      <c r="T964" s="1476"/>
    </row>
    <row r="965" spans="1:20" s="146" customFormat="1" ht="18" customHeight="1" x14ac:dyDescent="0.25">
      <c r="A965" s="573" t="s">
        <v>1386</v>
      </c>
      <c r="B965" s="573" t="s">
        <v>123</v>
      </c>
      <c r="C965" s="1356" t="s">
        <v>155</v>
      </c>
      <c r="D965" s="1355"/>
      <c r="E965" s="1355"/>
      <c r="F965" s="1355"/>
      <c r="G965" s="1355"/>
      <c r="H965" s="221" t="s">
        <v>156</v>
      </c>
      <c r="I965" s="141">
        <v>16800</v>
      </c>
      <c r="J965" s="141">
        <v>21600</v>
      </c>
      <c r="K965" s="141">
        <v>8400</v>
      </c>
      <c r="L965" s="141">
        <f t="shared" si="25"/>
        <v>13200</v>
      </c>
      <c r="M965" s="141">
        <v>21600</v>
      </c>
      <c r="N965" s="141">
        <v>11200</v>
      </c>
      <c r="O965" s="141"/>
      <c r="P965" s="141">
        <v>21600</v>
      </c>
      <c r="Q965" s="141">
        <v>21600</v>
      </c>
      <c r="R965" s="122">
        <v>21600</v>
      </c>
      <c r="S965" s="239"/>
      <c r="T965" s="1476"/>
    </row>
    <row r="966" spans="1:20" s="146" customFormat="1" ht="18" customHeight="1" x14ac:dyDescent="0.25">
      <c r="A966" s="573" t="s">
        <v>1386</v>
      </c>
      <c r="B966" s="573" t="s">
        <v>123</v>
      </c>
      <c r="C966" s="1356" t="s">
        <v>155</v>
      </c>
      <c r="D966" s="1355"/>
      <c r="E966" s="1355"/>
      <c r="F966" s="1355"/>
      <c r="G966" s="1355"/>
      <c r="H966" s="221" t="s">
        <v>156</v>
      </c>
      <c r="I966" s="141">
        <v>8500</v>
      </c>
      <c r="J966" s="141">
        <v>14400</v>
      </c>
      <c r="K966" s="141">
        <v>4200</v>
      </c>
      <c r="L966" s="141">
        <f t="shared" si="25"/>
        <v>10200</v>
      </c>
      <c r="M966" s="141">
        <v>14400</v>
      </c>
      <c r="N966" s="141">
        <v>5600</v>
      </c>
      <c r="O966" s="141"/>
      <c r="P966" s="141">
        <v>14400</v>
      </c>
      <c r="Q966" s="141">
        <v>14400</v>
      </c>
      <c r="R966" s="122">
        <v>14400</v>
      </c>
      <c r="S966" s="239"/>
      <c r="T966" s="1476"/>
    </row>
    <row r="967" spans="1:20" s="146" customFormat="1" ht="18.75" customHeight="1" x14ac:dyDescent="0.25">
      <c r="A967" s="573" t="s">
        <v>1386</v>
      </c>
      <c r="B967" s="573" t="s">
        <v>123</v>
      </c>
      <c r="C967" s="1356" t="s">
        <v>155</v>
      </c>
      <c r="D967" s="1355"/>
      <c r="E967" s="1355"/>
      <c r="F967" s="1355"/>
      <c r="G967" s="1355"/>
      <c r="H967" s="221" t="s">
        <v>156</v>
      </c>
      <c r="I967" s="141">
        <v>4800</v>
      </c>
      <c r="J967" s="141">
        <v>4800</v>
      </c>
      <c r="K967" s="141">
        <v>2400</v>
      </c>
      <c r="L967" s="141">
        <f t="shared" si="25"/>
        <v>2400</v>
      </c>
      <c r="M967" s="141">
        <v>4800</v>
      </c>
      <c r="N967" s="141">
        <v>3200</v>
      </c>
      <c r="O967" s="141"/>
      <c r="P967" s="141">
        <v>4800</v>
      </c>
      <c r="Q967" s="141">
        <v>4800</v>
      </c>
      <c r="R967" s="122">
        <v>4800</v>
      </c>
      <c r="S967" s="239">
        <f>SUM(R949:R967)</f>
        <v>286800</v>
      </c>
      <c r="T967" s="1476"/>
    </row>
    <row r="968" spans="1:20" s="146" customFormat="1" ht="18" customHeight="1" x14ac:dyDescent="0.25">
      <c r="A968" s="573" t="s">
        <v>1386</v>
      </c>
      <c r="B968" s="573" t="s">
        <v>123</v>
      </c>
      <c r="C968" s="1356" t="s">
        <v>129</v>
      </c>
      <c r="D968" s="1355"/>
      <c r="E968" s="1355"/>
      <c r="F968" s="1355"/>
      <c r="G968" s="1355"/>
      <c r="H968" s="1392" t="s">
        <v>130</v>
      </c>
      <c r="I968" s="141">
        <v>212091.04</v>
      </c>
      <c r="J968" s="141">
        <v>264000</v>
      </c>
      <c r="K968" s="141">
        <v>102909.17</v>
      </c>
      <c r="L968" s="141">
        <f t="shared" si="25"/>
        <v>161090.83000000002</v>
      </c>
      <c r="M968" s="141">
        <v>264000</v>
      </c>
      <c r="N968" s="141">
        <v>138636.44</v>
      </c>
      <c r="O968" s="141"/>
      <c r="P968" s="141">
        <v>264000</v>
      </c>
      <c r="Q968" s="141">
        <v>264000</v>
      </c>
      <c r="R968" s="122">
        <v>264000</v>
      </c>
      <c r="S968" s="239"/>
      <c r="T968" s="1476"/>
    </row>
    <row r="969" spans="1:20" s="146" customFormat="1" ht="18" x14ac:dyDescent="0.25">
      <c r="A969" s="573" t="s">
        <v>1386</v>
      </c>
      <c r="B969" s="573" t="s">
        <v>123</v>
      </c>
      <c r="C969" s="1356" t="s">
        <v>129</v>
      </c>
      <c r="D969" s="1355"/>
      <c r="E969" s="1355"/>
      <c r="F969" s="1355"/>
      <c r="G969" s="1355"/>
      <c r="H969" s="1390" t="s">
        <v>130</v>
      </c>
      <c r="I969" s="141">
        <v>297273.23</v>
      </c>
      <c r="J969" s="141">
        <v>720000</v>
      </c>
      <c r="K969" s="141">
        <v>140909.26999999999</v>
      </c>
      <c r="L969" s="141">
        <f t="shared" si="25"/>
        <v>579090.73</v>
      </c>
      <c r="M969" s="141">
        <v>720000</v>
      </c>
      <c r="N969" s="141">
        <v>187909.26</v>
      </c>
      <c r="O969" s="141"/>
      <c r="P969" s="141">
        <v>720000</v>
      </c>
      <c r="Q969" s="141">
        <v>720000</v>
      </c>
      <c r="R969" s="122">
        <v>720000</v>
      </c>
      <c r="S969" s="1456"/>
      <c r="T969" s="1476"/>
    </row>
    <row r="970" spans="1:20" s="146" customFormat="1" ht="18" x14ac:dyDescent="0.25">
      <c r="A970" s="573" t="s">
        <v>1386</v>
      </c>
      <c r="B970" s="573" t="s">
        <v>123</v>
      </c>
      <c r="C970" s="1356" t="s">
        <v>129</v>
      </c>
      <c r="D970" s="1355"/>
      <c r="E970" s="1355"/>
      <c r="F970" s="1355"/>
      <c r="G970" s="1355"/>
      <c r="H970" s="1392" t="s">
        <v>130</v>
      </c>
      <c r="I970" s="141">
        <v>94727.31</v>
      </c>
      <c r="J970" s="141">
        <v>96000</v>
      </c>
      <c r="K970" s="141">
        <v>46363.65</v>
      </c>
      <c r="L970" s="141">
        <f t="shared" si="25"/>
        <v>49636.35</v>
      </c>
      <c r="M970" s="141">
        <v>96000</v>
      </c>
      <c r="N970" s="141">
        <v>62272.74</v>
      </c>
      <c r="O970" s="141"/>
      <c r="P970" s="141">
        <v>96000</v>
      </c>
      <c r="Q970" s="141">
        <v>96000</v>
      </c>
      <c r="R970" s="122">
        <v>96000</v>
      </c>
      <c r="S970" s="1456"/>
      <c r="T970" s="1476"/>
    </row>
    <row r="971" spans="1:20" s="146" customFormat="1" ht="18" x14ac:dyDescent="0.25">
      <c r="A971" s="573" t="s">
        <v>1386</v>
      </c>
      <c r="B971" s="573" t="s">
        <v>123</v>
      </c>
      <c r="C971" s="1356" t="s">
        <v>129</v>
      </c>
      <c r="D971" s="1355"/>
      <c r="E971" s="1355"/>
      <c r="F971" s="1355"/>
      <c r="G971" s="1355"/>
      <c r="H971" s="1392" t="s">
        <v>130</v>
      </c>
      <c r="I971" s="141">
        <v>48000</v>
      </c>
      <c r="J971" s="141">
        <v>96000</v>
      </c>
      <c r="K971" s="141">
        <v>24000</v>
      </c>
      <c r="L971" s="141">
        <f t="shared" si="25"/>
        <v>72000</v>
      </c>
      <c r="M971" s="141">
        <v>96000</v>
      </c>
      <c r="N971" s="141">
        <v>32000</v>
      </c>
      <c r="O971" s="141"/>
      <c r="P971" s="141">
        <v>96000</v>
      </c>
      <c r="Q971" s="141">
        <v>96000</v>
      </c>
      <c r="R971" s="122">
        <v>96000</v>
      </c>
      <c r="S971" s="239"/>
      <c r="T971" s="1476"/>
    </row>
    <row r="972" spans="1:20" s="146" customFormat="1" ht="18" x14ac:dyDescent="0.25">
      <c r="A972" s="573" t="s">
        <v>1386</v>
      </c>
      <c r="B972" s="573" t="s">
        <v>123</v>
      </c>
      <c r="C972" s="1356" t="s">
        <v>129</v>
      </c>
      <c r="D972" s="1355"/>
      <c r="E972" s="1355"/>
      <c r="F972" s="1355"/>
      <c r="G972" s="1355"/>
      <c r="H972" s="1390" t="s">
        <v>130</v>
      </c>
      <c r="I972" s="141">
        <v>48000</v>
      </c>
      <c r="J972" s="141">
        <v>72000</v>
      </c>
      <c r="K972" s="141">
        <v>24000</v>
      </c>
      <c r="L972" s="141">
        <f t="shared" si="25"/>
        <v>48000</v>
      </c>
      <c r="M972" s="141">
        <v>72000</v>
      </c>
      <c r="N972" s="141">
        <v>32000</v>
      </c>
      <c r="O972" s="141"/>
      <c r="P972" s="141">
        <v>72000</v>
      </c>
      <c r="Q972" s="141">
        <v>72000</v>
      </c>
      <c r="R972" s="122">
        <v>72000</v>
      </c>
      <c r="S972" s="239"/>
      <c r="T972" s="1476"/>
    </row>
    <row r="973" spans="1:20" s="146" customFormat="1" ht="18" x14ac:dyDescent="0.25">
      <c r="A973" s="573" t="s">
        <v>1386</v>
      </c>
      <c r="B973" s="573" t="s">
        <v>123</v>
      </c>
      <c r="C973" s="1382" t="s">
        <v>129</v>
      </c>
      <c r="D973" s="1355"/>
      <c r="E973" s="1355"/>
      <c r="F973" s="1355"/>
      <c r="G973" s="1355"/>
      <c r="H973" s="1390" t="s">
        <v>130</v>
      </c>
      <c r="I973" s="141">
        <v>78818.179999999993</v>
      </c>
      <c r="J973" s="141">
        <v>96000</v>
      </c>
      <c r="K973" s="141">
        <v>36000</v>
      </c>
      <c r="L973" s="141">
        <f t="shared" si="25"/>
        <v>60000</v>
      </c>
      <c r="M973" s="141">
        <v>96000</v>
      </c>
      <c r="N973" s="141">
        <v>48000</v>
      </c>
      <c r="O973" s="141"/>
      <c r="P973" s="141">
        <v>96000</v>
      </c>
      <c r="Q973" s="141">
        <v>96000</v>
      </c>
      <c r="R973" s="122">
        <v>96000</v>
      </c>
      <c r="S973" s="239"/>
      <c r="T973" s="1476"/>
    </row>
    <row r="974" spans="1:20" s="146" customFormat="1" ht="18" x14ac:dyDescent="0.25">
      <c r="A974" s="573" t="s">
        <v>1386</v>
      </c>
      <c r="B974" s="573" t="s">
        <v>123</v>
      </c>
      <c r="C974" s="1356" t="s">
        <v>129</v>
      </c>
      <c r="D974" s="1355"/>
      <c r="E974" s="1355"/>
      <c r="F974" s="1355"/>
      <c r="G974" s="1355"/>
      <c r="H974" s="1390" t="s">
        <v>130</v>
      </c>
      <c r="I974" s="141">
        <v>87727.35</v>
      </c>
      <c r="J974" s="141">
        <v>168000</v>
      </c>
      <c r="K974" s="141">
        <v>32727.3</v>
      </c>
      <c r="L974" s="141">
        <f t="shared" si="25"/>
        <v>135272.70000000001</v>
      </c>
      <c r="M974" s="141">
        <v>168000</v>
      </c>
      <c r="N974" s="141">
        <v>44545.48</v>
      </c>
      <c r="O974" s="141"/>
      <c r="P974" s="141">
        <v>168000</v>
      </c>
      <c r="Q974" s="141">
        <v>168000</v>
      </c>
      <c r="R974" s="122">
        <v>168000</v>
      </c>
      <c r="S974" s="239"/>
      <c r="T974" s="1476"/>
    </row>
    <row r="975" spans="1:20" s="146" customFormat="1" ht="18" x14ac:dyDescent="0.25">
      <c r="A975" s="573" t="s">
        <v>1386</v>
      </c>
      <c r="B975" s="573" t="s">
        <v>123</v>
      </c>
      <c r="C975" s="1356" t="s">
        <v>129</v>
      </c>
      <c r="D975" s="1355"/>
      <c r="E975" s="1355"/>
      <c r="F975" s="1355"/>
      <c r="G975" s="1355"/>
      <c r="H975" s="1390" t="s">
        <v>130</v>
      </c>
      <c r="I975" s="141">
        <v>830455.59</v>
      </c>
      <c r="J975" s="141">
        <v>888000</v>
      </c>
      <c r="K975" s="141">
        <v>390091.25</v>
      </c>
      <c r="L975" s="141">
        <f t="shared" si="25"/>
        <v>497908.75</v>
      </c>
      <c r="M975" s="141">
        <v>888000</v>
      </c>
      <c r="N975" s="141">
        <v>523545.77</v>
      </c>
      <c r="O975" s="141"/>
      <c r="P975" s="141">
        <v>888000</v>
      </c>
      <c r="Q975" s="141">
        <v>888000</v>
      </c>
      <c r="R975" s="122">
        <v>888000</v>
      </c>
      <c r="S975" s="239"/>
      <c r="T975" s="1476"/>
    </row>
    <row r="976" spans="1:20" s="146" customFormat="1" ht="18" x14ac:dyDescent="0.25">
      <c r="A976" s="573" t="s">
        <v>1386</v>
      </c>
      <c r="B976" s="573" t="s">
        <v>123</v>
      </c>
      <c r="C976" s="1382" t="s">
        <v>129</v>
      </c>
      <c r="D976" s="1355"/>
      <c r="E976" s="1355"/>
      <c r="F976" s="1355"/>
      <c r="G976" s="1355"/>
      <c r="H976" s="1390" t="s">
        <v>130</v>
      </c>
      <c r="I976" s="141">
        <v>261454.62</v>
      </c>
      <c r="J976" s="141">
        <v>432000</v>
      </c>
      <c r="K976" s="141">
        <v>128727.3</v>
      </c>
      <c r="L976" s="141">
        <f t="shared" si="25"/>
        <v>303272.7</v>
      </c>
      <c r="M976" s="141">
        <v>432000</v>
      </c>
      <c r="N976" s="141">
        <v>172545.48</v>
      </c>
      <c r="O976" s="141"/>
      <c r="P976" s="141">
        <v>432000</v>
      </c>
      <c r="Q976" s="141">
        <v>432000</v>
      </c>
      <c r="R976" s="122">
        <v>432000</v>
      </c>
      <c r="S976" s="239"/>
      <c r="T976" s="1476"/>
    </row>
    <row r="977" spans="1:20" s="146" customFormat="1" ht="18" x14ac:dyDescent="0.25">
      <c r="A977" s="573" t="s">
        <v>1386</v>
      </c>
      <c r="B977" s="573" t="s">
        <v>123</v>
      </c>
      <c r="C977" s="1382" t="s">
        <v>129</v>
      </c>
      <c r="D977" s="1355"/>
      <c r="E977" s="1381"/>
      <c r="F977" s="1381"/>
      <c r="G977" s="1381"/>
      <c r="H977" s="1390" t="s">
        <v>130</v>
      </c>
      <c r="I977" s="141">
        <v>5727.27</v>
      </c>
      <c r="J977" s="141">
        <v>72000</v>
      </c>
      <c r="K977" s="141">
        <v>12000</v>
      </c>
      <c r="L977" s="141">
        <f t="shared" si="25"/>
        <v>60000</v>
      </c>
      <c r="M977" s="141">
        <v>72000</v>
      </c>
      <c r="N977" s="141">
        <v>16000</v>
      </c>
      <c r="O977" s="141"/>
      <c r="P977" s="141">
        <v>72000</v>
      </c>
      <c r="Q977" s="141">
        <v>72000</v>
      </c>
      <c r="R977" s="122">
        <v>72000</v>
      </c>
      <c r="S977" s="239"/>
      <c r="T977" s="1476"/>
    </row>
    <row r="978" spans="1:20" s="146" customFormat="1" ht="18" x14ac:dyDescent="0.25">
      <c r="A978" s="573" t="s">
        <v>1386</v>
      </c>
      <c r="B978" s="573" t="s">
        <v>123</v>
      </c>
      <c r="C978" s="1356" t="s">
        <v>129</v>
      </c>
      <c r="D978" s="1355"/>
      <c r="E978" s="1355"/>
      <c r="F978" s="1355"/>
      <c r="G978" s="1355"/>
      <c r="H978" s="1392" t="s">
        <v>130</v>
      </c>
      <c r="I978" s="141">
        <v>0</v>
      </c>
      <c r="J978" s="141">
        <v>48000</v>
      </c>
      <c r="K978" s="141"/>
      <c r="L978" s="141">
        <f t="shared" ref="L978:L1009" si="26">M978-K978</f>
        <v>48000</v>
      </c>
      <c r="M978" s="141">
        <v>48000</v>
      </c>
      <c r="N978" s="141"/>
      <c r="O978" s="141"/>
      <c r="P978" s="141">
        <v>48000</v>
      </c>
      <c r="Q978" s="141">
        <v>48000</v>
      </c>
      <c r="R978" s="122">
        <v>48000</v>
      </c>
      <c r="S978" s="239"/>
      <c r="T978" s="1476"/>
    </row>
    <row r="979" spans="1:20" s="146" customFormat="1" ht="18" x14ac:dyDescent="0.25">
      <c r="A979" s="573" t="s">
        <v>1386</v>
      </c>
      <c r="B979" s="573" t="s">
        <v>123</v>
      </c>
      <c r="C979" s="1356" t="s">
        <v>129</v>
      </c>
      <c r="D979" s="1355"/>
      <c r="E979" s="1355"/>
      <c r="F979" s="1355"/>
      <c r="G979" s="1355"/>
      <c r="H979" s="1392" t="s">
        <v>130</v>
      </c>
      <c r="I979" s="141">
        <v>72000</v>
      </c>
      <c r="J979" s="141">
        <v>96000</v>
      </c>
      <c r="K979" s="141">
        <v>36000</v>
      </c>
      <c r="L979" s="141">
        <f t="shared" si="26"/>
        <v>60000</v>
      </c>
      <c r="M979" s="141">
        <v>96000</v>
      </c>
      <c r="N979" s="141">
        <v>48000</v>
      </c>
      <c r="O979" s="141"/>
      <c r="P979" s="141">
        <v>96000</v>
      </c>
      <c r="Q979" s="141">
        <v>96000</v>
      </c>
      <c r="R979" s="122">
        <v>96000</v>
      </c>
      <c r="S979" s="239"/>
      <c r="T979" s="1476"/>
    </row>
    <row r="980" spans="1:20" s="146" customFormat="1" ht="18" x14ac:dyDescent="0.25">
      <c r="A980" s="573" t="s">
        <v>1386</v>
      </c>
      <c r="B980" s="573" t="s">
        <v>123</v>
      </c>
      <c r="C980" s="1356" t="s">
        <v>129</v>
      </c>
      <c r="D980" s="1355"/>
      <c r="E980" s="1355"/>
      <c r="F980" s="1355"/>
      <c r="G980" s="1355"/>
      <c r="H980" s="1392" t="s">
        <v>130</v>
      </c>
      <c r="I980" s="141">
        <v>214181.85</v>
      </c>
      <c r="J980" s="141">
        <v>336000</v>
      </c>
      <c r="K980" s="141">
        <v>106272.74</v>
      </c>
      <c r="L980" s="141">
        <f t="shared" si="26"/>
        <v>229727.26</v>
      </c>
      <c r="M980" s="141">
        <v>336000</v>
      </c>
      <c r="N980" s="141">
        <v>142181.82999999999</v>
      </c>
      <c r="O980" s="141"/>
      <c r="P980" s="141">
        <v>336000</v>
      </c>
      <c r="Q980" s="141">
        <v>336000</v>
      </c>
      <c r="R980" s="122">
        <v>336000</v>
      </c>
      <c r="S980" s="239"/>
      <c r="T980" s="1476"/>
    </row>
    <row r="981" spans="1:20" s="146" customFormat="1" ht="18" x14ac:dyDescent="0.25">
      <c r="A981" s="573" t="s">
        <v>1386</v>
      </c>
      <c r="B981" s="573" t="s">
        <v>123</v>
      </c>
      <c r="C981" s="1382" t="s">
        <v>129</v>
      </c>
      <c r="D981" s="1355"/>
      <c r="E981" s="1355"/>
      <c r="F981" s="1355"/>
      <c r="G981" s="1355"/>
      <c r="H981" s="1392" t="s">
        <v>130</v>
      </c>
      <c r="I981" s="141">
        <v>124545.52</v>
      </c>
      <c r="J981" s="141">
        <v>144000</v>
      </c>
      <c r="K981" s="141">
        <v>60363.65</v>
      </c>
      <c r="L981" s="141">
        <f t="shared" si="26"/>
        <v>83636.350000000006</v>
      </c>
      <c r="M981" s="141">
        <v>144000</v>
      </c>
      <c r="N981" s="141">
        <v>80272.740000000005</v>
      </c>
      <c r="O981" s="141"/>
      <c r="P981" s="141">
        <v>144000</v>
      </c>
      <c r="Q981" s="141">
        <v>144000</v>
      </c>
      <c r="R981" s="122">
        <v>144000</v>
      </c>
      <c r="S981" s="239"/>
      <c r="T981" s="1476"/>
    </row>
    <row r="982" spans="1:20" s="146" customFormat="1" ht="18" x14ac:dyDescent="0.25">
      <c r="A982" s="573" t="s">
        <v>1386</v>
      </c>
      <c r="B982" s="573" t="s">
        <v>123</v>
      </c>
      <c r="C982" s="1356" t="s">
        <v>129</v>
      </c>
      <c r="D982" s="1355"/>
      <c r="E982" s="1355"/>
      <c r="F982" s="1355"/>
      <c r="G982" s="1355"/>
      <c r="H982" s="221" t="s">
        <v>130</v>
      </c>
      <c r="I982" s="141">
        <v>247090.91</v>
      </c>
      <c r="J982" s="141">
        <v>312000</v>
      </c>
      <c r="K982" s="141">
        <v>131818.18</v>
      </c>
      <c r="L982" s="141">
        <f t="shared" si="26"/>
        <v>180181.82</v>
      </c>
      <c r="M982" s="141">
        <v>312000</v>
      </c>
      <c r="N982" s="141">
        <v>171818.18</v>
      </c>
      <c r="O982" s="141"/>
      <c r="P982" s="141">
        <v>312000</v>
      </c>
      <c r="Q982" s="141">
        <v>312000</v>
      </c>
      <c r="R982" s="122">
        <v>312000</v>
      </c>
      <c r="S982" s="239"/>
      <c r="T982" s="1476"/>
    </row>
    <row r="983" spans="1:20" s="146" customFormat="1" ht="18" x14ac:dyDescent="0.25">
      <c r="A983" s="961" t="s">
        <v>1386</v>
      </c>
      <c r="B983" s="961" t="s">
        <v>123</v>
      </c>
      <c r="C983" s="1356" t="s">
        <v>129</v>
      </c>
      <c r="D983" s="1355"/>
      <c r="E983" s="1355"/>
      <c r="F983" s="1355"/>
      <c r="G983" s="1355"/>
      <c r="H983" s="1390" t="s">
        <v>130</v>
      </c>
      <c r="I983" s="141">
        <v>862636.63</v>
      </c>
      <c r="J983" s="141">
        <v>1080000</v>
      </c>
      <c r="K983" s="141">
        <v>421727.37</v>
      </c>
      <c r="L983" s="141">
        <f t="shared" si="26"/>
        <v>658272.63</v>
      </c>
      <c r="M983" s="141">
        <v>1080000</v>
      </c>
      <c r="N983" s="141">
        <v>565454.66</v>
      </c>
      <c r="O983" s="141"/>
      <c r="P983" s="141">
        <v>1080000</v>
      </c>
      <c r="Q983" s="141">
        <v>1080000</v>
      </c>
      <c r="R983" s="122">
        <v>1080000</v>
      </c>
      <c r="S983" s="239"/>
      <c r="T983" s="1476"/>
    </row>
    <row r="984" spans="1:20" s="146" customFormat="1" ht="18" x14ac:dyDescent="0.25">
      <c r="A984" s="961" t="s">
        <v>1386</v>
      </c>
      <c r="B984" s="961" t="s">
        <v>123</v>
      </c>
      <c r="C984" s="1356" t="s">
        <v>129</v>
      </c>
      <c r="D984" s="1355"/>
      <c r="E984" s="1355"/>
      <c r="F984" s="1355"/>
      <c r="G984" s="1355"/>
      <c r="H984" s="221" t="s">
        <v>130</v>
      </c>
      <c r="I984" s="141">
        <v>336000</v>
      </c>
      <c r="J984" s="141">
        <v>432000</v>
      </c>
      <c r="K984" s="141">
        <v>168000</v>
      </c>
      <c r="L984" s="141">
        <f t="shared" si="26"/>
        <v>264000</v>
      </c>
      <c r="M984" s="141">
        <v>432000</v>
      </c>
      <c r="N984" s="141">
        <v>224000</v>
      </c>
      <c r="O984" s="141"/>
      <c r="P984" s="141">
        <v>432000</v>
      </c>
      <c r="Q984" s="141">
        <v>432000</v>
      </c>
      <c r="R984" s="122">
        <v>432000</v>
      </c>
      <c r="S984" s="239"/>
      <c r="T984" s="1476"/>
    </row>
    <row r="985" spans="1:20" s="146" customFormat="1" ht="18" x14ac:dyDescent="0.25">
      <c r="A985" s="961" t="s">
        <v>1386</v>
      </c>
      <c r="B985" s="961" t="s">
        <v>123</v>
      </c>
      <c r="C985" s="1356" t="s">
        <v>129</v>
      </c>
      <c r="D985" s="1355"/>
      <c r="E985" s="1355"/>
      <c r="F985" s="1355"/>
      <c r="G985" s="1355"/>
      <c r="H985" s="1390" t="s">
        <v>130</v>
      </c>
      <c r="I985" s="141">
        <v>170000</v>
      </c>
      <c r="J985" s="141">
        <v>288000</v>
      </c>
      <c r="K985" s="141">
        <v>84000</v>
      </c>
      <c r="L985" s="141">
        <f t="shared" si="26"/>
        <v>204000</v>
      </c>
      <c r="M985" s="141">
        <v>288000</v>
      </c>
      <c r="N985" s="141">
        <v>112000</v>
      </c>
      <c r="O985" s="141"/>
      <c r="P985" s="141">
        <v>288000</v>
      </c>
      <c r="Q985" s="141">
        <v>288000</v>
      </c>
      <c r="R985" s="122">
        <v>288000</v>
      </c>
      <c r="S985" s="239"/>
      <c r="T985" s="1476"/>
    </row>
    <row r="986" spans="1:20" s="146" customFormat="1" ht="18" x14ac:dyDescent="0.25">
      <c r="A986" s="961" t="s">
        <v>1386</v>
      </c>
      <c r="B986" s="961" t="s">
        <v>123</v>
      </c>
      <c r="C986" s="1356" t="s">
        <v>129</v>
      </c>
      <c r="D986" s="1355"/>
      <c r="E986" s="1355"/>
      <c r="F986" s="1355"/>
      <c r="G986" s="1355"/>
      <c r="H986" s="1390" t="s">
        <v>130</v>
      </c>
      <c r="I986" s="141">
        <v>96000</v>
      </c>
      <c r="J986" s="141">
        <v>96000</v>
      </c>
      <c r="K986" s="141">
        <v>48000</v>
      </c>
      <c r="L986" s="141">
        <f t="shared" si="26"/>
        <v>48000</v>
      </c>
      <c r="M986" s="141">
        <v>96000</v>
      </c>
      <c r="N986" s="141">
        <v>64000</v>
      </c>
      <c r="O986" s="141"/>
      <c r="P986" s="141">
        <v>96000</v>
      </c>
      <c r="Q986" s="141">
        <v>96000</v>
      </c>
      <c r="R986" s="122">
        <v>96000</v>
      </c>
      <c r="S986" s="239">
        <f>SUM(R968:R986)</f>
        <v>5736000</v>
      </c>
      <c r="T986" s="1476"/>
    </row>
    <row r="987" spans="1:20" s="146" customFormat="1" ht="18" x14ac:dyDescent="0.25">
      <c r="A987" s="961" t="s">
        <v>1386</v>
      </c>
      <c r="B987" s="961" t="s">
        <v>123</v>
      </c>
      <c r="C987" s="1356" t="s">
        <v>157</v>
      </c>
      <c r="D987" s="1355"/>
      <c r="E987" s="1355"/>
      <c r="F987" s="1355"/>
      <c r="G987" s="1355"/>
      <c r="H987" s="381" t="s">
        <v>158</v>
      </c>
      <c r="I987" s="141">
        <v>38691.33</v>
      </c>
      <c r="J987" s="141">
        <v>131146.12</v>
      </c>
      <c r="K987" s="141">
        <v>21356.46</v>
      </c>
      <c r="L987" s="141">
        <f t="shared" si="26"/>
        <v>109789.66</v>
      </c>
      <c r="M987" s="141">
        <v>131146.12</v>
      </c>
      <c r="N987" s="141">
        <v>30985.78</v>
      </c>
      <c r="O987" s="141"/>
      <c r="P987" s="141">
        <v>78364.53</v>
      </c>
      <c r="Q987" s="141">
        <v>78364.53</v>
      </c>
      <c r="R987" s="122">
        <v>76573.070000000007</v>
      </c>
      <c r="S987" s="239"/>
      <c r="T987" s="1476"/>
    </row>
    <row r="988" spans="1:20" s="146" customFormat="1" ht="18" x14ac:dyDescent="0.25">
      <c r="A988" s="961" t="s">
        <v>1386</v>
      </c>
      <c r="B988" s="961" t="s">
        <v>123</v>
      </c>
      <c r="C988" s="1356" t="s">
        <v>157</v>
      </c>
      <c r="D988" s="1355"/>
      <c r="E988" s="1355"/>
      <c r="F988" s="1355"/>
      <c r="G988" s="1355"/>
      <c r="H988" s="221" t="s">
        <v>158</v>
      </c>
      <c r="I988" s="141">
        <v>28566.69</v>
      </c>
      <c r="J988" s="141">
        <v>183804</v>
      </c>
      <c r="K988" s="141">
        <v>16317.18</v>
      </c>
      <c r="L988" s="141">
        <f t="shared" si="26"/>
        <v>167486.82</v>
      </c>
      <c r="M988" s="141">
        <v>183804</v>
      </c>
      <c r="N988" s="141">
        <v>22523.34</v>
      </c>
      <c r="O988" s="141"/>
      <c r="P988" s="141">
        <v>107369.01</v>
      </c>
      <c r="Q988" s="141">
        <v>107369.01</v>
      </c>
      <c r="R988" s="122">
        <v>103245.84</v>
      </c>
      <c r="S988" s="239"/>
      <c r="T988" s="1476"/>
    </row>
    <row r="989" spans="1:20" s="146" customFormat="1" ht="18" x14ac:dyDescent="0.25">
      <c r="A989" s="961" t="s">
        <v>1386</v>
      </c>
      <c r="B989" s="961" t="s">
        <v>123</v>
      </c>
      <c r="C989" s="1356" t="s">
        <v>157</v>
      </c>
      <c r="D989" s="1355"/>
      <c r="E989" s="1355"/>
      <c r="F989" s="1355"/>
      <c r="G989" s="1355"/>
      <c r="H989" s="381" t="s">
        <v>158</v>
      </c>
      <c r="I989" s="141">
        <v>12276.54</v>
      </c>
      <c r="J989" s="141">
        <v>34423.11</v>
      </c>
      <c r="K989" s="141">
        <v>6798.21</v>
      </c>
      <c r="L989" s="141">
        <f t="shared" si="26"/>
        <v>27624.9</v>
      </c>
      <c r="M989" s="141">
        <v>34423.11</v>
      </c>
      <c r="N989" s="141">
        <v>9669.3700000000008</v>
      </c>
      <c r="O989" s="141"/>
      <c r="P989" s="141">
        <v>20216.52</v>
      </c>
      <c r="Q989" s="141">
        <v>20216.52</v>
      </c>
      <c r="R989" s="122">
        <v>19380.330000000002</v>
      </c>
      <c r="S989" s="239"/>
      <c r="T989" s="1476"/>
    </row>
    <row r="990" spans="1:20" ht="18" customHeight="1" x14ac:dyDescent="0.25">
      <c r="A990" s="961" t="s">
        <v>1386</v>
      </c>
      <c r="B990" s="961" t="s">
        <v>123</v>
      </c>
      <c r="C990" s="1356" t="s">
        <v>157</v>
      </c>
      <c r="D990" s="1355"/>
      <c r="E990" s="1355"/>
      <c r="F990" s="1355"/>
      <c r="G990" s="1355"/>
      <c r="H990" s="381" t="s">
        <v>158</v>
      </c>
      <c r="I990" s="141">
        <v>5396.99</v>
      </c>
      <c r="J990" s="141">
        <v>36551.129999999997</v>
      </c>
      <c r="K990" s="141">
        <v>3087.64</v>
      </c>
      <c r="L990" s="141">
        <f t="shared" si="26"/>
        <v>33463.49</v>
      </c>
      <c r="M990" s="141">
        <v>36551.129999999997</v>
      </c>
      <c r="N990" s="141">
        <v>4388.84</v>
      </c>
      <c r="O990" s="141"/>
      <c r="P990" s="141">
        <v>21425.040000000001</v>
      </c>
      <c r="Q990" s="141">
        <v>21425.040000000001</v>
      </c>
      <c r="R990" s="122">
        <v>20467.62</v>
      </c>
    </row>
    <row r="991" spans="1:20" ht="18" customHeight="1" x14ac:dyDescent="0.25">
      <c r="A991" s="961" t="s">
        <v>1386</v>
      </c>
      <c r="B991" s="961" t="s">
        <v>123</v>
      </c>
      <c r="C991" s="1356" t="s">
        <v>157</v>
      </c>
      <c r="D991" s="1355"/>
      <c r="E991" s="1355"/>
      <c r="F991" s="1355"/>
      <c r="G991" s="1355"/>
      <c r="H991" s="221" t="s">
        <v>158</v>
      </c>
      <c r="I991" s="141">
        <v>6683.7</v>
      </c>
      <c r="J991" s="141">
        <v>29220</v>
      </c>
      <c r="K991" s="141">
        <v>3815.7</v>
      </c>
      <c r="L991" s="141">
        <f t="shared" si="26"/>
        <v>25404.3</v>
      </c>
      <c r="M991" s="141">
        <v>29220</v>
      </c>
      <c r="N991" s="141">
        <v>5422.3</v>
      </c>
      <c r="O991" s="141"/>
      <c r="P991" s="141">
        <v>17134.2</v>
      </c>
      <c r="Q991" s="141">
        <v>17134.2</v>
      </c>
      <c r="R991" s="122">
        <v>16339.32</v>
      </c>
    </row>
    <row r="992" spans="1:20" ht="18" customHeight="1" x14ac:dyDescent="0.25">
      <c r="A992" s="961" t="s">
        <v>1386</v>
      </c>
      <c r="B992" s="961" t="s">
        <v>123</v>
      </c>
      <c r="C992" s="1356" t="s">
        <v>157</v>
      </c>
      <c r="D992" s="1355"/>
      <c r="E992" s="1355"/>
      <c r="F992" s="1355"/>
      <c r="G992" s="1355"/>
      <c r="H992" s="221" t="s">
        <v>158</v>
      </c>
      <c r="I992" s="141">
        <v>16161.78</v>
      </c>
      <c r="J992" s="141">
        <v>49205.74</v>
      </c>
      <c r="K992" s="141">
        <v>8364.25</v>
      </c>
      <c r="L992" s="141">
        <f t="shared" si="26"/>
        <v>40841.49</v>
      </c>
      <c r="M992" s="141">
        <v>49205.74</v>
      </c>
      <c r="N992" s="141">
        <v>11898.73</v>
      </c>
      <c r="O992" s="141"/>
      <c r="P992" s="141">
        <v>28782.54</v>
      </c>
      <c r="Q992" s="141">
        <v>28782.54</v>
      </c>
      <c r="R992" s="122">
        <v>27961.200000000001</v>
      </c>
      <c r="S992" s="1450"/>
    </row>
    <row r="993" spans="1:26" s="7" customFormat="1" ht="18.75" customHeight="1" x14ac:dyDescent="0.25">
      <c r="A993" s="961" t="s">
        <v>1386</v>
      </c>
      <c r="B993" s="961" t="s">
        <v>123</v>
      </c>
      <c r="C993" s="1356" t="s">
        <v>157</v>
      </c>
      <c r="D993" s="1355"/>
      <c r="E993" s="1355"/>
      <c r="F993" s="1355"/>
      <c r="G993" s="1355"/>
      <c r="H993" s="221" t="s">
        <v>158</v>
      </c>
      <c r="I993" s="141">
        <v>20263.98</v>
      </c>
      <c r="J993" s="141">
        <v>92446.720000000001</v>
      </c>
      <c r="K993" s="141">
        <v>8665.3799999999992</v>
      </c>
      <c r="L993" s="141">
        <f t="shared" si="26"/>
        <v>83781.34</v>
      </c>
      <c r="M993" s="141">
        <v>92446.720000000001</v>
      </c>
      <c r="N993" s="141">
        <v>12945.54</v>
      </c>
      <c r="O993" s="141"/>
      <c r="P993" s="141">
        <v>55875.69</v>
      </c>
      <c r="Q993" s="141">
        <v>55875.69</v>
      </c>
      <c r="R993" s="122">
        <v>54642.6</v>
      </c>
      <c r="S993" s="1460"/>
      <c r="T993" s="1475"/>
      <c r="U993" s="1380"/>
      <c r="V993" s="1380"/>
      <c r="W993" s="1380"/>
      <c r="X993" s="1380"/>
      <c r="Y993" s="1380"/>
      <c r="Z993" s="1380"/>
    </row>
    <row r="994" spans="1:26" s="146" customFormat="1" ht="18" x14ac:dyDescent="0.25">
      <c r="A994" s="961" t="s">
        <v>1386</v>
      </c>
      <c r="B994" s="961" t="s">
        <v>123</v>
      </c>
      <c r="C994" s="1356" t="s">
        <v>157</v>
      </c>
      <c r="D994" s="1355"/>
      <c r="E994" s="1355"/>
      <c r="F994" s="1355"/>
      <c r="G994" s="1355"/>
      <c r="H994" s="221" t="s">
        <v>158</v>
      </c>
      <c r="I994" s="141">
        <v>175000.92</v>
      </c>
      <c r="J994" s="141">
        <v>592812</v>
      </c>
      <c r="K994" s="141">
        <v>98216.16</v>
      </c>
      <c r="L994" s="141">
        <f t="shared" si="26"/>
        <v>494595.83999999997</v>
      </c>
      <c r="M994" s="141">
        <v>592812</v>
      </c>
      <c r="N994" s="141">
        <v>146271.51999999999</v>
      </c>
      <c r="O994" s="141"/>
      <c r="P994" s="141">
        <v>350878.23</v>
      </c>
      <c r="Q994" s="141">
        <v>350878.23</v>
      </c>
      <c r="R994" s="122">
        <v>341484.12</v>
      </c>
      <c r="S994" s="239"/>
      <c r="T994" s="1476"/>
    </row>
    <row r="995" spans="1:26" s="146" customFormat="1" ht="18" x14ac:dyDescent="0.25">
      <c r="A995" s="961" t="s">
        <v>1386</v>
      </c>
      <c r="B995" s="961" t="s">
        <v>123</v>
      </c>
      <c r="C995" s="1382" t="s">
        <v>157</v>
      </c>
      <c r="D995" s="1355"/>
      <c r="E995" s="1355"/>
      <c r="F995" s="1355"/>
      <c r="G995" s="1355"/>
      <c r="H995" s="221" t="s">
        <v>158</v>
      </c>
      <c r="I995" s="141">
        <v>35845.46</v>
      </c>
      <c r="J995" s="141">
        <v>168133.48</v>
      </c>
      <c r="K995" s="141">
        <v>19998.759999999998</v>
      </c>
      <c r="L995" s="141">
        <f t="shared" si="26"/>
        <v>148134.72</v>
      </c>
      <c r="M995" s="141">
        <v>168133.48</v>
      </c>
      <c r="N995" s="141">
        <v>29061.56</v>
      </c>
      <c r="O995" s="141"/>
      <c r="P995" s="141">
        <v>100543.41</v>
      </c>
      <c r="Q995" s="141">
        <v>100543.41</v>
      </c>
      <c r="R995" s="122">
        <v>97252.58</v>
      </c>
      <c r="S995" s="239"/>
      <c r="T995" s="1476"/>
    </row>
    <row r="996" spans="1:26" s="146" customFormat="1" ht="18" x14ac:dyDescent="0.25">
      <c r="A996" s="961" t="s">
        <v>1386</v>
      </c>
      <c r="B996" s="961" t="s">
        <v>123</v>
      </c>
      <c r="C996" s="1382" t="s">
        <v>157</v>
      </c>
      <c r="D996" s="1355"/>
      <c r="E996" s="1355"/>
      <c r="F996" s="1355"/>
      <c r="G996" s="1355"/>
      <c r="H996" s="221" t="s">
        <v>158</v>
      </c>
      <c r="I996" s="141">
        <v>2700</v>
      </c>
      <c r="J996" s="141">
        <v>50652</v>
      </c>
      <c r="K996" s="141">
        <v>6100</v>
      </c>
      <c r="L996" s="141">
        <f t="shared" si="26"/>
        <v>44552</v>
      </c>
      <c r="M996" s="141">
        <v>50652</v>
      </c>
      <c r="N996" s="141">
        <v>9300</v>
      </c>
      <c r="O996" s="141"/>
      <c r="P996" s="141">
        <v>29339.01</v>
      </c>
      <c r="Q996" s="141">
        <v>29339.01</v>
      </c>
      <c r="R996" s="122">
        <v>28654.02</v>
      </c>
      <c r="S996" s="239"/>
      <c r="T996" s="1476"/>
    </row>
    <row r="997" spans="1:26" s="48" customFormat="1" ht="21.75" customHeight="1" x14ac:dyDescent="0.25">
      <c r="A997" s="961" t="s">
        <v>1386</v>
      </c>
      <c r="B997" s="961" t="s">
        <v>123</v>
      </c>
      <c r="C997" s="1382" t="s">
        <v>157</v>
      </c>
      <c r="D997" s="1355"/>
      <c r="E997" s="1381"/>
      <c r="F997" s="1381"/>
      <c r="G997" s="1381"/>
      <c r="H997" s="381" t="s">
        <v>158</v>
      </c>
      <c r="I997" s="141">
        <v>0</v>
      </c>
      <c r="J997" s="141">
        <v>44160</v>
      </c>
      <c r="K997" s="141"/>
      <c r="L997" s="141">
        <f t="shared" si="26"/>
        <v>44160</v>
      </c>
      <c r="M997" s="141">
        <v>44160</v>
      </c>
      <c r="N997" s="141"/>
      <c r="O997" s="141"/>
      <c r="P997" s="141">
        <v>25547.67</v>
      </c>
      <c r="Q997" s="141">
        <v>25547.67</v>
      </c>
      <c r="R997" s="122">
        <v>25008.48</v>
      </c>
      <c r="S997" s="1701"/>
      <c r="T997" s="1477"/>
      <c r="U997" s="169"/>
      <c r="V997" s="169"/>
      <c r="W997" s="169"/>
      <c r="X997" s="169"/>
      <c r="Y997" s="169"/>
      <c r="Z997" s="169"/>
    </row>
    <row r="998" spans="1:26" s="1153" customFormat="1" ht="19.5" customHeight="1" x14ac:dyDescent="0.25">
      <c r="A998" s="961" t="s">
        <v>1386</v>
      </c>
      <c r="B998" s="961" t="s">
        <v>123</v>
      </c>
      <c r="C998" s="1382" t="s">
        <v>157</v>
      </c>
      <c r="D998" s="1355"/>
      <c r="E998" s="1355"/>
      <c r="F998" s="1355"/>
      <c r="G998" s="1355"/>
      <c r="H998" s="381" t="s">
        <v>158</v>
      </c>
      <c r="I998" s="141">
        <v>21269.75</v>
      </c>
      <c r="J998" s="141">
        <v>76863.14</v>
      </c>
      <c r="K998" s="141">
        <v>12255.39</v>
      </c>
      <c r="L998" s="141">
        <f t="shared" si="26"/>
        <v>64607.75</v>
      </c>
      <c r="M998" s="141">
        <v>76863.14</v>
      </c>
      <c r="N998" s="141">
        <v>18057.43</v>
      </c>
      <c r="O998" s="141"/>
      <c r="P998" s="141">
        <v>45396.45</v>
      </c>
      <c r="Q998" s="141">
        <v>45396.45</v>
      </c>
      <c r="R998" s="122">
        <v>44153.91</v>
      </c>
      <c r="S998" s="1701"/>
      <c r="T998" s="1483"/>
      <c r="U998" s="1256"/>
      <c r="V998" s="1256"/>
      <c r="W998" s="1256"/>
      <c r="X998" s="1256"/>
      <c r="Y998" s="1256"/>
      <c r="Z998" s="1256"/>
    </row>
    <row r="999" spans="1:26" s="48" customFormat="1" ht="18" customHeight="1" x14ac:dyDescent="0.25">
      <c r="A999" s="961" t="s">
        <v>1386</v>
      </c>
      <c r="B999" s="961" t="s">
        <v>123</v>
      </c>
      <c r="C999" s="1382" t="s">
        <v>157</v>
      </c>
      <c r="D999" s="1355"/>
      <c r="E999" s="1355"/>
      <c r="F999" s="1355"/>
      <c r="G999" s="1355"/>
      <c r="H999" s="381" t="s">
        <v>158</v>
      </c>
      <c r="I999" s="141">
        <v>38411.26</v>
      </c>
      <c r="J999" s="141">
        <v>172503.89</v>
      </c>
      <c r="K999" s="141">
        <v>21605.74</v>
      </c>
      <c r="L999" s="141">
        <f t="shared" si="26"/>
        <v>150898.15000000002</v>
      </c>
      <c r="M999" s="141">
        <v>172503.89</v>
      </c>
      <c r="N999" s="141">
        <v>31345.06</v>
      </c>
      <c r="O999" s="141"/>
      <c r="P999" s="141">
        <v>101966.85</v>
      </c>
      <c r="Q999" s="141">
        <v>101966.85</v>
      </c>
      <c r="R999" s="122">
        <v>98256.78</v>
      </c>
      <c r="S999" s="239"/>
      <c r="T999" s="1477"/>
      <c r="U999" s="169"/>
      <c r="V999" s="169"/>
      <c r="W999" s="169"/>
      <c r="X999" s="169"/>
      <c r="Y999" s="169"/>
      <c r="Z999" s="169"/>
    </row>
    <row r="1000" spans="1:26" s="146" customFormat="1" ht="18" customHeight="1" x14ac:dyDescent="0.25">
      <c r="A1000" s="961" t="s">
        <v>1386</v>
      </c>
      <c r="B1000" s="961" t="s">
        <v>123</v>
      </c>
      <c r="C1000" s="1356" t="s">
        <v>157</v>
      </c>
      <c r="D1000" s="1355"/>
      <c r="E1000" s="1355"/>
      <c r="F1000" s="1355"/>
      <c r="G1000" s="1355"/>
      <c r="H1000" s="381" t="s">
        <v>158</v>
      </c>
      <c r="I1000" s="141">
        <v>23390.6</v>
      </c>
      <c r="J1000" s="141">
        <v>81510.559999999998</v>
      </c>
      <c r="K1000" s="141">
        <v>12352.11</v>
      </c>
      <c r="L1000" s="141">
        <f t="shared" si="26"/>
        <v>69158.45</v>
      </c>
      <c r="M1000" s="141">
        <v>81510.559999999998</v>
      </c>
      <c r="N1000" s="141">
        <v>18008.509999999998</v>
      </c>
      <c r="O1000" s="141"/>
      <c r="P1000" s="141">
        <v>48256.83</v>
      </c>
      <c r="Q1000" s="141">
        <v>48256.83</v>
      </c>
      <c r="R1000" s="122">
        <v>46770.75</v>
      </c>
      <c r="S1000" s="239"/>
      <c r="T1000" s="1476"/>
    </row>
    <row r="1001" spans="1:26" s="146" customFormat="1" ht="18" customHeight="1" x14ac:dyDescent="0.25">
      <c r="A1001" s="961" t="s">
        <v>1386</v>
      </c>
      <c r="B1001" s="961" t="s">
        <v>123</v>
      </c>
      <c r="C1001" s="1356" t="s">
        <v>157</v>
      </c>
      <c r="D1001" s="1355"/>
      <c r="E1001" s="1355"/>
      <c r="F1001" s="1355"/>
      <c r="G1001" s="1355"/>
      <c r="H1001" s="221" t="s">
        <v>158</v>
      </c>
      <c r="I1001" s="141">
        <v>42546.14</v>
      </c>
      <c r="J1001" s="141">
        <v>148728.88</v>
      </c>
      <c r="K1001" s="141">
        <v>24457.119999999999</v>
      </c>
      <c r="L1001" s="141">
        <f t="shared" si="26"/>
        <v>124271.76000000001</v>
      </c>
      <c r="M1001" s="141">
        <v>148728.88</v>
      </c>
      <c r="N1001" s="141">
        <v>34571.96</v>
      </c>
      <c r="O1001" s="141"/>
      <c r="P1001" s="141">
        <v>87668.73</v>
      </c>
      <c r="Q1001" s="141">
        <v>87668.73</v>
      </c>
      <c r="R1001" s="122">
        <v>84980.34</v>
      </c>
      <c r="S1001" s="239"/>
      <c r="T1001" s="1476"/>
    </row>
    <row r="1002" spans="1:26" s="146" customFormat="1" ht="18" customHeight="1" x14ac:dyDescent="0.25">
      <c r="A1002" s="961" t="s">
        <v>1386</v>
      </c>
      <c r="B1002" s="961" t="s">
        <v>123</v>
      </c>
      <c r="C1002" s="1356" t="s">
        <v>157</v>
      </c>
      <c r="D1002" s="1355"/>
      <c r="E1002" s="1355"/>
      <c r="F1002" s="1355"/>
      <c r="G1002" s="1355"/>
      <c r="H1002" s="221" t="s">
        <v>158</v>
      </c>
      <c r="I1002" s="141">
        <v>90497.08</v>
      </c>
      <c r="J1002" s="141">
        <v>310779.34000000003</v>
      </c>
      <c r="K1002" s="141">
        <v>49894.400000000001</v>
      </c>
      <c r="L1002" s="141">
        <f t="shared" si="26"/>
        <v>260884.94000000003</v>
      </c>
      <c r="M1002" s="141">
        <v>310779.34000000003</v>
      </c>
      <c r="N1002" s="141">
        <v>71555.88</v>
      </c>
      <c r="O1002" s="141"/>
      <c r="P1002" s="141">
        <v>182329.92</v>
      </c>
      <c r="Q1002" s="141">
        <v>182329.92</v>
      </c>
      <c r="R1002" s="122">
        <v>175774.05</v>
      </c>
      <c r="S1002" s="239"/>
      <c r="T1002" s="1476"/>
    </row>
    <row r="1003" spans="1:26" s="146" customFormat="1" ht="18" customHeight="1" x14ac:dyDescent="0.25">
      <c r="A1003" s="1404" t="s">
        <v>1386</v>
      </c>
      <c r="B1003" s="1404" t="s">
        <v>123</v>
      </c>
      <c r="C1003" s="1356" t="s">
        <v>157</v>
      </c>
      <c r="D1003" s="1355"/>
      <c r="E1003" s="1355"/>
      <c r="F1003" s="1355"/>
      <c r="G1003" s="1355"/>
      <c r="H1003" s="221" t="s">
        <v>158</v>
      </c>
      <c r="I1003" s="141">
        <v>49311.42</v>
      </c>
      <c r="J1003" s="141">
        <v>201109.78</v>
      </c>
      <c r="K1003" s="141">
        <v>27471.68</v>
      </c>
      <c r="L1003" s="141">
        <f t="shared" si="26"/>
        <v>173638.1</v>
      </c>
      <c r="M1003" s="141">
        <v>201109.78</v>
      </c>
      <c r="N1003" s="141">
        <v>39678</v>
      </c>
      <c r="O1003" s="141"/>
      <c r="P1003" s="141">
        <v>118518.39</v>
      </c>
      <c r="Q1003" s="141">
        <v>118518.39</v>
      </c>
      <c r="R1003" s="122">
        <v>114365.63</v>
      </c>
      <c r="S1003" s="239"/>
      <c r="T1003" s="1476"/>
    </row>
    <row r="1004" spans="1:26" s="146" customFormat="1" ht="18" customHeight="1" x14ac:dyDescent="0.25">
      <c r="A1004" s="1404" t="s">
        <v>1386</v>
      </c>
      <c r="B1004" s="1404" t="s">
        <v>123</v>
      </c>
      <c r="C1004" s="1356" t="s">
        <v>157</v>
      </c>
      <c r="D1004" s="1355"/>
      <c r="E1004" s="1355"/>
      <c r="F1004" s="1355"/>
      <c r="G1004" s="1355"/>
      <c r="H1004" s="221" t="s">
        <v>158</v>
      </c>
      <c r="I1004" s="141">
        <v>32546.07</v>
      </c>
      <c r="J1004" s="141">
        <v>164872.28</v>
      </c>
      <c r="K1004" s="141">
        <v>17973.82</v>
      </c>
      <c r="L1004" s="141">
        <f t="shared" si="26"/>
        <v>146898.46</v>
      </c>
      <c r="M1004" s="141">
        <v>164872.28</v>
      </c>
      <c r="N1004" s="141">
        <v>26178.94</v>
      </c>
      <c r="O1004" s="141"/>
      <c r="P1004" s="141">
        <v>96196.41</v>
      </c>
      <c r="Q1004" s="141">
        <v>96196.41</v>
      </c>
      <c r="R1004" s="122">
        <v>92867.85</v>
      </c>
      <c r="S1004" s="239"/>
      <c r="T1004" s="1476"/>
    </row>
    <row r="1005" spans="1:26" s="146" customFormat="1" ht="18" customHeight="1" x14ac:dyDescent="0.25">
      <c r="A1005" s="1404" t="s">
        <v>1386</v>
      </c>
      <c r="B1005" s="1404" t="s">
        <v>123</v>
      </c>
      <c r="C1005" s="1356" t="s">
        <v>157</v>
      </c>
      <c r="D1005" s="1355"/>
      <c r="E1005" s="1355"/>
      <c r="F1005" s="1355"/>
      <c r="G1005" s="1355"/>
      <c r="H1005" s="221" t="s">
        <v>158</v>
      </c>
      <c r="I1005" s="141">
        <v>18882</v>
      </c>
      <c r="J1005" s="141">
        <v>61199.73</v>
      </c>
      <c r="K1005" s="141">
        <v>10568.75</v>
      </c>
      <c r="L1005" s="141">
        <f t="shared" si="26"/>
        <v>50630.98</v>
      </c>
      <c r="M1005" s="141">
        <v>61199.73</v>
      </c>
      <c r="N1005" s="141">
        <v>15653.95</v>
      </c>
      <c r="O1005" s="141"/>
      <c r="P1005" s="141">
        <v>36537.75</v>
      </c>
      <c r="Q1005" s="141">
        <v>36537.75</v>
      </c>
      <c r="R1005" s="122">
        <v>35578.71</v>
      </c>
      <c r="S1005" s="239">
        <f>SUM(R987:R1005)</f>
        <v>1503757.2000000002</v>
      </c>
      <c r="T1005" s="1476"/>
    </row>
    <row r="1006" spans="1:26" s="146" customFormat="1" ht="18" customHeight="1" x14ac:dyDescent="0.25">
      <c r="A1006" s="1404" t="s">
        <v>1386</v>
      </c>
      <c r="B1006" s="1404" t="s">
        <v>123</v>
      </c>
      <c r="C1006" s="1356" t="s">
        <v>131</v>
      </c>
      <c r="D1006" s="1355"/>
      <c r="E1006" s="1355"/>
      <c r="F1006" s="1355"/>
      <c r="G1006" s="1355"/>
      <c r="H1006" s="381" t="s">
        <v>132</v>
      </c>
      <c r="I1006" s="141">
        <v>96000</v>
      </c>
      <c r="J1006" s="141">
        <v>96000</v>
      </c>
      <c r="K1006" s="141">
        <v>48000</v>
      </c>
      <c r="L1006" s="141">
        <f t="shared" si="26"/>
        <v>48000</v>
      </c>
      <c r="M1006" s="141">
        <v>96000</v>
      </c>
      <c r="N1006" s="141">
        <v>64000</v>
      </c>
      <c r="O1006" s="141"/>
      <c r="P1006" s="141">
        <v>96000</v>
      </c>
      <c r="Q1006" s="141">
        <v>96000</v>
      </c>
      <c r="R1006" s="122">
        <v>96000</v>
      </c>
      <c r="S1006" s="239"/>
      <c r="T1006" s="1476"/>
    </row>
    <row r="1007" spans="1:26" s="146" customFormat="1" ht="18" x14ac:dyDescent="0.25">
      <c r="A1007" s="1404" t="s">
        <v>1386</v>
      </c>
      <c r="B1007" s="1404" t="s">
        <v>123</v>
      </c>
      <c r="C1007" s="1356" t="s">
        <v>131</v>
      </c>
      <c r="D1007" s="1355"/>
      <c r="E1007" s="1355"/>
      <c r="F1007" s="1355"/>
      <c r="G1007" s="1355"/>
      <c r="H1007" s="221" t="s">
        <v>132</v>
      </c>
      <c r="I1007" s="141">
        <v>86400</v>
      </c>
      <c r="J1007" s="141">
        <v>86400</v>
      </c>
      <c r="K1007" s="141">
        <v>43200</v>
      </c>
      <c r="L1007" s="141">
        <f t="shared" si="26"/>
        <v>43200</v>
      </c>
      <c r="M1007" s="141">
        <v>86400</v>
      </c>
      <c r="N1007" s="141">
        <v>57600</v>
      </c>
      <c r="O1007" s="141"/>
      <c r="P1007" s="141">
        <v>86400</v>
      </c>
      <c r="Q1007" s="141">
        <v>86400</v>
      </c>
      <c r="R1007" s="122">
        <v>86400</v>
      </c>
      <c r="S1007" s="239"/>
      <c r="T1007" s="1476"/>
    </row>
    <row r="1008" spans="1:26" s="146" customFormat="1" ht="18" customHeight="1" x14ac:dyDescent="0.25">
      <c r="A1008" s="1404" t="s">
        <v>1386</v>
      </c>
      <c r="B1008" s="1404" t="s">
        <v>123</v>
      </c>
      <c r="C1008" s="1356" t="s">
        <v>131</v>
      </c>
      <c r="D1008" s="1355"/>
      <c r="E1008" s="1355"/>
      <c r="F1008" s="1355"/>
      <c r="G1008" s="1355"/>
      <c r="H1008" s="221" t="s">
        <v>132</v>
      </c>
      <c r="I1008" s="141">
        <v>834000</v>
      </c>
      <c r="J1008" s="141">
        <v>864000</v>
      </c>
      <c r="K1008" s="141">
        <v>429000</v>
      </c>
      <c r="L1008" s="141">
        <f t="shared" si="26"/>
        <v>435000</v>
      </c>
      <c r="M1008" s="141">
        <v>864000</v>
      </c>
      <c r="N1008" s="141">
        <v>568500</v>
      </c>
      <c r="O1008" s="141"/>
      <c r="P1008" s="141">
        <v>864000</v>
      </c>
      <c r="Q1008" s="141">
        <v>864000</v>
      </c>
      <c r="R1008" s="122">
        <v>864000</v>
      </c>
      <c r="S1008" s="239"/>
      <c r="T1008" s="1476"/>
    </row>
    <row r="1009" spans="1:26" s="146" customFormat="1" ht="18" x14ac:dyDescent="0.25">
      <c r="A1009" s="1404" t="s">
        <v>1386</v>
      </c>
      <c r="B1009" s="1404" t="s">
        <v>123</v>
      </c>
      <c r="C1009" s="1356" t="s">
        <v>131</v>
      </c>
      <c r="D1009" s="1355"/>
      <c r="E1009" s="1355"/>
      <c r="F1009" s="1355"/>
      <c r="G1009" s="1355"/>
      <c r="H1009" s="221" t="s">
        <v>132</v>
      </c>
      <c r="I1009" s="141">
        <v>73500</v>
      </c>
      <c r="J1009" s="141">
        <v>72000</v>
      </c>
      <c r="K1009" s="141">
        <v>34500</v>
      </c>
      <c r="L1009" s="141">
        <f t="shared" si="26"/>
        <v>37500</v>
      </c>
      <c r="M1009" s="141">
        <v>72000</v>
      </c>
      <c r="N1009" s="141">
        <v>46500</v>
      </c>
      <c r="O1009" s="141"/>
      <c r="P1009" s="141">
        <v>72000</v>
      </c>
      <c r="Q1009" s="141">
        <v>72000</v>
      </c>
      <c r="R1009" s="122">
        <v>72000</v>
      </c>
      <c r="S1009" s="239"/>
      <c r="T1009" s="1476"/>
    </row>
    <row r="1010" spans="1:26" s="146" customFormat="1" ht="18" x14ac:dyDescent="0.25">
      <c r="A1010" s="1404" t="s">
        <v>1386</v>
      </c>
      <c r="B1010" s="1404" t="s">
        <v>123</v>
      </c>
      <c r="C1010" s="1356" t="s">
        <v>131</v>
      </c>
      <c r="D1010" s="1355"/>
      <c r="E1010" s="1355"/>
      <c r="F1010" s="1355"/>
      <c r="G1010" s="1355"/>
      <c r="H1010" s="221" t="s">
        <v>132</v>
      </c>
      <c r="I1010" s="141">
        <v>18000</v>
      </c>
      <c r="J1010" s="141">
        <v>72000</v>
      </c>
      <c r="K1010" s="141">
        <v>36000</v>
      </c>
      <c r="L1010" s="141">
        <f t="shared" ref="L1010:L1041" si="27">M1010-K1010</f>
        <v>36000</v>
      </c>
      <c r="M1010" s="141">
        <v>72000</v>
      </c>
      <c r="N1010" s="141">
        <v>48000</v>
      </c>
      <c r="O1010" s="141"/>
      <c r="P1010" s="141">
        <v>72000</v>
      </c>
      <c r="Q1010" s="141">
        <v>72000</v>
      </c>
      <c r="R1010" s="122">
        <v>72000</v>
      </c>
      <c r="S1010" s="239"/>
      <c r="T1010" s="1476"/>
    </row>
    <row r="1011" spans="1:26" s="146" customFormat="1" ht="18" customHeight="1" x14ac:dyDescent="0.25">
      <c r="A1011" s="1404" t="s">
        <v>1386</v>
      </c>
      <c r="B1011" s="1404" t="s">
        <v>123</v>
      </c>
      <c r="C1011" s="1356" t="s">
        <v>131</v>
      </c>
      <c r="D1011" s="1355"/>
      <c r="E1011" s="1355"/>
      <c r="F1011" s="1355"/>
      <c r="G1011" s="1355"/>
      <c r="H1011" s="381" t="s">
        <v>132</v>
      </c>
      <c r="I1011" s="141">
        <v>0</v>
      </c>
      <c r="J1011" s="141">
        <v>72000</v>
      </c>
      <c r="K1011" s="141"/>
      <c r="L1011" s="141">
        <f t="shared" si="27"/>
        <v>72000</v>
      </c>
      <c r="M1011" s="141">
        <v>72000</v>
      </c>
      <c r="N1011" s="141"/>
      <c r="O1011" s="141"/>
      <c r="P1011" s="141">
        <v>72000</v>
      </c>
      <c r="Q1011" s="141">
        <v>72000</v>
      </c>
      <c r="R1011" s="122">
        <v>72000</v>
      </c>
      <c r="S1011" s="239"/>
      <c r="T1011" s="1476"/>
    </row>
    <row r="1012" spans="1:26" s="146" customFormat="1" ht="18" customHeight="1" x14ac:dyDescent="0.25">
      <c r="A1012" s="1404" t="s">
        <v>1386</v>
      </c>
      <c r="B1012" s="1404" t="s">
        <v>123</v>
      </c>
      <c r="C1012" s="1356" t="s">
        <v>131</v>
      </c>
      <c r="D1012" s="1355"/>
      <c r="E1012" s="1355"/>
      <c r="F1012" s="1355"/>
      <c r="G1012" s="1355"/>
      <c r="H1012" s="381" t="s">
        <v>132</v>
      </c>
      <c r="I1012" s="141">
        <v>72000</v>
      </c>
      <c r="J1012" s="141">
        <v>72000</v>
      </c>
      <c r="K1012" s="141">
        <v>36000</v>
      </c>
      <c r="L1012" s="141">
        <f t="shared" si="27"/>
        <v>36000</v>
      </c>
      <c r="M1012" s="141">
        <v>72000</v>
      </c>
      <c r="N1012" s="141">
        <v>48000</v>
      </c>
      <c r="O1012" s="141"/>
      <c r="P1012" s="141">
        <v>72000</v>
      </c>
      <c r="Q1012" s="141">
        <v>72000</v>
      </c>
      <c r="R1012" s="122">
        <v>72000</v>
      </c>
      <c r="S1012" s="239"/>
      <c r="T1012" s="1476"/>
    </row>
    <row r="1013" spans="1:26" s="146" customFormat="1" ht="18" customHeight="1" x14ac:dyDescent="0.25">
      <c r="A1013" s="1404" t="s">
        <v>1386</v>
      </c>
      <c r="B1013" s="1404" t="s">
        <v>123</v>
      </c>
      <c r="C1013" s="1356" t="s">
        <v>131</v>
      </c>
      <c r="D1013" s="1355"/>
      <c r="E1013" s="1355"/>
      <c r="F1013" s="1355"/>
      <c r="G1013" s="1355"/>
      <c r="H1013" s="381" t="s">
        <v>132</v>
      </c>
      <c r="I1013" s="141">
        <v>63000</v>
      </c>
      <c r="J1013" s="141">
        <v>72000</v>
      </c>
      <c r="K1013" s="141">
        <v>34500</v>
      </c>
      <c r="L1013" s="141">
        <f t="shared" si="27"/>
        <v>37500</v>
      </c>
      <c r="M1013" s="141">
        <v>72000</v>
      </c>
      <c r="N1013" s="141">
        <v>46500</v>
      </c>
      <c r="O1013" s="141"/>
      <c r="P1013" s="141">
        <v>72000</v>
      </c>
      <c r="Q1013" s="141">
        <v>72000</v>
      </c>
      <c r="R1013" s="122">
        <v>72000</v>
      </c>
      <c r="S1013" s="239"/>
      <c r="T1013" s="1476"/>
    </row>
    <row r="1014" spans="1:26" s="146" customFormat="1" ht="18" customHeight="1" x14ac:dyDescent="0.25">
      <c r="A1014" s="1404" t="s">
        <v>1386</v>
      </c>
      <c r="B1014" s="1404" t="s">
        <v>123</v>
      </c>
      <c r="C1014" s="1356" t="s">
        <v>131</v>
      </c>
      <c r="D1014" s="1355"/>
      <c r="E1014" s="1355"/>
      <c r="F1014" s="1355"/>
      <c r="G1014" s="1355"/>
      <c r="H1014" s="381" t="s">
        <v>132</v>
      </c>
      <c r="I1014" s="141">
        <v>72000</v>
      </c>
      <c r="J1014" s="141">
        <v>72000</v>
      </c>
      <c r="K1014" s="141">
        <v>36000</v>
      </c>
      <c r="L1014" s="141">
        <f t="shared" si="27"/>
        <v>36000</v>
      </c>
      <c r="M1014" s="141">
        <v>72000</v>
      </c>
      <c r="N1014" s="141">
        <v>48000</v>
      </c>
      <c r="O1014" s="141"/>
      <c r="P1014" s="141">
        <v>72000</v>
      </c>
      <c r="Q1014" s="141">
        <v>72000</v>
      </c>
      <c r="R1014" s="122">
        <v>72000</v>
      </c>
      <c r="S1014" s="239"/>
      <c r="T1014" s="1476"/>
    </row>
    <row r="1015" spans="1:26" s="146" customFormat="1" ht="18" customHeight="1" x14ac:dyDescent="0.25">
      <c r="A1015" s="1404" t="s">
        <v>1386</v>
      </c>
      <c r="B1015" s="1404" t="s">
        <v>123</v>
      </c>
      <c r="C1015" s="1382" t="s">
        <v>131</v>
      </c>
      <c r="D1015" s="1355"/>
      <c r="E1015" s="1355"/>
      <c r="F1015" s="1355"/>
      <c r="G1015" s="1355"/>
      <c r="H1015" s="221" t="s">
        <v>132</v>
      </c>
      <c r="I1015" s="141">
        <v>70500</v>
      </c>
      <c r="J1015" s="141">
        <v>72000</v>
      </c>
      <c r="K1015" s="141">
        <v>34500</v>
      </c>
      <c r="L1015" s="141">
        <f t="shared" si="27"/>
        <v>37500</v>
      </c>
      <c r="M1015" s="141">
        <v>72000</v>
      </c>
      <c r="N1015" s="141">
        <v>46500</v>
      </c>
      <c r="O1015" s="141"/>
      <c r="P1015" s="141">
        <v>72000</v>
      </c>
      <c r="Q1015" s="141">
        <v>72000</v>
      </c>
      <c r="R1015" s="122">
        <v>72000</v>
      </c>
      <c r="S1015" s="239"/>
      <c r="T1015" s="1476"/>
    </row>
    <row r="1016" spans="1:26" s="146" customFormat="1" ht="18" x14ac:dyDescent="0.25">
      <c r="A1016" s="1404" t="s">
        <v>1386</v>
      </c>
      <c r="B1016" s="1404" t="s">
        <v>123</v>
      </c>
      <c r="C1016" s="1382" t="s">
        <v>131</v>
      </c>
      <c r="D1016" s="1355"/>
      <c r="E1016" s="1355"/>
      <c r="F1016" s="1355"/>
      <c r="G1016" s="1355"/>
      <c r="H1016" s="221" t="s">
        <v>132</v>
      </c>
      <c r="I1016" s="141">
        <v>69000</v>
      </c>
      <c r="J1016" s="141">
        <v>72000</v>
      </c>
      <c r="K1016" s="141">
        <v>34500</v>
      </c>
      <c r="L1016" s="141">
        <f t="shared" si="27"/>
        <v>37500</v>
      </c>
      <c r="M1016" s="141">
        <v>72000</v>
      </c>
      <c r="N1016" s="141">
        <v>46500</v>
      </c>
      <c r="O1016" s="141"/>
      <c r="P1016" s="141">
        <v>72000</v>
      </c>
      <c r="Q1016" s="141">
        <v>72000</v>
      </c>
      <c r="R1016" s="122">
        <v>72000</v>
      </c>
      <c r="S1016" s="1456"/>
      <c r="T1016" s="1476"/>
    </row>
    <row r="1017" spans="1:26" ht="18" x14ac:dyDescent="0.25">
      <c r="A1017" s="1404" t="s">
        <v>1386</v>
      </c>
      <c r="B1017" s="1404" t="s">
        <v>123</v>
      </c>
      <c r="C1017" s="1356" t="s">
        <v>131</v>
      </c>
      <c r="D1017" s="1355"/>
      <c r="E1017" s="1355"/>
      <c r="F1017" s="1355"/>
      <c r="G1017" s="1355"/>
      <c r="H1017" s="221" t="s">
        <v>132</v>
      </c>
      <c r="I1017" s="141">
        <v>70500</v>
      </c>
      <c r="J1017" s="141">
        <v>120000</v>
      </c>
      <c r="K1017" s="141">
        <v>36000</v>
      </c>
      <c r="L1017" s="141">
        <f t="shared" si="27"/>
        <v>84000</v>
      </c>
      <c r="M1017" s="141">
        <v>120000</v>
      </c>
      <c r="N1017" s="141">
        <v>48000</v>
      </c>
      <c r="O1017" s="141"/>
      <c r="P1017" s="141">
        <v>120000</v>
      </c>
      <c r="Q1017" s="141">
        <v>120000</v>
      </c>
      <c r="R1017" s="122">
        <v>120000</v>
      </c>
    </row>
    <row r="1018" spans="1:26" ht="18" customHeight="1" x14ac:dyDescent="0.25">
      <c r="A1018" s="1404" t="s">
        <v>1386</v>
      </c>
      <c r="B1018" s="1404" t="s">
        <v>123</v>
      </c>
      <c r="C1018" s="1356" t="s">
        <v>131</v>
      </c>
      <c r="D1018" s="1355"/>
      <c r="E1018" s="1355"/>
      <c r="F1018" s="1355"/>
      <c r="G1018" s="1355"/>
      <c r="H1018" s="221" t="s">
        <v>132</v>
      </c>
      <c r="I1018" s="141">
        <v>66000</v>
      </c>
      <c r="J1018" s="141">
        <v>120000</v>
      </c>
      <c r="K1018" s="141">
        <v>36000</v>
      </c>
      <c r="L1018" s="141">
        <f t="shared" si="27"/>
        <v>84000</v>
      </c>
      <c r="M1018" s="141">
        <v>120000</v>
      </c>
      <c r="N1018" s="141">
        <v>48000</v>
      </c>
      <c r="O1018" s="141"/>
      <c r="P1018" s="141">
        <v>120000</v>
      </c>
      <c r="Q1018" s="141">
        <v>120000</v>
      </c>
      <c r="R1018" s="122">
        <v>120000</v>
      </c>
    </row>
    <row r="1019" spans="1:26" ht="18" customHeight="1" x14ac:dyDescent="0.25">
      <c r="A1019" s="1404" t="s">
        <v>1386</v>
      </c>
      <c r="B1019" s="1404" t="s">
        <v>123</v>
      </c>
      <c r="C1019" s="1382" t="s">
        <v>131</v>
      </c>
      <c r="D1019" s="1355"/>
      <c r="E1019" s="1355"/>
      <c r="F1019" s="1355"/>
      <c r="G1019" s="1355"/>
      <c r="H1019" s="221" t="s">
        <v>132</v>
      </c>
      <c r="I1019" s="141">
        <v>72000</v>
      </c>
      <c r="J1019" s="141">
        <v>72000</v>
      </c>
      <c r="K1019" s="141">
        <v>36000</v>
      </c>
      <c r="L1019" s="141">
        <f t="shared" si="27"/>
        <v>36000</v>
      </c>
      <c r="M1019" s="141">
        <v>72000</v>
      </c>
      <c r="N1019" s="141">
        <v>48000</v>
      </c>
      <c r="O1019" s="141"/>
      <c r="P1019" s="141">
        <v>72000</v>
      </c>
      <c r="Q1019" s="141">
        <v>72000</v>
      </c>
      <c r="R1019" s="122">
        <v>72000</v>
      </c>
      <c r="S1019" s="239">
        <f>SUM(R1006:R1019)</f>
        <v>1934400</v>
      </c>
    </row>
    <row r="1020" spans="1:26" ht="18" customHeight="1" x14ac:dyDescent="0.25">
      <c r="A1020" s="1404" t="s">
        <v>1386</v>
      </c>
      <c r="B1020" s="1404" t="s">
        <v>123</v>
      </c>
      <c r="C1020" s="1356" t="s">
        <v>1545</v>
      </c>
      <c r="D1020" s="1355"/>
      <c r="E1020" s="1381"/>
      <c r="F1020" s="1381"/>
      <c r="G1020" s="1381"/>
      <c r="H1020" s="381" t="s">
        <v>154</v>
      </c>
      <c r="I1020" s="141">
        <v>436224.49</v>
      </c>
      <c r="J1020" s="141">
        <v>497217.71</v>
      </c>
      <c r="K1020" s="141">
        <v>221921.18</v>
      </c>
      <c r="L1020" s="141">
        <f t="shared" si="27"/>
        <v>275296.53000000003</v>
      </c>
      <c r="M1020" s="141">
        <v>497217.71</v>
      </c>
      <c r="N1020" s="141">
        <v>297323.90000000002</v>
      </c>
      <c r="O1020" s="141"/>
      <c r="P1020" s="141">
        <v>513473.76</v>
      </c>
      <c r="Q1020" s="141">
        <v>513473.76</v>
      </c>
      <c r="R1020" s="122">
        <v>499750.5</v>
      </c>
    </row>
    <row r="1021" spans="1:26" ht="18" x14ac:dyDescent="0.25">
      <c r="A1021" s="1404" t="s">
        <v>1386</v>
      </c>
      <c r="B1021" s="1404" t="s">
        <v>123</v>
      </c>
      <c r="C1021" s="1356" t="s">
        <v>1545</v>
      </c>
      <c r="D1021" s="1355"/>
      <c r="E1021" s="1355"/>
      <c r="F1021" s="1355"/>
      <c r="G1021" s="1355"/>
      <c r="H1021" s="221" t="s">
        <v>154</v>
      </c>
      <c r="I1021" s="141">
        <v>225990.88</v>
      </c>
      <c r="J1021" s="141">
        <v>550644.47999999998</v>
      </c>
      <c r="K1021" s="141">
        <v>114692.36</v>
      </c>
      <c r="L1021" s="141">
        <f t="shared" si="27"/>
        <v>435952.12</v>
      </c>
      <c r="M1021" s="141">
        <v>550644.47999999998</v>
      </c>
      <c r="N1021" s="141">
        <v>151929.32</v>
      </c>
      <c r="O1021" s="141"/>
      <c r="P1021" s="141">
        <v>572634.72</v>
      </c>
      <c r="Q1021" s="141">
        <v>572634.72</v>
      </c>
      <c r="R1021" s="122">
        <v>550644.47999999998</v>
      </c>
    </row>
    <row r="1022" spans="1:26" ht="18" x14ac:dyDescent="0.25">
      <c r="A1022" s="1404" t="s">
        <v>1386</v>
      </c>
      <c r="B1022" s="1404" t="s">
        <v>123</v>
      </c>
      <c r="C1022" s="1356" t="s">
        <v>1545</v>
      </c>
      <c r="D1022" s="1355"/>
      <c r="E1022" s="1355"/>
      <c r="F1022" s="1355"/>
      <c r="G1022" s="1355"/>
      <c r="H1022" s="381" t="s">
        <v>154</v>
      </c>
      <c r="I1022" s="141">
        <v>98211.02</v>
      </c>
      <c r="J1022" s="141">
        <v>103180.04</v>
      </c>
      <c r="K1022" s="141">
        <v>50769.93</v>
      </c>
      <c r="L1022" s="141">
        <f t="shared" si="27"/>
        <v>52410.109999999993</v>
      </c>
      <c r="M1022" s="141">
        <v>103180.04</v>
      </c>
      <c r="N1022" s="141">
        <v>67996.89</v>
      </c>
      <c r="O1022" s="141"/>
      <c r="P1022" s="141">
        <v>107821.44</v>
      </c>
      <c r="Q1022" s="141">
        <v>107821.44</v>
      </c>
      <c r="R1022" s="122">
        <v>103361.76</v>
      </c>
    </row>
    <row r="1023" spans="1:26" s="191" customFormat="1" ht="18" x14ac:dyDescent="0.25">
      <c r="A1023" s="961" t="s">
        <v>1386</v>
      </c>
      <c r="B1023" s="961" t="s">
        <v>123</v>
      </c>
      <c r="C1023" s="1356" t="s">
        <v>1545</v>
      </c>
      <c r="D1023" s="1355"/>
      <c r="E1023" s="1355"/>
      <c r="F1023" s="1355"/>
      <c r="G1023" s="1355"/>
      <c r="H1023" s="381" t="s">
        <v>154</v>
      </c>
      <c r="I1023" s="141">
        <v>42798.92</v>
      </c>
      <c r="J1023" s="141">
        <v>109133.54</v>
      </c>
      <c r="K1023" s="141">
        <v>23391.33</v>
      </c>
      <c r="L1023" s="141">
        <f t="shared" si="27"/>
        <v>85742.209999999992</v>
      </c>
      <c r="M1023" s="141">
        <v>109133.54</v>
      </c>
      <c r="N1023" s="141">
        <v>31198.53</v>
      </c>
      <c r="O1023" s="141"/>
      <c r="P1023" s="141">
        <v>114266.88</v>
      </c>
      <c r="Q1023" s="141">
        <v>114266.88</v>
      </c>
      <c r="R1023" s="122">
        <v>109160.64</v>
      </c>
      <c r="S1023" s="239"/>
      <c r="T1023" s="1476"/>
      <c r="U1023" s="194"/>
      <c r="V1023" s="194"/>
      <c r="W1023" s="194"/>
      <c r="X1023" s="194"/>
      <c r="Y1023" s="194"/>
      <c r="Z1023" s="194"/>
    </row>
    <row r="1024" spans="1:26" s="191" customFormat="1" ht="18" x14ac:dyDescent="0.25">
      <c r="A1024" s="961" t="s">
        <v>1386</v>
      </c>
      <c r="B1024" s="961" t="s">
        <v>123</v>
      </c>
      <c r="C1024" s="1356" t="s">
        <v>1545</v>
      </c>
      <c r="D1024" s="1355"/>
      <c r="E1024" s="1355"/>
      <c r="F1024" s="1355"/>
      <c r="G1024" s="1355"/>
      <c r="H1024" s="221" t="s">
        <v>154</v>
      </c>
      <c r="I1024" s="141">
        <v>52799.68</v>
      </c>
      <c r="J1024" s="141">
        <v>87143.039999999994</v>
      </c>
      <c r="K1024" s="141">
        <v>28918.799999999999</v>
      </c>
      <c r="L1024" s="141">
        <f t="shared" si="27"/>
        <v>58224.239999999991</v>
      </c>
      <c r="M1024" s="141">
        <v>87143.039999999994</v>
      </c>
      <c r="N1024" s="141">
        <v>38558.400000000001</v>
      </c>
      <c r="O1024" s="141"/>
      <c r="P1024" s="141">
        <v>91382.399999999994</v>
      </c>
      <c r="Q1024" s="141">
        <v>91382.399999999994</v>
      </c>
      <c r="R1024" s="122">
        <v>87143.039999999994</v>
      </c>
      <c r="S1024" s="239"/>
      <c r="T1024" s="1476"/>
      <c r="U1024" s="194"/>
      <c r="V1024" s="194"/>
      <c r="W1024" s="194"/>
      <c r="X1024" s="194"/>
      <c r="Y1024" s="194"/>
      <c r="Z1024" s="194"/>
    </row>
    <row r="1025" spans="1:20" ht="18" x14ac:dyDescent="0.25">
      <c r="A1025" s="961" t="s">
        <v>1386</v>
      </c>
      <c r="B1025" s="961" t="s">
        <v>123</v>
      </c>
      <c r="C1025" s="1356" t="s">
        <v>1545</v>
      </c>
      <c r="D1025" s="1355"/>
      <c r="E1025" s="1355"/>
      <c r="F1025" s="1355"/>
      <c r="G1025" s="1355"/>
      <c r="H1025" s="221" t="s">
        <v>154</v>
      </c>
      <c r="I1025" s="141">
        <v>127841.74</v>
      </c>
      <c r="J1025" s="141">
        <v>148812.43</v>
      </c>
      <c r="K1025" s="141">
        <v>63275.47</v>
      </c>
      <c r="L1025" s="141">
        <f t="shared" si="27"/>
        <v>85536.959999999992</v>
      </c>
      <c r="M1025" s="141">
        <v>148812.43</v>
      </c>
      <c r="N1025" s="141">
        <v>84482.35</v>
      </c>
      <c r="O1025" s="141"/>
      <c r="P1025" s="141">
        <v>153506.88</v>
      </c>
      <c r="Q1025" s="141">
        <v>153506.88</v>
      </c>
      <c r="R1025" s="122">
        <v>149126.39999999999</v>
      </c>
    </row>
    <row r="1026" spans="1:20" ht="18" x14ac:dyDescent="0.25">
      <c r="A1026" s="961" t="s">
        <v>1386</v>
      </c>
      <c r="B1026" s="961" t="s">
        <v>123</v>
      </c>
      <c r="C1026" s="1356" t="s">
        <v>1545</v>
      </c>
      <c r="D1026" s="1355"/>
      <c r="E1026" s="1355"/>
      <c r="F1026" s="1355"/>
      <c r="G1026" s="1355"/>
      <c r="H1026" s="221" t="s">
        <v>154</v>
      </c>
      <c r="I1026" s="141">
        <v>200684.71</v>
      </c>
      <c r="J1026" s="141">
        <v>294276</v>
      </c>
      <c r="K1026" s="141">
        <v>83424</v>
      </c>
      <c r="L1026" s="141">
        <f t="shared" si="27"/>
        <v>210852</v>
      </c>
      <c r="M1026" s="141">
        <v>294276</v>
      </c>
      <c r="N1026" s="141">
        <v>112128.72</v>
      </c>
      <c r="O1026" s="141"/>
      <c r="P1026" s="141">
        <v>304261.92</v>
      </c>
      <c r="Q1026" s="141">
        <v>304261.92</v>
      </c>
      <c r="R1026" s="122">
        <v>295169.76</v>
      </c>
    </row>
    <row r="1027" spans="1:20" ht="18" x14ac:dyDescent="0.25">
      <c r="A1027" s="961" t="s">
        <v>1386</v>
      </c>
      <c r="B1027" s="961" t="s">
        <v>123</v>
      </c>
      <c r="C1027" s="1356" t="s">
        <v>1545</v>
      </c>
      <c r="D1027" s="1355"/>
      <c r="E1027" s="1355"/>
      <c r="F1027" s="1355"/>
      <c r="G1027" s="1355"/>
      <c r="H1027" s="221" t="s">
        <v>154</v>
      </c>
      <c r="I1027" s="141">
        <v>1632584.72</v>
      </c>
      <c r="J1027" s="141">
        <v>1820285.28</v>
      </c>
      <c r="K1027" s="141">
        <v>813586.24</v>
      </c>
      <c r="L1027" s="141">
        <f t="shared" si="27"/>
        <v>1006699.04</v>
      </c>
      <c r="M1027" s="141">
        <v>1820285.28</v>
      </c>
      <c r="N1027" s="141">
        <v>1079573.23</v>
      </c>
      <c r="O1027" s="141"/>
      <c r="P1027" s="141">
        <v>1871350.56</v>
      </c>
      <c r="Q1027" s="141">
        <v>1871350.56</v>
      </c>
      <c r="R1027" s="122">
        <v>1821248.64</v>
      </c>
      <c r="S1027" s="1456"/>
    </row>
    <row r="1028" spans="1:20" s="146" customFormat="1" ht="18" x14ac:dyDescent="0.25">
      <c r="A1028" s="961" t="s">
        <v>1386</v>
      </c>
      <c r="B1028" s="961" t="s">
        <v>123</v>
      </c>
      <c r="C1028" s="1356" t="s">
        <v>1545</v>
      </c>
      <c r="D1028" s="1355"/>
      <c r="E1028" s="1355"/>
      <c r="F1028" s="1355"/>
      <c r="G1028" s="1355"/>
      <c r="H1028" s="221" t="s">
        <v>154</v>
      </c>
      <c r="I1028" s="141">
        <v>327950.15999999997</v>
      </c>
      <c r="J1028" s="141">
        <v>518777.4</v>
      </c>
      <c r="K1028" s="141">
        <v>168629.86</v>
      </c>
      <c r="L1028" s="141">
        <f t="shared" si="27"/>
        <v>350147.54000000004</v>
      </c>
      <c r="M1028" s="141">
        <v>518777.4</v>
      </c>
      <c r="N1028" s="141">
        <v>225480.1</v>
      </c>
      <c r="O1028" s="141"/>
      <c r="P1028" s="141">
        <v>539125.92000000004</v>
      </c>
      <c r="Q1028" s="141">
        <v>539125.92000000004</v>
      </c>
      <c r="R1028" s="122">
        <v>519121.08</v>
      </c>
      <c r="S1028" s="1456"/>
      <c r="T1028" s="1476"/>
    </row>
    <row r="1029" spans="1:20" ht="18" x14ac:dyDescent="0.25">
      <c r="A1029" s="961" t="s">
        <v>1386</v>
      </c>
      <c r="B1029" s="961" t="s">
        <v>123</v>
      </c>
      <c r="C1029" s="1356" t="s">
        <v>1545</v>
      </c>
      <c r="D1029" s="1355"/>
      <c r="E1029" s="1355"/>
      <c r="F1029" s="1355"/>
      <c r="G1029" s="1355"/>
      <c r="H1029" s="221" t="s">
        <v>154</v>
      </c>
      <c r="I1029" s="141">
        <v>26325.89</v>
      </c>
      <c r="J1029" s="141">
        <v>152821.44</v>
      </c>
      <c r="K1029" s="141">
        <v>58053.599999999999</v>
      </c>
      <c r="L1029" s="141">
        <f t="shared" si="27"/>
        <v>94767.84</v>
      </c>
      <c r="M1029" s="141">
        <v>152821.44</v>
      </c>
      <c r="N1029" s="141">
        <v>77404.800000000003</v>
      </c>
      <c r="O1029" s="141"/>
      <c r="P1029" s="141">
        <v>156474.72</v>
      </c>
      <c r="Q1029" s="141">
        <v>156474.72</v>
      </c>
      <c r="R1029" s="122">
        <v>152821.44</v>
      </c>
    </row>
    <row r="1030" spans="1:20" ht="18" x14ac:dyDescent="0.25">
      <c r="A1030" s="961" t="s">
        <v>1386</v>
      </c>
      <c r="B1030" s="961" t="s">
        <v>123</v>
      </c>
      <c r="C1030" s="1356" t="s">
        <v>1545</v>
      </c>
      <c r="D1030" s="1355"/>
      <c r="E1030" s="1355"/>
      <c r="F1030" s="1355"/>
      <c r="G1030" s="1355"/>
      <c r="H1030" s="381" t="s">
        <v>154</v>
      </c>
      <c r="I1030" s="141">
        <v>0</v>
      </c>
      <c r="J1030" s="141">
        <v>133378.56</v>
      </c>
      <c r="K1030" s="141"/>
      <c r="L1030" s="141">
        <f t="shared" si="27"/>
        <v>133378.56</v>
      </c>
      <c r="M1030" s="141">
        <v>133378.56</v>
      </c>
      <c r="N1030" s="141"/>
      <c r="O1030" s="141"/>
      <c r="P1030" s="141">
        <v>136254.24</v>
      </c>
      <c r="Q1030" s="141">
        <v>136254.24</v>
      </c>
      <c r="R1030" s="122">
        <v>133378.56</v>
      </c>
    </row>
    <row r="1031" spans="1:20" s="146" customFormat="1" ht="18" x14ac:dyDescent="0.25">
      <c r="A1031" s="961" t="s">
        <v>1386</v>
      </c>
      <c r="B1031" s="961" t="s">
        <v>123</v>
      </c>
      <c r="C1031" s="1356" t="s">
        <v>1545</v>
      </c>
      <c r="D1031" s="1355"/>
      <c r="E1031" s="1355"/>
      <c r="F1031" s="1355"/>
      <c r="G1031" s="1355"/>
      <c r="H1031" s="381" t="s">
        <v>154</v>
      </c>
      <c r="I1031" s="141">
        <v>198066.75</v>
      </c>
      <c r="J1031" s="141">
        <v>235269.43</v>
      </c>
      <c r="K1031" s="141">
        <v>106569.03</v>
      </c>
      <c r="L1031" s="141">
        <f t="shared" si="27"/>
        <v>128700.4</v>
      </c>
      <c r="M1031" s="141">
        <v>235269.43</v>
      </c>
      <c r="N1031" s="141">
        <v>142169.23000000001</v>
      </c>
      <c r="O1031" s="141"/>
      <c r="P1031" s="141">
        <v>242114.4</v>
      </c>
      <c r="Q1031" s="141">
        <v>242114.4</v>
      </c>
      <c r="R1031" s="122">
        <v>235487.52</v>
      </c>
      <c r="S1031" s="239"/>
      <c r="T1031" s="1476"/>
    </row>
    <row r="1032" spans="1:20" s="146" customFormat="1" ht="18" x14ac:dyDescent="0.25">
      <c r="A1032" s="961" t="s">
        <v>1386</v>
      </c>
      <c r="B1032" s="961" t="s">
        <v>123</v>
      </c>
      <c r="C1032" s="1356" t="s">
        <v>1545</v>
      </c>
      <c r="D1032" s="1355"/>
      <c r="E1032" s="1355"/>
      <c r="F1032" s="1355"/>
      <c r="G1032" s="1355"/>
      <c r="H1032" s="381" t="s">
        <v>154</v>
      </c>
      <c r="I1032" s="141">
        <v>338824.53</v>
      </c>
      <c r="J1032" s="141">
        <v>523663.35999999999</v>
      </c>
      <c r="K1032" s="141">
        <v>177434.54</v>
      </c>
      <c r="L1032" s="141">
        <f t="shared" si="27"/>
        <v>346228.81999999995</v>
      </c>
      <c r="M1032" s="141">
        <v>523663.35999999999</v>
      </c>
      <c r="N1032" s="141">
        <v>236984.78</v>
      </c>
      <c r="O1032" s="141"/>
      <c r="P1032" s="141">
        <v>543823.19999999995</v>
      </c>
      <c r="Q1032" s="141">
        <v>543823.19999999995</v>
      </c>
      <c r="R1032" s="122">
        <v>524036.16</v>
      </c>
      <c r="S1032" s="239"/>
      <c r="T1032" s="1476"/>
    </row>
    <row r="1033" spans="1:20" s="146" customFormat="1" ht="18" x14ac:dyDescent="0.25">
      <c r="A1033" s="961" t="s">
        <v>1386</v>
      </c>
      <c r="B1033" s="961" t="s">
        <v>123</v>
      </c>
      <c r="C1033" s="1356" t="s">
        <v>1545</v>
      </c>
      <c r="D1033" s="1355"/>
      <c r="E1033" s="1355"/>
      <c r="F1033" s="1355"/>
      <c r="G1033" s="1355"/>
      <c r="H1033" s="381" t="s">
        <v>154</v>
      </c>
      <c r="I1033" s="141">
        <v>215718.44</v>
      </c>
      <c r="J1033" s="141">
        <v>249152.65</v>
      </c>
      <c r="K1033" s="141">
        <v>106789.11</v>
      </c>
      <c r="L1033" s="141">
        <f t="shared" si="27"/>
        <v>142363.53999999998</v>
      </c>
      <c r="M1033" s="141">
        <v>249152.65</v>
      </c>
      <c r="N1033" s="141">
        <v>141515.67000000001</v>
      </c>
      <c r="O1033" s="141"/>
      <c r="P1033" s="141">
        <v>257369.76</v>
      </c>
      <c r="Q1033" s="141">
        <v>257369.76</v>
      </c>
      <c r="R1033" s="122">
        <v>249444</v>
      </c>
      <c r="S1033" s="239"/>
      <c r="T1033" s="1476"/>
    </row>
    <row r="1034" spans="1:20" s="146" customFormat="1" ht="18" x14ac:dyDescent="0.25">
      <c r="A1034" s="961" t="s">
        <v>1386</v>
      </c>
      <c r="B1034" s="961" t="s">
        <v>123</v>
      </c>
      <c r="C1034" s="1356" t="s">
        <v>1545</v>
      </c>
      <c r="D1034" s="1355"/>
      <c r="E1034" s="1355"/>
      <c r="F1034" s="1355"/>
      <c r="G1034" s="1355"/>
      <c r="H1034" s="221" t="s">
        <v>154</v>
      </c>
      <c r="I1034" s="141">
        <v>378720.69</v>
      </c>
      <c r="J1034" s="141">
        <v>453686.16</v>
      </c>
      <c r="K1034" s="141">
        <v>203854.86</v>
      </c>
      <c r="L1034" s="141">
        <f t="shared" si="27"/>
        <v>249831.3</v>
      </c>
      <c r="M1034" s="141">
        <v>453686.16</v>
      </c>
      <c r="N1034" s="141">
        <v>267017.34000000003</v>
      </c>
      <c r="O1034" s="141"/>
      <c r="P1034" s="141">
        <v>470460.96</v>
      </c>
      <c r="Q1034" s="141">
        <v>470460.96</v>
      </c>
      <c r="R1034" s="122">
        <v>453669.12</v>
      </c>
      <c r="S1034" s="239"/>
      <c r="T1034" s="1476"/>
    </row>
    <row r="1035" spans="1:20" s="146" customFormat="1" ht="18" x14ac:dyDescent="0.25">
      <c r="A1035" s="961" t="s">
        <v>1386</v>
      </c>
      <c r="B1035" s="961" t="s">
        <v>123</v>
      </c>
      <c r="C1035" s="1356" t="s">
        <v>1545</v>
      </c>
      <c r="D1035" s="1355"/>
      <c r="E1035" s="1355"/>
      <c r="F1035" s="1355"/>
      <c r="G1035" s="1355"/>
      <c r="H1035" s="221" t="s">
        <v>154</v>
      </c>
      <c r="I1035" s="141">
        <v>754236.14</v>
      </c>
      <c r="J1035" s="141">
        <v>936119.45</v>
      </c>
      <c r="K1035" s="141">
        <v>386973.67</v>
      </c>
      <c r="L1035" s="141">
        <f t="shared" si="27"/>
        <v>549145.78</v>
      </c>
      <c r="M1035" s="141">
        <v>936119.45</v>
      </c>
      <c r="N1035" s="141">
        <v>517617.78</v>
      </c>
      <c r="O1035" s="141"/>
      <c r="P1035" s="141">
        <v>972426.23999999999</v>
      </c>
      <c r="Q1035" s="141">
        <v>972426.23999999999</v>
      </c>
      <c r="R1035" s="122">
        <v>937461.6</v>
      </c>
      <c r="S1035" s="239"/>
      <c r="T1035" s="1476"/>
    </row>
    <row r="1036" spans="1:20" s="146" customFormat="1" ht="18" x14ac:dyDescent="0.25">
      <c r="A1036" s="961" t="s">
        <v>1386</v>
      </c>
      <c r="B1036" s="961" t="s">
        <v>123</v>
      </c>
      <c r="C1036" s="1382" t="s">
        <v>1545</v>
      </c>
      <c r="D1036" s="1355"/>
      <c r="E1036" s="1355"/>
      <c r="F1036" s="1355"/>
      <c r="G1036" s="1355"/>
      <c r="H1036" s="221" t="s">
        <v>154</v>
      </c>
      <c r="I1036" s="141">
        <v>425953.03</v>
      </c>
      <c r="J1036" s="141">
        <v>609684.06999999995</v>
      </c>
      <c r="K1036" s="141">
        <v>222882.95</v>
      </c>
      <c r="L1036" s="141">
        <f t="shared" si="27"/>
        <v>386801.11999999994</v>
      </c>
      <c r="M1036" s="141">
        <v>609684.06999999995</v>
      </c>
      <c r="N1036" s="141">
        <v>297235.19</v>
      </c>
      <c r="O1036" s="141"/>
      <c r="P1036" s="141">
        <v>632098.07999999996</v>
      </c>
      <c r="Q1036" s="141">
        <v>632098.07999999996</v>
      </c>
      <c r="R1036" s="122">
        <v>609950.04</v>
      </c>
      <c r="S1036" s="239"/>
      <c r="T1036" s="1476"/>
    </row>
    <row r="1037" spans="1:20" s="146" customFormat="1" ht="18" x14ac:dyDescent="0.25">
      <c r="A1037" s="961" t="s">
        <v>1386</v>
      </c>
      <c r="B1037" s="961" t="s">
        <v>123</v>
      </c>
      <c r="C1037" s="1356" t="s">
        <v>1545</v>
      </c>
      <c r="D1037" s="1355"/>
      <c r="E1037" s="1355"/>
      <c r="F1037" s="1355"/>
      <c r="G1037" s="1355"/>
      <c r="H1037" s="221" t="s">
        <v>154</v>
      </c>
      <c r="I1037" s="141">
        <v>282446.58</v>
      </c>
      <c r="J1037" s="141">
        <v>495188.52</v>
      </c>
      <c r="K1037" s="141">
        <v>148039.07999999999</v>
      </c>
      <c r="L1037" s="141">
        <f t="shared" si="27"/>
        <v>347149.44000000006</v>
      </c>
      <c r="M1037" s="141">
        <v>495188.52</v>
      </c>
      <c r="N1037" s="141">
        <v>197421</v>
      </c>
      <c r="O1037" s="141"/>
      <c r="P1037" s="141">
        <v>513047.52</v>
      </c>
      <c r="Q1037" s="141">
        <v>513047.52</v>
      </c>
      <c r="R1037" s="122">
        <v>495295.2</v>
      </c>
      <c r="S1037" s="239"/>
      <c r="T1037" s="1476"/>
    </row>
    <row r="1038" spans="1:20" s="146" customFormat="1" ht="18" x14ac:dyDescent="0.25">
      <c r="A1038" s="961" t="s">
        <v>1386</v>
      </c>
      <c r="B1038" s="961" t="s">
        <v>123</v>
      </c>
      <c r="C1038" s="1356" t="s">
        <v>1545</v>
      </c>
      <c r="D1038" s="1355"/>
      <c r="E1038" s="1355"/>
      <c r="F1038" s="1355"/>
      <c r="G1038" s="1355"/>
      <c r="H1038" s="221" t="s">
        <v>154</v>
      </c>
      <c r="I1038" s="141">
        <v>182316.32</v>
      </c>
      <c r="J1038" s="141">
        <v>188246.06</v>
      </c>
      <c r="K1038" s="141">
        <v>93816.91</v>
      </c>
      <c r="L1038" s="141">
        <f t="shared" si="27"/>
        <v>94429.15</v>
      </c>
      <c r="M1038" s="141">
        <v>188246.06</v>
      </c>
      <c r="N1038" s="141">
        <v>125116.27</v>
      </c>
      <c r="O1038" s="141"/>
      <c r="P1038" s="141">
        <v>194868</v>
      </c>
      <c r="Q1038" s="141">
        <v>194868</v>
      </c>
      <c r="R1038" s="122">
        <v>189753.12</v>
      </c>
      <c r="S1038" s="239">
        <f>SUM(R1020:R1038)</f>
        <v>8116023.0599999996</v>
      </c>
      <c r="T1038" s="1476"/>
    </row>
    <row r="1039" spans="1:20" ht="18" x14ac:dyDescent="0.25">
      <c r="A1039" s="961" t="s">
        <v>1386</v>
      </c>
      <c r="B1039" s="961" t="s">
        <v>123</v>
      </c>
      <c r="C1039" s="1356" t="s">
        <v>126</v>
      </c>
      <c r="D1039" s="1355"/>
      <c r="E1039" s="1355"/>
      <c r="F1039" s="1355"/>
      <c r="G1039" s="1355"/>
      <c r="H1039" s="381" t="s">
        <v>127</v>
      </c>
      <c r="I1039" s="141">
        <v>379858.58</v>
      </c>
      <c r="J1039" s="141">
        <v>415128</v>
      </c>
      <c r="K1039" s="141">
        <v>181015.67</v>
      </c>
      <c r="L1039" s="141">
        <f t="shared" si="27"/>
        <v>234112.33</v>
      </c>
      <c r="M1039" s="141">
        <v>415128</v>
      </c>
      <c r="N1039" s="141">
        <v>248630.59</v>
      </c>
      <c r="O1039" s="141"/>
      <c r="P1039" s="141">
        <v>431436</v>
      </c>
      <c r="Q1039" s="141">
        <v>431436</v>
      </c>
      <c r="R1039" s="122">
        <v>415128</v>
      </c>
    </row>
    <row r="1040" spans="1:20" ht="18" x14ac:dyDescent="0.25">
      <c r="A1040" s="961" t="s">
        <v>1386</v>
      </c>
      <c r="B1040" s="961" t="s">
        <v>123</v>
      </c>
      <c r="C1040" s="1356" t="s">
        <v>126</v>
      </c>
      <c r="D1040" s="1355"/>
      <c r="E1040" s="1355"/>
      <c r="F1040" s="1355"/>
      <c r="G1040" s="1355"/>
      <c r="H1040" s="221" t="s">
        <v>127</v>
      </c>
      <c r="I1040" s="141">
        <v>1570535.41</v>
      </c>
      <c r="J1040" s="141">
        <v>2507424</v>
      </c>
      <c r="K1040" s="141">
        <v>753770.04</v>
      </c>
      <c r="L1040" s="141">
        <f t="shared" si="27"/>
        <v>1753653.96</v>
      </c>
      <c r="M1040" s="141">
        <v>2507424</v>
      </c>
      <c r="N1040" s="141">
        <v>1002143.63</v>
      </c>
      <c r="O1040" s="141"/>
      <c r="P1040" s="141">
        <v>2606064</v>
      </c>
      <c r="Q1040" s="141">
        <v>2606064</v>
      </c>
      <c r="R1040" s="122">
        <v>2507424</v>
      </c>
    </row>
    <row r="1041" spans="1:19" ht="18" x14ac:dyDescent="0.25">
      <c r="A1041" s="961" t="s">
        <v>1386</v>
      </c>
      <c r="B1041" s="961" t="s">
        <v>123</v>
      </c>
      <c r="C1041" s="1356" t="s">
        <v>126</v>
      </c>
      <c r="D1041" s="1355"/>
      <c r="E1041" s="1355"/>
      <c r="F1041" s="1355"/>
      <c r="G1041" s="1355"/>
      <c r="H1041" s="381" t="s">
        <v>127</v>
      </c>
      <c r="I1041" s="141">
        <v>131517.53</v>
      </c>
      <c r="J1041" s="141">
        <v>143928</v>
      </c>
      <c r="K1041" s="141">
        <v>62760.15</v>
      </c>
      <c r="L1041" s="141">
        <f t="shared" si="27"/>
        <v>81167.850000000006</v>
      </c>
      <c r="M1041" s="141">
        <v>143928</v>
      </c>
      <c r="N1041" s="141">
        <v>86202.89</v>
      </c>
      <c r="O1041" s="141"/>
      <c r="P1041" s="141">
        <v>149628</v>
      </c>
      <c r="Q1041" s="141">
        <v>149628</v>
      </c>
      <c r="R1041" s="122">
        <v>143928</v>
      </c>
    </row>
    <row r="1042" spans="1:19" ht="18" x14ac:dyDescent="0.25">
      <c r="A1042" s="961" t="s">
        <v>1386</v>
      </c>
      <c r="B1042" s="961" t="s">
        <v>123</v>
      </c>
      <c r="C1042" s="1382" t="s">
        <v>126</v>
      </c>
      <c r="D1042" s="1355"/>
      <c r="E1042" s="1355"/>
      <c r="F1042" s="1355"/>
      <c r="G1042" s="1355"/>
      <c r="H1042" s="221" t="s">
        <v>127</v>
      </c>
      <c r="I1042" s="141">
        <v>295919.98</v>
      </c>
      <c r="J1042" s="141">
        <v>324048</v>
      </c>
      <c r="K1042" s="141">
        <v>141305.42000000001</v>
      </c>
      <c r="L1042" s="141">
        <f t="shared" ref="L1042:L1073" si="28">M1042-K1042</f>
        <v>182742.58</v>
      </c>
      <c r="M1042" s="141">
        <v>324048</v>
      </c>
      <c r="N1042" s="141">
        <v>194086.2</v>
      </c>
      <c r="O1042" s="141"/>
      <c r="P1042" s="141">
        <v>337008</v>
      </c>
      <c r="Q1042" s="141">
        <v>337008</v>
      </c>
      <c r="R1042" s="122">
        <v>324048</v>
      </c>
    </row>
    <row r="1043" spans="1:19" ht="18" x14ac:dyDescent="0.25">
      <c r="A1043" s="573" t="s">
        <v>1386</v>
      </c>
      <c r="B1043" s="573" t="s">
        <v>123</v>
      </c>
      <c r="C1043" s="1356" t="s">
        <v>126</v>
      </c>
      <c r="D1043" s="1355"/>
      <c r="E1043" s="1355"/>
      <c r="F1043" s="1355"/>
      <c r="G1043" s="1355"/>
      <c r="H1043" s="221" t="s">
        <v>127</v>
      </c>
      <c r="I1043" s="141">
        <v>2873617.89</v>
      </c>
      <c r="J1043" s="141">
        <v>3295536</v>
      </c>
      <c r="K1043" s="141">
        <v>1367927.01</v>
      </c>
      <c r="L1043" s="141">
        <f t="shared" si="28"/>
        <v>1927608.99</v>
      </c>
      <c r="M1043" s="141">
        <v>3295536</v>
      </c>
      <c r="N1043" s="141">
        <v>1845246.78</v>
      </c>
      <c r="O1043" s="141"/>
      <c r="P1043" s="141">
        <v>3423672</v>
      </c>
      <c r="Q1043" s="141">
        <v>3423672</v>
      </c>
      <c r="R1043" s="122">
        <v>3295536</v>
      </c>
    </row>
    <row r="1044" spans="1:19" ht="18" x14ac:dyDescent="0.25">
      <c r="A1044" s="573" t="s">
        <v>1386</v>
      </c>
      <c r="B1044" s="573" t="s">
        <v>123</v>
      </c>
      <c r="C1044" s="1382" t="s">
        <v>126</v>
      </c>
      <c r="D1044" s="1355"/>
      <c r="E1044" s="1355"/>
      <c r="F1044" s="1355"/>
      <c r="G1044" s="1355"/>
      <c r="H1044" s="221" t="s">
        <v>127</v>
      </c>
      <c r="I1044" s="141">
        <v>295919.98</v>
      </c>
      <c r="J1044" s="141">
        <v>324048</v>
      </c>
      <c r="K1044" s="141">
        <v>141305.42000000001</v>
      </c>
      <c r="L1044" s="141">
        <f t="shared" si="28"/>
        <v>182742.58</v>
      </c>
      <c r="M1044" s="141">
        <v>324048</v>
      </c>
      <c r="N1044" s="141">
        <v>194086.2</v>
      </c>
      <c r="O1044" s="141"/>
      <c r="P1044" s="141">
        <v>337008</v>
      </c>
      <c r="Q1044" s="141">
        <v>337008</v>
      </c>
      <c r="R1044" s="122">
        <v>324048</v>
      </c>
    </row>
    <row r="1045" spans="1:19" ht="18" x14ac:dyDescent="0.25">
      <c r="A1045" s="573" t="s">
        <v>1386</v>
      </c>
      <c r="B1045" s="573" t="s">
        <v>123</v>
      </c>
      <c r="C1045" s="1356" t="s">
        <v>126</v>
      </c>
      <c r="D1045" s="1355"/>
      <c r="E1045" s="1355"/>
      <c r="F1045" s="1355"/>
      <c r="G1045" s="1355"/>
      <c r="H1045" s="221" t="s">
        <v>127</v>
      </c>
      <c r="I1045" s="141">
        <v>0</v>
      </c>
      <c r="J1045" s="141">
        <v>143928</v>
      </c>
      <c r="K1045" s="141"/>
      <c r="L1045" s="141">
        <f t="shared" si="28"/>
        <v>143928</v>
      </c>
      <c r="M1045" s="141">
        <v>143928</v>
      </c>
      <c r="N1045" s="141"/>
      <c r="O1045" s="141"/>
      <c r="P1045" s="141">
        <v>149628</v>
      </c>
      <c r="Q1045" s="141">
        <v>149628</v>
      </c>
      <c r="R1045" s="122">
        <v>143928</v>
      </c>
    </row>
    <row r="1046" spans="1:19" ht="18" x14ac:dyDescent="0.25">
      <c r="A1046" s="573" t="s">
        <v>1386</v>
      </c>
      <c r="B1046" s="573" t="s">
        <v>123</v>
      </c>
      <c r="C1046" s="1356" t="s">
        <v>126</v>
      </c>
      <c r="D1046" s="1355"/>
      <c r="E1046" s="1355"/>
      <c r="F1046" s="1355"/>
      <c r="G1046" s="1355"/>
      <c r="H1046" s="381" t="s">
        <v>127</v>
      </c>
      <c r="I1046" s="141">
        <v>156274.79999999999</v>
      </c>
      <c r="J1046" s="141">
        <v>171828</v>
      </c>
      <c r="K1046" s="141">
        <v>74927.520000000004</v>
      </c>
      <c r="L1046" s="141">
        <f t="shared" si="28"/>
        <v>96900.479999999996</v>
      </c>
      <c r="M1046" s="141">
        <v>171828</v>
      </c>
      <c r="N1046" s="141">
        <v>102914.5</v>
      </c>
      <c r="O1046" s="141"/>
      <c r="P1046" s="141">
        <v>178752</v>
      </c>
      <c r="Q1046" s="141">
        <v>178752</v>
      </c>
      <c r="R1046" s="122">
        <v>171828</v>
      </c>
    </row>
    <row r="1047" spans="1:19" ht="18" x14ac:dyDescent="0.25">
      <c r="A1047" s="573" t="s">
        <v>1386</v>
      </c>
      <c r="B1047" s="573" t="s">
        <v>123</v>
      </c>
      <c r="C1047" s="1356" t="s">
        <v>126</v>
      </c>
      <c r="D1047" s="1355"/>
      <c r="E1047" s="1355"/>
      <c r="F1047" s="1355"/>
      <c r="G1047" s="1355"/>
      <c r="H1047" s="381" t="s">
        <v>127</v>
      </c>
      <c r="I1047" s="141">
        <v>115285</v>
      </c>
      <c r="J1047" s="141">
        <v>143928</v>
      </c>
      <c r="K1047" s="141">
        <v>62760.15</v>
      </c>
      <c r="L1047" s="141">
        <f t="shared" si="28"/>
        <v>81167.850000000006</v>
      </c>
      <c r="M1047" s="141">
        <v>143928</v>
      </c>
      <c r="N1047" s="141">
        <v>86202.89</v>
      </c>
      <c r="O1047" s="141"/>
      <c r="P1047" s="141">
        <v>149628</v>
      </c>
      <c r="Q1047" s="141">
        <v>149628</v>
      </c>
      <c r="R1047" s="122">
        <v>143928</v>
      </c>
    </row>
    <row r="1048" spans="1:19" ht="18" x14ac:dyDescent="0.25">
      <c r="A1048" s="573" t="s">
        <v>1386</v>
      </c>
      <c r="B1048" s="573" t="s">
        <v>123</v>
      </c>
      <c r="C1048" s="1356" t="s">
        <v>126</v>
      </c>
      <c r="D1048" s="1355"/>
      <c r="E1048" s="1355"/>
      <c r="F1048" s="1355"/>
      <c r="G1048" s="1355"/>
      <c r="H1048" s="221" t="s">
        <v>127</v>
      </c>
      <c r="I1048" s="141">
        <v>777666.76</v>
      </c>
      <c r="J1048" s="141">
        <v>1084800</v>
      </c>
      <c r="K1048" s="141">
        <v>355179.74</v>
      </c>
      <c r="L1048" s="141">
        <f t="shared" si="28"/>
        <v>729620.26</v>
      </c>
      <c r="M1048" s="141">
        <v>1084800</v>
      </c>
      <c r="N1048" s="141">
        <v>489750.8</v>
      </c>
      <c r="O1048" s="141"/>
      <c r="P1048" s="141">
        <v>1127232</v>
      </c>
      <c r="Q1048" s="141">
        <v>1127232</v>
      </c>
      <c r="R1048" s="122">
        <v>1084800</v>
      </c>
      <c r="S1048" s="239">
        <f>SUM(R1039:R1048)</f>
        <v>8554596</v>
      </c>
    </row>
    <row r="1049" spans="1:19" ht="18" x14ac:dyDescent="0.25">
      <c r="A1049" s="573" t="s">
        <v>1386</v>
      </c>
      <c r="B1049" s="573" t="s">
        <v>123</v>
      </c>
      <c r="C1049" s="1356" t="s">
        <v>124</v>
      </c>
      <c r="D1049" s="1355"/>
      <c r="E1049" s="1355"/>
      <c r="F1049" s="1355"/>
      <c r="G1049" s="1355"/>
      <c r="H1049" s="381" t="s">
        <v>125</v>
      </c>
      <c r="I1049" s="141">
        <v>3236836.64</v>
      </c>
      <c r="J1049" s="141">
        <v>3709416</v>
      </c>
      <c r="K1049" s="141">
        <v>1660350.63</v>
      </c>
      <c r="L1049" s="141">
        <f t="shared" si="28"/>
        <v>2068002.2800000003</v>
      </c>
      <c r="M1049" s="141">
        <f>3709416+18936.91</f>
        <v>3728352.91</v>
      </c>
      <c r="N1049" s="141">
        <v>2219518.63</v>
      </c>
      <c r="O1049" s="141"/>
      <c r="P1049" s="141">
        <v>3847512</v>
      </c>
      <c r="Q1049" s="141">
        <v>3847512</v>
      </c>
      <c r="R1049" s="122">
        <f>3743148+6311.5</f>
        <v>3749459.5</v>
      </c>
    </row>
    <row r="1050" spans="1:19" ht="18" x14ac:dyDescent="0.25">
      <c r="A1050" s="573" t="s">
        <v>1386</v>
      </c>
      <c r="B1050" s="573" t="s">
        <v>123</v>
      </c>
      <c r="C1050" s="1356" t="s">
        <v>124</v>
      </c>
      <c r="D1050" s="1355"/>
      <c r="E1050" s="1355"/>
      <c r="F1050" s="1355"/>
      <c r="G1050" s="1355"/>
      <c r="H1050" s="221" t="s">
        <v>125</v>
      </c>
      <c r="I1050" s="141">
        <v>249065.45</v>
      </c>
      <c r="J1050" s="141">
        <v>2081280</v>
      </c>
      <c r="K1050" s="141">
        <v>167191.73000000001</v>
      </c>
      <c r="L1050" s="141">
        <f t="shared" si="28"/>
        <v>1914088.27</v>
      </c>
      <c r="M1050" s="141">
        <v>2081280</v>
      </c>
      <c r="N1050" s="141">
        <v>223347.73</v>
      </c>
      <c r="O1050" s="141"/>
      <c r="P1050" s="141">
        <v>2165892</v>
      </c>
      <c r="Q1050" s="141">
        <v>2165892</v>
      </c>
      <c r="R1050" s="122">
        <v>2081280</v>
      </c>
    </row>
    <row r="1051" spans="1:19" ht="18" x14ac:dyDescent="0.25">
      <c r="A1051" s="573" t="s">
        <v>1386</v>
      </c>
      <c r="B1051" s="573" t="s">
        <v>123</v>
      </c>
      <c r="C1051" s="1356" t="s">
        <v>124</v>
      </c>
      <c r="D1051" s="1355"/>
      <c r="E1051" s="1355"/>
      <c r="F1051" s="1355"/>
      <c r="G1051" s="1355"/>
      <c r="H1051" s="381" t="s">
        <v>125</v>
      </c>
      <c r="I1051" s="141">
        <v>680189.55</v>
      </c>
      <c r="J1051" s="141">
        <v>712428</v>
      </c>
      <c r="K1051" s="141">
        <v>357044</v>
      </c>
      <c r="L1051" s="141">
        <f t="shared" si="28"/>
        <v>358861.64</v>
      </c>
      <c r="M1051" s="141">
        <f>712428+3477.64</f>
        <v>715905.64</v>
      </c>
      <c r="N1051" s="141">
        <f>476614+139</f>
        <v>476753</v>
      </c>
      <c r="O1051" s="141"/>
      <c r="P1051" s="141">
        <v>748884</v>
      </c>
      <c r="Q1051" s="141">
        <v>748884</v>
      </c>
      <c r="R1051" s="122">
        <v>717420</v>
      </c>
    </row>
    <row r="1052" spans="1:19" ht="18" x14ac:dyDescent="0.25">
      <c r="A1052" s="573" t="s">
        <v>1386</v>
      </c>
      <c r="B1052" s="573" t="s">
        <v>123</v>
      </c>
      <c r="C1052" s="1356" t="s">
        <v>124</v>
      </c>
      <c r="D1052" s="1355"/>
      <c r="E1052" s="1355"/>
      <c r="F1052" s="1355"/>
      <c r="G1052" s="1355"/>
      <c r="H1052" s="381" t="s">
        <v>125</v>
      </c>
      <c r="I1052" s="141">
        <v>357810.55</v>
      </c>
      <c r="J1052" s="141">
        <v>908568</v>
      </c>
      <c r="K1052" s="141">
        <v>194950</v>
      </c>
      <c r="L1052" s="141">
        <f t="shared" si="28"/>
        <v>714496.18</v>
      </c>
      <c r="M1052" s="141">
        <f>908568+878.18</f>
        <v>909446.18</v>
      </c>
      <c r="N1052" s="141">
        <v>260010</v>
      </c>
      <c r="O1052" s="141"/>
      <c r="P1052" s="141">
        <v>952224</v>
      </c>
      <c r="Q1052" s="141">
        <v>952224</v>
      </c>
      <c r="R1052" s="122">
        <v>909672</v>
      </c>
    </row>
    <row r="1053" spans="1:19" ht="18" x14ac:dyDescent="0.25">
      <c r="A1053" s="573" t="s">
        <v>1386</v>
      </c>
      <c r="B1053" s="573" t="s">
        <v>123</v>
      </c>
      <c r="C1053" s="1356" t="s">
        <v>124</v>
      </c>
      <c r="D1053" s="1355"/>
      <c r="E1053" s="1355"/>
      <c r="F1053" s="1355"/>
      <c r="G1053" s="1355"/>
      <c r="H1053" s="221" t="s">
        <v>125</v>
      </c>
      <c r="I1053" s="141">
        <v>442047.59</v>
      </c>
      <c r="J1053" s="141">
        <v>726192</v>
      </c>
      <c r="K1053" s="141">
        <v>240990</v>
      </c>
      <c r="L1053" s="141">
        <f t="shared" si="28"/>
        <v>485202</v>
      </c>
      <c r="M1053" s="141">
        <v>726192</v>
      </c>
      <c r="N1053" s="141">
        <v>321320</v>
      </c>
      <c r="O1053" s="141"/>
      <c r="P1053" s="141">
        <v>761520</v>
      </c>
      <c r="Q1053" s="141">
        <v>761520</v>
      </c>
      <c r="R1053" s="122">
        <v>726192</v>
      </c>
    </row>
    <row r="1054" spans="1:19" ht="18" x14ac:dyDescent="0.25">
      <c r="A1054" s="573" t="s">
        <v>1386</v>
      </c>
      <c r="B1054" s="573" t="s">
        <v>123</v>
      </c>
      <c r="C1054" s="1356" t="s">
        <v>124</v>
      </c>
      <c r="D1054" s="1355"/>
      <c r="E1054" s="1355"/>
      <c r="F1054" s="1355"/>
      <c r="G1054" s="1355"/>
      <c r="H1054" s="221" t="s">
        <v>125</v>
      </c>
      <c r="I1054" s="141">
        <v>1068816.1399999999</v>
      </c>
      <c r="J1054" s="141">
        <v>1230660</v>
      </c>
      <c r="K1054" s="141">
        <v>527555.59</v>
      </c>
      <c r="L1054" s="141">
        <f t="shared" si="28"/>
        <v>712548.00000000012</v>
      </c>
      <c r="M1054" s="141">
        <f>1230660+9443.59</f>
        <v>1240103.5900000001</v>
      </c>
      <c r="N1054" s="141">
        <v>704279.59</v>
      </c>
      <c r="O1054" s="141"/>
      <c r="P1054" s="141">
        <v>1279224</v>
      </c>
      <c r="Q1054" s="141">
        <v>1279224</v>
      </c>
      <c r="R1054" s="122">
        <v>1242720</v>
      </c>
    </row>
    <row r="1055" spans="1:19" ht="18" x14ac:dyDescent="0.25">
      <c r="A1055" s="573" t="s">
        <v>1386</v>
      </c>
      <c r="B1055" s="573" t="s">
        <v>123</v>
      </c>
      <c r="C1055" s="1356" t="s">
        <v>124</v>
      </c>
      <c r="D1055" s="1355"/>
      <c r="E1055" s="1355"/>
      <c r="F1055" s="1355"/>
      <c r="G1055" s="1355"/>
      <c r="H1055" s="221" t="s">
        <v>125</v>
      </c>
      <c r="I1055" s="141">
        <v>1364991.14</v>
      </c>
      <c r="J1055" s="141">
        <v>2117868</v>
      </c>
      <c r="K1055" s="141">
        <v>546678</v>
      </c>
      <c r="L1055" s="141">
        <f t="shared" si="28"/>
        <v>1581574</v>
      </c>
      <c r="M1055" s="141">
        <f>2117868+10384</f>
        <v>2128252</v>
      </c>
      <c r="N1055" s="141">
        <v>731876</v>
      </c>
      <c r="O1055" s="141"/>
      <c r="P1055" s="141">
        <v>2198508</v>
      </c>
      <c r="Q1055" s="141">
        <v>2198508</v>
      </c>
      <c r="R1055" s="122">
        <v>2135700</v>
      </c>
    </row>
    <row r="1056" spans="1:19" ht="18" x14ac:dyDescent="0.25">
      <c r="A1056" s="573" t="s">
        <v>1386</v>
      </c>
      <c r="B1056" s="573" t="s">
        <v>123</v>
      </c>
      <c r="C1056" s="1382" t="s">
        <v>124</v>
      </c>
      <c r="D1056" s="1355"/>
      <c r="E1056" s="1355"/>
      <c r="F1056" s="1355"/>
      <c r="G1056" s="1355"/>
      <c r="H1056" s="221" t="s">
        <v>125</v>
      </c>
      <c r="I1056" s="141">
        <v>11562441.09</v>
      </c>
      <c r="J1056" s="141">
        <v>11801532</v>
      </c>
      <c r="K1056" s="141">
        <v>5864116</v>
      </c>
      <c r="L1056" s="141">
        <f t="shared" si="28"/>
        <v>6009392</v>
      </c>
      <c r="M1056" s="141">
        <f>11801532+71976</f>
        <v>11873508</v>
      </c>
      <c r="N1056" s="141">
        <v>7782067</v>
      </c>
      <c r="O1056" s="141"/>
      <c r="P1056" s="141">
        <v>12170916</v>
      </c>
      <c r="Q1056" s="141">
        <v>12170916</v>
      </c>
      <c r="R1056" s="122">
        <v>11881536</v>
      </c>
    </row>
    <row r="1057" spans="1:26" ht="18" x14ac:dyDescent="0.25">
      <c r="A1057" s="573" t="s">
        <v>1386</v>
      </c>
      <c r="B1057" s="573" t="s">
        <v>123</v>
      </c>
      <c r="C1057" s="1356" t="s">
        <v>124</v>
      </c>
      <c r="D1057" s="1355"/>
      <c r="E1057" s="1355"/>
      <c r="F1057" s="1355"/>
      <c r="G1057" s="1355"/>
      <c r="H1057" s="221" t="s">
        <v>125</v>
      </c>
      <c r="I1057" s="141">
        <v>2421878</v>
      </c>
      <c r="J1057" s="141">
        <v>3990060</v>
      </c>
      <c r="K1057" s="141">
        <v>1256890.18</v>
      </c>
      <c r="L1057" s="141">
        <f t="shared" si="28"/>
        <v>2742206.8200000003</v>
      </c>
      <c r="M1057" s="141">
        <f>3990060+9037</f>
        <v>3999097</v>
      </c>
      <c r="N1057" s="141">
        <v>1676634.18</v>
      </c>
      <c r="O1057" s="141"/>
      <c r="P1057" s="141">
        <v>4155708</v>
      </c>
      <c r="Q1057" s="141">
        <v>4155708</v>
      </c>
      <c r="R1057" s="122">
        <f>4001436+525</f>
        <v>4001961</v>
      </c>
    </row>
    <row r="1058" spans="1:26" ht="18" x14ac:dyDescent="0.25">
      <c r="A1058" s="573" t="s">
        <v>1386</v>
      </c>
      <c r="B1058" s="573" t="s">
        <v>123</v>
      </c>
      <c r="C1058" s="1356" t="s">
        <v>124</v>
      </c>
      <c r="D1058" s="1355"/>
      <c r="E1058" s="1355"/>
      <c r="F1058" s="1355"/>
      <c r="G1058" s="1355"/>
      <c r="H1058" s="221" t="s">
        <v>125</v>
      </c>
      <c r="I1058" s="141">
        <v>226539.41</v>
      </c>
      <c r="J1058" s="141">
        <v>1129584</v>
      </c>
      <c r="K1058" s="141">
        <v>483780</v>
      </c>
      <c r="L1058" s="141">
        <f t="shared" si="28"/>
        <v>645804</v>
      </c>
      <c r="M1058" s="141">
        <v>1129584</v>
      </c>
      <c r="N1058" s="141">
        <v>645040</v>
      </c>
      <c r="O1058" s="141"/>
      <c r="P1058" s="141">
        <v>1154328</v>
      </c>
      <c r="Q1058" s="141">
        <v>1154328</v>
      </c>
      <c r="R1058" s="122">
        <v>1129584</v>
      </c>
    </row>
    <row r="1059" spans="1:26" ht="18" x14ac:dyDescent="0.25">
      <c r="A1059" s="573" t="s">
        <v>1386</v>
      </c>
      <c r="B1059" s="573" t="s">
        <v>123</v>
      </c>
      <c r="C1059" s="1356" t="s">
        <v>124</v>
      </c>
      <c r="D1059" s="1355"/>
      <c r="E1059" s="1355"/>
      <c r="F1059" s="1355"/>
      <c r="G1059" s="1355"/>
      <c r="H1059" s="381" t="s">
        <v>125</v>
      </c>
      <c r="I1059" s="141">
        <v>0</v>
      </c>
      <c r="J1059" s="141">
        <v>1111488</v>
      </c>
      <c r="K1059" s="141"/>
      <c r="L1059" s="141">
        <f t="shared" si="28"/>
        <v>1111488</v>
      </c>
      <c r="M1059" s="141">
        <v>1111488</v>
      </c>
      <c r="N1059" s="141"/>
      <c r="O1059" s="141"/>
      <c r="P1059" s="141">
        <v>1135452</v>
      </c>
      <c r="Q1059" s="141">
        <v>1135452</v>
      </c>
      <c r="R1059" s="122">
        <v>1111488</v>
      </c>
    </row>
    <row r="1060" spans="1:26" ht="18" x14ac:dyDescent="0.25">
      <c r="A1060" s="573" t="s">
        <v>1386</v>
      </c>
      <c r="B1060" s="573" t="s">
        <v>123</v>
      </c>
      <c r="C1060" s="1356" t="s">
        <v>124</v>
      </c>
      <c r="D1060" s="1355"/>
      <c r="E1060" s="1355"/>
      <c r="F1060" s="1355"/>
      <c r="G1060" s="1355"/>
      <c r="H1060" s="381" t="s">
        <v>125</v>
      </c>
      <c r="I1060" s="141">
        <f>1659131.36+1252.36</f>
        <v>1660383.7200000002</v>
      </c>
      <c r="J1060" s="141">
        <v>1957500</v>
      </c>
      <c r="K1060" s="141">
        <v>887970</v>
      </c>
      <c r="L1060" s="141">
        <f t="shared" si="28"/>
        <v>1072608.55</v>
      </c>
      <c r="M1060" s="141">
        <f>1957500+3078.55</f>
        <v>1960578.55</v>
      </c>
      <c r="N1060" s="141">
        <f>1184640+204</f>
        <v>1184844</v>
      </c>
      <c r="O1060" s="141"/>
      <c r="P1060" s="141">
        <v>2017620</v>
      </c>
      <c r="Q1060" s="141">
        <v>2017620</v>
      </c>
      <c r="R1060" s="122">
        <v>1962396</v>
      </c>
    </row>
    <row r="1061" spans="1:26" ht="18" x14ac:dyDescent="0.25">
      <c r="A1061" s="573" t="s">
        <v>1386</v>
      </c>
      <c r="B1061" s="573" t="s">
        <v>123</v>
      </c>
      <c r="C1061" s="1356" t="s">
        <v>124</v>
      </c>
      <c r="D1061" s="1355"/>
      <c r="E1061" s="1355"/>
      <c r="F1061" s="1355"/>
      <c r="G1061" s="1355"/>
      <c r="H1061" s="381" t="s">
        <v>125</v>
      </c>
      <c r="I1061" s="141">
        <v>2660002.4900000002</v>
      </c>
      <c r="J1061" s="141">
        <v>4183836</v>
      </c>
      <c r="K1061" s="141">
        <v>1400381.77</v>
      </c>
      <c r="L1061" s="141">
        <f t="shared" si="28"/>
        <v>2791651.6</v>
      </c>
      <c r="M1061" s="141">
        <f>4183836+8197.37</f>
        <v>4192033.37</v>
      </c>
      <c r="N1061" s="141">
        <v>1867995.77</v>
      </c>
      <c r="O1061" s="141"/>
      <c r="P1061" s="141">
        <v>4353108</v>
      </c>
      <c r="Q1061" s="141">
        <v>4353108</v>
      </c>
      <c r="R1061" s="122">
        <v>4195140</v>
      </c>
    </row>
    <row r="1062" spans="1:26" ht="18" x14ac:dyDescent="0.25">
      <c r="A1062" s="573" t="s">
        <v>1386</v>
      </c>
      <c r="B1062" s="573" t="s">
        <v>123</v>
      </c>
      <c r="C1062" s="1356" t="s">
        <v>124</v>
      </c>
      <c r="D1062" s="1355"/>
      <c r="E1062" s="1355"/>
      <c r="F1062" s="1355"/>
      <c r="G1062" s="1355"/>
      <c r="H1062" s="381" t="s">
        <v>125</v>
      </c>
      <c r="I1062" s="141">
        <v>1691395.79</v>
      </c>
      <c r="J1062" s="141">
        <v>1928580</v>
      </c>
      <c r="K1062" s="141">
        <v>823964.09</v>
      </c>
      <c r="L1062" s="141">
        <f t="shared" si="28"/>
        <v>1108380</v>
      </c>
      <c r="M1062" s="141">
        <f>1928580+3764.09</f>
        <v>1932344.09</v>
      </c>
      <c r="N1062" s="141">
        <v>1089364.0900000001</v>
      </c>
      <c r="O1062" s="141"/>
      <c r="P1062" s="141">
        <v>1995120</v>
      </c>
      <c r="Q1062" s="141">
        <v>1995120</v>
      </c>
      <c r="R1062" s="122">
        <f>1929336+5436</f>
        <v>1934772</v>
      </c>
    </row>
    <row r="1063" spans="1:26" ht="18" x14ac:dyDescent="0.25">
      <c r="A1063" s="1404" t="s">
        <v>1386</v>
      </c>
      <c r="B1063" s="1404" t="s">
        <v>123</v>
      </c>
      <c r="C1063" s="1382" t="s">
        <v>124</v>
      </c>
      <c r="D1063" s="1355"/>
      <c r="E1063" s="1355"/>
      <c r="F1063" s="1355"/>
      <c r="G1063" s="1355"/>
      <c r="H1063" s="221" t="s">
        <v>125</v>
      </c>
      <c r="I1063" s="141">
        <v>3160005.88</v>
      </c>
      <c r="J1063" s="141">
        <v>3771696</v>
      </c>
      <c r="K1063" s="141">
        <v>1699777.36</v>
      </c>
      <c r="L1063" s="141">
        <f t="shared" si="28"/>
        <v>2080940.64</v>
      </c>
      <c r="M1063" s="141">
        <f>3771696+9022</f>
        <v>3780718</v>
      </c>
      <c r="N1063" s="141">
        <v>2226130.7400000002</v>
      </c>
      <c r="O1063" s="141"/>
      <c r="P1063" s="141">
        <v>3920508</v>
      </c>
      <c r="Q1063" s="141">
        <v>3920508</v>
      </c>
      <c r="R1063" s="122">
        <v>3780576</v>
      </c>
    </row>
    <row r="1064" spans="1:26" ht="18" x14ac:dyDescent="0.25">
      <c r="A1064" s="1404" t="s">
        <v>1386</v>
      </c>
      <c r="B1064" s="1404" t="s">
        <v>123</v>
      </c>
      <c r="C1064" s="1382" t="s">
        <v>124</v>
      </c>
      <c r="D1064" s="1355"/>
      <c r="E1064" s="1355"/>
      <c r="F1064" s="1355"/>
      <c r="G1064" s="1355"/>
      <c r="H1064" s="221" t="s">
        <v>125</v>
      </c>
      <c r="I1064" s="141">
        <f>5476407.4+27.68</f>
        <v>5476435.0800000001</v>
      </c>
      <c r="J1064" s="141">
        <v>6696612</v>
      </c>
      <c r="K1064" s="141">
        <v>2854512.68</v>
      </c>
      <c r="L1064" s="141">
        <f t="shared" si="28"/>
        <v>3861682.7499999995</v>
      </c>
      <c r="M1064" s="141">
        <f>6696612+19583.43</f>
        <v>6716195.4299999997</v>
      </c>
      <c r="N1064" s="141">
        <v>3808001.09</v>
      </c>
      <c r="O1064" s="141"/>
      <c r="P1064" s="141">
        <v>6976320</v>
      </c>
      <c r="Q1064" s="141">
        <v>6976320</v>
      </c>
      <c r="R1064" s="122">
        <f>6720228+7152</f>
        <v>6727380</v>
      </c>
    </row>
    <row r="1065" spans="1:26" ht="18" x14ac:dyDescent="0.25">
      <c r="A1065" s="1404" t="s">
        <v>1386</v>
      </c>
      <c r="B1065" s="1404" t="s">
        <v>123</v>
      </c>
      <c r="C1065" s="1356" t="s">
        <v>124</v>
      </c>
      <c r="D1065" s="1355"/>
      <c r="E1065" s="1355"/>
      <c r="F1065" s="1355"/>
      <c r="G1065" s="1355"/>
      <c r="H1065" s="221" t="s">
        <v>125</v>
      </c>
      <c r="I1065" s="141">
        <f>3549017.54+988.54</f>
        <v>3550006.08</v>
      </c>
      <c r="J1065" s="141">
        <v>5074056</v>
      </c>
      <c r="K1065" s="141">
        <v>1857413.59</v>
      </c>
      <c r="L1065" s="141">
        <f t="shared" si="28"/>
        <v>3223287</v>
      </c>
      <c r="M1065" s="141">
        <f>5074056+6644.59</f>
        <v>5080700.59</v>
      </c>
      <c r="N1065" s="141">
        <v>2477015.59</v>
      </c>
      <c r="O1065" s="141"/>
      <c r="P1065" s="141">
        <v>5267484</v>
      </c>
      <c r="Q1065" s="141">
        <v>5267484</v>
      </c>
      <c r="R1065" s="122">
        <f>5082684+233</f>
        <v>5082917</v>
      </c>
    </row>
    <row r="1066" spans="1:26" ht="18" x14ac:dyDescent="0.25">
      <c r="A1066" s="1404" t="s">
        <v>1386</v>
      </c>
      <c r="B1066" s="1404" t="s">
        <v>123</v>
      </c>
      <c r="C1066" s="1356" t="s">
        <v>124</v>
      </c>
      <c r="D1066" s="1355"/>
      <c r="E1066" s="1355"/>
      <c r="F1066" s="1355"/>
      <c r="G1066" s="1355"/>
      <c r="H1066" s="221" t="s">
        <v>125</v>
      </c>
      <c r="I1066" s="141">
        <v>2358186.56</v>
      </c>
      <c r="J1066" s="141">
        <v>4120764</v>
      </c>
      <c r="K1066" s="141">
        <v>1233659</v>
      </c>
      <c r="L1066" s="141">
        <f t="shared" si="28"/>
        <v>2892912</v>
      </c>
      <c r="M1066" s="141">
        <f>4120764+5807</f>
        <v>4126571</v>
      </c>
      <c r="N1066" s="141">
        <v>1645175</v>
      </c>
      <c r="O1066" s="141"/>
      <c r="P1066" s="141">
        <v>4275396</v>
      </c>
      <c r="Q1066" s="141">
        <v>4275396</v>
      </c>
      <c r="R1066" s="122">
        <v>4127460</v>
      </c>
    </row>
    <row r="1067" spans="1:26" s="146" customFormat="1" ht="18" customHeight="1" x14ac:dyDescent="0.25">
      <c r="A1067" s="1404" t="s">
        <v>1386</v>
      </c>
      <c r="B1067" s="1404" t="s">
        <v>123</v>
      </c>
      <c r="C1067" s="1382" t="s">
        <v>124</v>
      </c>
      <c r="D1067" s="1355"/>
      <c r="E1067" s="1355"/>
      <c r="F1067" s="1355"/>
      <c r="G1067" s="1355"/>
      <c r="H1067" s="221" t="s">
        <v>125</v>
      </c>
      <c r="I1067" s="141">
        <v>1519337.55</v>
      </c>
      <c r="J1067" s="141">
        <v>1561524</v>
      </c>
      <c r="K1067" s="141">
        <v>781841</v>
      </c>
      <c r="L1067" s="141">
        <f t="shared" si="28"/>
        <v>786876.12999999989</v>
      </c>
      <c r="M1067" s="141">
        <f>1561524+7193.13</f>
        <v>1568717.13</v>
      </c>
      <c r="N1067" s="141">
        <v>1042669</v>
      </c>
      <c r="O1067" s="141"/>
      <c r="P1067" s="141">
        <v>1623900</v>
      </c>
      <c r="Q1067" s="141">
        <v>1623900</v>
      </c>
      <c r="R1067" s="122">
        <v>1581276</v>
      </c>
      <c r="S1067" s="239">
        <f>SUM(R1049:R1067)</f>
        <v>59078929.5</v>
      </c>
      <c r="T1067" s="1476"/>
    </row>
    <row r="1068" spans="1:26" s="146" customFormat="1" ht="18" customHeight="1" x14ac:dyDescent="0.25">
      <c r="A1068" s="1404" t="s">
        <v>1386</v>
      </c>
      <c r="B1068" s="1404" t="s">
        <v>123</v>
      </c>
      <c r="C1068" s="1356" t="s">
        <v>133</v>
      </c>
      <c r="D1068" s="1355"/>
      <c r="E1068" s="1355"/>
      <c r="F1068" s="1355"/>
      <c r="G1068" s="1355"/>
      <c r="H1068" s="221" t="s">
        <v>134</v>
      </c>
      <c r="I1068" s="141">
        <v>834000</v>
      </c>
      <c r="J1068" s="141">
        <v>864000</v>
      </c>
      <c r="K1068" s="141">
        <v>429000</v>
      </c>
      <c r="L1068" s="141">
        <f t="shared" si="28"/>
        <v>435000</v>
      </c>
      <c r="M1068" s="141">
        <v>864000</v>
      </c>
      <c r="N1068" s="141">
        <v>568500</v>
      </c>
      <c r="O1068" s="141"/>
      <c r="P1068" s="141">
        <v>864000</v>
      </c>
      <c r="Q1068" s="141">
        <v>864000</v>
      </c>
      <c r="R1068" s="122">
        <v>864000</v>
      </c>
      <c r="S1068" s="1450"/>
      <c r="T1068" s="1476"/>
    </row>
    <row r="1069" spans="1:26" s="7" customFormat="1" ht="18" customHeight="1" x14ac:dyDescent="0.25">
      <c r="A1069" s="1404" t="s">
        <v>1386</v>
      </c>
      <c r="B1069" s="1404" t="s">
        <v>123</v>
      </c>
      <c r="C1069" s="1356" t="s">
        <v>133</v>
      </c>
      <c r="D1069" s="1355"/>
      <c r="E1069" s="1355"/>
      <c r="F1069" s="1355"/>
      <c r="G1069" s="1355"/>
      <c r="H1069" s="221" t="s">
        <v>134</v>
      </c>
      <c r="I1069" s="141">
        <v>73500</v>
      </c>
      <c r="J1069" s="141">
        <v>72000</v>
      </c>
      <c r="K1069" s="141">
        <v>34500</v>
      </c>
      <c r="L1069" s="141">
        <f t="shared" si="28"/>
        <v>37500</v>
      </c>
      <c r="M1069" s="141">
        <v>72000</v>
      </c>
      <c r="N1069" s="141">
        <v>46500</v>
      </c>
      <c r="O1069" s="141"/>
      <c r="P1069" s="141">
        <v>72000</v>
      </c>
      <c r="Q1069" s="141">
        <v>72000</v>
      </c>
      <c r="R1069" s="122">
        <v>72000</v>
      </c>
      <c r="S1069" s="1460"/>
      <c r="T1069" s="1475"/>
      <c r="U1069" s="1380"/>
      <c r="V1069" s="1380"/>
      <c r="W1069" s="1380"/>
      <c r="X1069" s="1380"/>
      <c r="Y1069" s="1380"/>
      <c r="Z1069" s="1380"/>
    </row>
    <row r="1070" spans="1:26" ht="18" x14ac:dyDescent="0.25">
      <c r="A1070" s="1404" t="s">
        <v>1386</v>
      </c>
      <c r="B1070" s="1404" t="s">
        <v>123</v>
      </c>
      <c r="C1070" s="1356" t="s">
        <v>133</v>
      </c>
      <c r="D1070" s="1355"/>
      <c r="E1070" s="1355"/>
      <c r="F1070" s="1355"/>
      <c r="G1070" s="1355"/>
      <c r="H1070" s="221" t="s">
        <v>134</v>
      </c>
      <c r="I1070" s="141">
        <v>18000</v>
      </c>
      <c r="J1070" s="141">
        <v>72000</v>
      </c>
      <c r="K1070" s="141">
        <v>36000</v>
      </c>
      <c r="L1070" s="141">
        <f t="shared" si="28"/>
        <v>36000</v>
      </c>
      <c r="M1070" s="141">
        <v>72000</v>
      </c>
      <c r="N1070" s="141">
        <v>48000</v>
      </c>
      <c r="O1070" s="141"/>
      <c r="P1070" s="141">
        <v>72000</v>
      </c>
      <c r="Q1070" s="141">
        <v>72000</v>
      </c>
      <c r="R1070" s="122">
        <v>72000</v>
      </c>
    </row>
    <row r="1071" spans="1:26" s="146" customFormat="1" ht="18" x14ac:dyDescent="0.25">
      <c r="A1071" s="1404" t="s">
        <v>1386</v>
      </c>
      <c r="B1071" s="1404" t="s">
        <v>123</v>
      </c>
      <c r="C1071" s="1356" t="s">
        <v>133</v>
      </c>
      <c r="D1071" s="1355"/>
      <c r="E1071" s="1355"/>
      <c r="F1071" s="1355"/>
      <c r="G1071" s="1355"/>
      <c r="H1071" s="381" t="s">
        <v>134</v>
      </c>
      <c r="I1071" s="141">
        <v>0</v>
      </c>
      <c r="J1071" s="141">
        <v>72000</v>
      </c>
      <c r="K1071" s="141"/>
      <c r="L1071" s="141">
        <f t="shared" si="28"/>
        <v>72000</v>
      </c>
      <c r="M1071" s="141">
        <v>72000</v>
      </c>
      <c r="N1071" s="141"/>
      <c r="O1071" s="141"/>
      <c r="P1071" s="141">
        <v>72000</v>
      </c>
      <c r="Q1071" s="141">
        <v>72000</v>
      </c>
      <c r="R1071" s="122">
        <v>72000</v>
      </c>
      <c r="S1071" s="239"/>
      <c r="T1071" s="1476"/>
    </row>
    <row r="1072" spans="1:26" s="146" customFormat="1" ht="18" x14ac:dyDescent="0.25">
      <c r="A1072" s="1404" t="s">
        <v>1386</v>
      </c>
      <c r="B1072" s="1404" t="s">
        <v>123</v>
      </c>
      <c r="C1072" s="1356" t="s">
        <v>133</v>
      </c>
      <c r="D1072" s="1355"/>
      <c r="E1072" s="1355"/>
      <c r="F1072" s="1355"/>
      <c r="G1072" s="1355"/>
      <c r="H1072" s="381" t="s">
        <v>134</v>
      </c>
      <c r="I1072" s="141">
        <v>72000</v>
      </c>
      <c r="J1072" s="141">
        <v>72000</v>
      </c>
      <c r="K1072" s="141">
        <v>36000</v>
      </c>
      <c r="L1072" s="141">
        <f t="shared" si="28"/>
        <v>36000</v>
      </c>
      <c r="M1072" s="141">
        <v>72000</v>
      </c>
      <c r="N1072" s="141">
        <v>48000</v>
      </c>
      <c r="O1072" s="141"/>
      <c r="P1072" s="141">
        <v>72000</v>
      </c>
      <c r="Q1072" s="141">
        <v>72000</v>
      </c>
      <c r="R1072" s="122">
        <v>72000</v>
      </c>
      <c r="S1072" s="239"/>
      <c r="T1072" s="1476"/>
    </row>
    <row r="1073" spans="1:26" s="48" customFormat="1" ht="21.75" customHeight="1" x14ac:dyDescent="0.25">
      <c r="A1073" s="1404" t="s">
        <v>1386</v>
      </c>
      <c r="B1073" s="1404" t="s">
        <v>123</v>
      </c>
      <c r="C1073" s="1356" t="s">
        <v>133</v>
      </c>
      <c r="D1073" s="1355"/>
      <c r="E1073" s="1355"/>
      <c r="F1073" s="1355"/>
      <c r="G1073" s="1355"/>
      <c r="H1073" s="381" t="s">
        <v>134</v>
      </c>
      <c r="I1073" s="141">
        <v>63000</v>
      </c>
      <c r="J1073" s="141">
        <v>72000</v>
      </c>
      <c r="K1073" s="141">
        <v>34500</v>
      </c>
      <c r="L1073" s="141">
        <f t="shared" si="28"/>
        <v>37500</v>
      </c>
      <c r="M1073" s="141">
        <v>72000</v>
      </c>
      <c r="N1073" s="141">
        <v>46500</v>
      </c>
      <c r="O1073" s="141"/>
      <c r="P1073" s="141">
        <v>72000</v>
      </c>
      <c r="Q1073" s="141">
        <v>72000</v>
      </c>
      <c r="R1073" s="122">
        <v>72000</v>
      </c>
      <c r="S1073" s="1701"/>
      <c r="T1073" s="1477"/>
      <c r="U1073" s="169"/>
      <c r="V1073" s="169"/>
      <c r="W1073" s="169"/>
      <c r="X1073" s="169"/>
      <c r="Y1073" s="169"/>
      <c r="Z1073" s="169"/>
    </row>
    <row r="1074" spans="1:26" s="1153" customFormat="1" ht="16.5" customHeight="1" x14ac:dyDescent="0.25">
      <c r="A1074" s="1404" t="s">
        <v>1386</v>
      </c>
      <c r="B1074" s="1404" t="s">
        <v>123</v>
      </c>
      <c r="C1074" s="1382" t="s">
        <v>133</v>
      </c>
      <c r="D1074" s="1355"/>
      <c r="E1074" s="1355"/>
      <c r="F1074" s="1355"/>
      <c r="G1074" s="1355"/>
      <c r="H1074" s="381" t="s">
        <v>134</v>
      </c>
      <c r="I1074" s="141">
        <v>72000</v>
      </c>
      <c r="J1074" s="141">
        <v>72000</v>
      </c>
      <c r="K1074" s="141">
        <v>36000</v>
      </c>
      <c r="L1074" s="141">
        <f t="shared" ref="L1074:L1098" si="29">M1074-K1074</f>
        <v>36000</v>
      </c>
      <c r="M1074" s="141">
        <v>72000</v>
      </c>
      <c r="N1074" s="141">
        <v>48000</v>
      </c>
      <c r="O1074" s="141"/>
      <c r="P1074" s="141">
        <v>72000</v>
      </c>
      <c r="Q1074" s="141">
        <v>72000</v>
      </c>
      <c r="R1074" s="122">
        <v>72000</v>
      </c>
      <c r="S1074" s="1701"/>
      <c r="T1074" s="1483"/>
      <c r="U1074" s="1256"/>
      <c r="V1074" s="1256"/>
      <c r="W1074" s="1256"/>
      <c r="X1074" s="1256"/>
      <c r="Y1074" s="1256"/>
      <c r="Z1074" s="1256"/>
    </row>
    <row r="1075" spans="1:26" s="48" customFormat="1" ht="18" customHeight="1" x14ac:dyDescent="0.25">
      <c r="A1075" s="1404" t="s">
        <v>1386</v>
      </c>
      <c r="B1075" s="1404" t="s">
        <v>123</v>
      </c>
      <c r="C1075" s="1356" t="s">
        <v>133</v>
      </c>
      <c r="D1075" s="1355"/>
      <c r="E1075" s="1355"/>
      <c r="F1075" s="1355"/>
      <c r="G1075" s="1355"/>
      <c r="H1075" s="221" t="s">
        <v>134</v>
      </c>
      <c r="I1075" s="141">
        <v>70500</v>
      </c>
      <c r="J1075" s="141">
        <v>72000</v>
      </c>
      <c r="K1075" s="141">
        <v>34500</v>
      </c>
      <c r="L1075" s="141">
        <f t="shared" si="29"/>
        <v>37500</v>
      </c>
      <c r="M1075" s="141">
        <v>72000</v>
      </c>
      <c r="N1075" s="141">
        <v>46500</v>
      </c>
      <c r="O1075" s="141"/>
      <c r="P1075" s="141">
        <v>72000</v>
      </c>
      <c r="Q1075" s="141">
        <v>72000</v>
      </c>
      <c r="R1075" s="122">
        <v>72000</v>
      </c>
      <c r="S1075" s="239"/>
      <c r="T1075" s="1477"/>
      <c r="U1075" s="169"/>
      <c r="V1075" s="169"/>
      <c r="W1075" s="169"/>
      <c r="X1075" s="169"/>
      <c r="Y1075" s="169"/>
      <c r="Z1075" s="169"/>
    </row>
    <row r="1076" spans="1:26" s="146" customFormat="1" ht="18" customHeight="1" x14ac:dyDescent="0.25">
      <c r="A1076" s="1404" t="s">
        <v>1386</v>
      </c>
      <c r="B1076" s="1404" t="s">
        <v>123</v>
      </c>
      <c r="C1076" s="1356" t="s">
        <v>133</v>
      </c>
      <c r="D1076" s="1355"/>
      <c r="E1076" s="1355"/>
      <c r="F1076" s="1355"/>
      <c r="G1076" s="1355"/>
      <c r="H1076" s="221" t="s">
        <v>134</v>
      </c>
      <c r="I1076" s="141">
        <v>69000</v>
      </c>
      <c r="J1076" s="141">
        <v>72000</v>
      </c>
      <c r="K1076" s="141">
        <v>34500</v>
      </c>
      <c r="L1076" s="141">
        <f t="shared" si="29"/>
        <v>37500</v>
      </c>
      <c r="M1076" s="141">
        <v>72000</v>
      </c>
      <c r="N1076" s="141">
        <v>46500</v>
      </c>
      <c r="O1076" s="141"/>
      <c r="P1076" s="141">
        <v>72000</v>
      </c>
      <c r="Q1076" s="141">
        <v>72000</v>
      </c>
      <c r="R1076" s="122">
        <v>72000</v>
      </c>
      <c r="S1076" s="239"/>
      <c r="T1076" s="1476"/>
    </row>
    <row r="1077" spans="1:26" s="146" customFormat="1" ht="18" customHeight="1" x14ac:dyDescent="0.25">
      <c r="A1077" s="1404" t="s">
        <v>1386</v>
      </c>
      <c r="B1077" s="1404" t="s">
        <v>123</v>
      </c>
      <c r="C1077" s="1356" t="s">
        <v>133</v>
      </c>
      <c r="D1077" s="1355"/>
      <c r="E1077" s="1355"/>
      <c r="F1077" s="1355"/>
      <c r="G1077" s="1355"/>
      <c r="H1077" s="221" t="s">
        <v>134</v>
      </c>
      <c r="I1077" s="141">
        <v>70500</v>
      </c>
      <c r="J1077" s="141">
        <v>120000</v>
      </c>
      <c r="K1077" s="141">
        <v>36000</v>
      </c>
      <c r="L1077" s="141">
        <f t="shared" si="29"/>
        <v>84000</v>
      </c>
      <c r="M1077" s="141">
        <v>120000</v>
      </c>
      <c r="N1077" s="141">
        <v>48000</v>
      </c>
      <c r="O1077" s="141"/>
      <c r="P1077" s="141">
        <v>120000</v>
      </c>
      <c r="Q1077" s="141">
        <v>120000</v>
      </c>
      <c r="R1077" s="122">
        <v>120000</v>
      </c>
      <c r="S1077" s="239"/>
      <c r="T1077" s="1476"/>
    </row>
    <row r="1078" spans="1:26" s="146" customFormat="1" ht="18" customHeight="1" x14ac:dyDescent="0.25">
      <c r="A1078" s="1404" t="s">
        <v>1386</v>
      </c>
      <c r="B1078" s="1404" t="s">
        <v>123</v>
      </c>
      <c r="C1078" s="1356" t="s">
        <v>133</v>
      </c>
      <c r="D1078" s="1355"/>
      <c r="E1078" s="1355"/>
      <c r="F1078" s="1355"/>
      <c r="G1078" s="1355"/>
      <c r="H1078" s="221" t="s">
        <v>134</v>
      </c>
      <c r="I1078" s="141">
        <v>66000</v>
      </c>
      <c r="J1078" s="141">
        <v>120000</v>
      </c>
      <c r="K1078" s="141">
        <v>36000</v>
      </c>
      <c r="L1078" s="141">
        <f t="shared" si="29"/>
        <v>84000</v>
      </c>
      <c r="M1078" s="141">
        <v>120000</v>
      </c>
      <c r="N1078" s="141">
        <v>48000</v>
      </c>
      <c r="O1078" s="141"/>
      <c r="P1078" s="141">
        <v>120000</v>
      </c>
      <c r="Q1078" s="141">
        <v>120000</v>
      </c>
      <c r="R1078" s="122">
        <v>120000</v>
      </c>
      <c r="S1078" s="239"/>
      <c r="T1078" s="1476"/>
    </row>
    <row r="1079" spans="1:26" s="146" customFormat="1" ht="18" customHeight="1" x14ac:dyDescent="0.25">
      <c r="A1079" s="1404" t="s">
        <v>1386</v>
      </c>
      <c r="B1079" s="1404" t="s">
        <v>123</v>
      </c>
      <c r="C1079" s="1356" t="s">
        <v>133</v>
      </c>
      <c r="D1079" s="1355"/>
      <c r="E1079" s="1355"/>
      <c r="F1079" s="1355"/>
      <c r="G1079" s="1355"/>
      <c r="H1079" s="221" t="s">
        <v>134</v>
      </c>
      <c r="I1079" s="141">
        <v>72000</v>
      </c>
      <c r="J1079" s="141">
        <v>72000</v>
      </c>
      <c r="K1079" s="141">
        <v>36000</v>
      </c>
      <c r="L1079" s="141">
        <f t="shared" si="29"/>
        <v>36000</v>
      </c>
      <c r="M1079" s="141">
        <v>72000</v>
      </c>
      <c r="N1079" s="141">
        <v>48000</v>
      </c>
      <c r="O1079" s="141"/>
      <c r="P1079" s="141">
        <v>72000</v>
      </c>
      <c r="Q1079" s="141">
        <v>72000</v>
      </c>
      <c r="R1079" s="122">
        <v>72000</v>
      </c>
      <c r="S1079" s="239">
        <f>SUM(R1068:R1079)</f>
        <v>1752000</v>
      </c>
      <c r="T1079" s="1476"/>
    </row>
    <row r="1080" spans="1:26" s="146" customFormat="1" ht="18" customHeight="1" x14ac:dyDescent="0.25">
      <c r="A1080" s="1404" t="s">
        <v>1386</v>
      </c>
      <c r="B1080" s="1404" t="s">
        <v>123</v>
      </c>
      <c r="C1080" s="1356" t="s">
        <v>141</v>
      </c>
      <c r="D1080" s="1355"/>
      <c r="E1080" s="1355"/>
      <c r="F1080" s="1355"/>
      <c r="G1080" s="1355"/>
      <c r="H1080" s="381" t="s">
        <v>142</v>
      </c>
      <c r="I1080" s="141">
        <v>303083</v>
      </c>
      <c r="J1080" s="141">
        <v>346616</v>
      </c>
      <c r="K1080" s="141"/>
      <c r="L1080" s="141">
        <f t="shared" si="29"/>
        <v>346616</v>
      </c>
      <c r="M1080" s="141">
        <v>346616</v>
      </c>
      <c r="N1080" s="141">
        <v>0</v>
      </c>
      <c r="O1080" s="141"/>
      <c r="P1080" s="141">
        <v>356579</v>
      </c>
      <c r="Q1080" s="141">
        <v>356579</v>
      </c>
      <c r="R1080" s="122">
        <v>347494</v>
      </c>
      <c r="S1080" s="239"/>
      <c r="T1080" s="1476"/>
    </row>
    <row r="1081" spans="1:26" s="146" customFormat="1" ht="18" customHeight="1" x14ac:dyDescent="0.25">
      <c r="A1081" s="573" t="s">
        <v>1386</v>
      </c>
      <c r="B1081" s="573" t="s">
        <v>123</v>
      </c>
      <c r="C1081" s="1382" t="s">
        <v>141</v>
      </c>
      <c r="D1081" s="1355"/>
      <c r="E1081" s="1355"/>
      <c r="F1081" s="1355"/>
      <c r="G1081" s="1355"/>
      <c r="H1081" s="221" t="s">
        <v>142</v>
      </c>
      <c r="I1081" s="141">
        <v>160466</v>
      </c>
      <c r="J1081" s="141">
        <v>382392</v>
      </c>
      <c r="K1081" s="141"/>
      <c r="L1081" s="141">
        <f t="shared" si="29"/>
        <v>382392</v>
      </c>
      <c r="M1081" s="141">
        <v>382392</v>
      </c>
      <c r="N1081" s="141">
        <v>0</v>
      </c>
      <c r="O1081" s="141"/>
      <c r="P1081" s="141">
        <v>397663</v>
      </c>
      <c r="Q1081" s="141">
        <v>397663</v>
      </c>
      <c r="R1081" s="122">
        <v>382392</v>
      </c>
      <c r="S1081" s="239"/>
      <c r="T1081" s="1476"/>
    </row>
    <row r="1082" spans="1:26" s="146" customFormat="1" ht="18" customHeight="1" x14ac:dyDescent="0.25">
      <c r="A1082" s="573" t="s">
        <v>1386</v>
      </c>
      <c r="B1082" s="573" t="s">
        <v>123</v>
      </c>
      <c r="C1082" s="1382" t="s">
        <v>141</v>
      </c>
      <c r="D1082" s="1355"/>
      <c r="E1082" s="1355"/>
      <c r="F1082" s="1355"/>
      <c r="G1082" s="1355"/>
      <c r="H1082" s="381" t="s">
        <v>142</v>
      </c>
      <c r="I1082" s="141">
        <v>68274</v>
      </c>
      <c r="J1082" s="141">
        <v>71779</v>
      </c>
      <c r="K1082" s="141"/>
      <c r="L1082" s="141">
        <f t="shared" si="29"/>
        <v>71779</v>
      </c>
      <c r="M1082" s="141">
        <v>71779</v>
      </c>
      <c r="N1082" s="141">
        <v>0</v>
      </c>
      <c r="O1082" s="141"/>
      <c r="P1082" s="141">
        <v>74876</v>
      </c>
      <c r="Q1082" s="141">
        <v>74876</v>
      </c>
      <c r="R1082" s="122">
        <v>71779</v>
      </c>
      <c r="S1082" s="239"/>
      <c r="T1082" s="1476"/>
    </row>
    <row r="1083" spans="1:26" s="146" customFormat="1" ht="18" customHeight="1" x14ac:dyDescent="0.25">
      <c r="A1083" s="573" t="s">
        <v>1386</v>
      </c>
      <c r="B1083" s="573" t="s">
        <v>123</v>
      </c>
      <c r="C1083" s="1356" t="s">
        <v>141</v>
      </c>
      <c r="D1083" s="1355"/>
      <c r="E1083" s="1355"/>
      <c r="F1083" s="1355"/>
      <c r="G1083" s="1355"/>
      <c r="H1083" s="381" t="s">
        <v>142</v>
      </c>
      <c r="I1083" s="141">
        <v>30711</v>
      </c>
      <c r="J1083" s="141">
        <v>75806</v>
      </c>
      <c r="K1083" s="141"/>
      <c r="L1083" s="141">
        <f t="shared" si="29"/>
        <v>75806</v>
      </c>
      <c r="M1083" s="141">
        <v>75806</v>
      </c>
      <c r="N1083" s="141">
        <v>0</v>
      </c>
      <c r="O1083" s="141"/>
      <c r="P1083" s="141">
        <v>79352</v>
      </c>
      <c r="Q1083" s="141">
        <v>79352</v>
      </c>
      <c r="R1083" s="122">
        <v>75806</v>
      </c>
      <c r="S1083" s="239"/>
      <c r="T1083" s="1476"/>
    </row>
    <row r="1084" spans="1:26" s="146" customFormat="1" ht="18" customHeight="1" x14ac:dyDescent="0.25">
      <c r="A1084" s="573" t="s">
        <v>1386</v>
      </c>
      <c r="B1084" s="573" t="s">
        <v>123</v>
      </c>
      <c r="C1084" s="1356" t="s">
        <v>141</v>
      </c>
      <c r="D1084" s="1355"/>
      <c r="E1084" s="1355"/>
      <c r="F1084" s="1355"/>
      <c r="G1084" s="1355"/>
      <c r="H1084" s="221" t="s">
        <v>142</v>
      </c>
      <c r="I1084" s="141">
        <v>38469</v>
      </c>
      <c r="J1084" s="141">
        <v>60516</v>
      </c>
      <c r="K1084" s="141"/>
      <c r="L1084" s="141">
        <f t="shared" si="29"/>
        <v>60516</v>
      </c>
      <c r="M1084" s="141">
        <v>60516</v>
      </c>
      <c r="N1084" s="141">
        <v>0</v>
      </c>
      <c r="O1084" s="141"/>
      <c r="P1084" s="141">
        <v>63460</v>
      </c>
      <c r="Q1084" s="141">
        <v>63460</v>
      </c>
      <c r="R1084" s="122">
        <v>60516</v>
      </c>
      <c r="S1084" s="239"/>
      <c r="T1084" s="1476"/>
    </row>
    <row r="1085" spans="1:26" s="146" customFormat="1" ht="18" x14ac:dyDescent="0.25">
      <c r="A1085" s="573" t="s">
        <v>1386</v>
      </c>
      <c r="B1085" s="573" t="s">
        <v>123</v>
      </c>
      <c r="C1085" s="1356" t="s">
        <v>141</v>
      </c>
      <c r="D1085" s="1355"/>
      <c r="E1085" s="1355"/>
      <c r="F1085" s="1355"/>
      <c r="G1085" s="1355"/>
      <c r="H1085" s="221" t="s">
        <v>142</v>
      </c>
      <c r="I1085" s="141">
        <v>95140.7</v>
      </c>
      <c r="J1085" s="141">
        <v>103560</v>
      </c>
      <c r="K1085" s="141"/>
      <c r="L1085" s="141">
        <f t="shared" si="29"/>
        <v>103560</v>
      </c>
      <c r="M1085" s="141">
        <v>103560</v>
      </c>
      <c r="N1085" s="141"/>
      <c r="O1085" s="141"/>
      <c r="P1085" s="141">
        <v>106602</v>
      </c>
      <c r="Q1085" s="141">
        <v>106602</v>
      </c>
      <c r="R1085" s="122">
        <v>103560</v>
      </c>
      <c r="S1085" s="239"/>
      <c r="T1085" s="1476"/>
    </row>
    <row r="1086" spans="1:26" s="146" customFormat="1" ht="18" customHeight="1" x14ac:dyDescent="0.25">
      <c r="A1086" s="573" t="s">
        <v>1386</v>
      </c>
      <c r="B1086" s="573" t="s">
        <v>123</v>
      </c>
      <c r="C1086" s="1356" t="s">
        <v>141</v>
      </c>
      <c r="D1086" s="1355"/>
      <c r="E1086" s="1355"/>
      <c r="F1086" s="1355"/>
      <c r="G1086" s="1355"/>
      <c r="H1086" s="221" t="s">
        <v>142</v>
      </c>
      <c r="I1086" s="141">
        <v>145703.54999999999</v>
      </c>
      <c r="J1086" s="141">
        <v>205346</v>
      </c>
      <c r="K1086" s="141"/>
      <c r="L1086" s="141">
        <f t="shared" si="29"/>
        <v>205346</v>
      </c>
      <c r="M1086" s="141">
        <v>205346</v>
      </c>
      <c r="N1086" s="141"/>
      <c r="O1086" s="141"/>
      <c r="P1086" s="141">
        <v>211293</v>
      </c>
      <c r="Q1086" s="141">
        <v>211293</v>
      </c>
      <c r="R1086" s="122">
        <v>204979</v>
      </c>
      <c r="S1086" s="239"/>
      <c r="T1086" s="1476"/>
    </row>
    <row r="1087" spans="1:26" s="146" customFormat="1" ht="18" customHeight="1" x14ac:dyDescent="0.25">
      <c r="A1087" s="573" t="s">
        <v>1386</v>
      </c>
      <c r="B1087" s="573" t="s">
        <v>123</v>
      </c>
      <c r="C1087" s="1356" t="s">
        <v>141</v>
      </c>
      <c r="D1087" s="1355"/>
      <c r="E1087" s="1355"/>
      <c r="F1087" s="1355"/>
      <c r="G1087" s="1355"/>
      <c r="H1087" s="221" t="s">
        <v>142</v>
      </c>
      <c r="I1087" s="141">
        <v>1217986</v>
      </c>
      <c r="J1087" s="141">
        <v>1270085</v>
      </c>
      <c r="K1087" s="141"/>
      <c r="L1087" s="141">
        <f t="shared" si="29"/>
        <v>1270085</v>
      </c>
      <c r="M1087" s="141">
        <v>1270085</v>
      </c>
      <c r="N1087" s="141"/>
      <c r="O1087" s="141"/>
      <c r="P1087" s="141">
        <v>1299549</v>
      </c>
      <c r="Q1087" s="141">
        <v>1299549</v>
      </c>
      <c r="R1087" s="122">
        <v>1264756</v>
      </c>
      <c r="S1087" s="239"/>
      <c r="T1087" s="1476"/>
    </row>
    <row r="1088" spans="1:26" s="146" customFormat="1" ht="18" x14ac:dyDescent="0.25">
      <c r="A1088" s="573" t="s">
        <v>1386</v>
      </c>
      <c r="B1088" s="573" t="s">
        <v>123</v>
      </c>
      <c r="C1088" s="1356" t="s">
        <v>141</v>
      </c>
      <c r="D1088" s="1355"/>
      <c r="E1088" s="1355"/>
      <c r="F1088" s="1355"/>
      <c r="G1088" s="1355"/>
      <c r="H1088" s="221" t="s">
        <v>142</v>
      </c>
      <c r="I1088" s="141">
        <v>227535</v>
      </c>
      <c r="J1088" s="141">
        <v>360457</v>
      </c>
      <c r="K1088" s="141"/>
      <c r="L1088" s="141">
        <f t="shared" si="29"/>
        <v>360457</v>
      </c>
      <c r="M1088" s="141">
        <v>360457</v>
      </c>
      <c r="N1088" s="141">
        <v>0</v>
      </c>
      <c r="O1088" s="141"/>
      <c r="P1088" s="141">
        <v>374393</v>
      </c>
      <c r="Q1088" s="141">
        <v>374393</v>
      </c>
      <c r="R1088" s="122">
        <v>360562</v>
      </c>
      <c r="S1088" s="239"/>
      <c r="T1088" s="1476"/>
    </row>
    <row r="1089" spans="1:20" s="146" customFormat="1" ht="18" customHeight="1" x14ac:dyDescent="0.25">
      <c r="A1089" s="573" t="s">
        <v>1386</v>
      </c>
      <c r="B1089" s="573" t="s">
        <v>123</v>
      </c>
      <c r="C1089" s="1356" t="s">
        <v>141</v>
      </c>
      <c r="D1089" s="1355"/>
      <c r="E1089" s="1355"/>
      <c r="F1089" s="1355"/>
      <c r="G1089" s="1355"/>
      <c r="H1089" s="221" t="s">
        <v>142</v>
      </c>
      <c r="I1089" s="141">
        <v>0</v>
      </c>
      <c r="J1089" s="141">
        <v>106126</v>
      </c>
      <c r="K1089" s="141"/>
      <c r="L1089" s="141">
        <f t="shared" si="29"/>
        <v>106126</v>
      </c>
      <c r="M1089" s="141">
        <v>106126</v>
      </c>
      <c r="N1089" s="141"/>
      <c r="O1089" s="141"/>
      <c r="P1089" s="141">
        <v>108663</v>
      </c>
      <c r="Q1089" s="141">
        <v>108663</v>
      </c>
      <c r="R1089" s="122">
        <v>106126</v>
      </c>
      <c r="S1089" s="239"/>
      <c r="T1089" s="1476"/>
    </row>
    <row r="1090" spans="1:20" s="146" customFormat="1" ht="18" customHeight="1" x14ac:dyDescent="0.25">
      <c r="A1090" s="573" t="s">
        <v>1386</v>
      </c>
      <c r="B1090" s="573" t="s">
        <v>123</v>
      </c>
      <c r="C1090" s="1356" t="s">
        <v>141</v>
      </c>
      <c r="D1090" s="1355"/>
      <c r="E1090" s="1355"/>
      <c r="F1090" s="1355"/>
      <c r="G1090" s="1355"/>
      <c r="H1090" s="381" t="s">
        <v>142</v>
      </c>
      <c r="I1090" s="141">
        <v>0</v>
      </c>
      <c r="J1090" s="141">
        <v>92624</v>
      </c>
      <c r="K1090" s="141"/>
      <c r="L1090" s="141">
        <f t="shared" si="29"/>
        <v>92624</v>
      </c>
      <c r="M1090" s="141">
        <v>92624</v>
      </c>
      <c r="N1090" s="141"/>
      <c r="O1090" s="141"/>
      <c r="P1090" s="141">
        <v>94621</v>
      </c>
      <c r="Q1090" s="141">
        <v>94621</v>
      </c>
      <c r="R1090" s="122">
        <v>92624</v>
      </c>
      <c r="S1090" s="239"/>
      <c r="T1090" s="1476"/>
    </row>
    <row r="1091" spans="1:20" s="146" customFormat="1" ht="18" customHeight="1" x14ac:dyDescent="0.25">
      <c r="A1091" s="573" t="s">
        <v>1386</v>
      </c>
      <c r="B1091" s="573" t="s">
        <v>123</v>
      </c>
      <c r="C1091" s="1382" t="s">
        <v>141</v>
      </c>
      <c r="D1091" s="1355"/>
      <c r="E1091" s="1355"/>
      <c r="F1091" s="1355"/>
      <c r="G1091" s="1355"/>
      <c r="H1091" s="381" t="s">
        <v>142</v>
      </c>
      <c r="I1091" s="141">
        <v>142607</v>
      </c>
      <c r="J1091" s="141">
        <v>163533</v>
      </c>
      <c r="K1091" s="141"/>
      <c r="L1091" s="141">
        <f t="shared" si="29"/>
        <v>163533</v>
      </c>
      <c r="M1091" s="141">
        <v>163533</v>
      </c>
      <c r="N1091" s="141"/>
      <c r="O1091" s="141"/>
      <c r="P1091" s="141">
        <v>168135</v>
      </c>
      <c r="Q1091" s="141">
        <v>168135</v>
      </c>
      <c r="R1091" s="122">
        <v>163533</v>
      </c>
      <c r="S1091" s="239"/>
      <c r="T1091" s="1476"/>
    </row>
    <row r="1092" spans="1:20" s="146" customFormat="1" ht="18" customHeight="1" x14ac:dyDescent="0.25">
      <c r="A1092" s="573" t="s">
        <v>1386</v>
      </c>
      <c r="B1092" s="573" t="s">
        <v>123</v>
      </c>
      <c r="C1092" s="1382" t="s">
        <v>141</v>
      </c>
      <c r="D1092" s="1355"/>
      <c r="E1092" s="1355"/>
      <c r="F1092" s="1355"/>
      <c r="G1092" s="1355"/>
      <c r="H1092" s="381" t="s">
        <v>142</v>
      </c>
      <c r="I1092" s="141">
        <v>237878</v>
      </c>
      <c r="J1092" s="141">
        <v>363814</v>
      </c>
      <c r="K1092" s="141"/>
      <c r="L1092" s="141">
        <f t="shared" si="29"/>
        <v>363814</v>
      </c>
      <c r="M1092" s="141">
        <v>363814</v>
      </c>
      <c r="N1092" s="141">
        <v>0</v>
      </c>
      <c r="O1092" s="141"/>
      <c r="P1092" s="141">
        <v>377655</v>
      </c>
      <c r="Q1092" s="141">
        <v>377655</v>
      </c>
      <c r="R1092" s="122">
        <v>363914</v>
      </c>
      <c r="S1092" s="239"/>
      <c r="T1092" s="1476"/>
    </row>
    <row r="1093" spans="1:20" s="146" customFormat="1" ht="18" x14ac:dyDescent="0.25">
      <c r="A1093" s="573" t="s">
        <v>1386</v>
      </c>
      <c r="B1093" s="573" t="s">
        <v>123</v>
      </c>
      <c r="C1093" s="1356" t="s">
        <v>141</v>
      </c>
      <c r="D1093" s="1355"/>
      <c r="E1093" s="1355"/>
      <c r="F1093" s="1355"/>
      <c r="G1093" s="1355"/>
      <c r="H1093" s="381" t="s">
        <v>142</v>
      </c>
      <c r="I1093" s="141">
        <v>167057</v>
      </c>
      <c r="J1093" s="141">
        <v>173074</v>
      </c>
      <c r="K1093" s="141"/>
      <c r="L1093" s="141">
        <f t="shared" si="29"/>
        <v>173074</v>
      </c>
      <c r="M1093" s="141">
        <v>173074</v>
      </c>
      <c r="N1093" s="141"/>
      <c r="O1093" s="141"/>
      <c r="P1093" s="141">
        <v>178729</v>
      </c>
      <c r="Q1093" s="141">
        <v>178729</v>
      </c>
      <c r="R1093" s="122">
        <v>174131</v>
      </c>
      <c r="S1093" s="1456"/>
      <c r="T1093" s="1476"/>
    </row>
    <row r="1094" spans="1:20" s="146" customFormat="1" ht="18" x14ac:dyDescent="0.25">
      <c r="A1094" s="573" t="s">
        <v>1386</v>
      </c>
      <c r="B1094" s="573" t="s">
        <v>123</v>
      </c>
      <c r="C1094" s="1356" t="s">
        <v>141</v>
      </c>
      <c r="D1094" s="1355"/>
      <c r="E1094" s="1355"/>
      <c r="F1094" s="1355"/>
      <c r="G1094" s="1355"/>
      <c r="H1094" s="221" t="s">
        <v>142</v>
      </c>
      <c r="I1094" s="141">
        <v>272715</v>
      </c>
      <c r="J1094" s="141">
        <v>315174</v>
      </c>
      <c r="K1094" s="141"/>
      <c r="L1094" s="141">
        <f t="shared" si="29"/>
        <v>315174</v>
      </c>
      <c r="M1094" s="141">
        <v>315174</v>
      </c>
      <c r="N1094" s="141"/>
      <c r="O1094" s="141"/>
      <c r="P1094" s="141">
        <v>326709</v>
      </c>
      <c r="Q1094" s="141">
        <v>326709</v>
      </c>
      <c r="R1094" s="122">
        <v>315048</v>
      </c>
      <c r="S1094" s="239"/>
      <c r="T1094" s="1476"/>
    </row>
    <row r="1095" spans="1:20" s="146" customFormat="1" ht="18" customHeight="1" x14ac:dyDescent="0.25">
      <c r="A1095" s="573" t="s">
        <v>1386</v>
      </c>
      <c r="B1095" s="573" t="s">
        <v>123</v>
      </c>
      <c r="C1095" s="1356" t="s">
        <v>141</v>
      </c>
      <c r="D1095" s="1355"/>
      <c r="E1095" s="1355"/>
      <c r="F1095" s="1355"/>
      <c r="G1095" s="1355"/>
      <c r="H1095" s="221" t="s">
        <v>142</v>
      </c>
      <c r="I1095" s="141">
        <v>522093</v>
      </c>
      <c r="J1095" s="141">
        <v>650419</v>
      </c>
      <c r="K1095" s="141"/>
      <c r="L1095" s="141">
        <f t="shared" si="29"/>
        <v>650419</v>
      </c>
      <c r="M1095" s="141">
        <v>650419</v>
      </c>
      <c r="N1095" s="141"/>
      <c r="O1095" s="141"/>
      <c r="P1095" s="141">
        <v>675296</v>
      </c>
      <c r="Q1095" s="141">
        <v>675296</v>
      </c>
      <c r="R1095" s="122">
        <v>652048</v>
      </c>
      <c r="S1095" s="239"/>
      <c r="T1095" s="1476"/>
    </row>
    <row r="1096" spans="1:20" s="146" customFormat="1" ht="18" x14ac:dyDescent="0.25">
      <c r="A1096" s="573" t="s">
        <v>1386</v>
      </c>
      <c r="B1096" s="573" t="s">
        <v>123</v>
      </c>
      <c r="C1096" s="1356" t="s">
        <v>141</v>
      </c>
      <c r="D1096" s="1355"/>
      <c r="E1096" s="1355"/>
      <c r="F1096" s="1355"/>
      <c r="G1096" s="1355"/>
      <c r="H1096" s="221" t="s">
        <v>142</v>
      </c>
      <c r="I1096" s="141">
        <v>295915</v>
      </c>
      <c r="J1096" s="141">
        <v>423507</v>
      </c>
      <c r="K1096" s="141"/>
      <c r="L1096" s="141">
        <f t="shared" si="29"/>
        <v>423507</v>
      </c>
      <c r="M1096" s="141">
        <v>423507</v>
      </c>
      <c r="N1096" s="141"/>
      <c r="O1096" s="141"/>
      <c r="P1096" s="141">
        <v>438957</v>
      </c>
      <c r="Q1096" s="141">
        <v>438957</v>
      </c>
      <c r="R1096" s="122">
        <v>423557</v>
      </c>
      <c r="S1096" s="239"/>
      <c r="T1096" s="1476"/>
    </row>
    <row r="1097" spans="1:20" s="146" customFormat="1" ht="18" x14ac:dyDescent="0.25">
      <c r="A1097" s="573" t="s">
        <v>1386</v>
      </c>
      <c r="B1097" s="573" t="s">
        <v>123</v>
      </c>
      <c r="C1097" s="1356" t="s">
        <v>141</v>
      </c>
      <c r="D1097" s="1355"/>
      <c r="E1097" s="1355"/>
      <c r="F1097" s="1355"/>
      <c r="G1097" s="1355"/>
      <c r="H1097" s="221" t="s">
        <v>142</v>
      </c>
      <c r="I1097" s="141">
        <v>197657</v>
      </c>
      <c r="J1097" s="141">
        <v>343955</v>
      </c>
      <c r="K1097" s="141"/>
      <c r="L1097" s="141">
        <f t="shared" si="29"/>
        <v>343955</v>
      </c>
      <c r="M1097" s="141">
        <v>343955</v>
      </c>
      <c r="N1097" s="141"/>
      <c r="O1097" s="141"/>
      <c r="P1097" s="141">
        <v>356283</v>
      </c>
      <c r="Q1097" s="141">
        <v>356283</v>
      </c>
      <c r="R1097" s="122">
        <v>343955</v>
      </c>
      <c r="S1097" s="239"/>
      <c r="T1097" s="1476"/>
    </row>
    <row r="1098" spans="1:20" s="146" customFormat="1" ht="18" x14ac:dyDescent="0.25">
      <c r="A1098" s="573" t="s">
        <v>1386</v>
      </c>
      <c r="B1098" s="573" t="s">
        <v>123</v>
      </c>
      <c r="C1098" s="1356" t="s">
        <v>141</v>
      </c>
      <c r="D1098" s="1355"/>
      <c r="E1098" s="1355"/>
      <c r="F1098" s="1355"/>
      <c r="G1098" s="1355"/>
      <c r="H1098" s="221" t="s">
        <v>142</v>
      </c>
      <c r="I1098" s="141">
        <v>126612</v>
      </c>
      <c r="J1098" s="141">
        <v>131773</v>
      </c>
      <c r="K1098" s="141"/>
      <c r="L1098" s="141">
        <f t="shared" si="29"/>
        <v>131773</v>
      </c>
      <c r="M1098" s="141">
        <v>131773</v>
      </c>
      <c r="N1098" s="141"/>
      <c r="O1098" s="141"/>
      <c r="P1098" s="141">
        <v>135325</v>
      </c>
      <c r="Q1098" s="141">
        <v>135325</v>
      </c>
      <c r="R1098" s="122">
        <v>131773</v>
      </c>
      <c r="S1098" s="239">
        <f>SUM(R1080:R1098)</f>
        <v>5638553</v>
      </c>
      <c r="T1098" s="1476"/>
    </row>
    <row r="1099" spans="1:20" s="146" customFormat="1" ht="18" x14ac:dyDescent="0.25">
      <c r="A1099" s="573"/>
      <c r="B1099" s="573"/>
      <c r="C1099" s="1382"/>
      <c r="D1099" s="1381"/>
      <c r="E1099" s="1381"/>
      <c r="F1099" s="1381"/>
      <c r="G1099" s="1381"/>
      <c r="H1099" s="221"/>
      <c r="I1099" s="141"/>
      <c r="J1099" s="141"/>
      <c r="K1099" s="141"/>
      <c r="L1099" s="141"/>
      <c r="M1099" s="141"/>
      <c r="N1099" s="141"/>
      <c r="O1099" s="141"/>
      <c r="P1099" s="141"/>
      <c r="Q1099" s="141"/>
      <c r="R1099" s="122"/>
      <c r="S1099" s="239"/>
      <c r="T1099" s="1476"/>
    </row>
    <row r="1100" spans="1:20" s="146" customFormat="1" ht="18" x14ac:dyDescent="0.25">
      <c r="A1100" s="573"/>
      <c r="B1100" s="573"/>
      <c r="C1100" s="1382"/>
      <c r="D1100" s="1381"/>
      <c r="E1100" s="1381"/>
      <c r="F1100" s="1381"/>
      <c r="G1100" s="1381"/>
      <c r="H1100" s="221"/>
      <c r="I1100" s="141"/>
      <c r="J1100" s="141"/>
      <c r="K1100" s="141"/>
      <c r="L1100" s="141"/>
      <c r="M1100" s="141"/>
      <c r="N1100" s="141"/>
      <c r="O1100" s="141"/>
      <c r="P1100" s="141"/>
      <c r="Q1100" s="141"/>
      <c r="R1100" s="122"/>
      <c r="S1100" s="239"/>
      <c r="T1100" s="1476"/>
    </row>
    <row r="1101" spans="1:20" s="146" customFormat="1" ht="18" x14ac:dyDescent="0.25">
      <c r="A1101" s="961" t="s">
        <v>1387</v>
      </c>
      <c r="B1101" s="961" t="s">
        <v>123</v>
      </c>
      <c r="C1101" s="1382" t="s">
        <v>143</v>
      </c>
      <c r="D1101" s="1355"/>
      <c r="E1101" s="1355"/>
      <c r="F1101" s="1355"/>
      <c r="G1101" s="1355"/>
      <c r="H1101" s="221" t="s">
        <v>144</v>
      </c>
      <c r="I1101" s="141">
        <v>5000</v>
      </c>
      <c r="J1101" s="141">
        <v>10000</v>
      </c>
      <c r="K1101" s="141"/>
      <c r="L1101" s="141">
        <f t="shared" ref="L1101:L1119" si="30">M1101-K1101</f>
        <v>10000</v>
      </c>
      <c r="M1101" s="141">
        <v>10000</v>
      </c>
      <c r="N1101" s="141">
        <v>0</v>
      </c>
      <c r="O1101" s="141"/>
      <c r="P1101" s="141">
        <v>10000</v>
      </c>
      <c r="Q1101" s="141">
        <v>10000</v>
      </c>
      <c r="R1101" s="122">
        <v>10000</v>
      </c>
      <c r="S1101" s="239"/>
      <c r="T1101" s="1476"/>
    </row>
    <row r="1102" spans="1:20" s="146" customFormat="1" ht="18" x14ac:dyDescent="0.25">
      <c r="A1102" s="961" t="s">
        <v>1387</v>
      </c>
      <c r="B1102" s="961" t="s">
        <v>123</v>
      </c>
      <c r="C1102" s="1382" t="s">
        <v>143</v>
      </c>
      <c r="D1102" s="1355"/>
      <c r="E1102" s="1355"/>
      <c r="F1102" s="1355"/>
      <c r="G1102" s="1355"/>
      <c r="H1102" s="221" t="s">
        <v>144</v>
      </c>
      <c r="I1102" s="141">
        <v>0</v>
      </c>
      <c r="J1102" s="141">
        <v>10000</v>
      </c>
      <c r="K1102" s="141"/>
      <c r="L1102" s="141">
        <f t="shared" si="30"/>
        <v>10000</v>
      </c>
      <c r="M1102" s="141">
        <v>10000</v>
      </c>
      <c r="N1102" s="141"/>
      <c r="O1102" s="141"/>
      <c r="P1102" s="141">
        <v>10000</v>
      </c>
      <c r="Q1102" s="141">
        <v>10000</v>
      </c>
      <c r="R1102" s="122">
        <v>10000</v>
      </c>
      <c r="S1102" s="239"/>
      <c r="T1102" s="1476"/>
    </row>
    <row r="1103" spans="1:20" s="146" customFormat="1" ht="18" x14ac:dyDescent="0.25">
      <c r="A1103" s="961" t="s">
        <v>1387</v>
      </c>
      <c r="B1103" s="961" t="s">
        <v>123</v>
      </c>
      <c r="C1103" s="1356" t="s">
        <v>143</v>
      </c>
      <c r="D1103" s="1355"/>
      <c r="E1103" s="1355"/>
      <c r="F1103" s="1355"/>
      <c r="G1103" s="1355"/>
      <c r="H1103" s="221" t="s">
        <v>144</v>
      </c>
      <c r="I1103" s="141">
        <v>5000</v>
      </c>
      <c r="J1103" s="141">
        <v>5000</v>
      </c>
      <c r="K1103" s="141"/>
      <c r="L1103" s="141">
        <f t="shared" si="30"/>
        <v>5000</v>
      </c>
      <c r="M1103" s="141">
        <v>5000</v>
      </c>
      <c r="N1103" s="141"/>
      <c r="O1103" s="141"/>
      <c r="P1103" s="141">
        <v>5000</v>
      </c>
      <c r="Q1103" s="141">
        <v>5000</v>
      </c>
      <c r="R1103" s="122">
        <v>5000</v>
      </c>
      <c r="S1103" s="1456"/>
      <c r="T1103" s="1476"/>
    </row>
    <row r="1104" spans="1:20" s="194" customFormat="1" ht="18" x14ac:dyDescent="0.25">
      <c r="A1104" s="961" t="s">
        <v>1387</v>
      </c>
      <c r="B1104" s="961" t="s">
        <v>123</v>
      </c>
      <c r="C1104" s="1356" t="s">
        <v>143</v>
      </c>
      <c r="D1104" s="1355"/>
      <c r="E1104" s="1355"/>
      <c r="F1104" s="1355"/>
      <c r="G1104" s="1355"/>
      <c r="H1104" s="221" t="s">
        <v>144</v>
      </c>
      <c r="I1104" s="141">
        <v>150000</v>
      </c>
      <c r="J1104" s="141">
        <v>180000</v>
      </c>
      <c r="K1104" s="141"/>
      <c r="L1104" s="141">
        <f t="shared" si="30"/>
        <v>180000</v>
      </c>
      <c r="M1104" s="141">
        <v>180000</v>
      </c>
      <c r="N1104" s="141"/>
      <c r="O1104" s="141"/>
      <c r="P1104" s="141">
        <v>180000</v>
      </c>
      <c r="Q1104" s="141">
        <v>180000</v>
      </c>
      <c r="R1104" s="122">
        <v>180000</v>
      </c>
      <c r="S1104" s="239"/>
      <c r="T1104" s="1476"/>
    </row>
    <row r="1105" spans="1:20" s="194" customFormat="1" ht="18" customHeight="1" x14ac:dyDescent="0.25">
      <c r="A1105" s="961" t="s">
        <v>1387</v>
      </c>
      <c r="B1105" s="961" t="s">
        <v>123</v>
      </c>
      <c r="C1105" s="1356" t="s">
        <v>143</v>
      </c>
      <c r="D1105" s="1355"/>
      <c r="E1105" s="1355"/>
      <c r="F1105" s="1355"/>
      <c r="G1105" s="1355"/>
      <c r="H1105" s="221" t="s">
        <v>144</v>
      </c>
      <c r="I1105" s="141">
        <v>50000</v>
      </c>
      <c r="J1105" s="141">
        <v>55000</v>
      </c>
      <c r="K1105" s="141"/>
      <c r="L1105" s="141">
        <f t="shared" si="30"/>
        <v>55000</v>
      </c>
      <c r="M1105" s="141">
        <v>55000</v>
      </c>
      <c r="N1105" s="141"/>
      <c r="O1105" s="141"/>
      <c r="P1105" s="141">
        <v>55000</v>
      </c>
      <c r="Q1105" s="141">
        <v>55000</v>
      </c>
      <c r="R1105" s="122">
        <v>55000</v>
      </c>
      <c r="S1105" s="239">
        <f>SUM(R1101:R1105)</f>
        <v>260000</v>
      </c>
      <c r="T1105" s="1476"/>
    </row>
    <row r="1106" spans="1:20" s="194" customFormat="1" ht="18" x14ac:dyDescent="0.25">
      <c r="A1106" s="961" t="s">
        <v>1387</v>
      </c>
      <c r="B1106" s="961" t="s">
        <v>123</v>
      </c>
      <c r="C1106" s="1356" t="s">
        <v>2061</v>
      </c>
      <c r="D1106" s="1355"/>
      <c r="E1106" s="1355"/>
      <c r="F1106" s="1355"/>
      <c r="G1106" s="1355"/>
      <c r="H1106" s="221" t="s">
        <v>138</v>
      </c>
      <c r="I1106" s="141">
        <v>6000</v>
      </c>
      <c r="J1106" s="141">
        <v>12000</v>
      </c>
      <c r="K1106" s="141">
        <v>6000</v>
      </c>
      <c r="L1106" s="141">
        <f t="shared" si="30"/>
        <v>6000</v>
      </c>
      <c r="M1106" s="141">
        <v>12000</v>
      </c>
      <c r="N1106" s="141">
        <v>6000</v>
      </c>
      <c r="O1106" s="141"/>
      <c r="P1106" s="141">
        <v>12000</v>
      </c>
      <c r="Q1106" s="141">
        <v>12000</v>
      </c>
      <c r="R1106" s="122">
        <v>12000</v>
      </c>
      <c r="S1106" s="239"/>
      <c r="T1106" s="1476"/>
    </row>
    <row r="1107" spans="1:20" s="194" customFormat="1" ht="18" x14ac:dyDescent="0.25">
      <c r="A1107" s="961" t="s">
        <v>1387</v>
      </c>
      <c r="B1107" s="961" t="s">
        <v>123</v>
      </c>
      <c r="C1107" s="1356" t="s">
        <v>2061</v>
      </c>
      <c r="D1107" s="1355"/>
      <c r="E1107" s="1355"/>
      <c r="F1107" s="1355"/>
      <c r="G1107" s="1355"/>
      <c r="H1107" s="221" t="s">
        <v>138</v>
      </c>
      <c r="I1107" s="141">
        <v>0</v>
      </c>
      <c r="J1107" s="141">
        <v>12000</v>
      </c>
      <c r="K1107" s="141"/>
      <c r="L1107" s="141">
        <f t="shared" si="30"/>
        <v>12000</v>
      </c>
      <c r="M1107" s="141">
        <v>12000</v>
      </c>
      <c r="N1107" s="141"/>
      <c r="O1107" s="141"/>
      <c r="P1107" s="141">
        <v>12000</v>
      </c>
      <c r="Q1107" s="141">
        <v>12000</v>
      </c>
      <c r="R1107" s="122">
        <v>12000</v>
      </c>
      <c r="S1107" s="239"/>
      <c r="T1107" s="1476"/>
    </row>
    <row r="1108" spans="1:20" s="194" customFormat="1" ht="18" x14ac:dyDescent="0.25">
      <c r="A1108" s="961" t="s">
        <v>1387</v>
      </c>
      <c r="B1108" s="961" t="s">
        <v>123</v>
      </c>
      <c r="C1108" s="1356" t="s">
        <v>2061</v>
      </c>
      <c r="D1108" s="1355"/>
      <c r="E1108" s="1355"/>
      <c r="F1108" s="1355"/>
      <c r="G1108" s="1355"/>
      <c r="H1108" s="221" t="s">
        <v>138</v>
      </c>
      <c r="I1108" s="141">
        <v>6000</v>
      </c>
      <c r="J1108" s="141">
        <v>6000</v>
      </c>
      <c r="K1108" s="141">
        <v>6000</v>
      </c>
      <c r="L1108" s="141">
        <f t="shared" si="30"/>
        <v>0</v>
      </c>
      <c r="M1108" s="141">
        <v>6000</v>
      </c>
      <c r="N1108" s="141">
        <v>6000</v>
      </c>
      <c r="O1108" s="141"/>
      <c r="P1108" s="141">
        <v>6000</v>
      </c>
      <c r="Q1108" s="141">
        <v>6000</v>
      </c>
      <c r="R1108" s="122">
        <v>6000</v>
      </c>
      <c r="S1108" s="1456"/>
      <c r="T1108" s="1476"/>
    </row>
    <row r="1109" spans="1:20" s="146" customFormat="1" ht="18" x14ac:dyDescent="0.25">
      <c r="A1109" s="961" t="s">
        <v>1387</v>
      </c>
      <c r="B1109" s="961" t="s">
        <v>123</v>
      </c>
      <c r="C1109" s="1356" t="s">
        <v>2061</v>
      </c>
      <c r="D1109" s="1355"/>
      <c r="E1109" s="1355"/>
      <c r="F1109" s="1355"/>
      <c r="G1109" s="1355"/>
      <c r="H1109" s="221" t="s">
        <v>138</v>
      </c>
      <c r="I1109" s="141">
        <v>168000</v>
      </c>
      <c r="J1109" s="141">
        <v>216000</v>
      </c>
      <c r="K1109" s="141">
        <v>192000</v>
      </c>
      <c r="L1109" s="141">
        <f t="shared" si="30"/>
        <v>0</v>
      </c>
      <c r="M1109" s="141">
        <v>192000</v>
      </c>
      <c r="N1109" s="141">
        <v>192000</v>
      </c>
      <c r="O1109" s="141"/>
      <c r="P1109" s="141">
        <v>216000</v>
      </c>
      <c r="Q1109" s="141">
        <v>216000</v>
      </c>
      <c r="R1109" s="122">
        <v>216000</v>
      </c>
      <c r="S1109" s="1456"/>
      <c r="T1109" s="1476"/>
    </row>
    <row r="1110" spans="1:20" s="146" customFormat="1" ht="18" x14ac:dyDescent="0.25">
      <c r="A1110" s="961" t="s">
        <v>1387</v>
      </c>
      <c r="B1110" s="961" t="s">
        <v>123</v>
      </c>
      <c r="C1110" s="1356" t="s">
        <v>2061</v>
      </c>
      <c r="D1110" s="1355"/>
      <c r="E1110" s="1355"/>
      <c r="F1110" s="1355"/>
      <c r="G1110" s="1355"/>
      <c r="H1110" s="221" t="s">
        <v>138</v>
      </c>
      <c r="I1110" s="141">
        <v>48000</v>
      </c>
      <c r="J1110" s="141">
        <v>66000</v>
      </c>
      <c r="K1110" s="141">
        <v>60000</v>
      </c>
      <c r="L1110" s="141">
        <f t="shared" si="30"/>
        <v>6000</v>
      </c>
      <c r="M1110" s="141">
        <v>66000</v>
      </c>
      <c r="N1110" s="141">
        <v>60000</v>
      </c>
      <c r="O1110" s="141"/>
      <c r="P1110" s="141">
        <v>66000</v>
      </c>
      <c r="Q1110" s="141">
        <v>66000</v>
      </c>
      <c r="R1110" s="122">
        <v>66000</v>
      </c>
      <c r="S1110" s="239">
        <f>SUM(R1106:R1110)</f>
        <v>312000</v>
      </c>
      <c r="T1110" s="1476"/>
    </row>
    <row r="1111" spans="1:20" s="146" customFormat="1" ht="18" x14ac:dyDescent="0.25">
      <c r="A1111" s="961" t="s">
        <v>1387</v>
      </c>
      <c r="B1111" s="961" t="s">
        <v>123</v>
      </c>
      <c r="C1111" s="1356" t="s">
        <v>1546</v>
      </c>
      <c r="D1111" s="1355"/>
      <c r="E1111" s="1355"/>
      <c r="F1111" s="1355"/>
      <c r="G1111" s="1355"/>
      <c r="H1111" s="221" t="s">
        <v>160</v>
      </c>
      <c r="I1111" s="141">
        <v>1200</v>
      </c>
      <c r="J1111" s="141">
        <v>2400</v>
      </c>
      <c r="K1111" s="141">
        <v>600</v>
      </c>
      <c r="L1111" s="141">
        <f t="shared" si="30"/>
        <v>1800</v>
      </c>
      <c r="M1111" s="141">
        <v>2400</v>
      </c>
      <c r="N1111" s="141">
        <v>800</v>
      </c>
      <c r="O1111" s="141"/>
      <c r="P1111" s="141">
        <v>2400</v>
      </c>
      <c r="Q1111" s="141">
        <v>2400</v>
      </c>
      <c r="R1111" s="122">
        <v>2400</v>
      </c>
      <c r="S1111" s="239"/>
      <c r="T1111" s="1476"/>
    </row>
    <row r="1112" spans="1:20" s="146" customFormat="1" ht="18" x14ac:dyDescent="0.25">
      <c r="A1112" s="961" t="s">
        <v>1387</v>
      </c>
      <c r="B1112" s="961" t="s">
        <v>123</v>
      </c>
      <c r="C1112" s="1356" t="s">
        <v>1546</v>
      </c>
      <c r="D1112" s="1355"/>
      <c r="E1112" s="1355"/>
      <c r="F1112" s="1355"/>
      <c r="G1112" s="1355"/>
      <c r="H1112" s="221" t="s">
        <v>160</v>
      </c>
      <c r="I1112" s="141">
        <v>0</v>
      </c>
      <c r="J1112" s="141">
        <v>2400</v>
      </c>
      <c r="K1112" s="141"/>
      <c r="L1112" s="141">
        <f t="shared" si="30"/>
        <v>2400</v>
      </c>
      <c r="M1112" s="141">
        <v>2400</v>
      </c>
      <c r="N1112" s="141"/>
      <c r="O1112" s="141"/>
      <c r="P1112" s="141">
        <v>2400</v>
      </c>
      <c r="Q1112" s="141">
        <v>2400</v>
      </c>
      <c r="R1112" s="122">
        <v>2400</v>
      </c>
      <c r="S1112" s="239"/>
      <c r="T1112" s="1476"/>
    </row>
    <row r="1113" spans="1:20" s="146" customFormat="1" ht="18" x14ac:dyDescent="0.25">
      <c r="A1113" s="961" t="s">
        <v>1387</v>
      </c>
      <c r="B1113" s="961" t="s">
        <v>123</v>
      </c>
      <c r="C1113" s="1356" t="s">
        <v>1546</v>
      </c>
      <c r="D1113" s="1355"/>
      <c r="E1113" s="1355"/>
      <c r="F1113" s="1355"/>
      <c r="G1113" s="1355"/>
      <c r="H1113" s="221" t="s">
        <v>160</v>
      </c>
      <c r="I1113" s="141">
        <v>1200</v>
      </c>
      <c r="J1113" s="141">
        <v>1200</v>
      </c>
      <c r="K1113" s="141">
        <v>600</v>
      </c>
      <c r="L1113" s="141">
        <f t="shared" si="30"/>
        <v>600</v>
      </c>
      <c r="M1113" s="141">
        <v>1200</v>
      </c>
      <c r="N1113" s="141">
        <v>800</v>
      </c>
      <c r="O1113" s="141"/>
      <c r="P1113" s="141">
        <v>1200</v>
      </c>
      <c r="Q1113" s="141">
        <v>1200</v>
      </c>
      <c r="R1113" s="122">
        <v>1200</v>
      </c>
      <c r="S1113" s="239"/>
      <c r="T1113" s="1476"/>
    </row>
    <row r="1114" spans="1:20" s="146" customFormat="1" ht="18" x14ac:dyDescent="0.25">
      <c r="A1114" s="961" t="s">
        <v>1387</v>
      </c>
      <c r="B1114" s="961" t="s">
        <v>123</v>
      </c>
      <c r="C1114" s="1356" t="s">
        <v>1546</v>
      </c>
      <c r="D1114" s="1355"/>
      <c r="E1114" s="1355"/>
      <c r="F1114" s="1355"/>
      <c r="G1114" s="1355"/>
      <c r="H1114" s="221" t="s">
        <v>160</v>
      </c>
      <c r="I1114" s="141">
        <v>35500</v>
      </c>
      <c r="J1114" s="141">
        <v>43200</v>
      </c>
      <c r="K1114" s="141">
        <v>19200</v>
      </c>
      <c r="L1114" s="141">
        <f t="shared" si="30"/>
        <v>24000</v>
      </c>
      <c r="M1114" s="141">
        <v>43200</v>
      </c>
      <c r="N1114" s="141">
        <v>25600</v>
      </c>
      <c r="O1114" s="141"/>
      <c r="P1114" s="141">
        <v>43200</v>
      </c>
      <c r="Q1114" s="141">
        <v>43200</v>
      </c>
      <c r="R1114" s="122">
        <v>43200</v>
      </c>
      <c r="S1114" s="239"/>
      <c r="T1114" s="1476"/>
    </row>
    <row r="1115" spans="1:20" s="146" customFormat="1" ht="18" x14ac:dyDescent="0.25">
      <c r="A1115" s="961" t="s">
        <v>1387</v>
      </c>
      <c r="B1115" s="961" t="s">
        <v>123</v>
      </c>
      <c r="C1115" s="1356" t="s">
        <v>1546</v>
      </c>
      <c r="D1115" s="1355"/>
      <c r="E1115" s="1355"/>
      <c r="F1115" s="1355"/>
      <c r="G1115" s="1355"/>
      <c r="H1115" s="221" t="s">
        <v>160</v>
      </c>
      <c r="I1115" s="141">
        <v>11600</v>
      </c>
      <c r="J1115" s="141">
        <v>13200</v>
      </c>
      <c r="K1115" s="141">
        <v>6000</v>
      </c>
      <c r="L1115" s="141">
        <f t="shared" si="30"/>
        <v>7200</v>
      </c>
      <c r="M1115" s="141">
        <v>13200</v>
      </c>
      <c r="N1115" s="141">
        <v>8200</v>
      </c>
      <c r="O1115" s="141"/>
      <c r="P1115" s="141">
        <v>13200</v>
      </c>
      <c r="Q1115" s="141">
        <v>13200</v>
      </c>
      <c r="R1115" s="122">
        <v>13200</v>
      </c>
      <c r="S1115" s="239">
        <f>SUM(R1111:R1115)</f>
        <v>62400</v>
      </c>
      <c r="T1115" s="1476"/>
    </row>
    <row r="1116" spans="1:20" s="146" customFormat="1" ht="18" x14ac:dyDescent="0.25">
      <c r="A1116" s="961" t="s">
        <v>1387</v>
      </c>
      <c r="B1116" s="961" t="s">
        <v>123</v>
      </c>
      <c r="C1116" s="1356" t="s">
        <v>149</v>
      </c>
      <c r="D1116" s="1355"/>
      <c r="E1116" s="1355"/>
      <c r="F1116" s="1355"/>
      <c r="G1116" s="1355"/>
      <c r="H1116" s="221" t="s">
        <v>150</v>
      </c>
      <c r="I1116" s="141">
        <v>2356991.31</v>
      </c>
      <c r="J1116" s="141">
        <v>2810470.58</v>
      </c>
      <c r="K1116" s="141">
        <v>1073155.3500000001</v>
      </c>
      <c r="L1116" s="141">
        <f t="shared" si="30"/>
        <v>1737315.23</v>
      </c>
      <c r="M1116" s="141">
        <v>2810470.58</v>
      </c>
      <c r="N1116" s="141">
        <v>1510883.69</v>
      </c>
      <c r="O1116" s="141"/>
      <c r="P1116" s="141">
        <v>2836906.92</v>
      </c>
      <c r="Q1116" s="141">
        <v>2836906.92</v>
      </c>
      <c r="R1116" s="122">
        <v>2721980.04</v>
      </c>
      <c r="S1116" s="239">
        <f>SUM(P1116:R1116)</f>
        <v>8395793.879999999</v>
      </c>
      <c r="T1116" s="1476"/>
    </row>
    <row r="1117" spans="1:20" s="146" customFormat="1" ht="18" x14ac:dyDescent="0.25">
      <c r="A1117" s="961" t="s">
        <v>1387</v>
      </c>
      <c r="B1117" s="961" t="s">
        <v>123</v>
      </c>
      <c r="C1117" s="1356" t="s">
        <v>211</v>
      </c>
      <c r="D1117" s="1355"/>
      <c r="E1117" s="1355"/>
      <c r="F1117" s="1355"/>
      <c r="G1117" s="1355"/>
      <c r="H1117" s="221" t="s">
        <v>212</v>
      </c>
      <c r="I1117" s="141">
        <v>43991.66</v>
      </c>
      <c r="J1117" s="141">
        <v>61200</v>
      </c>
      <c r="K1117" s="141">
        <v>18866.57</v>
      </c>
      <c r="L1117" s="141">
        <f t="shared" si="30"/>
        <v>42333.43</v>
      </c>
      <c r="M1117" s="141">
        <v>61200</v>
      </c>
      <c r="N1117" s="141">
        <v>27166.51</v>
      </c>
      <c r="O1117" s="141"/>
      <c r="P1117" s="141">
        <v>61200</v>
      </c>
      <c r="Q1117" s="141">
        <v>61200</v>
      </c>
      <c r="R1117" s="122">
        <v>61200</v>
      </c>
      <c r="S1117" s="239">
        <f>SUM(P1117:R1117)</f>
        <v>183600</v>
      </c>
      <c r="T1117" s="1476"/>
    </row>
    <row r="1118" spans="1:20" s="146" customFormat="1" ht="18" x14ac:dyDescent="0.25">
      <c r="A1118" s="961" t="s">
        <v>1387</v>
      </c>
      <c r="B1118" s="961" t="s">
        <v>123</v>
      </c>
      <c r="C1118" s="1382" t="s">
        <v>1568</v>
      </c>
      <c r="D1118" s="1355"/>
      <c r="E1118" s="1355"/>
      <c r="F1118" s="1355"/>
      <c r="G1118" s="1355"/>
      <c r="H1118" s="221" t="s">
        <v>232</v>
      </c>
      <c r="I1118" s="141">
        <v>20000</v>
      </c>
      <c r="J1118" s="141">
        <v>20000</v>
      </c>
      <c r="K1118" s="141"/>
      <c r="L1118" s="141">
        <f t="shared" si="30"/>
        <v>20000</v>
      </c>
      <c r="M1118" s="141">
        <v>20000</v>
      </c>
      <c r="N1118" s="141"/>
      <c r="O1118" s="141"/>
      <c r="P1118" s="141"/>
      <c r="Q1118" s="141"/>
      <c r="R1118" s="122">
        <v>35000</v>
      </c>
      <c r="S1118" s="239"/>
      <c r="T1118" s="1476"/>
    </row>
    <row r="1119" spans="1:20" s="146" customFormat="1" ht="18" x14ac:dyDescent="0.25">
      <c r="A1119" s="573" t="s">
        <v>1387</v>
      </c>
      <c r="B1119" s="573" t="s">
        <v>123</v>
      </c>
      <c r="C1119" s="1382" t="s">
        <v>1568</v>
      </c>
      <c r="D1119" s="1355"/>
      <c r="E1119" s="1355"/>
      <c r="F1119" s="1355"/>
      <c r="G1119" s="1355"/>
      <c r="H1119" s="221" t="s">
        <v>232</v>
      </c>
      <c r="I1119" s="141">
        <v>0</v>
      </c>
      <c r="J1119" s="141">
        <v>10000</v>
      </c>
      <c r="K1119" s="141"/>
      <c r="L1119" s="141">
        <f t="shared" si="30"/>
        <v>10000</v>
      </c>
      <c r="M1119" s="141">
        <v>10000</v>
      </c>
      <c r="N1119" s="141"/>
      <c r="O1119" s="141"/>
      <c r="P1119" s="141"/>
      <c r="Q1119" s="141"/>
      <c r="R1119" s="122">
        <v>5000</v>
      </c>
      <c r="S1119" s="239">
        <f>SUM(R1118:R1119)</f>
        <v>40000</v>
      </c>
      <c r="T1119" s="1476"/>
    </row>
    <row r="1120" spans="1:20" s="146" customFormat="1" ht="18" x14ac:dyDescent="0.25">
      <c r="A1120" s="573" t="s">
        <v>1387</v>
      </c>
      <c r="B1120" s="573" t="s">
        <v>123</v>
      </c>
      <c r="C1120" s="1356" t="s">
        <v>1567</v>
      </c>
      <c r="D1120" s="1355"/>
      <c r="E1120" s="1355"/>
      <c r="F1120" s="1355"/>
      <c r="G1120" s="1355"/>
      <c r="H1120" s="221"/>
      <c r="I1120" s="141"/>
      <c r="J1120" s="141"/>
      <c r="K1120" s="141"/>
      <c r="L1120" s="141"/>
      <c r="M1120" s="141"/>
      <c r="N1120" s="141"/>
      <c r="O1120" s="141"/>
      <c r="P1120" s="141"/>
      <c r="Q1120" s="141"/>
      <c r="R1120" s="122">
        <v>1358962.07</v>
      </c>
      <c r="S1120" s="239">
        <f>SUM(R1120)</f>
        <v>1358962.07</v>
      </c>
      <c r="T1120" s="1476"/>
    </row>
    <row r="1121" spans="1:26" s="146" customFormat="1" ht="18" x14ac:dyDescent="0.25">
      <c r="A1121" s="573" t="s">
        <v>1387</v>
      </c>
      <c r="B1121" s="573" t="s">
        <v>123</v>
      </c>
      <c r="C1121" s="1356" t="s">
        <v>1541</v>
      </c>
      <c r="D1121" s="1355"/>
      <c r="E1121" s="1355"/>
      <c r="F1121" s="1355"/>
      <c r="G1121" s="1355"/>
      <c r="H1121" s="221" t="s">
        <v>140</v>
      </c>
      <c r="I1121" s="141">
        <v>11520</v>
      </c>
      <c r="J1121" s="141">
        <v>35832</v>
      </c>
      <c r="K1121" s="141">
        <v>11994</v>
      </c>
      <c r="L1121" s="141">
        <f t="shared" ref="L1121:L1152" si="31">M1121-K1121</f>
        <v>23838</v>
      </c>
      <c r="M1121" s="141">
        <v>35832</v>
      </c>
      <c r="N1121" s="141">
        <v>11994</v>
      </c>
      <c r="O1121" s="141"/>
      <c r="P1121" s="141">
        <v>37525</v>
      </c>
      <c r="Q1121" s="141">
        <v>37525</v>
      </c>
      <c r="R1121" s="122">
        <v>35832</v>
      </c>
      <c r="S1121" s="239"/>
      <c r="T1121" s="1476"/>
    </row>
    <row r="1122" spans="1:26" s="146" customFormat="1" ht="18" x14ac:dyDescent="0.25">
      <c r="A1122" s="573" t="s">
        <v>1387</v>
      </c>
      <c r="B1122" s="573" t="s">
        <v>123</v>
      </c>
      <c r="C1122" s="1356" t="s">
        <v>1541</v>
      </c>
      <c r="D1122" s="1355"/>
      <c r="E1122" s="1355"/>
      <c r="F1122" s="1355"/>
      <c r="G1122" s="1355"/>
      <c r="H1122" s="221" t="s">
        <v>140</v>
      </c>
      <c r="I1122" s="141">
        <v>0</v>
      </c>
      <c r="J1122" s="141">
        <v>37599</v>
      </c>
      <c r="K1122" s="141"/>
      <c r="L1122" s="141">
        <f t="shared" si="31"/>
        <v>37599</v>
      </c>
      <c r="M1122" s="141">
        <v>37599</v>
      </c>
      <c r="N1122" s="141"/>
      <c r="O1122" s="141"/>
      <c r="P1122" s="141">
        <v>37599</v>
      </c>
      <c r="Q1122" s="141">
        <v>37599</v>
      </c>
      <c r="R1122" s="122">
        <v>39359</v>
      </c>
      <c r="S1122" s="239"/>
      <c r="T1122" s="1476"/>
    </row>
    <row r="1123" spans="1:26" s="146" customFormat="1" ht="18" x14ac:dyDescent="0.25">
      <c r="A1123" s="573" t="s">
        <v>1387</v>
      </c>
      <c r="B1123" s="573" t="s">
        <v>123</v>
      </c>
      <c r="C1123" s="1356" t="s">
        <v>1541</v>
      </c>
      <c r="D1123" s="1355"/>
      <c r="E1123" s="1355"/>
      <c r="F1123" s="1355"/>
      <c r="G1123" s="1355"/>
      <c r="H1123" s="221" t="s">
        <v>140</v>
      </c>
      <c r="I1123" s="141">
        <v>20762</v>
      </c>
      <c r="J1123" s="141">
        <v>22011</v>
      </c>
      <c r="K1123" s="141">
        <v>22011</v>
      </c>
      <c r="L1123" s="141">
        <f t="shared" si="31"/>
        <v>0</v>
      </c>
      <c r="M1123" s="141">
        <v>22011</v>
      </c>
      <c r="N1123" s="141">
        <v>22011</v>
      </c>
      <c r="O1123" s="141"/>
      <c r="P1123" s="141">
        <v>23260</v>
      </c>
      <c r="Q1123" s="141">
        <v>23260</v>
      </c>
      <c r="R1123" s="122">
        <v>22011</v>
      </c>
      <c r="S1123" s="239"/>
      <c r="T1123" s="1476"/>
    </row>
    <row r="1124" spans="1:26" s="146" customFormat="1" ht="18" x14ac:dyDescent="0.25">
      <c r="A1124" s="573" t="s">
        <v>1387</v>
      </c>
      <c r="B1124" s="573" t="s">
        <v>123</v>
      </c>
      <c r="C1124" s="1356" t="s">
        <v>1541</v>
      </c>
      <c r="D1124" s="1355"/>
      <c r="E1124" s="1355"/>
      <c r="F1124" s="1355"/>
      <c r="G1124" s="1355"/>
      <c r="H1124" s="221" t="s">
        <v>140</v>
      </c>
      <c r="I1124" s="141">
        <v>768580</v>
      </c>
      <c r="J1124" s="141">
        <v>1078936</v>
      </c>
      <c r="K1124" s="141">
        <v>1018951</v>
      </c>
      <c r="L1124" s="141">
        <f t="shared" si="31"/>
        <v>0</v>
      </c>
      <c r="M1124" s="141">
        <v>1018951</v>
      </c>
      <c r="N1124" s="141">
        <v>1018951</v>
      </c>
      <c r="O1124" s="141"/>
      <c r="P1124" s="141">
        <v>1121371</v>
      </c>
      <c r="Q1124" s="141">
        <v>1121371</v>
      </c>
      <c r="R1124" s="122">
        <v>1079071</v>
      </c>
      <c r="S1124" s="239"/>
      <c r="T1124" s="1476"/>
    </row>
    <row r="1125" spans="1:26" s="146" customFormat="1" ht="18" x14ac:dyDescent="0.25">
      <c r="A1125" s="573" t="s">
        <v>1387</v>
      </c>
      <c r="B1125" s="573" t="s">
        <v>123</v>
      </c>
      <c r="C1125" s="1356" t="s">
        <v>1541</v>
      </c>
      <c r="D1125" s="1355"/>
      <c r="E1125" s="1355"/>
      <c r="F1125" s="1355"/>
      <c r="G1125" s="1355"/>
      <c r="H1125" s="221" t="s">
        <v>140</v>
      </c>
      <c r="I1125" s="141">
        <v>186601</v>
      </c>
      <c r="J1125" s="141">
        <v>251998</v>
      </c>
      <c r="K1125" s="141">
        <v>238496</v>
      </c>
      <c r="L1125" s="141">
        <f t="shared" si="31"/>
        <v>13502</v>
      </c>
      <c r="M1125" s="141">
        <v>251998</v>
      </c>
      <c r="N1125" s="141">
        <v>238496</v>
      </c>
      <c r="O1125" s="141"/>
      <c r="P1125" s="141">
        <v>261227</v>
      </c>
      <c r="Q1125" s="141">
        <v>261227</v>
      </c>
      <c r="R1125" s="122">
        <v>251539</v>
      </c>
      <c r="S1125" s="239">
        <f>SUM(R1121:R1125)</f>
        <v>1427812</v>
      </c>
      <c r="T1125" s="1476"/>
    </row>
    <row r="1126" spans="1:26" s="146" customFormat="1" ht="18" x14ac:dyDescent="0.25">
      <c r="A1126" s="573" t="s">
        <v>1387</v>
      </c>
      <c r="B1126" s="573" t="s">
        <v>123</v>
      </c>
      <c r="C1126" s="1356" t="s">
        <v>1543</v>
      </c>
      <c r="D1126" s="1355"/>
      <c r="E1126" s="1355"/>
      <c r="F1126" s="1355"/>
      <c r="G1126" s="1355"/>
      <c r="H1126" s="221" t="s">
        <v>146</v>
      </c>
      <c r="I1126" s="141">
        <v>5000</v>
      </c>
      <c r="J1126" s="141">
        <v>10000</v>
      </c>
      <c r="K1126" s="141"/>
      <c r="L1126" s="141">
        <f t="shared" si="31"/>
        <v>10000</v>
      </c>
      <c r="M1126" s="141">
        <v>10000</v>
      </c>
      <c r="N1126" s="141">
        <v>0</v>
      </c>
      <c r="O1126" s="141"/>
      <c r="P1126" s="141">
        <v>10000</v>
      </c>
      <c r="Q1126" s="141">
        <v>10000</v>
      </c>
      <c r="R1126" s="122">
        <v>10000</v>
      </c>
      <c r="S1126" s="239"/>
      <c r="T1126" s="1476"/>
    </row>
    <row r="1127" spans="1:26" s="146" customFormat="1" ht="18" x14ac:dyDescent="0.25">
      <c r="A1127" s="573" t="s">
        <v>1387</v>
      </c>
      <c r="B1127" s="573" t="s">
        <v>123</v>
      </c>
      <c r="C1127" s="1356" t="s">
        <v>1543</v>
      </c>
      <c r="D1127" s="1355"/>
      <c r="E1127" s="1355"/>
      <c r="F1127" s="1355"/>
      <c r="G1127" s="1355"/>
      <c r="H1127" s="221" t="s">
        <v>146</v>
      </c>
      <c r="I1127" s="141">
        <v>0</v>
      </c>
      <c r="J1127" s="141">
        <v>10000</v>
      </c>
      <c r="K1127" s="141"/>
      <c r="L1127" s="141">
        <f t="shared" si="31"/>
        <v>10000</v>
      </c>
      <c r="M1127" s="141">
        <v>10000</v>
      </c>
      <c r="N1127" s="141"/>
      <c r="O1127" s="141"/>
      <c r="P1127" s="141">
        <v>10000</v>
      </c>
      <c r="Q1127" s="141">
        <v>10000</v>
      </c>
      <c r="R1127" s="122">
        <v>10000</v>
      </c>
      <c r="S1127" s="239"/>
      <c r="T1127" s="1476"/>
    </row>
    <row r="1128" spans="1:26" s="146" customFormat="1" ht="18" x14ac:dyDescent="0.25">
      <c r="A1128" s="573" t="s">
        <v>1387</v>
      </c>
      <c r="B1128" s="573" t="s">
        <v>123</v>
      </c>
      <c r="C1128" s="1356" t="s">
        <v>1543</v>
      </c>
      <c r="D1128" s="1355"/>
      <c r="E1128" s="1355"/>
      <c r="F1128" s="1355"/>
      <c r="G1128" s="1355"/>
      <c r="H1128" s="221" t="s">
        <v>146</v>
      </c>
      <c r="I1128" s="141">
        <v>5000</v>
      </c>
      <c r="J1128" s="141">
        <v>5000</v>
      </c>
      <c r="K1128" s="141"/>
      <c r="L1128" s="141">
        <f t="shared" si="31"/>
        <v>5000</v>
      </c>
      <c r="M1128" s="141">
        <v>5000</v>
      </c>
      <c r="N1128" s="141"/>
      <c r="O1128" s="141"/>
      <c r="P1128" s="141">
        <v>5000</v>
      </c>
      <c r="Q1128" s="141">
        <v>5000</v>
      </c>
      <c r="R1128" s="122">
        <v>5000</v>
      </c>
      <c r="S1128" s="239"/>
      <c r="T1128" s="1476"/>
    </row>
    <row r="1129" spans="1:26" s="146" customFormat="1" ht="18" x14ac:dyDescent="0.25">
      <c r="A1129" s="573" t="s">
        <v>1387</v>
      </c>
      <c r="B1129" s="573" t="s">
        <v>123</v>
      </c>
      <c r="C1129" s="1356" t="s">
        <v>1543</v>
      </c>
      <c r="D1129" s="1355"/>
      <c r="E1129" s="1355"/>
      <c r="F1129" s="1355"/>
      <c r="G1129" s="1355"/>
      <c r="H1129" s="221" t="s">
        <v>146</v>
      </c>
      <c r="I1129" s="141">
        <v>153000</v>
      </c>
      <c r="J1129" s="141">
        <v>180000</v>
      </c>
      <c r="K1129" s="141"/>
      <c r="L1129" s="141">
        <f t="shared" si="31"/>
        <v>180000</v>
      </c>
      <c r="M1129" s="141">
        <v>180000</v>
      </c>
      <c r="N1129" s="141"/>
      <c r="O1129" s="141"/>
      <c r="P1129" s="141">
        <v>180000</v>
      </c>
      <c r="Q1129" s="141">
        <v>180000</v>
      </c>
      <c r="R1129" s="122">
        <v>180000</v>
      </c>
      <c r="S1129" s="239"/>
      <c r="T1129" s="1476"/>
    </row>
    <row r="1130" spans="1:26" s="146" customFormat="1" ht="18" x14ac:dyDescent="0.25">
      <c r="A1130" s="573" t="s">
        <v>1387</v>
      </c>
      <c r="B1130" s="573" t="s">
        <v>123</v>
      </c>
      <c r="C1130" s="1382" t="s">
        <v>1543</v>
      </c>
      <c r="D1130" s="1355"/>
      <c r="E1130" s="1355"/>
      <c r="F1130" s="1355"/>
      <c r="G1130" s="1355"/>
      <c r="H1130" s="221" t="s">
        <v>146</v>
      </c>
      <c r="I1130" s="141">
        <v>50000</v>
      </c>
      <c r="J1130" s="141">
        <v>55000</v>
      </c>
      <c r="K1130" s="141"/>
      <c r="L1130" s="141">
        <f t="shared" si="31"/>
        <v>55000</v>
      </c>
      <c r="M1130" s="141">
        <v>55000</v>
      </c>
      <c r="N1130" s="141"/>
      <c r="O1130" s="141"/>
      <c r="P1130" s="141">
        <v>55000</v>
      </c>
      <c r="Q1130" s="141">
        <v>55000</v>
      </c>
      <c r="R1130" s="122">
        <v>55000</v>
      </c>
      <c r="S1130" s="239">
        <f>SUM(R1126:R1130)</f>
        <v>260000</v>
      </c>
      <c r="T1130" s="1476"/>
    </row>
    <row r="1131" spans="1:26" s="146" customFormat="1" ht="18" x14ac:dyDescent="0.25">
      <c r="A1131" s="573" t="s">
        <v>1387</v>
      </c>
      <c r="B1131" s="573" t="s">
        <v>123</v>
      </c>
      <c r="C1131" s="1356" t="s">
        <v>135</v>
      </c>
      <c r="D1131" s="1355"/>
      <c r="E1131" s="1355"/>
      <c r="F1131" s="1355"/>
      <c r="G1131" s="1355"/>
      <c r="H1131" s="221" t="s">
        <v>136</v>
      </c>
      <c r="I1131" s="141">
        <v>227652.02</v>
      </c>
      <c r="J1131" s="141">
        <v>700000</v>
      </c>
      <c r="K1131" s="141">
        <v>110024.66</v>
      </c>
      <c r="L1131" s="141">
        <f t="shared" si="31"/>
        <v>589975.34</v>
      </c>
      <c r="M1131" s="141">
        <v>700000</v>
      </c>
      <c r="N1131" s="141">
        <v>112471.13</v>
      </c>
      <c r="O1131" s="141"/>
      <c r="P1131" s="1398">
        <v>700000</v>
      </c>
      <c r="Q1131" s="1398">
        <v>700000</v>
      </c>
      <c r="R1131" s="122">
        <v>700000</v>
      </c>
      <c r="S1131" s="239"/>
      <c r="T1131" s="1476"/>
    </row>
    <row r="1132" spans="1:26" ht="18" customHeight="1" x14ac:dyDescent="0.25">
      <c r="A1132" s="573" t="s">
        <v>1387</v>
      </c>
      <c r="B1132" s="573" t="s">
        <v>123</v>
      </c>
      <c r="C1132" s="1382" t="s">
        <v>135</v>
      </c>
      <c r="D1132" s="1355"/>
      <c r="E1132" s="1355"/>
      <c r="F1132" s="1355"/>
      <c r="G1132" s="1355"/>
      <c r="H1132" s="221" t="s">
        <v>136</v>
      </c>
      <c r="I1132" s="141">
        <v>15198.6</v>
      </c>
      <c r="J1132" s="122">
        <v>320640</v>
      </c>
      <c r="K1132" s="141"/>
      <c r="L1132" s="141">
        <f t="shared" si="31"/>
        <v>320640</v>
      </c>
      <c r="M1132" s="122">
        <v>320640</v>
      </c>
      <c r="N1132" s="122">
        <v>3913.6</v>
      </c>
      <c r="O1132" s="122"/>
      <c r="P1132" s="122">
        <v>152767.28</v>
      </c>
      <c r="Q1132" s="122">
        <v>152767.28</v>
      </c>
      <c r="R1132" s="122">
        <v>152767.28</v>
      </c>
      <c r="S1132" s="239">
        <f>SUM(R1131:R1132)</f>
        <v>852767.28</v>
      </c>
    </row>
    <row r="1133" spans="1:26" ht="18" customHeight="1" x14ac:dyDescent="0.25">
      <c r="A1133" s="573" t="s">
        <v>1387</v>
      </c>
      <c r="B1133" s="573" t="s">
        <v>123</v>
      </c>
      <c r="C1133" s="1382" t="s">
        <v>155</v>
      </c>
      <c r="D1133" s="1355"/>
      <c r="E1133" s="1355"/>
      <c r="F1133" s="1355"/>
      <c r="G1133" s="1355"/>
      <c r="H1133" s="221" t="s">
        <v>156</v>
      </c>
      <c r="I1133" s="141">
        <v>1200</v>
      </c>
      <c r="J1133" s="141">
        <v>2400</v>
      </c>
      <c r="K1133" s="141">
        <v>600</v>
      </c>
      <c r="L1133" s="141">
        <f t="shared" si="31"/>
        <v>1800</v>
      </c>
      <c r="M1133" s="141">
        <v>2400</v>
      </c>
      <c r="N1133" s="141">
        <v>800</v>
      </c>
      <c r="O1133" s="141"/>
      <c r="P1133" s="141">
        <v>2400</v>
      </c>
      <c r="Q1133" s="141">
        <v>2400</v>
      </c>
      <c r="R1133" s="122">
        <v>2400</v>
      </c>
    </row>
    <row r="1134" spans="1:26" ht="18" customHeight="1" x14ac:dyDescent="0.25">
      <c r="A1134" s="573" t="s">
        <v>1387</v>
      </c>
      <c r="B1134" s="573" t="s">
        <v>123</v>
      </c>
      <c r="C1134" s="1356" t="s">
        <v>155</v>
      </c>
      <c r="D1134" s="1355"/>
      <c r="E1134" s="1355"/>
      <c r="F1134" s="1355"/>
      <c r="G1134" s="1355"/>
      <c r="H1134" s="221" t="s">
        <v>156</v>
      </c>
      <c r="I1134" s="141">
        <v>0</v>
      </c>
      <c r="J1134" s="141">
        <v>2400</v>
      </c>
      <c r="K1134" s="141"/>
      <c r="L1134" s="141">
        <f t="shared" si="31"/>
        <v>2400</v>
      </c>
      <c r="M1134" s="141">
        <v>2400</v>
      </c>
      <c r="N1134" s="141"/>
      <c r="O1134" s="141"/>
      <c r="P1134" s="141">
        <v>2400</v>
      </c>
      <c r="Q1134" s="141">
        <v>2400</v>
      </c>
      <c r="R1134" s="122">
        <v>2400</v>
      </c>
      <c r="S1134" s="1450"/>
    </row>
    <row r="1135" spans="1:26" s="7" customFormat="1" ht="18" customHeight="1" x14ac:dyDescent="0.25">
      <c r="A1135" s="573" t="s">
        <v>1387</v>
      </c>
      <c r="B1135" s="573" t="s">
        <v>123</v>
      </c>
      <c r="C1135" s="1356" t="s">
        <v>155</v>
      </c>
      <c r="D1135" s="1355"/>
      <c r="E1135" s="1355"/>
      <c r="F1135" s="1355"/>
      <c r="G1135" s="1355"/>
      <c r="H1135" s="221" t="s">
        <v>156</v>
      </c>
      <c r="I1135" s="141">
        <v>1200</v>
      </c>
      <c r="J1135" s="141">
        <v>1200</v>
      </c>
      <c r="K1135" s="141">
        <v>600</v>
      </c>
      <c r="L1135" s="141">
        <f t="shared" si="31"/>
        <v>600</v>
      </c>
      <c r="M1135" s="141">
        <v>1200</v>
      </c>
      <c r="N1135" s="141">
        <v>800</v>
      </c>
      <c r="O1135" s="141"/>
      <c r="P1135" s="141">
        <v>1200</v>
      </c>
      <c r="Q1135" s="141">
        <v>1200</v>
      </c>
      <c r="R1135" s="122">
        <v>1200</v>
      </c>
      <c r="S1135" s="1460"/>
      <c r="T1135" s="1475"/>
      <c r="U1135" s="1380"/>
      <c r="V1135" s="1380"/>
      <c r="W1135" s="1380"/>
      <c r="X1135" s="1380"/>
      <c r="Y1135" s="1380"/>
      <c r="Z1135" s="1380"/>
    </row>
    <row r="1136" spans="1:26" s="146" customFormat="1" ht="18" x14ac:dyDescent="0.25">
      <c r="A1136" s="573" t="s">
        <v>1387</v>
      </c>
      <c r="B1136" s="573" t="s">
        <v>123</v>
      </c>
      <c r="C1136" s="1356" t="s">
        <v>155</v>
      </c>
      <c r="D1136" s="1355"/>
      <c r="E1136" s="1355"/>
      <c r="F1136" s="1355"/>
      <c r="G1136" s="1355"/>
      <c r="H1136" s="221" t="s">
        <v>156</v>
      </c>
      <c r="I1136" s="141">
        <v>35500</v>
      </c>
      <c r="J1136" s="141">
        <v>43200</v>
      </c>
      <c r="K1136" s="141">
        <v>19200</v>
      </c>
      <c r="L1136" s="141">
        <f t="shared" si="31"/>
        <v>24000</v>
      </c>
      <c r="M1136" s="141">
        <v>43200</v>
      </c>
      <c r="N1136" s="141">
        <v>25600</v>
      </c>
      <c r="O1136" s="141"/>
      <c r="P1136" s="141">
        <v>43200</v>
      </c>
      <c r="Q1136" s="141">
        <v>43200</v>
      </c>
      <c r="R1136" s="122">
        <v>43200</v>
      </c>
      <c r="S1136" s="239"/>
      <c r="T1136" s="1476"/>
    </row>
    <row r="1137" spans="1:26" s="146" customFormat="1" ht="18" x14ac:dyDescent="0.25">
      <c r="A1137" s="573" t="s">
        <v>1387</v>
      </c>
      <c r="B1137" s="573" t="s">
        <v>123</v>
      </c>
      <c r="C1137" s="1356" t="s">
        <v>155</v>
      </c>
      <c r="D1137" s="1355"/>
      <c r="E1137" s="1355"/>
      <c r="F1137" s="1355"/>
      <c r="G1137" s="1355"/>
      <c r="H1137" s="221" t="s">
        <v>156</v>
      </c>
      <c r="I1137" s="141">
        <v>11600</v>
      </c>
      <c r="J1137" s="141">
        <v>13200</v>
      </c>
      <c r="K1137" s="141">
        <v>6000</v>
      </c>
      <c r="L1137" s="141">
        <f t="shared" si="31"/>
        <v>7200</v>
      </c>
      <c r="M1137" s="141">
        <v>13200</v>
      </c>
      <c r="N1137" s="141">
        <v>8200</v>
      </c>
      <c r="O1137" s="141"/>
      <c r="P1137" s="141">
        <v>13200</v>
      </c>
      <c r="Q1137" s="141">
        <v>13200</v>
      </c>
      <c r="R1137" s="122">
        <v>13200</v>
      </c>
      <c r="S1137" s="239">
        <f>SUM(R1133:R1137)</f>
        <v>62400</v>
      </c>
      <c r="T1137" s="1476"/>
    </row>
    <row r="1138" spans="1:26" s="146" customFormat="1" ht="18" x14ac:dyDescent="0.25">
      <c r="A1138" s="573" t="s">
        <v>1387</v>
      </c>
      <c r="B1138" s="573" t="s">
        <v>123</v>
      </c>
      <c r="C1138" s="1356" t="s">
        <v>129</v>
      </c>
      <c r="D1138" s="1355"/>
      <c r="E1138" s="1355"/>
      <c r="F1138" s="1355"/>
      <c r="G1138" s="1355"/>
      <c r="H1138" s="1390" t="s">
        <v>130</v>
      </c>
      <c r="I1138" s="141">
        <v>22727.31</v>
      </c>
      <c r="J1138" s="141">
        <v>48000</v>
      </c>
      <c r="K1138" s="141">
        <v>10363.65</v>
      </c>
      <c r="L1138" s="141">
        <f t="shared" si="31"/>
        <v>37636.35</v>
      </c>
      <c r="M1138" s="141">
        <v>48000</v>
      </c>
      <c r="N1138" s="141">
        <v>14272.74</v>
      </c>
      <c r="O1138" s="141"/>
      <c r="P1138" s="141">
        <v>48000</v>
      </c>
      <c r="Q1138" s="141">
        <v>48000</v>
      </c>
      <c r="R1138" s="122">
        <v>48000</v>
      </c>
      <c r="S1138" s="239"/>
      <c r="T1138" s="1476"/>
    </row>
    <row r="1139" spans="1:26" s="48" customFormat="1" ht="21.75" customHeight="1" x14ac:dyDescent="0.25">
      <c r="A1139" s="573" t="s">
        <v>1387</v>
      </c>
      <c r="B1139" s="573" t="s">
        <v>123</v>
      </c>
      <c r="C1139" s="1356" t="s">
        <v>129</v>
      </c>
      <c r="D1139" s="1355"/>
      <c r="E1139" s="1355"/>
      <c r="F1139" s="1355"/>
      <c r="G1139" s="1355"/>
      <c r="H1139" s="1390" t="s">
        <v>130</v>
      </c>
      <c r="I1139" s="141">
        <v>0</v>
      </c>
      <c r="J1139" s="141">
        <v>48000</v>
      </c>
      <c r="K1139" s="141"/>
      <c r="L1139" s="141">
        <f t="shared" si="31"/>
        <v>48000</v>
      </c>
      <c r="M1139" s="141">
        <v>48000</v>
      </c>
      <c r="N1139" s="141"/>
      <c r="O1139" s="141"/>
      <c r="P1139" s="141">
        <v>48000</v>
      </c>
      <c r="Q1139" s="141">
        <v>48000</v>
      </c>
      <c r="R1139" s="122">
        <v>48000</v>
      </c>
      <c r="S1139" s="1468"/>
      <c r="T1139" s="1477"/>
      <c r="U1139" s="169"/>
      <c r="V1139" s="169"/>
      <c r="W1139" s="169"/>
      <c r="X1139" s="169"/>
      <c r="Y1139" s="169"/>
      <c r="Z1139" s="169"/>
    </row>
    <row r="1140" spans="1:26" s="1153" customFormat="1" ht="23.25" customHeight="1" x14ac:dyDescent="0.25">
      <c r="A1140" s="573" t="s">
        <v>1387</v>
      </c>
      <c r="B1140" s="573" t="s">
        <v>123</v>
      </c>
      <c r="C1140" s="1356" t="s">
        <v>129</v>
      </c>
      <c r="D1140" s="1355"/>
      <c r="E1140" s="1355"/>
      <c r="F1140" s="1355"/>
      <c r="G1140" s="1355"/>
      <c r="H1140" s="1390" t="s">
        <v>130</v>
      </c>
      <c r="I1140" s="141">
        <v>24000</v>
      </c>
      <c r="J1140" s="141">
        <v>24000</v>
      </c>
      <c r="K1140" s="141">
        <v>12000</v>
      </c>
      <c r="L1140" s="141">
        <f t="shared" si="31"/>
        <v>12000</v>
      </c>
      <c r="M1140" s="141">
        <v>24000</v>
      </c>
      <c r="N1140" s="141">
        <v>16000</v>
      </c>
      <c r="O1140" s="141"/>
      <c r="P1140" s="141">
        <v>24000</v>
      </c>
      <c r="Q1140" s="141">
        <v>24000</v>
      </c>
      <c r="R1140" s="122">
        <v>24000</v>
      </c>
      <c r="S1140" s="1468"/>
      <c r="T1140" s="1483"/>
      <c r="U1140" s="1256"/>
      <c r="V1140" s="1256"/>
      <c r="W1140" s="1256"/>
      <c r="X1140" s="1256"/>
      <c r="Y1140" s="1256"/>
      <c r="Z1140" s="1256"/>
    </row>
    <row r="1141" spans="1:26" s="48" customFormat="1" ht="18" customHeight="1" x14ac:dyDescent="0.25">
      <c r="A1141" s="573" t="s">
        <v>1387</v>
      </c>
      <c r="B1141" s="573" t="s">
        <v>123</v>
      </c>
      <c r="C1141" s="1382" t="s">
        <v>129</v>
      </c>
      <c r="D1141" s="1355"/>
      <c r="E1141" s="1355"/>
      <c r="F1141" s="1355"/>
      <c r="G1141" s="1355"/>
      <c r="H1141" s="1390" t="s">
        <v>130</v>
      </c>
      <c r="I1141" s="141">
        <v>710727.27</v>
      </c>
      <c r="J1141" s="141">
        <v>864000</v>
      </c>
      <c r="K1141" s="141">
        <v>383909.11</v>
      </c>
      <c r="L1141" s="141">
        <f t="shared" si="31"/>
        <v>432090.89</v>
      </c>
      <c r="M1141" s="141">
        <v>816000</v>
      </c>
      <c r="N1141" s="141">
        <v>511909.11</v>
      </c>
      <c r="O1141" s="141"/>
      <c r="P1141" s="141">
        <v>864000</v>
      </c>
      <c r="Q1141" s="141">
        <v>864000</v>
      </c>
      <c r="R1141" s="122">
        <v>864000</v>
      </c>
      <c r="S1141" s="239"/>
      <c r="T1141" s="1477"/>
      <c r="U1141" s="169"/>
      <c r="V1141" s="169"/>
      <c r="W1141" s="169"/>
      <c r="X1141" s="169"/>
      <c r="Y1141" s="169"/>
      <c r="Z1141" s="169"/>
    </row>
    <row r="1142" spans="1:26" s="146" customFormat="1" ht="18" customHeight="1" x14ac:dyDescent="0.25">
      <c r="A1142" s="573" t="s">
        <v>1387</v>
      </c>
      <c r="B1142" s="573" t="s">
        <v>123</v>
      </c>
      <c r="C1142" s="1356" t="s">
        <v>129</v>
      </c>
      <c r="D1142" s="1355"/>
      <c r="E1142" s="1381"/>
      <c r="F1142" s="1381"/>
      <c r="G1142" s="1381"/>
      <c r="H1142" s="1390" t="s">
        <v>130</v>
      </c>
      <c r="I1142" s="141">
        <v>226091.02</v>
      </c>
      <c r="J1142" s="141">
        <v>264000</v>
      </c>
      <c r="K1142" s="141">
        <v>114909.17</v>
      </c>
      <c r="L1142" s="141">
        <f t="shared" si="31"/>
        <v>149090.83000000002</v>
      </c>
      <c r="M1142" s="141">
        <v>264000</v>
      </c>
      <c r="N1142" s="141">
        <v>157454.62</v>
      </c>
      <c r="O1142" s="141"/>
      <c r="P1142" s="141">
        <v>264000</v>
      </c>
      <c r="Q1142" s="141">
        <v>264000</v>
      </c>
      <c r="R1142" s="122">
        <v>264000</v>
      </c>
      <c r="S1142" s="239">
        <f>SUM(R1138:R1142)</f>
        <v>1248000</v>
      </c>
      <c r="T1142" s="1476"/>
    </row>
    <row r="1143" spans="1:26" s="146" customFormat="1" ht="18" customHeight="1" x14ac:dyDescent="0.25">
      <c r="A1143" s="573" t="s">
        <v>1387</v>
      </c>
      <c r="B1143" s="573" t="s">
        <v>123</v>
      </c>
      <c r="C1143" s="1356" t="s">
        <v>157</v>
      </c>
      <c r="D1143" s="1355"/>
      <c r="E1143" s="1355"/>
      <c r="F1143" s="1355"/>
      <c r="G1143" s="1355"/>
      <c r="H1143" s="221" t="s">
        <v>158</v>
      </c>
      <c r="I1143" s="141">
        <v>2764.8</v>
      </c>
      <c r="J1143" s="141">
        <v>17208</v>
      </c>
      <c r="K1143" s="141">
        <v>1139.43</v>
      </c>
      <c r="L1143" s="141">
        <f t="shared" si="31"/>
        <v>16068.57</v>
      </c>
      <c r="M1143" s="141">
        <v>17208</v>
      </c>
      <c r="N1143" s="141">
        <v>1619.19</v>
      </c>
      <c r="O1143" s="141"/>
      <c r="P1143" s="141">
        <v>10131.75</v>
      </c>
      <c r="Q1143" s="141">
        <v>10131.75</v>
      </c>
      <c r="R1143" s="122">
        <v>9674.64</v>
      </c>
      <c r="S1143" s="239"/>
      <c r="T1143" s="1476"/>
    </row>
    <row r="1144" spans="1:26" s="146" customFormat="1" ht="18" customHeight="1" x14ac:dyDescent="0.25">
      <c r="A1144" s="573" t="s">
        <v>1387</v>
      </c>
      <c r="B1144" s="573" t="s">
        <v>123</v>
      </c>
      <c r="C1144" s="1356" t="s">
        <v>157</v>
      </c>
      <c r="D1144" s="1355"/>
      <c r="E1144" s="1355"/>
      <c r="F1144" s="1355"/>
      <c r="G1144" s="1355"/>
      <c r="H1144" s="221" t="s">
        <v>158</v>
      </c>
      <c r="I1144" s="141">
        <v>0</v>
      </c>
      <c r="J1144" s="141">
        <v>18912</v>
      </c>
      <c r="K1144" s="141"/>
      <c r="L1144" s="141">
        <f t="shared" si="31"/>
        <v>18912</v>
      </c>
      <c r="M1144" s="141">
        <v>18912</v>
      </c>
      <c r="N1144" s="141"/>
      <c r="O1144" s="141"/>
      <c r="P1144" s="141">
        <v>11101.32</v>
      </c>
      <c r="Q1144" s="141">
        <v>11101.32</v>
      </c>
      <c r="R1144" s="122">
        <v>10626.93</v>
      </c>
      <c r="S1144" s="239"/>
      <c r="T1144" s="1476"/>
    </row>
    <row r="1145" spans="1:26" s="146" customFormat="1" ht="18" customHeight="1" x14ac:dyDescent="0.25">
      <c r="A1145" s="573" t="s">
        <v>1387</v>
      </c>
      <c r="B1145" s="573" t="s">
        <v>123</v>
      </c>
      <c r="C1145" s="1356" t="s">
        <v>157</v>
      </c>
      <c r="D1145" s="1355"/>
      <c r="E1145" s="1355"/>
      <c r="F1145" s="1355"/>
      <c r="G1145" s="1355"/>
      <c r="H1145" s="221" t="s">
        <v>158</v>
      </c>
      <c r="I1145" s="141">
        <v>3699.7</v>
      </c>
      <c r="J1145" s="141">
        <v>11000</v>
      </c>
      <c r="K1145" s="141">
        <v>2091.0700000000002</v>
      </c>
      <c r="L1145" s="141">
        <f t="shared" si="31"/>
        <v>8908.93</v>
      </c>
      <c r="M1145" s="141">
        <v>11000</v>
      </c>
      <c r="N1145" s="141">
        <v>2971.51</v>
      </c>
      <c r="O1145" s="141"/>
      <c r="P1145" s="141">
        <v>6280.2</v>
      </c>
      <c r="Q1145" s="141">
        <v>6280.2</v>
      </c>
      <c r="R1145" s="122">
        <v>5942.97</v>
      </c>
      <c r="S1145" s="239"/>
      <c r="T1145" s="1476"/>
    </row>
    <row r="1146" spans="1:26" s="146" customFormat="1" ht="18" customHeight="1" x14ac:dyDescent="0.25">
      <c r="A1146" s="573" t="s">
        <v>1387</v>
      </c>
      <c r="B1146" s="573" t="s">
        <v>123</v>
      </c>
      <c r="C1146" s="1356" t="s">
        <v>157</v>
      </c>
      <c r="D1146" s="1355"/>
      <c r="E1146" s="1355"/>
      <c r="F1146" s="1355"/>
      <c r="G1146" s="1355"/>
      <c r="H1146" s="221" t="s">
        <v>158</v>
      </c>
      <c r="I1146" s="141">
        <v>142339.94</v>
      </c>
      <c r="J1146" s="141">
        <v>503974.24</v>
      </c>
      <c r="K1146" s="141">
        <v>90796.45</v>
      </c>
      <c r="L1146" s="141">
        <f t="shared" si="31"/>
        <v>406258.91</v>
      </c>
      <c r="M1146" s="141">
        <v>497055.36</v>
      </c>
      <c r="N1146" s="141">
        <v>130386.57</v>
      </c>
      <c r="O1146" s="141"/>
      <c r="P1146" s="141">
        <v>299322.81</v>
      </c>
      <c r="Q1146" s="141">
        <v>299322.81</v>
      </c>
      <c r="R1146" s="122">
        <v>288436.40999999997</v>
      </c>
      <c r="S1146" s="239"/>
      <c r="T1146" s="1476"/>
    </row>
    <row r="1147" spans="1:26" s="146" customFormat="1" ht="18" customHeight="1" x14ac:dyDescent="0.25">
      <c r="A1147" s="573" t="s">
        <v>1387</v>
      </c>
      <c r="B1147" s="573" t="s">
        <v>123</v>
      </c>
      <c r="C1147" s="1356" t="s">
        <v>157</v>
      </c>
      <c r="D1147" s="1355"/>
      <c r="E1147" s="1355"/>
      <c r="F1147" s="1355"/>
      <c r="G1147" s="1355"/>
      <c r="H1147" s="221" t="s">
        <v>158</v>
      </c>
      <c r="I1147" s="141">
        <v>36140.33</v>
      </c>
      <c r="J1147" s="141">
        <v>119430.96</v>
      </c>
      <c r="K1147" s="141">
        <v>20835.43</v>
      </c>
      <c r="L1147" s="141">
        <f t="shared" si="31"/>
        <v>98595.53</v>
      </c>
      <c r="M1147" s="141">
        <v>119430.96</v>
      </c>
      <c r="N1147" s="141">
        <v>30783.99</v>
      </c>
      <c r="O1147" s="141"/>
      <c r="P1147" s="141">
        <v>70531.289999999994</v>
      </c>
      <c r="Q1147" s="141">
        <v>70531.289999999994</v>
      </c>
      <c r="R1147" s="122">
        <v>67915.53</v>
      </c>
      <c r="S1147" s="239">
        <f>SUM(R1143:R1147)</f>
        <v>382596.48</v>
      </c>
      <c r="T1147" s="1476"/>
    </row>
    <row r="1148" spans="1:26" s="146" customFormat="1" ht="18" customHeight="1" x14ac:dyDescent="0.25">
      <c r="A1148" s="573" t="s">
        <v>1387</v>
      </c>
      <c r="B1148" s="573" t="s">
        <v>123</v>
      </c>
      <c r="C1148" s="1382" t="s">
        <v>131</v>
      </c>
      <c r="D1148" s="1355"/>
      <c r="E1148" s="1355"/>
      <c r="F1148" s="1355"/>
      <c r="G1148" s="1355"/>
      <c r="H1148" s="221" t="s">
        <v>132</v>
      </c>
      <c r="I1148" s="141">
        <v>69700</v>
      </c>
      <c r="J1148" s="141">
        <v>85200</v>
      </c>
      <c r="K1148" s="141">
        <v>42600</v>
      </c>
      <c r="L1148" s="141">
        <f t="shared" si="31"/>
        <v>42600</v>
      </c>
      <c r="M1148" s="141">
        <v>85200</v>
      </c>
      <c r="N1148" s="141">
        <v>56800</v>
      </c>
      <c r="O1148" s="141"/>
      <c r="P1148" s="141">
        <v>85200</v>
      </c>
      <c r="Q1148" s="141">
        <v>85200</v>
      </c>
      <c r="R1148" s="122">
        <v>85200</v>
      </c>
      <c r="S1148" s="239"/>
      <c r="T1148" s="1476"/>
    </row>
    <row r="1149" spans="1:26" s="146" customFormat="1" ht="18" customHeight="1" x14ac:dyDescent="0.25">
      <c r="A1149" s="573" t="s">
        <v>1387</v>
      </c>
      <c r="B1149" s="573" t="s">
        <v>123</v>
      </c>
      <c r="C1149" s="1382" t="s">
        <v>131</v>
      </c>
      <c r="D1149" s="1355"/>
      <c r="E1149" s="1355"/>
      <c r="F1149" s="1355"/>
      <c r="G1149" s="1355"/>
      <c r="H1149" s="221" t="s">
        <v>132</v>
      </c>
      <c r="I1149" s="141">
        <v>64500</v>
      </c>
      <c r="J1149" s="141">
        <v>72000</v>
      </c>
      <c r="K1149" s="141">
        <v>34500</v>
      </c>
      <c r="L1149" s="141">
        <f t="shared" si="31"/>
        <v>37500</v>
      </c>
      <c r="M1149" s="141">
        <v>72000</v>
      </c>
      <c r="N1149" s="141">
        <v>46500</v>
      </c>
      <c r="O1149" s="141"/>
      <c r="P1149" s="141">
        <v>72000</v>
      </c>
      <c r="Q1149" s="141">
        <v>72000</v>
      </c>
      <c r="R1149" s="122">
        <v>72000</v>
      </c>
      <c r="S1149" s="239">
        <f>SUM(R1148:R1149)</f>
        <v>157200</v>
      </c>
      <c r="T1149" s="1476"/>
    </row>
    <row r="1150" spans="1:26" s="146" customFormat="1" ht="18" x14ac:dyDescent="0.25">
      <c r="A1150" s="1404" t="s">
        <v>1387</v>
      </c>
      <c r="B1150" s="1404" t="s">
        <v>123</v>
      </c>
      <c r="C1150" s="1356" t="s">
        <v>1545</v>
      </c>
      <c r="D1150" s="1355"/>
      <c r="E1150" s="1355"/>
      <c r="F1150" s="1355"/>
      <c r="G1150" s="1355"/>
      <c r="H1150" s="221" t="s">
        <v>154</v>
      </c>
      <c r="I1150" s="141">
        <v>15897.6</v>
      </c>
      <c r="J1150" s="141">
        <v>51598.080000000002</v>
      </c>
      <c r="K1150" s="141">
        <v>7916.04</v>
      </c>
      <c r="L1150" s="141">
        <f t="shared" si="31"/>
        <v>43682.04</v>
      </c>
      <c r="M1150" s="141">
        <v>51598.080000000002</v>
      </c>
      <c r="N1150" s="141">
        <v>10794.6</v>
      </c>
      <c r="O1150" s="141"/>
      <c r="P1150" s="141">
        <v>54036</v>
      </c>
      <c r="Q1150" s="141">
        <v>54036</v>
      </c>
      <c r="R1150" s="122">
        <v>51598.080000000002</v>
      </c>
      <c r="S1150" s="239"/>
      <c r="T1150" s="1476"/>
    </row>
    <row r="1151" spans="1:26" s="146" customFormat="1" ht="18" customHeight="1" x14ac:dyDescent="0.25">
      <c r="A1151" s="1404" t="s">
        <v>1387</v>
      </c>
      <c r="B1151" s="1404" t="s">
        <v>123</v>
      </c>
      <c r="C1151" s="1356" t="s">
        <v>1545</v>
      </c>
      <c r="D1151" s="1355"/>
      <c r="E1151" s="1355"/>
      <c r="F1151" s="1355"/>
      <c r="G1151" s="1355"/>
      <c r="H1151" s="221" t="s">
        <v>154</v>
      </c>
      <c r="I1151" s="141">
        <v>0</v>
      </c>
      <c r="J1151" s="141">
        <v>56676.959999999999</v>
      </c>
      <c r="K1151" s="141"/>
      <c r="L1151" s="141">
        <f t="shared" si="31"/>
        <v>56676.959999999999</v>
      </c>
      <c r="M1151" s="141">
        <v>56676.959999999999</v>
      </c>
      <c r="N1151" s="141"/>
      <c r="O1151" s="141"/>
      <c r="P1151" s="141">
        <v>59207.040000000001</v>
      </c>
      <c r="Q1151" s="141">
        <v>59207.040000000001</v>
      </c>
      <c r="R1151" s="122">
        <v>56676.959999999999</v>
      </c>
      <c r="S1151" s="239"/>
      <c r="T1151" s="1476"/>
    </row>
    <row r="1152" spans="1:26" s="146" customFormat="1" ht="18" x14ac:dyDescent="0.25">
      <c r="A1152" s="1404" t="s">
        <v>1387</v>
      </c>
      <c r="B1152" s="1404" t="s">
        <v>123</v>
      </c>
      <c r="C1152" s="1382" t="s">
        <v>1545</v>
      </c>
      <c r="D1152" s="1355"/>
      <c r="E1152" s="1355"/>
      <c r="F1152" s="1355"/>
      <c r="G1152" s="1355"/>
      <c r="H1152" s="221" t="s">
        <v>154</v>
      </c>
      <c r="I1152" s="141">
        <v>29597.52</v>
      </c>
      <c r="J1152" s="141">
        <v>29897.279999999999</v>
      </c>
      <c r="K1152" s="141">
        <v>15847.92</v>
      </c>
      <c r="L1152" s="141">
        <f t="shared" si="31"/>
        <v>14049.359999999999</v>
      </c>
      <c r="M1152" s="141">
        <v>29897.279999999999</v>
      </c>
      <c r="N1152" s="141">
        <v>21130.560000000001</v>
      </c>
      <c r="O1152" s="141"/>
      <c r="P1152" s="141">
        <v>29897.279999999999</v>
      </c>
      <c r="Q1152" s="141">
        <v>29897.279999999999</v>
      </c>
      <c r="R1152" s="122">
        <f>29897.28+1798.56</f>
        <v>31695.84</v>
      </c>
      <c r="S1152" s="239"/>
      <c r="T1152" s="1476"/>
    </row>
    <row r="1153" spans="1:20" s="146" customFormat="1" ht="18" customHeight="1" x14ac:dyDescent="0.25">
      <c r="A1153" s="1404" t="s">
        <v>1387</v>
      </c>
      <c r="B1153" s="1404" t="s">
        <v>123</v>
      </c>
      <c r="C1153" s="1356" t="s">
        <v>1545</v>
      </c>
      <c r="D1153" s="1355"/>
      <c r="E1153" s="1355"/>
      <c r="F1153" s="1355"/>
      <c r="G1153" s="1355"/>
      <c r="H1153" s="221" t="s">
        <v>154</v>
      </c>
      <c r="I1153" s="141">
        <v>1192164.54</v>
      </c>
      <c r="J1153" s="141">
        <v>1064012.96</v>
      </c>
      <c r="K1153" s="141">
        <v>732896.83</v>
      </c>
      <c r="L1153" s="141">
        <f t="shared" ref="L1153:L1171" si="32">M1153-K1153</f>
        <v>815964.01000000013</v>
      </c>
      <c r="M1153" s="141">
        <v>1548860.84</v>
      </c>
      <c r="N1153" s="141">
        <v>977445.07</v>
      </c>
      <c r="O1153" s="141"/>
      <c r="P1153" s="141">
        <v>1105853.76</v>
      </c>
      <c r="Q1153" s="141">
        <v>1105853.76</v>
      </c>
      <c r="R1153" s="122">
        <v>1553862.24</v>
      </c>
      <c r="S1153" s="239"/>
      <c r="T1153" s="1476"/>
    </row>
    <row r="1154" spans="1:20" s="146" customFormat="1" ht="18" customHeight="1" x14ac:dyDescent="0.25">
      <c r="A1154" s="1404" t="s">
        <v>1387</v>
      </c>
      <c r="B1154" s="1404" t="s">
        <v>123</v>
      </c>
      <c r="C1154" s="1356" t="s">
        <v>1545</v>
      </c>
      <c r="D1154" s="1355"/>
      <c r="E1154" s="1355"/>
      <c r="F1154" s="1355"/>
      <c r="G1154" s="1355"/>
      <c r="H1154" s="221" t="s">
        <v>154</v>
      </c>
      <c r="I1154" s="141">
        <v>315219.58</v>
      </c>
      <c r="J1154" s="141">
        <v>362789.99</v>
      </c>
      <c r="K1154" s="141">
        <v>168415.24</v>
      </c>
      <c r="L1154" s="141">
        <f t="shared" si="32"/>
        <v>194374.75</v>
      </c>
      <c r="M1154" s="141">
        <v>362789.99</v>
      </c>
      <c r="N1154" s="141">
        <v>227794.81</v>
      </c>
      <c r="O1154" s="141"/>
      <c r="P1154" s="141">
        <v>376166.88</v>
      </c>
      <c r="Q1154" s="141">
        <v>376166.88</v>
      </c>
      <c r="R1154" s="122">
        <v>362216.16</v>
      </c>
      <c r="S1154" s="239">
        <f>SUM(R1150:R1154)</f>
        <v>2056049.28</v>
      </c>
      <c r="T1154" s="1476"/>
    </row>
    <row r="1155" spans="1:20" s="146" customFormat="1" ht="18" customHeight="1" x14ac:dyDescent="0.25">
      <c r="A1155" s="1404" t="s">
        <v>1387</v>
      </c>
      <c r="B1155" s="1404" t="s">
        <v>123</v>
      </c>
      <c r="C1155" s="1385" t="s">
        <v>126</v>
      </c>
      <c r="D1155" s="1355"/>
      <c r="E1155" s="1355"/>
      <c r="F1155" s="1355"/>
      <c r="G1155" s="1355"/>
      <c r="H1155" s="221" t="s">
        <v>132</v>
      </c>
      <c r="I1155" s="141">
        <v>131517.53</v>
      </c>
      <c r="J1155" s="141">
        <v>143928</v>
      </c>
      <c r="K1155" s="141">
        <v>62760.15</v>
      </c>
      <c r="L1155" s="141">
        <f t="shared" si="32"/>
        <v>81167.850000000006</v>
      </c>
      <c r="M1155" s="141">
        <v>143928</v>
      </c>
      <c r="N1155" s="141">
        <v>86202.89</v>
      </c>
      <c r="O1155" s="141"/>
      <c r="P1155" s="141">
        <v>149628</v>
      </c>
      <c r="Q1155" s="141">
        <v>149628</v>
      </c>
      <c r="R1155" s="122">
        <v>143928</v>
      </c>
      <c r="S1155" s="239"/>
      <c r="T1155" s="1476"/>
    </row>
    <row r="1156" spans="1:20" s="146" customFormat="1" ht="18" customHeight="1" x14ac:dyDescent="0.25">
      <c r="A1156" s="1404" t="s">
        <v>1387</v>
      </c>
      <c r="B1156" s="1404" t="s">
        <v>123</v>
      </c>
      <c r="C1156" s="1356" t="s">
        <v>126</v>
      </c>
      <c r="D1156" s="1355"/>
      <c r="E1156" s="1355"/>
      <c r="F1156" s="1355"/>
      <c r="G1156" s="1355"/>
      <c r="H1156" s="221" t="s">
        <v>127</v>
      </c>
      <c r="I1156" s="141">
        <v>0</v>
      </c>
      <c r="J1156" s="141">
        <v>339000</v>
      </c>
      <c r="K1156" s="141"/>
      <c r="L1156" s="141">
        <f t="shared" si="32"/>
        <v>339000</v>
      </c>
      <c r="M1156" s="141">
        <v>339000</v>
      </c>
      <c r="N1156" s="141"/>
      <c r="O1156" s="141"/>
      <c r="P1156" s="141">
        <v>352272</v>
      </c>
      <c r="Q1156" s="141">
        <v>352272</v>
      </c>
      <c r="R1156" s="122">
        <v>339000</v>
      </c>
      <c r="S1156" s="239"/>
      <c r="T1156" s="1476"/>
    </row>
    <row r="1157" spans="1:20" s="146" customFormat="1" ht="18" x14ac:dyDescent="0.25">
      <c r="A1157" s="1404" t="s">
        <v>1387</v>
      </c>
      <c r="B1157" s="1404" t="s">
        <v>123</v>
      </c>
      <c r="C1157" s="1356" t="s">
        <v>126</v>
      </c>
      <c r="D1157" s="1355"/>
      <c r="E1157" s="1355"/>
      <c r="F1157" s="1355"/>
      <c r="G1157" s="1355"/>
      <c r="H1157" s="221" t="s">
        <v>127</v>
      </c>
      <c r="I1157" s="141">
        <v>530694</v>
      </c>
      <c r="J1157" s="122">
        <v>750636</v>
      </c>
      <c r="K1157" s="141">
        <v>256727.56</v>
      </c>
      <c r="L1157" s="141">
        <f t="shared" si="32"/>
        <v>493908.44</v>
      </c>
      <c r="M1157" s="122">
        <v>750636</v>
      </c>
      <c r="N1157" s="122">
        <v>371625.13</v>
      </c>
      <c r="O1157" s="122"/>
      <c r="P1157" s="122">
        <v>785748</v>
      </c>
      <c r="Q1157" s="122">
        <v>785748</v>
      </c>
      <c r="R1157" s="122">
        <v>750636</v>
      </c>
      <c r="S1157" s="239">
        <f>SUM(R1155:R1157)</f>
        <v>1233564</v>
      </c>
      <c r="T1157" s="1476"/>
    </row>
    <row r="1158" spans="1:20" s="146" customFormat="1" ht="18" x14ac:dyDescent="0.25">
      <c r="A1158" s="1404" t="s">
        <v>1387</v>
      </c>
      <c r="B1158" s="1404" t="s">
        <v>123</v>
      </c>
      <c r="C1158" s="1356" t="s">
        <v>124</v>
      </c>
      <c r="D1158" s="1355"/>
      <c r="E1158" s="1355"/>
      <c r="F1158" s="1355"/>
      <c r="G1158" s="1355"/>
      <c r="H1158" s="221" t="s">
        <v>125</v>
      </c>
      <c r="I1158" s="141">
        <v>0</v>
      </c>
      <c r="J1158" s="141">
        <v>286056</v>
      </c>
      <c r="K1158" s="141"/>
      <c r="L1158" s="141">
        <f t="shared" si="32"/>
        <v>286056</v>
      </c>
      <c r="M1158" s="141">
        <v>286056</v>
      </c>
      <c r="N1158" s="141"/>
      <c r="O1158" s="141"/>
      <c r="P1158" s="141">
        <v>300672</v>
      </c>
      <c r="Q1158" s="141">
        <v>300672</v>
      </c>
      <c r="R1158" s="122">
        <v>286056</v>
      </c>
      <c r="S1158" s="239"/>
      <c r="T1158" s="1476"/>
    </row>
    <row r="1159" spans="1:20" s="146" customFormat="1" ht="18" x14ac:dyDescent="0.25">
      <c r="A1159" s="1404" t="s">
        <v>1387</v>
      </c>
      <c r="B1159" s="1404" t="s">
        <v>123</v>
      </c>
      <c r="C1159" s="1356" t="s">
        <v>124</v>
      </c>
      <c r="D1159" s="1355"/>
      <c r="E1159" s="1355"/>
      <c r="F1159" s="1355"/>
      <c r="G1159" s="1355"/>
      <c r="H1159" s="221" t="s">
        <v>125</v>
      </c>
      <c r="I1159" s="141">
        <v>0</v>
      </c>
      <c r="J1159" s="141">
        <v>472308</v>
      </c>
      <c r="K1159" s="141"/>
      <c r="L1159" s="141">
        <f t="shared" si="32"/>
        <v>472308</v>
      </c>
      <c r="M1159" s="141">
        <v>472308</v>
      </c>
      <c r="N1159" s="141"/>
      <c r="O1159" s="141"/>
      <c r="P1159" s="141">
        <v>493392</v>
      </c>
      <c r="Q1159" s="141">
        <v>493392</v>
      </c>
      <c r="R1159" s="122">
        <v>472308</v>
      </c>
      <c r="S1159" s="239"/>
      <c r="T1159" s="1476"/>
    </row>
    <row r="1160" spans="1:20" s="146" customFormat="1" ht="18" customHeight="1" x14ac:dyDescent="0.25">
      <c r="A1160" s="1404" t="s">
        <v>1387</v>
      </c>
      <c r="B1160" s="1404" t="s">
        <v>123</v>
      </c>
      <c r="C1160" s="1356" t="s">
        <v>124</v>
      </c>
      <c r="D1160" s="1355"/>
      <c r="E1160" s="1355"/>
      <c r="F1160" s="1355"/>
      <c r="G1160" s="1355"/>
      <c r="H1160" s="221" t="s">
        <v>125</v>
      </c>
      <c r="I1160" s="141">
        <v>246646</v>
      </c>
      <c r="J1160" s="141">
        <v>264132</v>
      </c>
      <c r="K1160" s="141">
        <v>132066</v>
      </c>
      <c r="L1160" s="141">
        <f t="shared" si="32"/>
        <v>132066</v>
      </c>
      <c r="M1160" s="141">
        <v>264132</v>
      </c>
      <c r="N1160" s="141">
        <v>176088</v>
      </c>
      <c r="O1160" s="141"/>
      <c r="P1160" s="141">
        <v>279120</v>
      </c>
      <c r="Q1160" s="141">
        <v>279120</v>
      </c>
      <c r="R1160" s="122">
        <v>264132</v>
      </c>
      <c r="S1160" s="239"/>
      <c r="T1160" s="1476"/>
    </row>
    <row r="1161" spans="1:20" s="146" customFormat="1" ht="18" x14ac:dyDescent="0.25">
      <c r="A1161" s="1404" t="s">
        <v>1387</v>
      </c>
      <c r="B1161" s="1404" t="s">
        <v>123</v>
      </c>
      <c r="C1161" s="1356" t="s">
        <v>124</v>
      </c>
      <c r="D1161" s="1355"/>
      <c r="E1161" s="1355"/>
      <c r="F1161" s="1355"/>
      <c r="G1161" s="1355"/>
      <c r="H1161" s="221" t="s">
        <v>125</v>
      </c>
      <c r="I1161" s="141">
        <f>9942813.68+731.18</f>
        <v>9943544.8599999994</v>
      </c>
      <c r="J1161" s="141">
        <v>12579936</v>
      </c>
      <c r="K1161" s="141">
        <v>6108743.0999999996</v>
      </c>
      <c r="L1161" s="141">
        <f t="shared" si="32"/>
        <v>6149420.8200000003</v>
      </c>
      <c r="M1161" s="141">
        <f>12233992+24171.92</f>
        <v>12258163.92</v>
      </c>
      <c r="N1161" s="141">
        <v>8146645.0999999996</v>
      </c>
      <c r="O1161" s="141"/>
      <c r="P1161" s="141">
        <v>13104180</v>
      </c>
      <c r="Q1161" s="141">
        <v>13104180</v>
      </c>
      <c r="R1161" s="122">
        <v>12609852</v>
      </c>
      <c r="S1161" s="239"/>
      <c r="T1161" s="1476"/>
    </row>
    <row r="1162" spans="1:20" s="146" customFormat="1" ht="18" x14ac:dyDescent="0.25">
      <c r="A1162" s="1404" t="s">
        <v>1387</v>
      </c>
      <c r="B1162" s="1404" t="s">
        <v>123</v>
      </c>
      <c r="C1162" s="1356" t="s">
        <v>124</v>
      </c>
      <c r="D1162" s="1355"/>
      <c r="E1162" s="1355"/>
      <c r="F1162" s="1355"/>
      <c r="G1162" s="1355"/>
      <c r="H1162" s="221" t="s">
        <v>125</v>
      </c>
      <c r="I1162" s="141">
        <f>2076644.51+1252.36</f>
        <v>2077896.87</v>
      </c>
      <c r="J1162" s="141">
        <v>2269440</v>
      </c>
      <c r="K1162" s="141">
        <v>1134611.9099999999</v>
      </c>
      <c r="L1162" s="141">
        <f t="shared" si="32"/>
        <v>1138002.0000000002</v>
      </c>
      <c r="M1162" s="141">
        <f>2269440+3173.91</f>
        <v>2272613.91</v>
      </c>
      <c r="N1162" s="141">
        <v>1513501.91</v>
      </c>
      <c r="O1162" s="141"/>
      <c r="P1162" s="141">
        <v>2348976</v>
      </c>
      <c r="Q1162" s="141">
        <v>2348976</v>
      </c>
      <c r="R1162" s="122">
        <v>2267832</v>
      </c>
      <c r="S1162" s="239">
        <f>SUM(R1158:R1162)</f>
        <v>15900180</v>
      </c>
      <c r="T1162" s="1476"/>
    </row>
    <row r="1163" spans="1:20" s="146" customFormat="1" ht="18" x14ac:dyDescent="0.25">
      <c r="A1163" s="1404" t="s">
        <v>1387</v>
      </c>
      <c r="B1163" s="1404" t="s">
        <v>123</v>
      </c>
      <c r="C1163" s="1356" t="s">
        <v>210</v>
      </c>
      <c r="D1163" s="1355"/>
      <c r="E1163" s="1384"/>
      <c r="F1163" s="1384"/>
      <c r="G1163" s="1384"/>
      <c r="H1163" s="221" t="s">
        <v>464</v>
      </c>
      <c r="I1163" s="141">
        <v>319450</v>
      </c>
      <c r="J1163" s="141">
        <v>612000</v>
      </c>
      <c r="K1163" s="141">
        <v>138350</v>
      </c>
      <c r="L1163" s="141">
        <f t="shared" si="32"/>
        <v>473650</v>
      </c>
      <c r="M1163" s="141">
        <v>612000</v>
      </c>
      <c r="N1163" s="141">
        <v>199200</v>
      </c>
      <c r="O1163" s="141"/>
      <c r="P1163" s="141">
        <v>612000</v>
      </c>
      <c r="Q1163" s="141">
        <v>612000</v>
      </c>
      <c r="R1163" s="122">
        <v>612000</v>
      </c>
      <c r="S1163" s="239"/>
      <c r="T1163" s="1476"/>
    </row>
    <row r="1164" spans="1:20" s="146" customFormat="1" ht="18" x14ac:dyDescent="0.25">
      <c r="A1164" s="1404" t="s">
        <v>1387</v>
      </c>
      <c r="B1164" s="1404" t="s">
        <v>123</v>
      </c>
      <c r="C1164" s="1382" t="s">
        <v>210</v>
      </c>
      <c r="D1164" s="1355"/>
      <c r="E1164" s="1355"/>
      <c r="F1164" s="1355"/>
      <c r="G1164" s="1355"/>
      <c r="H1164" s="221" t="s">
        <v>464</v>
      </c>
      <c r="I1164" s="141">
        <v>26650</v>
      </c>
      <c r="J1164" s="141">
        <v>54000</v>
      </c>
      <c r="K1164" s="141">
        <v>11925</v>
      </c>
      <c r="L1164" s="141">
        <f t="shared" si="32"/>
        <v>42075</v>
      </c>
      <c r="M1164" s="141">
        <v>54000</v>
      </c>
      <c r="N1164" s="141">
        <v>14425</v>
      </c>
      <c r="O1164" s="141"/>
      <c r="P1164" s="1398">
        <v>72000</v>
      </c>
      <c r="Q1164" s="1398">
        <v>72000</v>
      </c>
      <c r="R1164" s="122">
        <v>54000</v>
      </c>
      <c r="S1164" s="1456">
        <f>SUM(R1163:R1164)</f>
        <v>666000</v>
      </c>
      <c r="T1164" s="1476"/>
    </row>
    <row r="1165" spans="1:20" s="146" customFormat="1" ht="18" x14ac:dyDescent="0.25">
      <c r="A1165" s="1404" t="s">
        <v>1387</v>
      </c>
      <c r="B1165" s="1404" t="s">
        <v>123</v>
      </c>
      <c r="C1165" s="1356" t="s">
        <v>133</v>
      </c>
      <c r="D1165" s="1355"/>
      <c r="E1165" s="1355"/>
      <c r="F1165" s="1355"/>
      <c r="G1165" s="1355"/>
      <c r="H1165" s="221" t="s">
        <v>134</v>
      </c>
      <c r="I1165" s="141">
        <v>69700</v>
      </c>
      <c r="J1165" s="141">
        <v>85200</v>
      </c>
      <c r="K1165" s="141">
        <v>42600</v>
      </c>
      <c r="L1165" s="141">
        <f t="shared" si="32"/>
        <v>42600</v>
      </c>
      <c r="M1165" s="141">
        <v>85200</v>
      </c>
      <c r="N1165" s="141">
        <v>56800</v>
      </c>
      <c r="O1165" s="141"/>
      <c r="P1165" s="141">
        <v>85200</v>
      </c>
      <c r="Q1165" s="141">
        <v>85200</v>
      </c>
      <c r="R1165" s="122">
        <v>85200</v>
      </c>
      <c r="S1165" s="1456"/>
      <c r="T1165" s="1476"/>
    </row>
    <row r="1166" spans="1:20" s="146" customFormat="1" ht="18" x14ac:dyDescent="0.25">
      <c r="A1166" s="1404" t="s">
        <v>1387</v>
      </c>
      <c r="B1166" s="1404" t="s">
        <v>123</v>
      </c>
      <c r="C1166" s="1382" t="s">
        <v>133</v>
      </c>
      <c r="D1166" s="1355"/>
      <c r="E1166" s="1355"/>
      <c r="F1166" s="1355"/>
      <c r="G1166" s="1355"/>
      <c r="H1166" s="221" t="s">
        <v>134</v>
      </c>
      <c r="I1166" s="141">
        <v>64500</v>
      </c>
      <c r="J1166" s="141">
        <v>72000</v>
      </c>
      <c r="K1166" s="141">
        <v>34500</v>
      </c>
      <c r="L1166" s="141">
        <f t="shared" si="32"/>
        <v>37500</v>
      </c>
      <c r="M1166" s="141">
        <v>72000</v>
      </c>
      <c r="N1166" s="141">
        <v>46500</v>
      </c>
      <c r="O1166" s="141"/>
      <c r="P1166" s="141">
        <v>72000</v>
      </c>
      <c r="Q1166" s="141">
        <v>72000</v>
      </c>
      <c r="R1166" s="122">
        <v>72000</v>
      </c>
      <c r="S1166" s="239">
        <f>SUM(R1165:R1166)</f>
        <v>157200</v>
      </c>
      <c r="T1166" s="1476"/>
    </row>
    <row r="1167" spans="1:20" s="146" customFormat="1" ht="18" x14ac:dyDescent="0.25">
      <c r="A1167" s="1404" t="s">
        <v>1387</v>
      </c>
      <c r="B1167" s="1404" t="s">
        <v>123</v>
      </c>
      <c r="C1167" s="1356" t="s">
        <v>141</v>
      </c>
      <c r="D1167" s="1355"/>
      <c r="E1167" s="1355"/>
      <c r="F1167" s="1355"/>
      <c r="G1167" s="1355"/>
      <c r="H1167" s="221" t="s">
        <v>142</v>
      </c>
      <c r="I1167" s="141">
        <v>11520</v>
      </c>
      <c r="J1167" s="141">
        <v>35832</v>
      </c>
      <c r="K1167" s="141"/>
      <c r="L1167" s="141">
        <f t="shared" si="32"/>
        <v>35832</v>
      </c>
      <c r="M1167" s="141">
        <v>35832</v>
      </c>
      <c r="N1167" s="141">
        <v>0</v>
      </c>
      <c r="O1167" s="141"/>
      <c r="P1167" s="141">
        <v>37525</v>
      </c>
      <c r="Q1167" s="141">
        <v>37525</v>
      </c>
      <c r="R1167" s="122">
        <v>35832</v>
      </c>
      <c r="S1167" s="239"/>
      <c r="T1167" s="1476"/>
    </row>
    <row r="1168" spans="1:20" s="146" customFormat="1" ht="18" x14ac:dyDescent="0.25">
      <c r="A1168" s="1404" t="s">
        <v>1387</v>
      </c>
      <c r="B1168" s="1404" t="s">
        <v>123</v>
      </c>
      <c r="C1168" s="1356" t="s">
        <v>141</v>
      </c>
      <c r="D1168" s="1355"/>
      <c r="E1168" s="1355"/>
      <c r="F1168" s="1355"/>
      <c r="G1168" s="1355"/>
      <c r="H1168" s="221" t="s">
        <v>142</v>
      </c>
      <c r="I1168" s="141">
        <v>0</v>
      </c>
      <c r="J1168" s="141">
        <v>37599</v>
      </c>
      <c r="K1168" s="141"/>
      <c r="L1168" s="141">
        <f t="shared" si="32"/>
        <v>37599</v>
      </c>
      <c r="M1168" s="141">
        <v>37599</v>
      </c>
      <c r="N1168" s="141"/>
      <c r="O1168" s="141"/>
      <c r="P1168" s="141">
        <v>37599</v>
      </c>
      <c r="Q1168" s="141">
        <v>37599</v>
      </c>
      <c r="R1168" s="122">
        <v>39359</v>
      </c>
      <c r="S1168" s="239"/>
      <c r="T1168" s="1476"/>
    </row>
    <row r="1169" spans="1:21" s="146" customFormat="1" ht="18" x14ac:dyDescent="0.25">
      <c r="A1169" s="1404" t="s">
        <v>1387</v>
      </c>
      <c r="B1169" s="1404" t="s">
        <v>123</v>
      </c>
      <c r="C1169" s="1382" t="s">
        <v>141</v>
      </c>
      <c r="D1169" s="1355"/>
      <c r="E1169" s="1355"/>
      <c r="F1169" s="1355"/>
      <c r="G1169" s="1355"/>
      <c r="H1169" s="221" t="s">
        <v>142</v>
      </c>
      <c r="I1169" s="141">
        <v>20762</v>
      </c>
      <c r="J1169" s="141">
        <v>22011</v>
      </c>
      <c r="K1169" s="141"/>
      <c r="L1169" s="141">
        <f t="shared" si="32"/>
        <v>22011</v>
      </c>
      <c r="M1169" s="141">
        <v>22011</v>
      </c>
      <c r="N1169" s="141"/>
      <c r="O1169" s="141"/>
      <c r="P1169" s="141">
        <v>23260</v>
      </c>
      <c r="Q1169" s="141">
        <v>23260</v>
      </c>
      <c r="R1169" s="122">
        <v>22011</v>
      </c>
      <c r="S1169" s="239"/>
      <c r="T1169" s="1476"/>
    </row>
    <row r="1170" spans="1:21" s="146" customFormat="1" ht="18" x14ac:dyDescent="0.25">
      <c r="A1170" s="1404" t="s">
        <v>1387</v>
      </c>
      <c r="B1170" s="1404" t="s">
        <v>123</v>
      </c>
      <c r="C1170" s="1356" t="s">
        <v>141</v>
      </c>
      <c r="D1170" s="1355"/>
      <c r="E1170" s="1355"/>
      <c r="F1170" s="1355"/>
      <c r="G1170" s="1355"/>
      <c r="H1170" s="221" t="s">
        <v>142</v>
      </c>
      <c r="I1170" s="141">
        <v>852347</v>
      </c>
      <c r="J1170" s="141">
        <v>1078936</v>
      </c>
      <c r="K1170" s="141"/>
      <c r="L1170" s="141">
        <f t="shared" si="32"/>
        <v>1078936</v>
      </c>
      <c r="M1170" s="141">
        <v>1078936</v>
      </c>
      <c r="N1170" s="141"/>
      <c r="O1170" s="141"/>
      <c r="P1170" s="141">
        <v>1121371</v>
      </c>
      <c r="Q1170" s="141">
        <v>1121371</v>
      </c>
      <c r="R1170" s="122">
        <v>1079071</v>
      </c>
      <c r="S1170" s="239"/>
      <c r="T1170" s="1476"/>
    </row>
    <row r="1171" spans="1:21" s="146" customFormat="1" ht="18" x14ac:dyDescent="0.25">
      <c r="A1171" s="1404" t="s">
        <v>1387</v>
      </c>
      <c r="B1171" s="1404" t="s">
        <v>123</v>
      </c>
      <c r="C1171" s="1382" t="s">
        <v>141</v>
      </c>
      <c r="D1171" s="1355"/>
      <c r="E1171" s="1355"/>
      <c r="F1171" s="1355"/>
      <c r="G1171" s="1355"/>
      <c r="H1171" s="221" t="s">
        <v>142</v>
      </c>
      <c r="I1171" s="141">
        <v>228169</v>
      </c>
      <c r="J1171" s="141">
        <v>251998</v>
      </c>
      <c r="K1171" s="141"/>
      <c r="L1171" s="141">
        <f t="shared" si="32"/>
        <v>251998</v>
      </c>
      <c r="M1171" s="141">
        <v>251998</v>
      </c>
      <c r="N1171" s="141"/>
      <c r="O1171" s="141"/>
      <c r="P1171" s="141">
        <v>261227</v>
      </c>
      <c r="Q1171" s="141">
        <v>261227</v>
      </c>
      <c r="R1171" s="122">
        <v>251539</v>
      </c>
      <c r="S1171" s="239">
        <f>SUM(R1167:R1171)</f>
        <v>1427812</v>
      </c>
      <c r="T1171" s="1476"/>
    </row>
    <row r="1172" spans="1:21" s="146" customFormat="1" ht="18" x14ac:dyDescent="0.25">
      <c r="A1172" s="961"/>
      <c r="B1172" s="961"/>
      <c r="C1172" s="1356"/>
      <c r="D1172" s="1355"/>
      <c r="E1172" s="1355"/>
      <c r="F1172" s="1355"/>
      <c r="G1172" s="1355"/>
      <c r="H1172" s="221"/>
      <c r="I1172" s="141"/>
      <c r="J1172" s="141"/>
      <c r="K1172" s="141"/>
      <c r="L1172" s="141"/>
      <c r="M1172" s="141"/>
      <c r="N1172" s="141"/>
      <c r="O1172" s="141"/>
      <c r="P1172" s="141"/>
      <c r="Q1172" s="141"/>
      <c r="R1172" s="122">
        <f>SUM(R147:R1171)</f>
        <v>851290062.48000014</v>
      </c>
      <c r="S1172" s="239"/>
      <c r="T1172" s="1476"/>
    </row>
    <row r="1173" spans="1:21" s="146" customFormat="1" ht="18" x14ac:dyDescent="0.25">
      <c r="A1173" s="961"/>
      <c r="B1173" s="961"/>
      <c r="C1173" s="1356"/>
      <c r="D1173" s="1355"/>
      <c r="E1173" s="1355"/>
      <c r="F1173" s="1355"/>
      <c r="G1173" s="1355"/>
      <c r="H1173" s="221"/>
      <c r="I1173" s="141"/>
      <c r="J1173" s="141"/>
      <c r="K1173" s="141"/>
      <c r="L1173" s="141"/>
      <c r="M1173" s="141"/>
      <c r="N1173" s="141"/>
      <c r="O1173" s="141"/>
      <c r="P1173" s="141"/>
      <c r="Q1173" s="141"/>
      <c r="R1173" s="122"/>
      <c r="S1173" s="239"/>
      <c r="T1173" s="1476"/>
    </row>
    <row r="1174" spans="1:21" s="146" customFormat="1" ht="18" x14ac:dyDescent="0.25">
      <c r="A1174" s="961"/>
      <c r="B1174" s="961"/>
      <c r="C1174" s="1356"/>
      <c r="D1174" s="1355"/>
      <c r="E1174" s="1355"/>
      <c r="F1174" s="1355"/>
      <c r="G1174" s="1355"/>
      <c r="H1174" s="221"/>
      <c r="I1174" s="141"/>
      <c r="J1174" s="141"/>
      <c r="K1174" s="141"/>
      <c r="L1174" s="141"/>
      <c r="M1174" s="141"/>
      <c r="N1174" s="141"/>
      <c r="O1174" s="141"/>
      <c r="P1174" s="141"/>
      <c r="Q1174" s="141"/>
      <c r="R1174" s="122"/>
      <c r="S1174" s="239"/>
      <c r="T1174" s="1476"/>
    </row>
    <row r="1175" spans="1:21" s="10" customFormat="1" x14ac:dyDescent="0.25">
      <c r="A1175" s="445"/>
      <c r="B1175" s="445"/>
      <c r="C1175" s="957"/>
      <c r="D1175" s="235"/>
      <c r="E1175" s="235"/>
      <c r="F1175" s="235"/>
      <c r="G1175" s="235"/>
      <c r="H1175" s="235"/>
      <c r="I1175" s="1265"/>
      <c r="J1175" s="141"/>
      <c r="K1175" s="141"/>
      <c r="L1175" s="141"/>
      <c r="M1175" s="141"/>
      <c r="N1175" s="141"/>
      <c r="O1175" s="141"/>
      <c r="P1175" s="141"/>
      <c r="Q1175" s="141"/>
      <c r="R1175" s="122"/>
      <c r="S1175" s="239"/>
      <c r="T1175" s="1476"/>
      <c r="U1175" s="146"/>
    </row>
    <row r="1176" spans="1:21" s="10" customFormat="1" x14ac:dyDescent="0.25">
      <c r="A1176" s="445"/>
      <c r="B1176" s="445"/>
      <c r="C1176" s="957"/>
      <c r="D1176" s="235"/>
      <c r="E1176" s="235"/>
      <c r="F1176" s="235"/>
      <c r="G1176" s="235"/>
      <c r="H1176" s="235"/>
      <c r="I1176" s="1265"/>
      <c r="J1176" s="141"/>
      <c r="K1176" s="141"/>
      <c r="L1176" s="141"/>
      <c r="M1176" s="141"/>
      <c r="N1176" s="141"/>
      <c r="O1176" s="141"/>
      <c r="P1176" s="141"/>
      <c r="Q1176" s="141"/>
      <c r="R1176" s="122"/>
      <c r="S1176" s="239"/>
      <c r="T1176" s="1476"/>
      <c r="U1176" s="146"/>
    </row>
    <row r="1177" spans="1:21" s="10" customFormat="1" x14ac:dyDescent="0.25">
      <c r="A1177" s="445"/>
      <c r="B1177" s="445"/>
      <c r="C1177" s="957"/>
      <c r="D1177" s="235"/>
      <c r="E1177" s="235"/>
      <c r="F1177" s="235"/>
      <c r="G1177" s="235"/>
      <c r="H1177" s="235"/>
      <c r="I1177" s="1265"/>
      <c r="J1177" s="141"/>
      <c r="K1177" s="141"/>
      <c r="L1177" s="141"/>
      <c r="M1177" s="141"/>
      <c r="N1177" s="141"/>
      <c r="O1177" s="141"/>
      <c r="P1177" s="141"/>
      <c r="Q1177" s="141"/>
      <c r="R1177" s="122"/>
      <c r="S1177" s="239"/>
      <c r="T1177" s="1476"/>
      <c r="U1177" s="146"/>
    </row>
    <row r="1178" spans="1:21" s="10" customFormat="1" x14ac:dyDescent="0.25">
      <c r="A1178" s="445"/>
      <c r="B1178" s="445"/>
      <c r="C1178" s="957"/>
      <c r="D1178" s="235"/>
      <c r="E1178" s="235"/>
      <c r="F1178" s="235"/>
      <c r="G1178" s="235"/>
      <c r="H1178" s="235"/>
      <c r="I1178" s="1265"/>
      <c r="J1178" s="141"/>
      <c r="K1178" s="141"/>
      <c r="L1178" s="141"/>
      <c r="M1178" s="141"/>
      <c r="N1178" s="141"/>
      <c r="O1178" s="141"/>
      <c r="P1178" s="141"/>
      <c r="Q1178" s="141"/>
      <c r="R1178" s="122"/>
      <c r="S1178" s="239"/>
      <c r="T1178" s="1476"/>
      <c r="U1178" s="146"/>
    </row>
    <row r="1179" spans="1:21" s="10" customFormat="1" x14ac:dyDescent="0.25">
      <c r="A1179" s="445"/>
      <c r="B1179" s="445"/>
      <c r="C1179" s="957"/>
      <c r="D1179" s="235"/>
      <c r="E1179" s="235"/>
      <c r="F1179" s="235"/>
      <c r="G1179" s="235"/>
      <c r="H1179" s="235"/>
      <c r="I1179" s="1265"/>
      <c r="J1179" s="141"/>
      <c r="K1179" s="141"/>
      <c r="L1179" s="141"/>
      <c r="M1179" s="141"/>
      <c r="N1179" s="141"/>
      <c r="O1179" s="141"/>
      <c r="P1179" s="141"/>
      <c r="Q1179" s="141"/>
      <c r="R1179" s="122"/>
      <c r="S1179" s="239"/>
      <c r="T1179" s="1476"/>
      <c r="U1179" s="146"/>
    </row>
    <row r="1180" spans="1:21" s="10" customFormat="1" x14ac:dyDescent="0.25">
      <c r="A1180" s="445"/>
      <c r="B1180" s="445"/>
      <c r="C1180" s="957"/>
      <c r="D1180" s="235"/>
      <c r="E1180" s="235"/>
      <c r="F1180" s="235"/>
      <c r="G1180" s="235"/>
      <c r="H1180" s="235"/>
      <c r="I1180" s="1265"/>
      <c r="J1180" s="141"/>
      <c r="K1180" s="141"/>
      <c r="L1180" s="141"/>
      <c r="M1180" s="141"/>
      <c r="N1180" s="141"/>
      <c r="O1180" s="141"/>
      <c r="P1180" s="141"/>
      <c r="Q1180" s="141"/>
      <c r="R1180" s="122"/>
      <c r="S1180" s="239"/>
      <c r="T1180" s="1476"/>
      <c r="U1180" s="146"/>
    </row>
    <row r="1181" spans="1:21" s="10" customFormat="1" x14ac:dyDescent="0.25">
      <c r="A1181" s="445"/>
      <c r="B1181" s="445"/>
      <c r="C1181" s="957"/>
      <c r="D1181" s="235"/>
      <c r="E1181" s="235"/>
      <c r="F1181" s="235"/>
      <c r="G1181" s="235"/>
      <c r="H1181" s="235"/>
      <c r="I1181" s="1265"/>
      <c r="J1181" s="141"/>
      <c r="K1181" s="141"/>
      <c r="L1181" s="141"/>
      <c r="M1181" s="141"/>
      <c r="N1181" s="141"/>
      <c r="O1181" s="141"/>
      <c r="P1181" s="141"/>
      <c r="Q1181" s="141"/>
      <c r="R1181" s="122"/>
      <c r="S1181" s="239"/>
      <c r="T1181" s="1476"/>
      <c r="U1181" s="146"/>
    </row>
    <row r="1182" spans="1:21" s="10" customFormat="1" x14ac:dyDescent="0.25">
      <c r="A1182" s="445"/>
      <c r="B1182" s="445"/>
      <c r="C1182" s="957"/>
      <c r="D1182" s="235"/>
      <c r="E1182" s="235"/>
      <c r="F1182" s="235"/>
      <c r="G1182" s="235"/>
      <c r="H1182" s="235"/>
      <c r="I1182" s="1265"/>
      <c r="J1182" s="141"/>
      <c r="K1182" s="141"/>
      <c r="L1182" s="141"/>
      <c r="M1182" s="141"/>
      <c r="N1182" s="141"/>
      <c r="O1182" s="141"/>
      <c r="P1182" s="141"/>
      <c r="Q1182" s="141"/>
      <c r="R1182" s="122"/>
      <c r="S1182" s="239"/>
      <c r="T1182" s="1476"/>
      <c r="U1182" s="146"/>
    </row>
    <row r="1183" spans="1:21" s="10" customFormat="1" x14ac:dyDescent="0.25">
      <c r="A1183" s="445"/>
      <c r="B1183" s="445"/>
      <c r="C1183" s="957"/>
      <c r="D1183" s="235"/>
      <c r="E1183" s="235"/>
      <c r="F1183" s="235"/>
      <c r="G1183" s="235"/>
      <c r="H1183" s="235"/>
      <c r="I1183" s="1265"/>
      <c r="J1183" s="141"/>
      <c r="K1183" s="141"/>
      <c r="L1183" s="141"/>
      <c r="M1183" s="141"/>
      <c r="N1183" s="141"/>
      <c r="O1183" s="141"/>
      <c r="P1183" s="141"/>
      <c r="Q1183" s="141"/>
      <c r="R1183" s="122"/>
      <c r="S1183" s="239"/>
      <c r="T1183" s="1476"/>
      <c r="U1183" s="146"/>
    </row>
    <row r="1184" spans="1:21" s="10" customFormat="1" x14ac:dyDescent="0.25">
      <c r="A1184" s="445"/>
      <c r="B1184" s="445"/>
      <c r="C1184" s="957"/>
      <c r="D1184" s="235"/>
      <c r="E1184" s="235"/>
      <c r="F1184" s="235"/>
      <c r="G1184" s="235"/>
      <c r="H1184" s="235"/>
      <c r="I1184" s="1265"/>
      <c r="J1184" s="141"/>
      <c r="K1184" s="141"/>
      <c r="L1184" s="141"/>
      <c r="M1184" s="141"/>
      <c r="N1184" s="141"/>
      <c r="O1184" s="141"/>
      <c r="P1184" s="141"/>
      <c r="Q1184" s="141"/>
      <c r="R1184" s="122"/>
      <c r="S1184" s="239"/>
      <c r="T1184" s="1476"/>
      <c r="U1184" s="146"/>
    </row>
    <row r="1185" spans="1:21" s="10" customFormat="1" x14ac:dyDescent="0.25">
      <c r="A1185" s="445"/>
      <c r="B1185" s="445"/>
      <c r="C1185" s="957"/>
      <c r="D1185" s="235"/>
      <c r="E1185" s="235"/>
      <c r="F1185" s="235"/>
      <c r="G1185" s="235"/>
      <c r="H1185" s="235"/>
      <c r="I1185" s="1265"/>
      <c r="J1185" s="141"/>
      <c r="K1185" s="141"/>
      <c r="L1185" s="141"/>
      <c r="M1185" s="141"/>
      <c r="N1185" s="141"/>
      <c r="O1185" s="141"/>
      <c r="P1185" s="141"/>
      <c r="Q1185" s="141"/>
      <c r="R1185" s="122"/>
      <c r="S1185" s="239"/>
      <c r="T1185" s="1476"/>
      <c r="U1185" s="146"/>
    </row>
    <row r="1186" spans="1:21" s="10" customFormat="1" x14ac:dyDescent="0.25">
      <c r="A1186" s="445"/>
      <c r="B1186" s="445"/>
      <c r="C1186" s="957"/>
      <c r="D1186" s="235"/>
      <c r="E1186" s="235"/>
      <c r="F1186" s="235"/>
      <c r="G1186" s="235"/>
      <c r="H1186" s="235"/>
      <c r="I1186" s="1265"/>
      <c r="J1186" s="141"/>
      <c r="K1186" s="141"/>
      <c r="L1186" s="141"/>
      <c r="M1186" s="141"/>
      <c r="N1186" s="141"/>
      <c r="O1186" s="141"/>
      <c r="P1186" s="141"/>
      <c r="Q1186" s="141"/>
      <c r="R1186" s="122"/>
      <c r="S1186" s="239"/>
      <c r="T1186" s="1476"/>
      <c r="U1186" s="146"/>
    </row>
    <row r="1187" spans="1:21" s="10" customFormat="1" x14ac:dyDescent="0.25">
      <c r="A1187" s="445"/>
      <c r="B1187" s="445"/>
      <c r="C1187" s="957"/>
      <c r="D1187" s="235"/>
      <c r="E1187" s="235"/>
      <c r="F1187" s="235"/>
      <c r="G1187" s="235"/>
      <c r="H1187" s="235"/>
      <c r="I1187" s="1265"/>
      <c r="J1187" s="141"/>
      <c r="K1187" s="141"/>
      <c r="L1187" s="141"/>
      <c r="M1187" s="141"/>
      <c r="N1187" s="141"/>
      <c r="O1187" s="141"/>
      <c r="P1187" s="141"/>
      <c r="Q1187" s="141"/>
      <c r="R1187" s="122"/>
      <c r="S1187" s="239"/>
      <c r="T1187" s="1476"/>
      <c r="U1187" s="146"/>
    </row>
    <row r="1188" spans="1:21" s="10" customFormat="1" x14ac:dyDescent="0.25">
      <c r="A1188" s="445"/>
      <c r="B1188" s="445"/>
      <c r="C1188" s="957"/>
      <c r="D1188" s="235"/>
      <c r="E1188" s="235"/>
      <c r="F1188" s="235"/>
      <c r="G1188" s="235"/>
      <c r="H1188" s="235"/>
      <c r="I1188" s="1265"/>
      <c r="J1188" s="141"/>
      <c r="K1188" s="141"/>
      <c r="L1188" s="141"/>
      <c r="M1188" s="141"/>
      <c r="N1188" s="141"/>
      <c r="O1188" s="141"/>
      <c r="P1188" s="141"/>
      <c r="Q1188" s="141"/>
      <c r="R1188" s="122"/>
      <c r="S1188" s="239"/>
      <c r="T1188" s="1476"/>
      <c r="U1188" s="146"/>
    </row>
    <row r="1189" spans="1:21" s="10" customFormat="1" x14ac:dyDescent="0.25">
      <c r="A1189" s="445"/>
      <c r="B1189" s="445"/>
      <c r="C1189" s="957"/>
      <c r="D1189" s="235"/>
      <c r="E1189" s="235"/>
      <c r="F1189" s="235"/>
      <c r="G1189" s="235"/>
      <c r="H1189" s="235"/>
      <c r="I1189" s="1265"/>
      <c r="J1189" s="141"/>
      <c r="K1189" s="141"/>
      <c r="L1189" s="141"/>
      <c r="M1189" s="141"/>
      <c r="N1189" s="141"/>
      <c r="O1189" s="141"/>
      <c r="P1189" s="141"/>
      <c r="Q1189" s="141"/>
      <c r="R1189" s="122"/>
      <c r="S1189" s="239"/>
      <c r="T1189" s="1476"/>
      <c r="U1189" s="146"/>
    </row>
    <row r="1190" spans="1:21" s="10" customFormat="1" x14ac:dyDescent="0.25">
      <c r="A1190" s="445"/>
      <c r="B1190" s="445"/>
      <c r="C1190" s="957"/>
      <c r="D1190" s="235"/>
      <c r="E1190" s="235"/>
      <c r="F1190" s="235"/>
      <c r="G1190" s="235"/>
      <c r="H1190" s="235"/>
      <c r="I1190" s="1265"/>
      <c r="J1190" s="141"/>
      <c r="K1190" s="141"/>
      <c r="L1190" s="141"/>
      <c r="M1190" s="141"/>
      <c r="N1190" s="141"/>
      <c r="O1190" s="141"/>
      <c r="P1190" s="141"/>
      <c r="Q1190" s="141"/>
      <c r="R1190" s="122"/>
      <c r="S1190" s="239"/>
      <c r="T1190" s="1476"/>
      <c r="U1190" s="146"/>
    </row>
    <row r="1191" spans="1:21" s="10" customFormat="1" x14ac:dyDescent="0.25">
      <c r="A1191" s="445"/>
      <c r="B1191" s="445"/>
      <c r="C1191" s="957"/>
      <c r="D1191" s="235"/>
      <c r="E1191" s="235"/>
      <c r="F1191" s="235"/>
      <c r="G1191" s="235"/>
      <c r="H1191" s="235"/>
      <c r="I1191" s="1265"/>
      <c r="J1191" s="141"/>
      <c r="K1191" s="141"/>
      <c r="L1191" s="141"/>
      <c r="M1191" s="141"/>
      <c r="N1191" s="141"/>
      <c r="O1191" s="141"/>
      <c r="P1191" s="141"/>
      <c r="Q1191" s="141"/>
      <c r="R1191" s="122"/>
      <c r="S1191" s="239"/>
      <c r="T1191" s="1476"/>
      <c r="U1191" s="146"/>
    </row>
    <row r="1192" spans="1:21" s="10" customFormat="1" x14ac:dyDescent="0.25">
      <c r="A1192" s="445"/>
      <c r="B1192" s="445"/>
      <c r="C1192" s="957"/>
      <c r="D1192" s="235"/>
      <c r="E1192" s="235"/>
      <c r="F1192" s="235"/>
      <c r="G1192" s="235"/>
      <c r="H1192" s="235"/>
      <c r="I1192" s="1265"/>
      <c r="J1192" s="141"/>
      <c r="K1192" s="141"/>
      <c r="L1192" s="141"/>
      <c r="M1192" s="141"/>
      <c r="N1192" s="141"/>
      <c r="O1192" s="141"/>
      <c r="P1192" s="141"/>
      <c r="Q1192" s="141"/>
      <c r="R1192" s="122"/>
      <c r="S1192" s="239"/>
      <c r="T1192" s="1476"/>
      <c r="U1192" s="146"/>
    </row>
    <row r="1193" spans="1:21" s="10" customFormat="1" x14ac:dyDescent="0.25">
      <c r="A1193" s="445"/>
      <c r="B1193" s="445"/>
      <c r="C1193" s="957"/>
      <c r="D1193" s="235"/>
      <c r="E1193" s="235"/>
      <c r="F1193" s="235"/>
      <c r="G1193" s="235"/>
      <c r="H1193" s="235"/>
      <c r="I1193" s="1265"/>
      <c r="J1193" s="141"/>
      <c r="K1193" s="141"/>
      <c r="L1193" s="141"/>
      <c r="M1193" s="141"/>
      <c r="N1193" s="141"/>
      <c r="O1193" s="141"/>
      <c r="P1193" s="141"/>
      <c r="Q1193" s="141"/>
      <c r="R1193" s="122"/>
      <c r="S1193" s="239"/>
      <c r="T1193" s="1476"/>
      <c r="U1193" s="146"/>
    </row>
    <row r="1194" spans="1:21" s="10" customFormat="1" x14ac:dyDescent="0.25">
      <c r="A1194" s="445"/>
      <c r="B1194" s="445"/>
      <c r="C1194" s="957"/>
      <c r="D1194" s="235"/>
      <c r="E1194" s="235"/>
      <c r="F1194" s="235"/>
      <c r="G1194" s="235"/>
      <c r="H1194" s="235"/>
      <c r="I1194" s="1265"/>
      <c r="J1194" s="141"/>
      <c r="K1194" s="141"/>
      <c r="L1194" s="141"/>
      <c r="M1194" s="141"/>
      <c r="N1194" s="141"/>
      <c r="O1194" s="141"/>
      <c r="P1194" s="141"/>
      <c r="Q1194" s="141"/>
      <c r="R1194" s="122"/>
      <c r="S1194" s="239"/>
      <c r="T1194" s="1476"/>
      <c r="U1194" s="146"/>
    </row>
    <row r="1195" spans="1:21" s="10" customFormat="1" x14ac:dyDescent="0.25">
      <c r="A1195" s="445"/>
      <c r="B1195" s="445"/>
      <c r="C1195" s="957"/>
      <c r="D1195" s="235"/>
      <c r="E1195" s="235"/>
      <c r="F1195" s="235"/>
      <c r="G1195" s="235"/>
      <c r="H1195" s="235"/>
      <c r="I1195" s="1265"/>
      <c r="J1195" s="141"/>
      <c r="K1195" s="141"/>
      <c r="L1195" s="141"/>
      <c r="M1195" s="141"/>
      <c r="N1195" s="141"/>
      <c r="O1195" s="141"/>
      <c r="P1195" s="141"/>
      <c r="Q1195" s="141"/>
      <c r="R1195" s="122"/>
      <c r="S1195" s="239"/>
      <c r="T1195" s="1476"/>
      <c r="U1195" s="146"/>
    </row>
    <row r="1196" spans="1:21" s="10" customFormat="1" x14ac:dyDescent="0.25">
      <c r="A1196" s="445"/>
      <c r="B1196" s="445"/>
      <c r="C1196" s="957"/>
      <c r="D1196" s="235"/>
      <c r="E1196" s="235"/>
      <c r="F1196" s="235"/>
      <c r="G1196" s="235"/>
      <c r="H1196" s="235"/>
      <c r="I1196" s="1265"/>
      <c r="J1196" s="141"/>
      <c r="K1196" s="141"/>
      <c r="L1196" s="141"/>
      <c r="M1196" s="141"/>
      <c r="N1196" s="141"/>
      <c r="O1196" s="141"/>
      <c r="P1196" s="141"/>
      <c r="Q1196" s="141"/>
      <c r="R1196" s="122"/>
      <c r="S1196" s="239"/>
      <c r="T1196" s="1476"/>
      <c r="U1196" s="146"/>
    </row>
    <row r="1197" spans="1:21" s="10" customFormat="1" x14ac:dyDescent="0.25">
      <c r="A1197" s="445"/>
      <c r="B1197" s="445"/>
      <c r="C1197" s="957"/>
      <c r="D1197" s="235"/>
      <c r="E1197" s="235"/>
      <c r="F1197" s="235"/>
      <c r="G1197" s="235"/>
      <c r="H1197" s="235"/>
      <c r="I1197" s="1265"/>
      <c r="J1197" s="141"/>
      <c r="K1197" s="141"/>
      <c r="L1197" s="141"/>
      <c r="M1197" s="141"/>
      <c r="N1197" s="141"/>
      <c r="O1197" s="141"/>
      <c r="P1197" s="141"/>
      <c r="Q1197" s="141"/>
      <c r="R1197" s="122"/>
      <c r="S1197" s="239"/>
      <c r="T1197" s="1476"/>
      <c r="U1197" s="146"/>
    </row>
    <row r="1198" spans="1:21" s="10" customFormat="1" x14ac:dyDescent="0.25">
      <c r="A1198" s="445"/>
      <c r="B1198" s="445"/>
      <c r="C1198" s="957"/>
      <c r="D1198" s="235"/>
      <c r="E1198" s="235"/>
      <c r="F1198" s="235"/>
      <c r="G1198" s="235"/>
      <c r="H1198" s="235"/>
      <c r="I1198" s="1265"/>
      <c r="J1198" s="141"/>
      <c r="K1198" s="141"/>
      <c r="L1198" s="141"/>
      <c r="M1198" s="141"/>
      <c r="N1198" s="141"/>
      <c r="O1198" s="141"/>
      <c r="P1198" s="141"/>
      <c r="Q1198" s="141"/>
      <c r="R1198" s="122"/>
      <c r="S1198" s="239"/>
      <c r="T1198" s="1476"/>
      <c r="U1198" s="146"/>
    </row>
    <row r="1199" spans="1:21" s="10" customFormat="1" x14ac:dyDescent="0.25">
      <c r="A1199" s="445"/>
      <c r="B1199" s="445"/>
      <c r="C1199" s="957"/>
      <c r="D1199" s="235"/>
      <c r="E1199" s="235"/>
      <c r="F1199" s="235"/>
      <c r="G1199" s="235"/>
      <c r="H1199" s="235"/>
      <c r="I1199" s="1265"/>
      <c r="J1199" s="141"/>
      <c r="K1199" s="141"/>
      <c r="L1199" s="141"/>
      <c r="M1199" s="141"/>
      <c r="N1199" s="141"/>
      <c r="O1199" s="141"/>
      <c r="P1199" s="141"/>
      <c r="Q1199" s="141"/>
      <c r="R1199" s="122"/>
      <c r="S1199" s="239"/>
      <c r="T1199" s="1476"/>
      <c r="U1199" s="146"/>
    </row>
    <row r="1200" spans="1:21" s="10" customFormat="1" x14ac:dyDescent="0.25">
      <c r="A1200" s="445"/>
      <c r="B1200" s="445"/>
      <c r="C1200" s="957"/>
      <c r="D1200" s="235"/>
      <c r="E1200" s="235"/>
      <c r="F1200" s="235"/>
      <c r="G1200" s="235"/>
      <c r="H1200" s="235"/>
      <c r="I1200" s="1265"/>
      <c r="J1200" s="141"/>
      <c r="K1200" s="141"/>
      <c r="L1200" s="141"/>
      <c r="M1200" s="141"/>
      <c r="N1200" s="141"/>
      <c r="O1200" s="141"/>
      <c r="P1200" s="141"/>
      <c r="Q1200" s="141"/>
      <c r="R1200" s="122"/>
      <c r="S1200" s="239"/>
      <c r="T1200" s="1476"/>
      <c r="U1200" s="146"/>
    </row>
    <row r="1201" spans="1:21" s="10" customFormat="1" x14ac:dyDescent="0.25">
      <c r="A1201" s="445"/>
      <c r="B1201" s="445"/>
      <c r="C1201" s="957"/>
      <c r="D1201" s="235"/>
      <c r="E1201" s="235"/>
      <c r="F1201" s="235"/>
      <c r="G1201" s="235"/>
      <c r="H1201" s="235"/>
      <c r="I1201" s="1265"/>
      <c r="J1201" s="141"/>
      <c r="K1201" s="141"/>
      <c r="L1201" s="141"/>
      <c r="M1201" s="141"/>
      <c r="N1201" s="141"/>
      <c r="O1201" s="141"/>
      <c r="P1201" s="141"/>
      <c r="Q1201" s="141"/>
      <c r="R1201" s="122"/>
      <c r="S1201" s="239"/>
      <c r="T1201" s="1476"/>
      <c r="U1201" s="146"/>
    </row>
    <row r="1202" spans="1:21" s="10" customFormat="1" x14ac:dyDescent="0.25">
      <c r="A1202" s="445"/>
      <c r="B1202" s="445"/>
      <c r="C1202" s="957"/>
      <c r="D1202" s="235"/>
      <c r="E1202" s="235"/>
      <c r="F1202" s="235"/>
      <c r="G1202" s="235"/>
      <c r="H1202" s="235"/>
      <c r="I1202" s="1265"/>
      <c r="J1202" s="141"/>
      <c r="K1202" s="141"/>
      <c r="L1202" s="141"/>
      <c r="M1202" s="141"/>
      <c r="N1202" s="141"/>
      <c r="O1202" s="141"/>
      <c r="P1202" s="141"/>
      <c r="Q1202" s="141"/>
      <c r="R1202" s="122"/>
      <c r="S1202" s="239"/>
      <c r="T1202" s="1476"/>
      <c r="U1202" s="146"/>
    </row>
    <row r="1203" spans="1:21" s="10" customFormat="1" x14ac:dyDescent="0.25">
      <c r="A1203" s="445"/>
      <c r="B1203" s="445"/>
      <c r="C1203" s="957"/>
      <c r="D1203" s="235"/>
      <c r="E1203" s="235"/>
      <c r="F1203" s="235"/>
      <c r="G1203" s="235"/>
      <c r="H1203" s="235"/>
      <c r="I1203" s="1265"/>
      <c r="J1203" s="141"/>
      <c r="K1203" s="141"/>
      <c r="L1203" s="141"/>
      <c r="M1203" s="141"/>
      <c r="N1203" s="141"/>
      <c r="O1203" s="141"/>
      <c r="P1203" s="141"/>
      <c r="Q1203" s="141"/>
      <c r="R1203" s="122"/>
      <c r="S1203" s="239"/>
      <c r="T1203" s="1476"/>
      <c r="U1203" s="146"/>
    </row>
    <row r="1204" spans="1:21" s="10" customFormat="1" x14ac:dyDescent="0.25">
      <c r="A1204" s="445"/>
      <c r="B1204" s="445"/>
      <c r="C1204" s="957"/>
      <c r="D1204" s="235"/>
      <c r="E1204" s="235"/>
      <c r="F1204" s="235"/>
      <c r="G1204" s="235"/>
      <c r="H1204" s="235"/>
      <c r="I1204" s="1265"/>
      <c r="J1204" s="141"/>
      <c r="K1204" s="141"/>
      <c r="L1204" s="141"/>
      <c r="M1204" s="141"/>
      <c r="N1204" s="141"/>
      <c r="O1204" s="141"/>
      <c r="P1204" s="141"/>
      <c r="Q1204" s="141"/>
      <c r="R1204" s="122"/>
      <c r="S1204" s="239"/>
      <c r="T1204" s="1476"/>
      <c r="U1204" s="146"/>
    </row>
    <row r="1205" spans="1:21" s="10" customFormat="1" x14ac:dyDescent="0.25">
      <c r="A1205" s="445"/>
      <c r="B1205" s="445"/>
      <c r="C1205" s="957"/>
      <c r="D1205" s="235"/>
      <c r="E1205" s="235"/>
      <c r="F1205" s="235"/>
      <c r="G1205" s="235"/>
      <c r="H1205" s="235"/>
      <c r="I1205" s="1265"/>
      <c r="J1205" s="141"/>
      <c r="K1205" s="141"/>
      <c r="L1205" s="141"/>
      <c r="M1205" s="141"/>
      <c r="N1205" s="141"/>
      <c r="O1205" s="141"/>
      <c r="P1205" s="141"/>
      <c r="Q1205" s="141"/>
      <c r="R1205" s="122"/>
      <c r="S1205" s="239"/>
      <c r="T1205" s="1476"/>
      <c r="U1205" s="146"/>
    </row>
    <row r="1206" spans="1:21" s="10" customFormat="1" x14ac:dyDescent="0.25">
      <c r="A1206" s="445"/>
      <c r="B1206" s="445"/>
      <c r="C1206" s="957"/>
      <c r="D1206" s="235"/>
      <c r="E1206" s="235"/>
      <c r="F1206" s="235"/>
      <c r="G1206" s="235"/>
      <c r="H1206" s="235"/>
      <c r="I1206" s="1265"/>
      <c r="J1206" s="141"/>
      <c r="K1206" s="141"/>
      <c r="L1206" s="141"/>
      <c r="M1206" s="141"/>
      <c r="N1206" s="141"/>
      <c r="O1206" s="141"/>
      <c r="P1206" s="141"/>
      <c r="Q1206" s="141"/>
      <c r="R1206" s="122"/>
      <c r="S1206" s="239"/>
      <c r="T1206" s="1476"/>
      <c r="U1206" s="146"/>
    </row>
    <row r="1207" spans="1:21" s="10" customFormat="1" x14ac:dyDescent="0.25">
      <c r="A1207" s="445"/>
      <c r="B1207" s="445"/>
      <c r="C1207" s="957"/>
      <c r="D1207" s="235"/>
      <c r="E1207" s="235"/>
      <c r="F1207" s="235"/>
      <c r="G1207" s="235"/>
      <c r="H1207" s="235"/>
      <c r="I1207" s="1265"/>
      <c r="J1207" s="141"/>
      <c r="K1207" s="141"/>
      <c r="L1207" s="141"/>
      <c r="M1207" s="141"/>
      <c r="N1207" s="141"/>
      <c r="O1207" s="141"/>
      <c r="P1207" s="141"/>
      <c r="Q1207" s="141"/>
      <c r="R1207" s="122"/>
      <c r="S1207" s="239"/>
      <c r="T1207" s="1476"/>
      <c r="U1207" s="146"/>
    </row>
    <row r="1208" spans="1:21" s="10" customFormat="1" x14ac:dyDescent="0.25">
      <c r="A1208" s="445"/>
      <c r="B1208" s="445"/>
      <c r="C1208" s="957"/>
      <c r="D1208" s="235"/>
      <c r="E1208" s="235"/>
      <c r="F1208" s="235"/>
      <c r="G1208" s="235"/>
      <c r="H1208" s="235"/>
      <c r="I1208" s="1265"/>
      <c r="J1208" s="141"/>
      <c r="K1208" s="141"/>
      <c r="L1208" s="141"/>
      <c r="M1208" s="141"/>
      <c r="N1208" s="141"/>
      <c r="O1208" s="141"/>
      <c r="P1208" s="141"/>
      <c r="Q1208" s="141"/>
      <c r="R1208" s="122"/>
      <c r="S1208" s="239"/>
      <c r="T1208" s="1476"/>
      <c r="U1208" s="146"/>
    </row>
    <row r="1209" spans="1:21" s="10" customFormat="1" x14ac:dyDescent="0.25">
      <c r="A1209" s="445"/>
      <c r="B1209" s="445"/>
      <c r="C1209" s="957"/>
      <c r="D1209" s="235"/>
      <c r="E1209" s="235"/>
      <c r="F1209" s="235"/>
      <c r="G1209" s="235"/>
      <c r="H1209" s="235"/>
      <c r="I1209" s="1265"/>
      <c r="J1209" s="141"/>
      <c r="K1209" s="141"/>
      <c r="L1209" s="141"/>
      <c r="M1209" s="141"/>
      <c r="N1209" s="141"/>
      <c r="O1209" s="141"/>
      <c r="P1209" s="141"/>
      <c r="Q1209" s="141"/>
      <c r="R1209" s="122"/>
      <c r="S1209" s="239"/>
      <c r="T1209" s="1476"/>
      <c r="U1209" s="146"/>
    </row>
    <row r="1210" spans="1:21" s="10" customFormat="1" x14ac:dyDescent="0.25">
      <c r="A1210" s="445"/>
      <c r="B1210" s="445"/>
      <c r="C1210" s="957"/>
      <c r="D1210" s="235"/>
      <c r="E1210" s="235"/>
      <c r="F1210" s="235"/>
      <c r="G1210" s="235"/>
      <c r="H1210" s="235"/>
      <c r="I1210" s="1265"/>
      <c r="J1210" s="141"/>
      <c r="K1210" s="141"/>
      <c r="L1210" s="141"/>
      <c r="M1210" s="141"/>
      <c r="N1210" s="141"/>
      <c r="O1210" s="141"/>
      <c r="P1210" s="141"/>
      <c r="Q1210" s="141"/>
      <c r="R1210" s="122"/>
      <c r="S1210" s="239"/>
      <c r="T1210" s="1476"/>
      <c r="U1210" s="146"/>
    </row>
    <row r="1211" spans="1:21" s="10" customFormat="1" x14ac:dyDescent="0.25">
      <c r="A1211" s="445"/>
      <c r="B1211" s="445"/>
      <c r="C1211" s="957"/>
      <c r="D1211" s="235"/>
      <c r="E1211" s="235"/>
      <c r="F1211" s="235"/>
      <c r="G1211" s="235"/>
      <c r="H1211" s="235"/>
      <c r="I1211" s="1265"/>
      <c r="J1211" s="141"/>
      <c r="K1211" s="141"/>
      <c r="L1211" s="141"/>
      <c r="M1211" s="141"/>
      <c r="N1211" s="141"/>
      <c r="O1211" s="141"/>
      <c r="P1211" s="141"/>
      <c r="Q1211" s="141"/>
      <c r="R1211" s="122"/>
      <c r="S1211" s="239"/>
      <c r="T1211" s="1476"/>
      <c r="U1211" s="146"/>
    </row>
    <row r="1212" spans="1:21" s="10" customFormat="1" x14ac:dyDescent="0.25">
      <c r="A1212" s="445"/>
      <c r="B1212" s="445"/>
      <c r="C1212" s="957"/>
      <c r="D1212" s="235"/>
      <c r="E1212" s="235"/>
      <c r="F1212" s="235"/>
      <c r="G1212" s="235"/>
      <c r="H1212" s="235"/>
      <c r="I1212" s="1265"/>
      <c r="J1212" s="141"/>
      <c r="K1212" s="141"/>
      <c r="L1212" s="141"/>
      <c r="M1212" s="141"/>
      <c r="N1212" s="141"/>
      <c r="O1212" s="141"/>
      <c r="P1212" s="141"/>
      <c r="Q1212" s="141"/>
      <c r="R1212" s="122"/>
      <c r="S1212" s="239"/>
      <c r="T1212" s="1476"/>
      <c r="U1212" s="146"/>
    </row>
    <row r="1213" spans="1:21" s="10" customFormat="1" x14ac:dyDescent="0.25">
      <c r="A1213" s="445"/>
      <c r="B1213" s="445"/>
      <c r="C1213" s="957"/>
      <c r="D1213" s="235"/>
      <c r="E1213" s="235"/>
      <c r="F1213" s="235"/>
      <c r="G1213" s="235"/>
      <c r="H1213" s="235"/>
      <c r="I1213" s="1265"/>
      <c r="J1213" s="141"/>
      <c r="K1213" s="141"/>
      <c r="L1213" s="141"/>
      <c r="M1213" s="141"/>
      <c r="N1213" s="141"/>
      <c r="O1213" s="141"/>
      <c r="P1213" s="141"/>
      <c r="Q1213" s="141"/>
      <c r="R1213" s="122"/>
      <c r="S1213" s="239"/>
      <c r="T1213" s="1476"/>
      <c r="U1213" s="146"/>
    </row>
    <row r="1214" spans="1:21" s="10" customFormat="1" x14ac:dyDescent="0.25">
      <c r="A1214" s="445"/>
      <c r="B1214" s="445"/>
      <c r="C1214" s="957"/>
      <c r="D1214" s="235"/>
      <c r="E1214" s="235"/>
      <c r="F1214" s="235"/>
      <c r="G1214" s="235"/>
      <c r="H1214" s="235"/>
      <c r="I1214" s="1265"/>
      <c r="J1214" s="141"/>
      <c r="K1214" s="141"/>
      <c r="L1214" s="141"/>
      <c r="M1214" s="141"/>
      <c r="N1214" s="141"/>
      <c r="O1214" s="141"/>
      <c r="P1214" s="141"/>
      <c r="Q1214" s="141"/>
      <c r="R1214" s="122"/>
      <c r="S1214" s="239"/>
      <c r="T1214" s="1476"/>
      <c r="U1214" s="146"/>
    </row>
    <row r="1215" spans="1:21" s="10" customFormat="1" x14ac:dyDescent="0.25">
      <c r="A1215" s="445"/>
      <c r="B1215" s="445"/>
      <c r="C1215" s="957"/>
      <c r="D1215" s="235"/>
      <c r="E1215" s="235"/>
      <c r="F1215" s="235"/>
      <c r="G1215" s="235"/>
      <c r="H1215" s="235"/>
      <c r="I1215" s="1265"/>
      <c r="J1215" s="141"/>
      <c r="K1215" s="141"/>
      <c r="L1215" s="141"/>
      <c r="M1215" s="141"/>
      <c r="N1215" s="141"/>
      <c r="O1215" s="141"/>
      <c r="P1215" s="141"/>
      <c r="Q1215" s="141"/>
      <c r="R1215" s="122"/>
      <c r="S1215" s="239"/>
      <c r="T1215" s="1476"/>
      <c r="U1215" s="146"/>
    </row>
    <row r="1216" spans="1:21" s="10" customFormat="1" x14ac:dyDescent="0.25">
      <c r="A1216" s="445"/>
      <c r="B1216" s="445"/>
      <c r="C1216" s="957"/>
      <c r="D1216" s="235"/>
      <c r="E1216" s="235"/>
      <c r="F1216" s="235"/>
      <c r="G1216" s="235"/>
      <c r="H1216" s="235"/>
      <c r="I1216" s="1265"/>
      <c r="J1216" s="141"/>
      <c r="K1216" s="141"/>
      <c r="L1216" s="141"/>
      <c r="M1216" s="141"/>
      <c r="N1216" s="141"/>
      <c r="O1216" s="141"/>
      <c r="P1216" s="141"/>
      <c r="Q1216" s="141"/>
      <c r="R1216" s="122"/>
      <c r="S1216" s="239"/>
      <c r="T1216" s="1476"/>
      <c r="U1216" s="146"/>
    </row>
    <row r="1217" spans="1:21" s="10" customFormat="1" x14ac:dyDescent="0.25">
      <c r="A1217" s="445"/>
      <c r="B1217" s="445"/>
      <c r="C1217" s="957"/>
      <c r="D1217" s="235"/>
      <c r="E1217" s="235"/>
      <c r="F1217" s="235"/>
      <c r="G1217" s="235"/>
      <c r="H1217" s="235"/>
      <c r="I1217" s="1265"/>
      <c r="J1217" s="141"/>
      <c r="K1217" s="141"/>
      <c r="L1217" s="141"/>
      <c r="M1217" s="141"/>
      <c r="N1217" s="141"/>
      <c r="O1217" s="141"/>
      <c r="P1217" s="141"/>
      <c r="Q1217" s="141"/>
      <c r="R1217" s="122"/>
      <c r="S1217" s="239"/>
      <c r="T1217" s="1476"/>
      <c r="U1217" s="146"/>
    </row>
    <row r="1218" spans="1:21" s="10" customFormat="1" x14ac:dyDescent="0.25">
      <c r="A1218" s="445"/>
      <c r="B1218" s="445"/>
      <c r="C1218" s="957"/>
      <c r="D1218" s="235"/>
      <c r="E1218" s="235"/>
      <c r="F1218" s="235"/>
      <c r="G1218" s="235"/>
      <c r="H1218" s="235"/>
      <c r="I1218" s="1265"/>
      <c r="J1218" s="141"/>
      <c r="K1218" s="141"/>
      <c r="L1218" s="141"/>
      <c r="M1218" s="141"/>
      <c r="N1218" s="141"/>
      <c r="O1218" s="141"/>
      <c r="P1218" s="141"/>
      <c r="Q1218" s="141"/>
      <c r="R1218" s="122"/>
      <c r="S1218" s="239"/>
      <c r="T1218" s="1476"/>
      <c r="U1218" s="146"/>
    </row>
    <row r="1219" spans="1:21" s="10" customFormat="1" x14ac:dyDescent="0.25">
      <c r="A1219" s="445"/>
      <c r="B1219" s="445"/>
      <c r="C1219" s="957"/>
      <c r="D1219" s="235"/>
      <c r="E1219" s="235"/>
      <c r="F1219" s="235"/>
      <c r="G1219" s="235"/>
      <c r="H1219" s="235"/>
      <c r="I1219" s="1265"/>
      <c r="J1219" s="141"/>
      <c r="K1219" s="141"/>
      <c r="L1219" s="141"/>
      <c r="M1219" s="141"/>
      <c r="N1219" s="141"/>
      <c r="O1219" s="141"/>
      <c r="P1219" s="141"/>
      <c r="Q1219" s="141"/>
      <c r="R1219" s="122"/>
      <c r="S1219" s="239"/>
      <c r="T1219" s="1476"/>
      <c r="U1219" s="146"/>
    </row>
    <row r="1220" spans="1:21" s="10" customFormat="1" x14ac:dyDescent="0.25">
      <c r="A1220" s="445"/>
      <c r="B1220" s="445"/>
      <c r="C1220" s="957"/>
      <c r="D1220" s="235"/>
      <c r="E1220" s="235"/>
      <c r="F1220" s="235"/>
      <c r="G1220" s="235"/>
      <c r="H1220" s="235"/>
      <c r="I1220" s="1265"/>
      <c r="J1220" s="141"/>
      <c r="K1220" s="141"/>
      <c r="L1220" s="141"/>
      <c r="M1220" s="141"/>
      <c r="N1220" s="141"/>
      <c r="O1220" s="141"/>
      <c r="P1220" s="141"/>
      <c r="Q1220" s="141"/>
      <c r="R1220" s="122"/>
      <c r="S1220" s="239"/>
      <c r="T1220" s="1476"/>
      <c r="U1220" s="146"/>
    </row>
    <row r="1221" spans="1:21" s="10" customFormat="1" x14ac:dyDescent="0.25">
      <c r="A1221" s="445"/>
      <c r="B1221" s="445"/>
      <c r="C1221" s="957"/>
      <c r="D1221" s="235"/>
      <c r="E1221" s="235"/>
      <c r="F1221" s="235"/>
      <c r="G1221" s="235"/>
      <c r="H1221" s="235"/>
      <c r="I1221" s="1265"/>
      <c r="J1221" s="141"/>
      <c r="K1221" s="141"/>
      <c r="L1221" s="141"/>
      <c r="M1221" s="141"/>
      <c r="N1221" s="141"/>
      <c r="O1221" s="141"/>
      <c r="P1221" s="141"/>
      <c r="Q1221" s="141"/>
      <c r="R1221" s="122"/>
      <c r="S1221" s="239"/>
      <c r="T1221" s="1476"/>
      <c r="U1221" s="146"/>
    </row>
    <row r="1222" spans="1:21" s="10" customFormat="1" x14ac:dyDescent="0.25">
      <c r="A1222" s="445"/>
      <c r="B1222" s="445"/>
      <c r="C1222" s="957"/>
      <c r="D1222" s="235"/>
      <c r="E1222" s="235"/>
      <c r="F1222" s="235"/>
      <c r="G1222" s="235"/>
      <c r="H1222" s="235"/>
      <c r="I1222" s="1265"/>
      <c r="J1222" s="141"/>
      <c r="K1222" s="141"/>
      <c r="L1222" s="141"/>
      <c r="M1222" s="141"/>
      <c r="N1222" s="141"/>
      <c r="O1222" s="141"/>
      <c r="P1222" s="141"/>
      <c r="Q1222" s="141"/>
      <c r="R1222" s="122"/>
      <c r="S1222" s="239"/>
      <c r="T1222" s="1476"/>
      <c r="U1222" s="146"/>
    </row>
    <row r="1223" spans="1:21" s="10" customFormat="1" x14ac:dyDescent="0.25">
      <c r="A1223" s="445"/>
      <c r="B1223" s="445"/>
      <c r="C1223" s="957"/>
      <c r="D1223" s="235"/>
      <c r="E1223" s="235"/>
      <c r="F1223" s="235"/>
      <c r="G1223" s="235"/>
      <c r="H1223" s="235"/>
      <c r="I1223" s="1265"/>
      <c r="J1223" s="141"/>
      <c r="K1223" s="141"/>
      <c r="L1223" s="141"/>
      <c r="M1223" s="141"/>
      <c r="N1223" s="141"/>
      <c r="O1223" s="141"/>
      <c r="P1223" s="141"/>
      <c r="Q1223" s="141"/>
      <c r="R1223" s="122"/>
      <c r="S1223" s="239"/>
      <c r="T1223" s="1476"/>
      <c r="U1223" s="146"/>
    </row>
    <row r="1224" spans="1:21" s="10" customFormat="1" x14ac:dyDescent="0.25">
      <c r="A1224" s="445"/>
      <c r="B1224" s="445"/>
      <c r="C1224" s="957"/>
      <c r="D1224" s="235"/>
      <c r="E1224" s="235"/>
      <c r="F1224" s="235"/>
      <c r="G1224" s="235"/>
      <c r="H1224" s="235"/>
      <c r="I1224" s="1265"/>
      <c r="J1224" s="141"/>
      <c r="K1224" s="141"/>
      <c r="L1224" s="141"/>
      <c r="M1224" s="141"/>
      <c r="N1224" s="141"/>
      <c r="O1224" s="141"/>
      <c r="P1224" s="141"/>
      <c r="Q1224" s="141"/>
      <c r="R1224" s="122"/>
      <c r="S1224" s="239"/>
      <c r="T1224" s="1476"/>
      <c r="U1224" s="146"/>
    </row>
    <row r="1225" spans="1:21" s="10" customFormat="1" x14ac:dyDescent="0.25">
      <c r="A1225" s="445"/>
      <c r="B1225" s="445"/>
      <c r="C1225" s="957"/>
      <c r="D1225" s="235"/>
      <c r="E1225" s="235"/>
      <c r="F1225" s="235"/>
      <c r="G1225" s="235"/>
      <c r="H1225" s="235"/>
      <c r="I1225" s="1265"/>
      <c r="J1225" s="141"/>
      <c r="K1225" s="141"/>
      <c r="L1225" s="141"/>
      <c r="M1225" s="141"/>
      <c r="N1225" s="141"/>
      <c r="O1225" s="141"/>
      <c r="P1225" s="141"/>
      <c r="Q1225" s="141"/>
      <c r="R1225" s="122"/>
      <c r="S1225" s="239"/>
      <c r="T1225" s="1476"/>
      <c r="U1225" s="146"/>
    </row>
    <row r="1226" spans="1:21" s="10" customFormat="1" x14ac:dyDescent="0.25">
      <c r="A1226" s="445"/>
      <c r="B1226" s="445"/>
      <c r="C1226" s="957"/>
      <c r="D1226" s="235"/>
      <c r="E1226" s="235"/>
      <c r="F1226" s="235"/>
      <c r="G1226" s="235"/>
      <c r="H1226" s="235"/>
      <c r="I1226" s="1265"/>
      <c r="J1226" s="141"/>
      <c r="K1226" s="141"/>
      <c r="L1226" s="141"/>
      <c r="M1226" s="141"/>
      <c r="N1226" s="141"/>
      <c r="O1226" s="141"/>
      <c r="P1226" s="141"/>
      <c r="Q1226" s="141"/>
      <c r="R1226" s="122"/>
      <c r="S1226" s="239"/>
      <c r="T1226" s="1476"/>
      <c r="U1226" s="146"/>
    </row>
    <row r="1227" spans="1:21" s="10" customFormat="1" x14ac:dyDescent="0.25">
      <c r="A1227" s="445"/>
      <c r="B1227" s="445"/>
      <c r="C1227" s="957"/>
      <c r="D1227" s="235"/>
      <c r="E1227" s="235"/>
      <c r="F1227" s="235"/>
      <c r="G1227" s="235"/>
      <c r="H1227" s="235"/>
      <c r="I1227" s="1265"/>
      <c r="J1227" s="141"/>
      <c r="K1227" s="141"/>
      <c r="L1227" s="141"/>
      <c r="M1227" s="141"/>
      <c r="N1227" s="141"/>
      <c r="O1227" s="141"/>
      <c r="P1227" s="141"/>
      <c r="Q1227" s="141"/>
      <c r="R1227" s="122"/>
      <c r="S1227" s="239"/>
      <c r="T1227" s="1476"/>
      <c r="U1227" s="146"/>
    </row>
    <row r="1228" spans="1:21" s="10" customFormat="1" x14ac:dyDescent="0.25">
      <c r="A1228" s="445"/>
      <c r="B1228" s="445"/>
      <c r="C1228" s="957"/>
      <c r="D1228" s="235"/>
      <c r="E1228" s="235"/>
      <c r="F1228" s="235"/>
      <c r="G1228" s="235"/>
      <c r="H1228" s="235"/>
      <c r="I1228" s="1265"/>
      <c r="J1228" s="141"/>
      <c r="K1228" s="141"/>
      <c r="L1228" s="141"/>
      <c r="M1228" s="141"/>
      <c r="N1228" s="141"/>
      <c r="O1228" s="141"/>
      <c r="P1228" s="141"/>
      <c r="Q1228" s="141"/>
      <c r="R1228" s="122"/>
      <c r="S1228" s="239"/>
      <c r="T1228" s="1476"/>
      <c r="U1228" s="146"/>
    </row>
    <row r="1229" spans="1:21" s="10" customFormat="1" x14ac:dyDescent="0.25">
      <c r="A1229" s="445"/>
      <c r="B1229" s="445"/>
      <c r="C1229" s="957"/>
      <c r="D1229" s="235"/>
      <c r="E1229" s="235"/>
      <c r="F1229" s="235"/>
      <c r="G1229" s="235"/>
      <c r="H1229" s="235"/>
      <c r="I1229" s="1265"/>
      <c r="J1229" s="141"/>
      <c r="K1229" s="141"/>
      <c r="L1229" s="141"/>
      <c r="M1229" s="141"/>
      <c r="N1229" s="141"/>
      <c r="O1229" s="141"/>
      <c r="P1229" s="141"/>
      <c r="Q1229" s="141"/>
      <c r="R1229" s="122"/>
      <c r="S1229" s="239"/>
      <c r="T1229" s="1476"/>
      <c r="U1229" s="146"/>
    </row>
    <row r="1230" spans="1:21" s="10" customFormat="1" x14ac:dyDescent="0.25">
      <c r="A1230" s="445"/>
      <c r="B1230" s="445"/>
      <c r="C1230" s="957"/>
      <c r="D1230" s="235"/>
      <c r="E1230" s="235"/>
      <c r="F1230" s="235"/>
      <c r="G1230" s="235"/>
      <c r="H1230" s="235"/>
      <c r="I1230" s="1265"/>
      <c r="J1230" s="141"/>
      <c r="K1230" s="141"/>
      <c r="L1230" s="141"/>
      <c r="M1230" s="141"/>
      <c r="N1230" s="141"/>
      <c r="O1230" s="141"/>
      <c r="P1230" s="141"/>
      <c r="Q1230" s="141"/>
      <c r="R1230" s="122"/>
      <c r="S1230" s="239"/>
      <c r="T1230" s="1476"/>
      <c r="U1230" s="146"/>
    </row>
    <row r="1231" spans="1:21" s="10" customFormat="1" x14ac:dyDescent="0.25">
      <c r="A1231" s="445"/>
      <c r="B1231" s="445"/>
      <c r="C1231" s="957"/>
      <c r="D1231" s="235"/>
      <c r="E1231" s="235"/>
      <c r="F1231" s="235"/>
      <c r="G1231" s="235"/>
      <c r="H1231" s="235"/>
      <c r="I1231" s="1265"/>
      <c r="J1231" s="141"/>
      <c r="K1231" s="141"/>
      <c r="L1231" s="141"/>
      <c r="M1231" s="141"/>
      <c r="N1231" s="141"/>
      <c r="O1231" s="141"/>
      <c r="P1231" s="141"/>
      <c r="Q1231" s="141"/>
      <c r="R1231" s="122"/>
      <c r="S1231" s="239"/>
      <c r="T1231" s="1476"/>
      <c r="U1231" s="146"/>
    </row>
    <row r="1232" spans="1:21" s="10" customFormat="1" x14ac:dyDescent="0.25">
      <c r="A1232" s="445"/>
      <c r="B1232" s="445"/>
      <c r="C1232" s="957"/>
      <c r="D1232" s="235"/>
      <c r="E1232" s="235"/>
      <c r="F1232" s="235"/>
      <c r="G1232" s="235"/>
      <c r="H1232" s="235"/>
      <c r="I1232" s="1265"/>
      <c r="J1232" s="141"/>
      <c r="K1232" s="141"/>
      <c r="L1232" s="141"/>
      <c r="M1232" s="141"/>
      <c r="N1232" s="141"/>
      <c r="O1232" s="141"/>
      <c r="P1232" s="141"/>
      <c r="Q1232" s="141"/>
      <c r="R1232" s="122"/>
      <c r="S1232" s="239"/>
      <c r="T1232" s="1476"/>
      <c r="U1232" s="146"/>
    </row>
    <row r="1233" spans="1:26" s="10" customFormat="1" x14ac:dyDescent="0.25">
      <c r="A1233" s="445"/>
      <c r="B1233" s="445"/>
      <c r="C1233" s="957"/>
      <c r="D1233" s="235"/>
      <c r="E1233" s="235"/>
      <c r="F1233" s="235"/>
      <c r="G1233" s="235"/>
      <c r="H1233" s="235"/>
      <c r="I1233" s="1265"/>
      <c r="J1233" s="141"/>
      <c r="K1233" s="141"/>
      <c r="L1233" s="141"/>
      <c r="M1233" s="141"/>
      <c r="N1233" s="141"/>
      <c r="O1233" s="141"/>
      <c r="P1233" s="141"/>
      <c r="Q1233" s="141"/>
      <c r="R1233" s="122"/>
      <c r="S1233" s="239"/>
      <c r="T1233" s="1476"/>
      <c r="U1233" s="146"/>
    </row>
    <row r="1234" spans="1:26" s="10" customFormat="1" x14ac:dyDescent="0.25">
      <c r="A1234" s="445"/>
      <c r="B1234" s="445"/>
      <c r="C1234" s="957"/>
      <c r="D1234" s="235"/>
      <c r="E1234" s="235"/>
      <c r="F1234" s="235"/>
      <c r="G1234" s="235"/>
      <c r="H1234" s="235"/>
      <c r="I1234" s="1265"/>
      <c r="J1234" s="141"/>
      <c r="K1234" s="141"/>
      <c r="L1234" s="141"/>
      <c r="M1234" s="141"/>
      <c r="N1234" s="141"/>
      <c r="O1234" s="141"/>
      <c r="P1234" s="141"/>
      <c r="Q1234" s="141"/>
      <c r="R1234" s="122"/>
      <c r="S1234" s="239"/>
      <c r="T1234" s="1476"/>
      <c r="U1234" s="146"/>
    </row>
    <row r="1235" spans="1:26" s="10" customFormat="1" x14ac:dyDescent="0.25">
      <c r="A1235" s="445"/>
      <c r="B1235" s="445"/>
      <c r="C1235" s="957"/>
      <c r="D1235" s="235"/>
      <c r="E1235" s="235"/>
      <c r="F1235" s="235"/>
      <c r="G1235" s="235"/>
      <c r="H1235" s="235"/>
      <c r="I1235" s="1265"/>
      <c r="J1235" s="141"/>
      <c r="K1235" s="141"/>
      <c r="L1235" s="141"/>
      <c r="M1235" s="141"/>
      <c r="N1235" s="141"/>
      <c r="O1235" s="141"/>
      <c r="P1235" s="141"/>
      <c r="Q1235" s="141"/>
      <c r="R1235" s="122"/>
      <c r="S1235" s="239"/>
      <c r="T1235" s="1476"/>
      <c r="U1235" s="146"/>
    </row>
    <row r="1236" spans="1:26" s="10" customFormat="1" x14ac:dyDescent="0.25">
      <c r="A1236" s="445"/>
      <c r="B1236" s="445"/>
      <c r="C1236" s="957"/>
      <c r="D1236" s="235"/>
      <c r="E1236" s="235"/>
      <c r="F1236" s="235"/>
      <c r="G1236" s="235"/>
      <c r="H1236" s="235"/>
      <c r="I1236" s="1265"/>
      <c r="J1236" s="141"/>
      <c r="K1236" s="141"/>
      <c r="L1236" s="141"/>
      <c r="M1236" s="141"/>
      <c r="N1236" s="141"/>
      <c r="O1236" s="141"/>
      <c r="P1236" s="141"/>
      <c r="Q1236" s="141"/>
      <c r="R1236" s="122"/>
      <c r="S1236" s="239"/>
      <c r="T1236" s="1476"/>
      <c r="U1236" s="146"/>
    </row>
    <row r="1237" spans="1:26" s="10" customFormat="1" x14ac:dyDescent="0.25">
      <c r="A1237" s="445"/>
      <c r="B1237" s="445"/>
      <c r="C1237" s="957"/>
      <c r="D1237" s="235"/>
      <c r="E1237" s="235"/>
      <c r="F1237" s="235"/>
      <c r="G1237" s="235"/>
      <c r="H1237" s="235"/>
      <c r="I1237" s="1265"/>
      <c r="J1237" s="141"/>
      <c r="K1237" s="141"/>
      <c r="L1237" s="141"/>
      <c r="M1237" s="141"/>
      <c r="N1237" s="141"/>
      <c r="O1237" s="141"/>
      <c r="P1237" s="141"/>
      <c r="Q1237" s="141"/>
      <c r="R1237" s="122"/>
      <c r="S1237" s="239"/>
      <c r="T1237" s="1476"/>
      <c r="U1237" s="146"/>
    </row>
    <row r="1238" spans="1:26" s="10" customFormat="1" x14ac:dyDescent="0.25">
      <c r="A1238" s="445"/>
      <c r="B1238" s="445"/>
      <c r="C1238" s="957"/>
      <c r="D1238" s="235"/>
      <c r="E1238" s="235"/>
      <c r="F1238" s="235"/>
      <c r="G1238" s="235"/>
      <c r="H1238" s="235"/>
      <c r="I1238" s="1265"/>
      <c r="J1238" s="141"/>
      <c r="K1238" s="141"/>
      <c r="L1238" s="141"/>
      <c r="M1238" s="141"/>
      <c r="N1238" s="141"/>
      <c r="O1238" s="141"/>
      <c r="P1238" s="141"/>
      <c r="Q1238" s="141"/>
      <c r="R1238" s="122"/>
      <c r="S1238" s="239"/>
      <c r="T1238" s="1476"/>
      <c r="U1238" s="146"/>
    </row>
    <row r="1239" spans="1:26" s="10" customFormat="1" x14ac:dyDescent="0.25">
      <c r="A1239" s="445"/>
      <c r="B1239" s="445"/>
      <c r="C1239" s="957"/>
      <c r="D1239" s="235"/>
      <c r="E1239" s="235"/>
      <c r="F1239" s="235"/>
      <c r="G1239" s="235"/>
      <c r="H1239" s="235"/>
      <c r="I1239" s="1265"/>
      <c r="J1239" s="141"/>
      <c r="K1239" s="141"/>
      <c r="L1239" s="141"/>
      <c r="M1239" s="141"/>
      <c r="N1239" s="141"/>
      <c r="O1239" s="141"/>
      <c r="P1239" s="141"/>
      <c r="Q1239" s="141"/>
      <c r="R1239" s="122"/>
      <c r="S1239" s="239"/>
      <c r="T1239" s="1476"/>
      <c r="U1239" s="146"/>
    </row>
    <row r="1240" spans="1:26" s="10" customFormat="1" x14ac:dyDescent="0.25">
      <c r="A1240" s="445"/>
      <c r="B1240" s="445"/>
      <c r="C1240" s="957"/>
      <c r="D1240" s="235"/>
      <c r="E1240" s="235"/>
      <c r="F1240" s="235"/>
      <c r="G1240" s="235"/>
      <c r="H1240" s="235"/>
      <c r="I1240" s="1265"/>
      <c r="J1240" s="141"/>
      <c r="K1240" s="141"/>
      <c r="L1240" s="141"/>
      <c r="M1240" s="141"/>
      <c r="N1240" s="141"/>
      <c r="O1240" s="141"/>
      <c r="P1240" s="141"/>
      <c r="Q1240" s="141"/>
      <c r="R1240" s="122"/>
      <c r="S1240" s="239"/>
      <c r="T1240" s="1476"/>
      <c r="U1240" s="146"/>
    </row>
    <row r="1241" spans="1:26" s="10" customFormat="1" x14ac:dyDescent="0.25">
      <c r="A1241" s="445"/>
      <c r="B1241" s="445"/>
      <c r="C1241" s="957"/>
      <c r="D1241" s="235"/>
      <c r="E1241" s="235"/>
      <c r="F1241" s="235"/>
      <c r="G1241" s="235"/>
      <c r="H1241" s="235"/>
      <c r="I1241" s="1265"/>
      <c r="J1241" s="141"/>
      <c r="K1241" s="141"/>
      <c r="L1241" s="141"/>
      <c r="M1241" s="141"/>
      <c r="N1241" s="141"/>
      <c r="O1241" s="141"/>
      <c r="P1241" s="141"/>
      <c r="Q1241" s="141"/>
      <c r="R1241" s="122"/>
      <c r="S1241" s="239"/>
      <c r="T1241" s="1476"/>
      <c r="U1241" s="146"/>
    </row>
    <row r="1242" spans="1:26" s="10" customFormat="1" x14ac:dyDescent="0.25">
      <c r="A1242" s="445"/>
      <c r="B1242" s="445"/>
      <c r="C1242" s="957"/>
      <c r="D1242" s="235"/>
      <c r="E1242" s="235"/>
      <c r="F1242" s="235"/>
      <c r="G1242" s="235"/>
      <c r="H1242" s="235"/>
      <c r="I1242" s="1265"/>
      <c r="J1242" s="141"/>
      <c r="K1242" s="141"/>
      <c r="L1242" s="141"/>
      <c r="M1242" s="141"/>
      <c r="N1242" s="141"/>
      <c r="O1242" s="141"/>
      <c r="P1242" s="141"/>
      <c r="Q1242" s="141"/>
      <c r="R1242" s="122"/>
      <c r="S1242" s="239"/>
      <c r="T1242" s="1476"/>
      <c r="U1242" s="146"/>
    </row>
    <row r="1243" spans="1:26" s="10" customFormat="1" x14ac:dyDescent="0.25">
      <c r="A1243" s="445"/>
      <c r="B1243" s="445"/>
      <c r="C1243" s="957"/>
      <c r="D1243" s="235"/>
      <c r="E1243" s="235"/>
      <c r="F1243" s="235"/>
      <c r="G1243" s="235"/>
      <c r="H1243" s="235"/>
      <c r="I1243" s="1265"/>
      <c r="J1243" s="141"/>
      <c r="K1243" s="141"/>
      <c r="L1243" s="141"/>
      <c r="M1243" s="141"/>
      <c r="N1243" s="141"/>
      <c r="O1243" s="141"/>
      <c r="P1243" s="141"/>
      <c r="Q1243" s="141"/>
      <c r="R1243" s="122"/>
      <c r="S1243" s="239"/>
      <c r="T1243" s="1476"/>
      <c r="U1243" s="146"/>
    </row>
    <row r="1244" spans="1:26" s="10" customFormat="1" x14ac:dyDescent="0.25">
      <c r="A1244" s="445"/>
      <c r="B1244" s="445"/>
      <c r="C1244" s="957"/>
      <c r="D1244" s="235"/>
      <c r="E1244" s="235"/>
      <c r="F1244" s="235"/>
      <c r="G1244" s="235"/>
      <c r="H1244" s="235"/>
      <c r="I1244" s="1265"/>
      <c r="J1244" s="141"/>
      <c r="K1244" s="141"/>
      <c r="L1244" s="141"/>
      <c r="M1244" s="141"/>
      <c r="N1244" s="141"/>
      <c r="O1244" s="141"/>
      <c r="P1244" s="141"/>
      <c r="Q1244" s="141"/>
      <c r="R1244" s="122"/>
      <c r="S1244" s="239"/>
      <c r="T1244" s="1476"/>
      <c r="U1244" s="146"/>
    </row>
    <row r="1245" spans="1:26" s="10" customFormat="1" x14ac:dyDescent="0.25">
      <c r="A1245" s="445"/>
      <c r="B1245" s="445"/>
      <c r="C1245" s="957"/>
      <c r="D1245" s="235"/>
      <c r="E1245" s="235"/>
      <c r="F1245" s="235"/>
      <c r="G1245" s="235"/>
      <c r="H1245" s="235"/>
      <c r="I1245" s="1265"/>
      <c r="J1245" s="141"/>
      <c r="K1245" s="141"/>
      <c r="L1245" s="141"/>
      <c r="M1245" s="141"/>
      <c r="N1245" s="141"/>
      <c r="O1245" s="141"/>
      <c r="P1245" s="141"/>
      <c r="Q1245" s="141"/>
      <c r="R1245" s="122"/>
      <c r="S1245" s="239"/>
      <c r="T1245" s="1476"/>
      <c r="U1245" s="146"/>
    </row>
    <row r="1246" spans="1:26" s="10" customFormat="1" x14ac:dyDescent="0.25">
      <c r="A1246" s="445"/>
      <c r="B1246" s="445"/>
      <c r="C1246" s="957"/>
      <c r="D1246" s="235"/>
      <c r="E1246" s="235"/>
      <c r="F1246" s="235"/>
      <c r="G1246" s="235"/>
      <c r="H1246" s="235"/>
      <c r="I1246" s="1265"/>
      <c r="J1246" s="141"/>
      <c r="K1246" s="141"/>
      <c r="L1246" s="141"/>
      <c r="M1246" s="141"/>
      <c r="N1246" s="141"/>
      <c r="O1246" s="141"/>
      <c r="P1246" s="141"/>
      <c r="Q1246" s="141"/>
      <c r="R1246" s="122"/>
      <c r="S1246" s="239"/>
      <c r="T1246" s="1476"/>
      <c r="U1246" s="146"/>
    </row>
    <row r="1247" spans="1:26" s="48" customFormat="1" ht="21.75" customHeight="1" x14ac:dyDescent="0.25">
      <c r="A1247" s="961"/>
      <c r="B1247" s="961"/>
      <c r="C1247" s="1401"/>
      <c r="D1247" s="1388" t="s">
        <v>115</v>
      </c>
      <c r="E1247" s="1388"/>
      <c r="F1247" s="1388"/>
      <c r="G1247" s="1388"/>
      <c r="H1247" s="125"/>
      <c r="I1247" s="1395" t="s">
        <v>2063</v>
      </c>
      <c r="J1247" s="1395" t="s">
        <v>2064</v>
      </c>
      <c r="K1247" s="1396" t="s">
        <v>2065</v>
      </c>
      <c r="L1247" s="1396"/>
      <c r="M1247" s="1395" t="s">
        <v>2064</v>
      </c>
      <c r="N1247" s="1395" t="s">
        <v>2066</v>
      </c>
      <c r="O1247" s="1395" t="s">
        <v>1537</v>
      </c>
      <c r="P1247" s="1395" t="s">
        <v>1538</v>
      </c>
      <c r="Q1247" s="1395" t="s">
        <v>1539</v>
      </c>
      <c r="R1247" s="1399" t="s">
        <v>1540</v>
      </c>
      <c r="S1247" s="1701"/>
      <c r="T1247" s="1477"/>
      <c r="U1247" s="169"/>
      <c r="V1247" s="169"/>
      <c r="W1247" s="169"/>
      <c r="X1247" s="169"/>
      <c r="Y1247" s="169"/>
      <c r="Z1247" s="169"/>
    </row>
    <row r="1248" spans="1:26" s="1153" customFormat="1" ht="31.5" customHeight="1" x14ac:dyDescent="0.25">
      <c r="A1248" s="1442"/>
      <c r="B1248" s="1442"/>
      <c r="C1248" s="1401"/>
      <c r="D1248" s="1388"/>
      <c r="E1248" s="1388"/>
      <c r="F1248" s="1388"/>
      <c r="G1248" s="1388"/>
      <c r="H1248" s="1388" t="s">
        <v>116</v>
      </c>
      <c r="I1248" s="1395"/>
      <c r="J1248" s="1395"/>
      <c r="K1248" s="1395" t="s">
        <v>2067</v>
      </c>
      <c r="L1248" s="1395" t="s">
        <v>2068</v>
      </c>
      <c r="M1248" s="1395"/>
      <c r="N1248" s="1395"/>
      <c r="O1248" s="1395"/>
      <c r="P1248" s="1395"/>
      <c r="Q1248" s="1395"/>
      <c r="R1248" s="1399"/>
      <c r="S1248" s="1701"/>
      <c r="T1248" s="1483"/>
      <c r="U1248" s="1256"/>
      <c r="V1248" s="1256"/>
      <c r="W1248" s="1256"/>
      <c r="X1248" s="1256"/>
      <c r="Y1248" s="1256"/>
      <c r="Z1248" s="1256"/>
    </row>
    <row r="1249" spans="1:26" x14ac:dyDescent="0.25">
      <c r="D1249" s="1294" t="s">
        <v>1331</v>
      </c>
    </row>
    <row r="1250" spans="1:26" x14ac:dyDescent="0.25">
      <c r="D1250" s="957" t="s">
        <v>3</v>
      </c>
      <c r="I1250" s="141">
        <f t="shared" ref="I1250:R1250" si="33">I165</f>
        <v>0</v>
      </c>
      <c r="J1250" s="141">
        <f t="shared" si="33"/>
        <v>0</v>
      </c>
      <c r="K1250" s="141">
        <f t="shared" si="33"/>
        <v>0</v>
      </c>
      <c r="L1250" s="141">
        <f t="shared" si="33"/>
        <v>0</v>
      </c>
      <c r="M1250" s="141">
        <f t="shared" si="33"/>
        <v>0</v>
      </c>
      <c r="N1250" s="141">
        <f t="shared" si="33"/>
        <v>0</v>
      </c>
      <c r="O1250" s="141">
        <f t="shared" si="33"/>
        <v>0</v>
      </c>
      <c r="P1250" s="141">
        <f t="shared" si="33"/>
        <v>0</v>
      </c>
      <c r="Q1250" s="141">
        <f t="shared" si="33"/>
        <v>0</v>
      </c>
      <c r="R1250" s="141">
        <f t="shared" si="33"/>
        <v>150000</v>
      </c>
    </row>
    <row r="1251" spans="1:26" x14ac:dyDescent="0.25">
      <c r="D1251" s="957" t="s">
        <v>1499</v>
      </c>
      <c r="I1251" s="141">
        <f t="shared" ref="I1251:R1251" si="34">I226</f>
        <v>45000</v>
      </c>
      <c r="J1251" s="141">
        <f t="shared" si="34"/>
        <v>80000</v>
      </c>
      <c r="K1251" s="141">
        <f t="shared" si="34"/>
        <v>7500</v>
      </c>
      <c r="L1251" s="141">
        <f t="shared" si="34"/>
        <v>72500</v>
      </c>
      <c r="M1251" s="141">
        <f t="shared" si="34"/>
        <v>80000</v>
      </c>
      <c r="N1251" s="141">
        <f t="shared" si="34"/>
        <v>7500</v>
      </c>
      <c r="O1251" s="141">
        <f t="shared" si="34"/>
        <v>0</v>
      </c>
      <c r="P1251" s="141">
        <f t="shared" si="34"/>
        <v>87000</v>
      </c>
      <c r="Q1251" s="141">
        <f t="shared" si="34"/>
        <v>87000</v>
      </c>
      <c r="R1251" s="141">
        <f t="shared" si="34"/>
        <v>115000</v>
      </c>
    </row>
    <row r="1252" spans="1:26" x14ac:dyDescent="0.25">
      <c r="D1252" s="957" t="s">
        <v>1991</v>
      </c>
      <c r="I1252" s="141">
        <f t="shared" ref="I1252:R1252" si="35">I302</f>
        <v>0</v>
      </c>
      <c r="J1252" s="141">
        <f t="shared" si="35"/>
        <v>0</v>
      </c>
      <c r="K1252" s="141">
        <f t="shared" si="35"/>
        <v>0</v>
      </c>
      <c r="L1252" s="141">
        <f t="shared" si="35"/>
        <v>0</v>
      </c>
      <c r="M1252" s="141">
        <f t="shared" si="35"/>
        <v>0</v>
      </c>
      <c r="N1252" s="141">
        <f t="shared" si="35"/>
        <v>0</v>
      </c>
      <c r="O1252" s="141">
        <f t="shared" si="35"/>
        <v>0</v>
      </c>
      <c r="P1252" s="141">
        <f t="shared" si="35"/>
        <v>300000</v>
      </c>
      <c r="Q1252" s="141">
        <f t="shared" si="35"/>
        <v>300000</v>
      </c>
      <c r="R1252" s="141">
        <f t="shared" si="35"/>
        <v>300000</v>
      </c>
    </row>
    <row r="1253" spans="1:26" x14ac:dyDescent="0.25">
      <c r="D1253" s="957" t="s">
        <v>1501</v>
      </c>
      <c r="I1253" s="141">
        <f t="shared" ref="I1253:R1253" si="36">I390</f>
        <v>0</v>
      </c>
      <c r="J1253" s="141">
        <f t="shared" si="36"/>
        <v>46600</v>
      </c>
      <c r="K1253" s="141">
        <f t="shared" si="36"/>
        <v>0</v>
      </c>
      <c r="L1253" s="141">
        <f t="shared" si="36"/>
        <v>46600</v>
      </c>
      <c r="M1253" s="141">
        <f t="shared" si="36"/>
        <v>46600</v>
      </c>
      <c r="N1253" s="141">
        <f t="shared" si="36"/>
        <v>0</v>
      </c>
      <c r="O1253" s="141">
        <f t="shared" si="36"/>
        <v>0</v>
      </c>
      <c r="P1253" s="141">
        <f t="shared" si="36"/>
        <v>46600</v>
      </c>
      <c r="Q1253" s="141">
        <f t="shared" si="36"/>
        <v>46600</v>
      </c>
      <c r="R1253" s="141">
        <f t="shared" si="36"/>
        <v>46600</v>
      </c>
    </row>
    <row r="1254" spans="1:26" x14ac:dyDescent="0.25">
      <c r="D1254" s="957" t="s">
        <v>1502</v>
      </c>
      <c r="I1254" s="141">
        <f t="shared" ref="I1254:R1254" si="37">I459</f>
        <v>94001.24</v>
      </c>
      <c r="J1254" s="141">
        <f t="shared" si="37"/>
        <v>800000</v>
      </c>
      <c r="K1254" s="141">
        <f t="shared" si="37"/>
        <v>393</v>
      </c>
      <c r="L1254" s="141">
        <f t="shared" si="37"/>
        <v>799607</v>
      </c>
      <c r="M1254" s="141">
        <f t="shared" si="37"/>
        <v>800000</v>
      </c>
      <c r="N1254" s="141">
        <f t="shared" si="37"/>
        <v>213</v>
      </c>
      <c r="O1254" s="141">
        <f t="shared" si="37"/>
        <v>0</v>
      </c>
      <c r="P1254" s="141">
        <f t="shared" si="37"/>
        <v>1000000</v>
      </c>
      <c r="Q1254" s="141">
        <f t="shared" si="37"/>
        <v>1000000</v>
      </c>
      <c r="R1254" s="141">
        <f t="shared" si="37"/>
        <v>300000</v>
      </c>
    </row>
    <row r="1255" spans="1:26" x14ac:dyDescent="0.25">
      <c r="D1255" s="957" t="s">
        <v>1503</v>
      </c>
      <c r="I1255" s="141">
        <f t="shared" ref="I1255:R1255" si="38">I538</f>
        <v>0</v>
      </c>
      <c r="J1255" s="141">
        <f t="shared" si="38"/>
        <v>0</v>
      </c>
      <c r="K1255" s="141">
        <f t="shared" si="38"/>
        <v>0</v>
      </c>
      <c r="L1255" s="141">
        <f t="shared" si="38"/>
        <v>0</v>
      </c>
      <c r="M1255" s="141">
        <f t="shared" si="38"/>
        <v>0</v>
      </c>
      <c r="N1255" s="141">
        <f t="shared" si="38"/>
        <v>0</v>
      </c>
      <c r="O1255" s="141">
        <f t="shared" si="38"/>
        <v>0</v>
      </c>
      <c r="P1255" s="141">
        <f t="shared" si="38"/>
        <v>710000</v>
      </c>
      <c r="Q1255" s="141">
        <f t="shared" si="38"/>
        <v>710000</v>
      </c>
      <c r="R1255" s="141">
        <f t="shared" si="38"/>
        <v>940000</v>
      </c>
    </row>
    <row r="1256" spans="1:26" x14ac:dyDescent="0.25">
      <c r="D1256" s="957" t="s">
        <v>1024</v>
      </c>
      <c r="I1256" s="141">
        <f t="shared" ref="I1256:R1256" si="39">I613</f>
        <v>0</v>
      </c>
      <c r="J1256" s="141">
        <f t="shared" si="39"/>
        <v>0</v>
      </c>
      <c r="K1256" s="141">
        <f t="shared" si="39"/>
        <v>0</v>
      </c>
      <c r="L1256" s="141">
        <f t="shared" si="39"/>
        <v>0</v>
      </c>
      <c r="M1256" s="141">
        <f t="shared" si="39"/>
        <v>0</v>
      </c>
      <c r="N1256" s="141">
        <f t="shared" si="39"/>
        <v>0</v>
      </c>
      <c r="O1256" s="141">
        <f t="shared" si="39"/>
        <v>0</v>
      </c>
      <c r="P1256" s="141">
        <f t="shared" si="39"/>
        <v>500000</v>
      </c>
      <c r="Q1256" s="141">
        <f t="shared" si="39"/>
        <v>500000</v>
      </c>
      <c r="R1256" s="141">
        <f t="shared" si="39"/>
        <v>100000</v>
      </c>
    </row>
    <row r="1257" spans="1:26" x14ac:dyDescent="0.25">
      <c r="D1257" s="957" t="s">
        <v>1992</v>
      </c>
      <c r="I1257" s="141">
        <f t="shared" ref="I1257:R1257" si="40">I692</f>
        <v>0</v>
      </c>
      <c r="J1257" s="141">
        <f t="shared" si="40"/>
        <v>0</v>
      </c>
      <c r="K1257" s="141">
        <f t="shared" si="40"/>
        <v>0</v>
      </c>
      <c r="L1257" s="141">
        <f t="shared" si="40"/>
        <v>0</v>
      </c>
      <c r="M1257" s="141">
        <f t="shared" si="40"/>
        <v>0</v>
      </c>
      <c r="N1257" s="141">
        <f t="shared" si="40"/>
        <v>0</v>
      </c>
      <c r="O1257" s="141">
        <f t="shared" si="40"/>
        <v>0</v>
      </c>
      <c r="P1257" s="141">
        <f t="shared" si="40"/>
        <v>1000000</v>
      </c>
      <c r="Q1257" s="141">
        <f t="shared" si="40"/>
        <v>1000000</v>
      </c>
      <c r="R1257" s="141">
        <f t="shared" si="40"/>
        <v>1000000</v>
      </c>
    </row>
    <row r="1258" spans="1:26" s="4" customFormat="1" x14ac:dyDescent="0.25">
      <c r="A1258" s="160"/>
      <c r="B1258" s="160"/>
      <c r="C1258" s="957"/>
      <c r="D1258" s="957" t="s">
        <v>1321</v>
      </c>
      <c r="E1258" s="235"/>
      <c r="F1258" s="235"/>
      <c r="G1258" s="235"/>
      <c r="H1258" s="235"/>
      <c r="I1258" s="141">
        <f t="shared" ref="I1258:R1258" si="41">I729</f>
        <v>0</v>
      </c>
      <c r="J1258" s="141">
        <f t="shared" si="41"/>
        <v>5000</v>
      </c>
      <c r="K1258" s="141">
        <f t="shared" si="41"/>
        <v>0</v>
      </c>
      <c r="L1258" s="141">
        <f t="shared" si="41"/>
        <v>5000</v>
      </c>
      <c r="M1258" s="141">
        <f t="shared" si="41"/>
        <v>5000</v>
      </c>
      <c r="N1258" s="141">
        <f t="shared" si="41"/>
        <v>0</v>
      </c>
      <c r="O1258" s="141">
        <f t="shared" si="41"/>
        <v>0</v>
      </c>
      <c r="P1258" s="141">
        <f t="shared" si="41"/>
        <v>0</v>
      </c>
      <c r="Q1258" s="141">
        <f t="shared" si="41"/>
        <v>0</v>
      </c>
      <c r="R1258" s="141">
        <f t="shared" si="41"/>
        <v>10000</v>
      </c>
      <c r="S1258" s="239"/>
      <c r="T1258" s="1476"/>
      <c r="U1258" s="146"/>
      <c r="V1258" s="5"/>
      <c r="W1258" s="5"/>
      <c r="X1258" s="5"/>
      <c r="Y1258" s="5"/>
      <c r="Z1258" s="5"/>
    </row>
    <row r="1259" spans="1:26" s="4" customFormat="1" x14ac:dyDescent="0.25">
      <c r="A1259" s="160"/>
      <c r="B1259" s="160"/>
      <c r="C1259" s="957"/>
      <c r="D1259" s="957" t="s">
        <v>1504</v>
      </c>
      <c r="E1259" s="235"/>
      <c r="F1259" s="235"/>
      <c r="G1259" s="235"/>
      <c r="H1259" s="235"/>
      <c r="I1259" s="141">
        <f t="shared" ref="I1259:R1259" si="42">I776</f>
        <v>216818.31</v>
      </c>
      <c r="J1259" s="141">
        <f t="shared" si="42"/>
        <v>288000</v>
      </c>
      <c r="K1259" s="141">
        <f t="shared" si="42"/>
        <v>102909.17</v>
      </c>
      <c r="L1259" s="141">
        <f t="shared" si="42"/>
        <v>185090.83000000002</v>
      </c>
      <c r="M1259" s="141">
        <f t="shared" si="42"/>
        <v>288000</v>
      </c>
      <c r="N1259" s="141">
        <f t="shared" si="42"/>
        <v>138727.35</v>
      </c>
      <c r="O1259" s="141">
        <f t="shared" si="42"/>
        <v>0</v>
      </c>
      <c r="P1259" s="141">
        <f t="shared" si="42"/>
        <v>288000</v>
      </c>
      <c r="Q1259" s="141">
        <f t="shared" si="42"/>
        <v>288000</v>
      </c>
      <c r="R1259" s="141">
        <f t="shared" si="42"/>
        <v>288000</v>
      </c>
      <c r="S1259" s="239"/>
      <c r="T1259" s="1476"/>
      <c r="U1259" s="146"/>
      <c r="V1259" s="5"/>
      <c r="W1259" s="5"/>
      <c r="X1259" s="5"/>
      <c r="Y1259" s="5"/>
      <c r="Z1259" s="5"/>
    </row>
    <row r="1260" spans="1:26" s="4" customFormat="1" x14ac:dyDescent="0.25">
      <c r="A1260" s="160"/>
      <c r="B1260" s="160"/>
      <c r="C1260" s="957"/>
      <c r="D1260" s="957" t="s">
        <v>1505</v>
      </c>
      <c r="E1260" s="235"/>
      <c r="F1260" s="235"/>
      <c r="G1260" s="235"/>
      <c r="H1260" s="235"/>
      <c r="I1260" s="141">
        <f t="shared" ref="I1260:R1260" si="43">I838</f>
        <v>180000</v>
      </c>
      <c r="J1260" s="141">
        <f t="shared" si="43"/>
        <v>185000</v>
      </c>
      <c r="K1260" s="141">
        <f t="shared" si="43"/>
        <v>0</v>
      </c>
      <c r="L1260" s="141">
        <f t="shared" si="43"/>
        <v>185000</v>
      </c>
      <c r="M1260" s="141">
        <f t="shared" si="43"/>
        <v>185000</v>
      </c>
      <c r="N1260" s="141">
        <f t="shared" si="43"/>
        <v>0</v>
      </c>
      <c r="O1260" s="141">
        <f t="shared" si="43"/>
        <v>0</v>
      </c>
      <c r="P1260" s="141">
        <f t="shared" si="43"/>
        <v>185000</v>
      </c>
      <c r="Q1260" s="141">
        <f t="shared" si="43"/>
        <v>185000</v>
      </c>
      <c r="R1260" s="141">
        <f t="shared" si="43"/>
        <v>185000</v>
      </c>
      <c r="S1260" s="239"/>
      <c r="T1260" s="1476"/>
      <c r="U1260" s="146"/>
      <c r="V1260" s="5"/>
      <c r="W1260" s="5"/>
      <c r="X1260" s="5"/>
      <c r="Y1260" s="5"/>
      <c r="Z1260" s="5"/>
    </row>
    <row r="1261" spans="1:26" s="4" customFormat="1" x14ac:dyDescent="0.25">
      <c r="A1261" s="160"/>
      <c r="B1261" s="160"/>
      <c r="C1261" s="957"/>
      <c r="D1261" s="957" t="s">
        <v>1506</v>
      </c>
      <c r="E1261" s="235"/>
      <c r="F1261" s="235"/>
      <c r="G1261" s="235"/>
      <c r="H1261" s="235"/>
      <c r="I1261" s="141">
        <f t="shared" ref="I1261:R1261" si="44">I898</f>
        <v>84920</v>
      </c>
      <c r="J1261" s="141">
        <f t="shared" si="44"/>
        <v>103560</v>
      </c>
      <c r="K1261" s="141">
        <f t="shared" si="44"/>
        <v>88362</v>
      </c>
      <c r="L1261" s="141">
        <f t="shared" si="44"/>
        <v>15198</v>
      </c>
      <c r="M1261" s="141">
        <f t="shared" si="44"/>
        <v>103560</v>
      </c>
      <c r="N1261" s="141">
        <f t="shared" si="44"/>
        <v>88362</v>
      </c>
      <c r="O1261" s="141">
        <f t="shared" si="44"/>
        <v>0</v>
      </c>
      <c r="P1261" s="141">
        <f t="shared" si="44"/>
        <v>106602</v>
      </c>
      <c r="Q1261" s="141">
        <f t="shared" si="44"/>
        <v>106602</v>
      </c>
      <c r="R1261" s="141">
        <f t="shared" si="44"/>
        <v>103560</v>
      </c>
      <c r="S1261" s="239"/>
      <c r="T1261" s="1476"/>
      <c r="U1261" s="146"/>
      <c r="V1261" s="5"/>
      <c r="W1261" s="5"/>
      <c r="X1261" s="5"/>
      <c r="Y1261" s="5"/>
      <c r="Z1261" s="5"/>
    </row>
    <row r="1262" spans="1:26" s="4" customFormat="1" x14ac:dyDescent="0.25">
      <c r="A1262" s="160"/>
      <c r="B1262" s="160"/>
      <c r="C1262" s="957"/>
      <c r="D1262" s="957" t="s">
        <v>1507</v>
      </c>
      <c r="E1262" s="235"/>
      <c r="F1262" s="235"/>
      <c r="G1262" s="235"/>
      <c r="H1262" s="235"/>
      <c r="I1262" s="141">
        <f t="shared" ref="I1262:R1262" si="45">I946</f>
        <v>476064.45</v>
      </c>
      <c r="J1262" s="141">
        <f t="shared" si="45"/>
        <v>481917.36</v>
      </c>
      <c r="K1262" s="141">
        <f t="shared" si="45"/>
        <v>96680.87</v>
      </c>
      <c r="L1262" s="141">
        <f t="shared" si="45"/>
        <v>385236.49</v>
      </c>
      <c r="M1262" s="141">
        <f t="shared" si="45"/>
        <v>481917.36</v>
      </c>
      <c r="N1262" s="141">
        <f t="shared" si="45"/>
        <v>96680.87</v>
      </c>
      <c r="O1262" s="141">
        <f t="shared" si="45"/>
        <v>0</v>
      </c>
      <c r="P1262" s="141">
        <f t="shared" si="45"/>
        <v>481917.36</v>
      </c>
      <c r="Q1262" s="141">
        <f t="shared" si="45"/>
        <v>481917.36</v>
      </c>
      <c r="R1262" s="141">
        <f t="shared" si="45"/>
        <v>481917.36</v>
      </c>
      <c r="S1262" s="239"/>
      <c r="T1262" s="1476"/>
      <c r="U1262" s="146"/>
      <c r="V1262" s="5"/>
      <c r="W1262" s="5"/>
      <c r="X1262" s="5"/>
      <c r="Y1262" s="5"/>
      <c r="Z1262" s="5"/>
    </row>
    <row r="1263" spans="1:26" s="4" customFormat="1" x14ac:dyDescent="0.25">
      <c r="A1263" s="160"/>
      <c r="B1263" s="160"/>
      <c r="C1263" s="957"/>
      <c r="D1263" s="957" t="s">
        <v>1993</v>
      </c>
      <c r="E1263" s="235"/>
      <c r="F1263" s="235"/>
      <c r="G1263" s="235"/>
      <c r="H1263" s="235"/>
      <c r="I1263" s="141">
        <f t="shared" ref="I1263:R1263" si="46">I1016</f>
        <v>69000</v>
      </c>
      <c r="J1263" s="141">
        <f t="shared" si="46"/>
        <v>72000</v>
      </c>
      <c r="K1263" s="141">
        <f t="shared" si="46"/>
        <v>34500</v>
      </c>
      <c r="L1263" s="141">
        <f t="shared" si="46"/>
        <v>37500</v>
      </c>
      <c r="M1263" s="141">
        <f t="shared" si="46"/>
        <v>72000</v>
      </c>
      <c r="N1263" s="141">
        <f t="shared" si="46"/>
        <v>46500</v>
      </c>
      <c r="O1263" s="141">
        <f t="shared" si="46"/>
        <v>0</v>
      </c>
      <c r="P1263" s="141">
        <f t="shared" si="46"/>
        <v>72000</v>
      </c>
      <c r="Q1263" s="141">
        <f t="shared" si="46"/>
        <v>72000</v>
      </c>
      <c r="R1263" s="141">
        <f t="shared" si="46"/>
        <v>72000</v>
      </c>
      <c r="S1263" s="239"/>
      <c r="T1263" s="1476"/>
      <c r="U1263" s="146"/>
      <c r="V1263" s="5"/>
      <c r="W1263" s="5"/>
      <c r="X1263" s="5"/>
      <c r="Y1263" s="5"/>
      <c r="Z1263" s="5"/>
    </row>
    <row r="1264" spans="1:26" s="4" customFormat="1" x14ac:dyDescent="0.25">
      <c r="A1264" s="160"/>
      <c r="B1264" s="160"/>
      <c r="C1264" s="957"/>
      <c r="D1264" s="957" t="s">
        <v>1994</v>
      </c>
      <c r="E1264" s="235"/>
      <c r="F1264" s="235"/>
      <c r="G1264" s="235"/>
      <c r="H1264" s="235"/>
      <c r="I1264" s="141">
        <f t="shared" ref="I1264:R1264" si="47">I1093</f>
        <v>167057</v>
      </c>
      <c r="J1264" s="141">
        <f t="shared" si="47"/>
        <v>173074</v>
      </c>
      <c r="K1264" s="141">
        <f t="shared" si="47"/>
        <v>0</v>
      </c>
      <c r="L1264" s="141">
        <f t="shared" si="47"/>
        <v>173074</v>
      </c>
      <c r="M1264" s="141">
        <f t="shared" si="47"/>
        <v>173074</v>
      </c>
      <c r="N1264" s="141">
        <f t="shared" si="47"/>
        <v>0</v>
      </c>
      <c r="O1264" s="141">
        <f t="shared" si="47"/>
        <v>0</v>
      </c>
      <c r="P1264" s="141">
        <f t="shared" si="47"/>
        <v>178729</v>
      </c>
      <c r="Q1264" s="141">
        <f t="shared" si="47"/>
        <v>178729</v>
      </c>
      <c r="R1264" s="141">
        <f t="shared" si="47"/>
        <v>174131</v>
      </c>
      <c r="S1264" s="239"/>
      <c r="T1264" s="1476"/>
      <c r="U1264" s="146"/>
      <c r="V1264" s="5"/>
      <c r="W1264" s="5"/>
      <c r="X1264" s="5"/>
      <c r="Y1264" s="5"/>
      <c r="Z1264" s="5"/>
    </row>
    <row r="1265" spans="1:26" s="4" customFormat="1" x14ac:dyDescent="0.25">
      <c r="A1265" s="160"/>
      <c r="B1265" s="160"/>
      <c r="C1265" s="957"/>
      <c r="D1265" s="957" t="s">
        <v>1995</v>
      </c>
      <c r="E1265" s="235"/>
      <c r="F1265" s="235"/>
      <c r="G1265" s="235"/>
      <c r="H1265" s="235"/>
      <c r="I1265" s="141">
        <f t="shared" ref="I1265:R1265" si="48">I1158</f>
        <v>0</v>
      </c>
      <c r="J1265" s="141">
        <f t="shared" si="48"/>
        <v>286056</v>
      </c>
      <c r="K1265" s="141">
        <f t="shared" si="48"/>
        <v>0</v>
      </c>
      <c r="L1265" s="141">
        <f t="shared" si="48"/>
        <v>286056</v>
      </c>
      <c r="M1265" s="141">
        <f t="shared" si="48"/>
        <v>286056</v>
      </c>
      <c r="N1265" s="141">
        <f t="shared" si="48"/>
        <v>0</v>
      </c>
      <c r="O1265" s="141">
        <f t="shared" si="48"/>
        <v>0</v>
      </c>
      <c r="P1265" s="141">
        <f t="shared" si="48"/>
        <v>300672</v>
      </c>
      <c r="Q1265" s="141">
        <f t="shared" si="48"/>
        <v>300672</v>
      </c>
      <c r="R1265" s="141">
        <f t="shared" si="48"/>
        <v>286056</v>
      </c>
      <c r="S1265" s="239"/>
      <c r="T1265" s="1476"/>
      <c r="U1265" s="146"/>
      <c r="V1265" s="5"/>
      <c r="W1265" s="5"/>
      <c r="X1265" s="5"/>
      <c r="Y1265" s="5"/>
      <c r="Z1265" s="5"/>
    </row>
    <row r="1266" spans="1:26" s="4" customFormat="1" x14ac:dyDescent="0.25">
      <c r="A1266" s="160"/>
      <c r="B1266" s="160"/>
      <c r="C1266" s="957"/>
      <c r="D1266" s="957" t="s">
        <v>1510</v>
      </c>
      <c r="E1266" s="235"/>
      <c r="F1266" s="235"/>
      <c r="G1266" s="235"/>
      <c r="H1266" s="235"/>
      <c r="I1266" s="141" t="e">
        <f>#REF!</f>
        <v>#REF!</v>
      </c>
      <c r="J1266" s="141" t="e">
        <f>#REF!</f>
        <v>#REF!</v>
      </c>
      <c r="K1266" s="141" t="e">
        <f>#REF!</f>
        <v>#REF!</v>
      </c>
      <c r="L1266" s="141" t="e">
        <f>#REF!</f>
        <v>#REF!</v>
      </c>
      <c r="M1266" s="141" t="e">
        <f>#REF!</f>
        <v>#REF!</v>
      </c>
      <c r="N1266" s="141" t="e">
        <f>#REF!</f>
        <v>#REF!</v>
      </c>
      <c r="O1266" s="141" t="e">
        <f>#REF!</f>
        <v>#REF!</v>
      </c>
      <c r="P1266" s="141" t="e">
        <f>#REF!</f>
        <v>#REF!</v>
      </c>
      <c r="Q1266" s="141" t="e">
        <f>#REF!</f>
        <v>#REF!</v>
      </c>
      <c r="R1266" s="141" t="e">
        <f>#REF!</f>
        <v>#REF!</v>
      </c>
      <c r="S1266" s="239"/>
      <c r="T1266" s="1476"/>
      <c r="U1266" s="146"/>
      <c r="V1266" s="5"/>
      <c r="W1266" s="5"/>
      <c r="X1266" s="5"/>
      <c r="Y1266" s="5"/>
      <c r="Z1266" s="5"/>
    </row>
    <row r="1267" spans="1:26" s="4" customFormat="1" x14ac:dyDescent="0.25">
      <c r="A1267" s="160"/>
      <c r="B1267" s="160"/>
      <c r="C1267" s="957"/>
      <c r="D1267" s="957" t="s">
        <v>27</v>
      </c>
      <c r="E1267" s="235"/>
      <c r="F1267" s="235"/>
      <c r="G1267" s="235"/>
      <c r="H1267" s="235"/>
      <c r="I1267" s="141" t="e">
        <f>#REF!</f>
        <v>#REF!</v>
      </c>
      <c r="J1267" s="141" t="e">
        <f>#REF!</f>
        <v>#REF!</v>
      </c>
      <c r="K1267" s="141" t="e">
        <f>#REF!</f>
        <v>#REF!</v>
      </c>
      <c r="L1267" s="141" t="e">
        <f>#REF!</f>
        <v>#REF!</v>
      </c>
      <c r="M1267" s="141" t="e">
        <f>#REF!</f>
        <v>#REF!</v>
      </c>
      <c r="N1267" s="141" t="e">
        <f>#REF!</f>
        <v>#REF!</v>
      </c>
      <c r="O1267" s="141" t="e">
        <f>#REF!</f>
        <v>#REF!</v>
      </c>
      <c r="P1267" s="141" t="e">
        <f>#REF!</f>
        <v>#REF!</v>
      </c>
      <c r="Q1267" s="141" t="e">
        <f>#REF!</f>
        <v>#REF!</v>
      </c>
      <c r="R1267" s="141" t="e">
        <f>#REF!</f>
        <v>#REF!</v>
      </c>
      <c r="S1267" s="239"/>
      <c r="T1267" s="1476"/>
      <c r="U1267" s="146"/>
      <c r="V1267" s="5"/>
      <c r="W1267" s="5"/>
      <c r="X1267" s="5"/>
      <c r="Y1267" s="5"/>
      <c r="Z1267" s="5"/>
    </row>
    <row r="1268" spans="1:26" s="4" customFormat="1" x14ac:dyDescent="0.25">
      <c r="A1268" s="160"/>
      <c r="B1268" s="160"/>
      <c r="C1268" s="957"/>
      <c r="D1268" s="957" t="s">
        <v>28</v>
      </c>
      <c r="E1268" s="235"/>
      <c r="F1268" s="235"/>
      <c r="G1268" s="235"/>
      <c r="H1268" s="235"/>
      <c r="I1268" s="141" t="e">
        <f>#REF!</f>
        <v>#REF!</v>
      </c>
      <c r="J1268" s="141" t="e">
        <f>#REF!</f>
        <v>#REF!</v>
      </c>
      <c r="K1268" s="141" t="e">
        <f>#REF!</f>
        <v>#REF!</v>
      </c>
      <c r="L1268" s="141" t="e">
        <f>#REF!</f>
        <v>#REF!</v>
      </c>
      <c r="M1268" s="141" t="e">
        <f>#REF!</f>
        <v>#REF!</v>
      </c>
      <c r="N1268" s="141" t="e">
        <f>#REF!</f>
        <v>#REF!</v>
      </c>
      <c r="O1268" s="141" t="e">
        <f>#REF!</f>
        <v>#REF!</v>
      </c>
      <c r="P1268" s="141" t="e">
        <f>#REF!</f>
        <v>#REF!</v>
      </c>
      <c r="Q1268" s="141" t="e">
        <f>#REF!</f>
        <v>#REF!</v>
      </c>
      <c r="R1268" s="141" t="e">
        <f>#REF!</f>
        <v>#REF!</v>
      </c>
      <c r="S1268" s="239"/>
      <c r="T1268" s="1476"/>
      <c r="U1268" s="146"/>
      <c r="V1268" s="5"/>
      <c r="W1268" s="5"/>
      <c r="X1268" s="5"/>
      <c r="Y1268" s="5"/>
      <c r="Z1268" s="5"/>
    </row>
    <row r="1269" spans="1:26" s="4" customFormat="1" x14ac:dyDescent="0.25">
      <c r="A1269" s="160"/>
      <c r="B1269" s="160"/>
      <c r="C1269" s="957"/>
      <c r="D1269" s="957" t="s">
        <v>29</v>
      </c>
      <c r="E1269" s="235"/>
      <c r="F1269" s="235"/>
      <c r="G1269" s="235"/>
      <c r="H1269" s="235"/>
      <c r="I1269" s="141" t="e">
        <f>#REF!</f>
        <v>#REF!</v>
      </c>
      <c r="J1269" s="141" t="e">
        <f>#REF!</f>
        <v>#REF!</v>
      </c>
      <c r="K1269" s="141" t="e">
        <f>#REF!</f>
        <v>#REF!</v>
      </c>
      <c r="L1269" s="141" t="e">
        <f>#REF!</f>
        <v>#REF!</v>
      </c>
      <c r="M1269" s="141" t="e">
        <f>#REF!</f>
        <v>#REF!</v>
      </c>
      <c r="N1269" s="141" t="e">
        <f>#REF!</f>
        <v>#REF!</v>
      </c>
      <c r="O1269" s="141" t="e">
        <f>#REF!</f>
        <v>#REF!</v>
      </c>
      <c r="P1269" s="141" t="e">
        <f>#REF!</f>
        <v>#REF!</v>
      </c>
      <c r="Q1269" s="141" t="e">
        <f>#REF!</f>
        <v>#REF!</v>
      </c>
      <c r="R1269" s="141" t="e">
        <f>#REF!</f>
        <v>#REF!</v>
      </c>
      <c r="S1269" s="239"/>
      <c r="T1269" s="1476"/>
      <c r="U1269" s="146"/>
      <c r="V1269" s="5"/>
      <c r="W1269" s="5"/>
      <c r="X1269" s="5"/>
      <c r="Y1269" s="5"/>
      <c r="Z1269" s="5"/>
    </row>
    <row r="1270" spans="1:26" s="4" customFormat="1" x14ac:dyDescent="0.25">
      <c r="A1270" s="160"/>
      <c r="B1270" s="160"/>
      <c r="C1270" s="957"/>
      <c r="D1270" s="957" t="s">
        <v>31</v>
      </c>
      <c r="E1270" s="235"/>
      <c r="F1270" s="235"/>
      <c r="G1270" s="235"/>
      <c r="H1270" s="235"/>
      <c r="I1270" s="141" t="e">
        <f>#REF!</f>
        <v>#REF!</v>
      </c>
      <c r="J1270" s="141" t="e">
        <f>#REF!</f>
        <v>#REF!</v>
      </c>
      <c r="K1270" s="141" t="e">
        <f>#REF!</f>
        <v>#REF!</v>
      </c>
      <c r="L1270" s="141" t="e">
        <f>#REF!</f>
        <v>#REF!</v>
      </c>
      <c r="M1270" s="141" t="e">
        <f>#REF!</f>
        <v>#REF!</v>
      </c>
      <c r="N1270" s="141" t="e">
        <f>#REF!</f>
        <v>#REF!</v>
      </c>
      <c r="O1270" s="141" t="e">
        <f>#REF!</f>
        <v>#REF!</v>
      </c>
      <c r="P1270" s="141" t="e">
        <f>#REF!</f>
        <v>#REF!</v>
      </c>
      <c r="Q1270" s="141" t="e">
        <f>#REF!</f>
        <v>#REF!</v>
      </c>
      <c r="R1270" s="141" t="e">
        <f>#REF!</f>
        <v>#REF!</v>
      </c>
      <c r="S1270" s="239"/>
      <c r="T1270" s="1476"/>
      <c r="U1270" s="146"/>
      <c r="V1270" s="5"/>
      <c r="W1270" s="5"/>
      <c r="X1270" s="5"/>
      <c r="Y1270" s="5"/>
      <c r="Z1270" s="5"/>
    </row>
    <row r="1271" spans="1:26" s="4" customFormat="1" x14ac:dyDescent="0.25">
      <c r="A1271" s="160"/>
      <c r="B1271" s="160"/>
      <c r="C1271" s="957"/>
      <c r="D1271" s="957" t="s">
        <v>32</v>
      </c>
      <c r="E1271" s="235"/>
      <c r="F1271" s="235"/>
      <c r="G1271" s="235"/>
      <c r="H1271" s="235"/>
      <c r="I1271" s="141" t="e">
        <f>#REF!</f>
        <v>#REF!</v>
      </c>
      <c r="J1271" s="141" t="e">
        <f>#REF!</f>
        <v>#REF!</v>
      </c>
      <c r="K1271" s="141" t="e">
        <f>#REF!</f>
        <v>#REF!</v>
      </c>
      <c r="L1271" s="141" t="e">
        <f>#REF!</f>
        <v>#REF!</v>
      </c>
      <c r="M1271" s="141" t="e">
        <f>#REF!</f>
        <v>#REF!</v>
      </c>
      <c r="N1271" s="141" t="e">
        <f>#REF!</f>
        <v>#REF!</v>
      </c>
      <c r="O1271" s="141" t="e">
        <f>#REF!</f>
        <v>#REF!</v>
      </c>
      <c r="P1271" s="141" t="e">
        <f>#REF!</f>
        <v>#REF!</v>
      </c>
      <c r="Q1271" s="141" t="e">
        <f>#REF!</f>
        <v>#REF!</v>
      </c>
      <c r="R1271" s="141" t="e">
        <f>#REF!</f>
        <v>#REF!</v>
      </c>
      <c r="S1271" s="239"/>
      <c r="T1271" s="1476"/>
      <c r="U1271" s="146"/>
      <c r="V1271" s="5"/>
      <c r="W1271" s="5"/>
      <c r="X1271" s="5"/>
      <c r="Y1271" s="5"/>
      <c r="Z1271" s="5"/>
    </row>
    <row r="1272" spans="1:26" s="4" customFormat="1" x14ac:dyDescent="0.25">
      <c r="A1272" s="160"/>
      <c r="B1272" s="160"/>
      <c r="C1272" s="957"/>
      <c r="D1272" s="957" t="s">
        <v>33</v>
      </c>
      <c r="E1272" s="235"/>
      <c r="F1272" s="235"/>
      <c r="G1272" s="235"/>
      <c r="H1272" s="235"/>
      <c r="I1272" s="141" t="e">
        <f>#REF!</f>
        <v>#REF!</v>
      </c>
      <c r="J1272" s="141" t="e">
        <f>#REF!</f>
        <v>#REF!</v>
      </c>
      <c r="K1272" s="141" t="e">
        <f>#REF!</f>
        <v>#REF!</v>
      </c>
      <c r="L1272" s="141" t="e">
        <f>#REF!</f>
        <v>#REF!</v>
      </c>
      <c r="M1272" s="141" t="e">
        <f>#REF!</f>
        <v>#REF!</v>
      </c>
      <c r="N1272" s="141" t="e">
        <f>#REF!</f>
        <v>#REF!</v>
      </c>
      <c r="O1272" s="141" t="e">
        <f>#REF!</f>
        <v>#REF!</v>
      </c>
      <c r="P1272" s="141" t="e">
        <f>#REF!</f>
        <v>#REF!</v>
      </c>
      <c r="Q1272" s="141" t="e">
        <f>#REF!</f>
        <v>#REF!</v>
      </c>
      <c r="R1272" s="141" t="e">
        <f>#REF!</f>
        <v>#REF!</v>
      </c>
      <c r="S1272" s="239"/>
      <c r="T1272" s="1476"/>
      <c r="U1272" s="146"/>
      <c r="V1272" s="5"/>
      <c r="W1272" s="5"/>
      <c r="X1272" s="5"/>
      <c r="Y1272" s="5"/>
      <c r="Z1272" s="5"/>
    </row>
    <row r="1273" spans="1:26" s="4" customFormat="1" x14ac:dyDescent="0.25">
      <c r="A1273" s="160"/>
      <c r="B1273" s="160"/>
      <c r="C1273" s="957"/>
      <c r="D1273" s="957" t="s">
        <v>1996</v>
      </c>
      <c r="E1273" s="235"/>
      <c r="F1273" s="235"/>
      <c r="G1273" s="235"/>
      <c r="H1273" s="235"/>
      <c r="I1273" s="141" t="e">
        <f>#REF!</f>
        <v>#REF!</v>
      </c>
      <c r="J1273" s="141" t="e">
        <f>#REF!</f>
        <v>#REF!</v>
      </c>
      <c r="K1273" s="141" t="e">
        <f>#REF!</f>
        <v>#REF!</v>
      </c>
      <c r="L1273" s="141" t="e">
        <f>#REF!</f>
        <v>#REF!</v>
      </c>
      <c r="M1273" s="141" t="e">
        <f>#REF!</f>
        <v>#REF!</v>
      </c>
      <c r="N1273" s="141" t="e">
        <f>#REF!</f>
        <v>#REF!</v>
      </c>
      <c r="O1273" s="141" t="e">
        <f>#REF!</f>
        <v>#REF!</v>
      </c>
      <c r="P1273" s="141" t="e">
        <f>#REF!</f>
        <v>#REF!</v>
      </c>
      <c r="Q1273" s="141" t="e">
        <f>#REF!</f>
        <v>#REF!</v>
      </c>
      <c r="R1273" s="141" t="e">
        <f>#REF!</f>
        <v>#REF!</v>
      </c>
      <c r="S1273" s="239"/>
      <c r="T1273" s="1476"/>
      <c r="U1273" s="146"/>
      <c r="V1273" s="5"/>
      <c r="W1273" s="5"/>
      <c r="X1273" s="5"/>
      <c r="Y1273" s="5"/>
      <c r="Z1273" s="5"/>
    </row>
    <row r="1274" spans="1:26" s="4" customFormat="1" x14ac:dyDescent="0.25">
      <c r="A1274" s="160"/>
      <c r="B1274" s="160"/>
      <c r="C1274" s="957"/>
      <c r="D1274" s="957" t="s">
        <v>35</v>
      </c>
      <c r="E1274" s="235"/>
      <c r="F1274" s="235"/>
      <c r="G1274" s="235"/>
      <c r="H1274" s="235"/>
      <c r="I1274" s="141" t="e">
        <f>#REF!</f>
        <v>#REF!</v>
      </c>
      <c r="J1274" s="141" t="e">
        <f>#REF!</f>
        <v>#REF!</v>
      </c>
      <c r="K1274" s="141" t="e">
        <f>#REF!</f>
        <v>#REF!</v>
      </c>
      <c r="L1274" s="141" t="e">
        <f>#REF!</f>
        <v>#REF!</v>
      </c>
      <c r="M1274" s="141" t="e">
        <f>#REF!</f>
        <v>#REF!</v>
      </c>
      <c r="N1274" s="141" t="e">
        <f>#REF!</f>
        <v>#REF!</v>
      </c>
      <c r="O1274" s="141" t="e">
        <f>#REF!</f>
        <v>#REF!</v>
      </c>
      <c r="P1274" s="141" t="e">
        <f>#REF!</f>
        <v>#REF!</v>
      </c>
      <c r="Q1274" s="141" t="e">
        <f>#REF!</f>
        <v>#REF!</v>
      </c>
      <c r="R1274" s="141" t="e">
        <f>#REF!</f>
        <v>#REF!</v>
      </c>
      <c r="S1274" s="239"/>
      <c r="T1274" s="1476"/>
      <c r="U1274" s="146"/>
      <c r="V1274" s="5"/>
      <c r="W1274" s="5"/>
      <c r="X1274" s="5"/>
      <c r="Y1274" s="5"/>
      <c r="Z1274" s="5"/>
    </row>
    <row r="1275" spans="1:26" s="4" customFormat="1" x14ac:dyDescent="0.25">
      <c r="A1275" s="160"/>
      <c r="B1275" s="160"/>
      <c r="C1275" s="957"/>
      <c r="D1275" s="957" t="s">
        <v>1322</v>
      </c>
      <c r="E1275" s="235"/>
      <c r="F1275" s="235"/>
      <c r="G1275" s="235"/>
      <c r="H1275" s="235"/>
      <c r="I1275" s="141" t="e">
        <f>#REF!</f>
        <v>#REF!</v>
      </c>
      <c r="J1275" s="141" t="e">
        <f>#REF!</f>
        <v>#REF!</v>
      </c>
      <c r="K1275" s="141" t="e">
        <f>#REF!</f>
        <v>#REF!</v>
      </c>
      <c r="L1275" s="141" t="e">
        <f>#REF!</f>
        <v>#REF!</v>
      </c>
      <c r="M1275" s="141" t="e">
        <f>#REF!</f>
        <v>#REF!</v>
      </c>
      <c r="N1275" s="141" t="e">
        <f>#REF!</f>
        <v>#REF!</v>
      </c>
      <c r="O1275" s="141" t="e">
        <f>#REF!</f>
        <v>#REF!</v>
      </c>
      <c r="P1275" s="141" t="e">
        <f>#REF!</f>
        <v>#REF!</v>
      </c>
      <c r="Q1275" s="141" t="e">
        <f>#REF!</f>
        <v>#REF!</v>
      </c>
      <c r="R1275" s="141" t="e">
        <f>#REF!</f>
        <v>#REF!</v>
      </c>
      <c r="S1275" s="239"/>
      <c r="T1275" s="1476"/>
      <c r="U1275" s="146"/>
      <c r="V1275" s="5"/>
      <c r="W1275" s="5"/>
      <c r="X1275" s="5"/>
      <c r="Y1275" s="5"/>
      <c r="Z1275" s="5"/>
    </row>
    <row r="1276" spans="1:26" s="4" customFormat="1" x14ac:dyDescent="0.25">
      <c r="A1276" s="160"/>
      <c r="B1276" s="160"/>
      <c r="C1276" s="957"/>
      <c r="D1276" s="957" t="s">
        <v>1997</v>
      </c>
      <c r="E1276" s="235"/>
      <c r="F1276" s="235"/>
      <c r="G1276" s="235"/>
      <c r="H1276" s="235"/>
      <c r="I1276" s="141" t="e">
        <f>#REF!</f>
        <v>#REF!</v>
      </c>
      <c r="J1276" s="141" t="e">
        <f>#REF!</f>
        <v>#REF!</v>
      </c>
      <c r="K1276" s="141" t="e">
        <f>#REF!</f>
        <v>#REF!</v>
      </c>
      <c r="L1276" s="141" t="e">
        <f>#REF!</f>
        <v>#REF!</v>
      </c>
      <c r="M1276" s="141" t="e">
        <f>#REF!</f>
        <v>#REF!</v>
      </c>
      <c r="N1276" s="141" t="e">
        <f>#REF!</f>
        <v>#REF!</v>
      </c>
      <c r="O1276" s="141" t="e">
        <f>#REF!</f>
        <v>#REF!</v>
      </c>
      <c r="P1276" s="141" t="e">
        <f>#REF!</f>
        <v>#REF!</v>
      </c>
      <c r="Q1276" s="141" t="e">
        <f>#REF!</f>
        <v>#REF!</v>
      </c>
      <c r="R1276" s="141" t="e">
        <f>#REF!</f>
        <v>#REF!</v>
      </c>
      <c r="S1276" s="239"/>
      <c r="T1276" s="1476"/>
      <c r="U1276" s="146"/>
      <c r="V1276" s="5"/>
      <c r="W1276" s="5"/>
      <c r="X1276" s="5"/>
      <c r="Y1276" s="5"/>
      <c r="Z1276" s="5"/>
    </row>
    <row r="1277" spans="1:26" s="4" customFormat="1" x14ac:dyDescent="0.25">
      <c r="A1277" s="160"/>
      <c r="B1277" s="160"/>
      <c r="C1277" s="957"/>
      <c r="D1277" s="957" t="s">
        <v>1998</v>
      </c>
      <c r="E1277" s="235"/>
      <c r="F1277" s="235"/>
      <c r="G1277" s="235"/>
      <c r="H1277" s="235"/>
      <c r="I1277" s="141" t="e">
        <f>#REF!</f>
        <v>#REF!</v>
      </c>
      <c r="J1277" s="141" t="e">
        <f>#REF!</f>
        <v>#REF!</v>
      </c>
      <c r="K1277" s="141" t="e">
        <f>#REF!</f>
        <v>#REF!</v>
      </c>
      <c r="L1277" s="141" t="e">
        <f>#REF!</f>
        <v>#REF!</v>
      </c>
      <c r="M1277" s="141" t="e">
        <f>#REF!</f>
        <v>#REF!</v>
      </c>
      <c r="N1277" s="141" t="e">
        <f>#REF!</f>
        <v>#REF!</v>
      </c>
      <c r="O1277" s="141" t="e">
        <f>#REF!</f>
        <v>#REF!</v>
      </c>
      <c r="P1277" s="141" t="e">
        <f>#REF!</f>
        <v>#REF!</v>
      </c>
      <c r="Q1277" s="141" t="e">
        <f>#REF!</f>
        <v>#REF!</v>
      </c>
      <c r="R1277" s="141" t="e">
        <f>#REF!</f>
        <v>#REF!</v>
      </c>
      <c r="S1277" s="239"/>
      <c r="T1277" s="1476"/>
      <c r="U1277" s="146"/>
      <c r="V1277" s="5"/>
      <c r="W1277" s="5"/>
      <c r="X1277" s="5"/>
      <c r="Y1277" s="5"/>
      <c r="Z1277" s="5"/>
    </row>
    <row r="1278" spans="1:26" s="4" customFormat="1" x14ac:dyDescent="0.25">
      <c r="A1278" s="160"/>
      <c r="B1278" s="160"/>
      <c r="C1278" s="957"/>
      <c r="D1278" s="957" t="s">
        <v>40</v>
      </c>
      <c r="E1278" s="235"/>
      <c r="F1278" s="235"/>
      <c r="G1278" s="235"/>
      <c r="H1278" s="235"/>
      <c r="I1278" s="141" t="e">
        <f>#REF!</f>
        <v>#REF!</v>
      </c>
      <c r="J1278" s="141" t="e">
        <f>#REF!</f>
        <v>#REF!</v>
      </c>
      <c r="K1278" s="141" t="e">
        <f>#REF!</f>
        <v>#REF!</v>
      </c>
      <c r="L1278" s="141" t="e">
        <f>#REF!</f>
        <v>#REF!</v>
      </c>
      <c r="M1278" s="141" t="e">
        <f>#REF!</f>
        <v>#REF!</v>
      </c>
      <c r="N1278" s="141" t="e">
        <f>#REF!</f>
        <v>#REF!</v>
      </c>
      <c r="O1278" s="141" t="e">
        <f>#REF!</f>
        <v>#REF!</v>
      </c>
      <c r="P1278" s="141" t="e">
        <f>#REF!</f>
        <v>#REF!</v>
      </c>
      <c r="Q1278" s="141" t="e">
        <f>#REF!</f>
        <v>#REF!</v>
      </c>
      <c r="R1278" s="141" t="e">
        <f>#REF!</f>
        <v>#REF!</v>
      </c>
      <c r="S1278" s="239"/>
      <c r="T1278" s="1476"/>
      <c r="U1278" s="146"/>
      <c r="V1278" s="5"/>
      <c r="W1278" s="5"/>
      <c r="X1278" s="5"/>
      <c r="Y1278" s="5"/>
      <c r="Z1278" s="5"/>
    </row>
    <row r="1279" spans="1:26" s="4" customFormat="1" x14ac:dyDescent="0.25">
      <c r="A1279" s="160"/>
      <c r="B1279" s="160"/>
      <c r="C1279" s="957"/>
      <c r="D1279" s="957" t="s">
        <v>1999</v>
      </c>
      <c r="E1279" s="235"/>
      <c r="F1279" s="235"/>
      <c r="G1279" s="235"/>
      <c r="H1279" s="235"/>
      <c r="I1279" s="141" t="e">
        <f>#REF!</f>
        <v>#REF!</v>
      </c>
      <c r="J1279" s="141" t="e">
        <f>#REF!</f>
        <v>#REF!</v>
      </c>
      <c r="K1279" s="141" t="e">
        <f>#REF!</f>
        <v>#REF!</v>
      </c>
      <c r="L1279" s="141" t="e">
        <f>#REF!</f>
        <v>#REF!</v>
      </c>
      <c r="M1279" s="141" t="e">
        <f>#REF!</f>
        <v>#REF!</v>
      </c>
      <c r="N1279" s="141" t="e">
        <f>#REF!</f>
        <v>#REF!</v>
      </c>
      <c r="O1279" s="141" t="e">
        <f>#REF!</f>
        <v>#REF!</v>
      </c>
      <c r="P1279" s="141" t="e">
        <f>#REF!</f>
        <v>#REF!</v>
      </c>
      <c r="Q1279" s="141" t="e">
        <f>#REF!</f>
        <v>#REF!</v>
      </c>
      <c r="R1279" s="141" t="e">
        <f>#REF!</f>
        <v>#REF!</v>
      </c>
      <c r="S1279" s="239"/>
      <c r="T1279" s="1476"/>
      <c r="U1279" s="146"/>
      <c r="V1279" s="5"/>
      <c r="W1279" s="5"/>
      <c r="X1279" s="5"/>
      <c r="Y1279" s="5"/>
      <c r="Z1279" s="5"/>
    </row>
    <row r="1280" spans="1:26" s="4" customFormat="1" x14ac:dyDescent="0.25">
      <c r="A1280" s="160"/>
      <c r="B1280" s="160"/>
      <c r="C1280" s="1294"/>
      <c r="D1280" s="1294" t="s">
        <v>2000</v>
      </c>
      <c r="E1280" s="235"/>
      <c r="F1280" s="235"/>
      <c r="G1280" s="235"/>
      <c r="H1280" s="235"/>
      <c r="I1280" s="126" t="e">
        <f>SUM(I1250:I1279)</f>
        <v>#REF!</v>
      </c>
      <c r="J1280" s="126" t="e">
        <f t="shared" ref="J1280:R1280" si="49">SUM(J1250:J1279)</f>
        <v>#REF!</v>
      </c>
      <c r="K1280" s="126" t="e">
        <f t="shared" si="49"/>
        <v>#REF!</v>
      </c>
      <c r="L1280" s="126" t="e">
        <f t="shared" si="49"/>
        <v>#REF!</v>
      </c>
      <c r="M1280" s="126" t="e">
        <f t="shared" si="49"/>
        <v>#REF!</v>
      </c>
      <c r="N1280" s="126" t="e">
        <f t="shared" si="49"/>
        <v>#REF!</v>
      </c>
      <c r="O1280" s="126" t="e">
        <f t="shared" si="49"/>
        <v>#REF!</v>
      </c>
      <c r="P1280" s="126" t="e">
        <f t="shared" si="49"/>
        <v>#REF!</v>
      </c>
      <c r="Q1280" s="126" t="e">
        <f t="shared" si="49"/>
        <v>#REF!</v>
      </c>
      <c r="R1280" s="126" t="e">
        <f t="shared" si="49"/>
        <v>#REF!</v>
      </c>
      <c r="S1280" s="239"/>
      <c r="T1280" s="1476"/>
      <c r="U1280" s="146"/>
      <c r="V1280" s="5"/>
      <c r="W1280" s="5"/>
      <c r="X1280" s="5"/>
      <c r="Y1280" s="5"/>
      <c r="Z1280" s="5"/>
    </row>
    <row r="1281" spans="1:26" s="4" customFormat="1" x14ac:dyDescent="0.25">
      <c r="A1281" s="160"/>
      <c r="B1281" s="160"/>
      <c r="C1281" s="1294"/>
      <c r="D1281" s="1294"/>
      <c r="E1281" s="235"/>
      <c r="F1281" s="235"/>
      <c r="G1281" s="235"/>
      <c r="H1281" s="235"/>
      <c r="I1281" s="160"/>
      <c r="J1281" s="160"/>
      <c r="K1281" s="160"/>
      <c r="L1281" s="160"/>
      <c r="M1281" s="160"/>
      <c r="N1281" s="160"/>
      <c r="O1281" s="160"/>
      <c r="P1281" s="160"/>
      <c r="Q1281" s="160"/>
      <c r="R1281" s="161"/>
      <c r="S1281" s="239"/>
      <c r="T1281" s="1476"/>
      <c r="U1281" s="146"/>
      <c r="V1281" s="5"/>
      <c r="W1281" s="5"/>
      <c r="X1281" s="5"/>
      <c r="Y1281" s="5"/>
      <c r="Z1281" s="5"/>
    </row>
    <row r="1282" spans="1:26" s="4" customFormat="1" x14ac:dyDescent="0.25">
      <c r="A1282" s="160"/>
      <c r="B1282" s="160"/>
      <c r="C1282" s="1294"/>
      <c r="D1282" s="1294" t="s">
        <v>1318</v>
      </c>
      <c r="E1282" s="235"/>
      <c r="F1282" s="235"/>
      <c r="G1282" s="235"/>
      <c r="H1282" s="235"/>
      <c r="I1282" s="160"/>
      <c r="J1282" s="160"/>
      <c r="K1282" s="160"/>
      <c r="L1282" s="160"/>
      <c r="M1282" s="160"/>
      <c r="N1282" s="160"/>
      <c r="O1282" s="160"/>
      <c r="P1282" s="160"/>
      <c r="Q1282" s="160"/>
      <c r="R1282" s="161"/>
      <c r="S1282" s="239"/>
      <c r="T1282" s="1476"/>
      <c r="U1282" s="146"/>
      <c r="V1282" s="5"/>
      <c r="W1282" s="5"/>
      <c r="X1282" s="5"/>
      <c r="Y1282" s="5"/>
      <c r="Z1282" s="5"/>
    </row>
    <row r="1283" spans="1:26" s="4" customFormat="1" x14ac:dyDescent="0.25">
      <c r="A1283" s="160"/>
      <c r="B1283" s="160"/>
      <c r="C1283" s="957"/>
      <c r="D1283" s="957" t="s">
        <v>2001</v>
      </c>
      <c r="E1283" s="235"/>
      <c r="F1283" s="235"/>
      <c r="G1283" s="235"/>
      <c r="H1283" s="235"/>
      <c r="I1283" s="141" t="e">
        <f>#REF!</f>
        <v>#REF!</v>
      </c>
      <c r="J1283" s="141" t="e">
        <f>#REF!</f>
        <v>#REF!</v>
      </c>
      <c r="K1283" s="141" t="e">
        <f>#REF!</f>
        <v>#REF!</v>
      </c>
      <c r="L1283" s="141" t="e">
        <f>#REF!</f>
        <v>#REF!</v>
      </c>
      <c r="M1283" s="141" t="e">
        <f>#REF!</f>
        <v>#REF!</v>
      </c>
      <c r="N1283" s="141" t="e">
        <f>#REF!</f>
        <v>#REF!</v>
      </c>
      <c r="O1283" s="141" t="e">
        <f>#REF!</f>
        <v>#REF!</v>
      </c>
      <c r="P1283" s="141" t="e">
        <f>#REF!</f>
        <v>#REF!</v>
      </c>
      <c r="Q1283" s="141" t="e">
        <f>#REF!</f>
        <v>#REF!</v>
      </c>
      <c r="R1283" s="141" t="e">
        <f>#REF!</f>
        <v>#REF!</v>
      </c>
      <c r="S1283" s="239"/>
      <c r="T1283" s="1476"/>
      <c r="U1283" s="146"/>
      <c r="V1283" s="5"/>
      <c r="W1283" s="5"/>
      <c r="X1283" s="5"/>
      <c r="Y1283" s="5"/>
      <c r="Z1283" s="5"/>
    </row>
    <row r="1284" spans="1:26" s="4" customFormat="1" x14ac:dyDescent="0.25">
      <c r="A1284" s="160"/>
      <c r="B1284" s="160"/>
      <c r="C1284" s="957"/>
      <c r="D1284" s="957" t="s">
        <v>1325</v>
      </c>
      <c r="E1284" s="235"/>
      <c r="F1284" s="235"/>
      <c r="G1284" s="235"/>
      <c r="H1284" s="235"/>
      <c r="I1284" s="141" t="e">
        <f>#REF!</f>
        <v>#REF!</v>
      </c>
      <c r="J1284" s="141" t="e">
        <f>#REF!</f>
        <v>#REF!</v>
      </c>
      <c r="K1284" s="141" t="e">
        <f>#REF!</f>
        <v>#REF!</v>
      </c>
      <c r="L1284" s="141" t="e">
        <f>#REF!</f>
        <v>#REF!</v>
      </c>
      <c r="M1284" s="141" t="e">
        <f>#REF!</f>
        <v>#REF!</v>
      </c>
      <c r="N1284" s="141" t="e">
        <f>#REF!</f>
        <v>#REF!</v>
      </c>
      <c r="O1284" s="141" t="e">
        <f>#REF!</f>
        <v>#REF!</v>
      </c>
      <c r="P1284" s="141" t="e">
        <f>#REF!</f>
        <v>#REF!</v>
      </c>
      <c r="Q1284" s="141" t="e">
        <f>#REF!</f>
        <v>#REF!</v>
      </c>
      <c r="R1284" s="141" t="e">
        <f>#REF!</f>
        <v>#REF!</v>
      </c>
      <c r="S1284" s="239"/>
      <c r="T1284" s="1476"/>
      <c r="U1284" s="146"/>
      <c r="V1284" s="5"/>
      <c r="W1284" s="5"/>
      <c r="X1284" s="5"/>
      <c r="Y1284" s="5"/>
      <c r="Z1284" s="5"/>
    </row>
    <row r="1285" spans="1:26" s="4" customFormat="1" x14ac:dyDescent="0.25">
      <c r="A1285" s="160"/>
      <c r="B1285" s="160"/>
      <c r="C1285" s="957"/>
      <c r="D1285" s="957" t="s">
        <v>1326</v>
      </c>
      <c r="E1285" s="235"/>
      <c r="F1285" s="235"/>
      <c r="G1285" s="235"/>
      <c r="H1285" s="235"/>
      <c r="I1285" s="141" t="e">
        <f>#REF!</f>
        <v>#REF!</v>
      </c>
      <c r="J1285" s="141" t="e">
        <f>#REF!</f>
        <v>#REF!</v>
      </c>
      <c r="K1285" s="141" t="e">
        <f>#REF!</f>
        <v>#REF!</v>
      </c>
      <c r="L1285" s="141" t="e">
        <f>#REF!</f>
        <v>#REF!</v>
      </c>
      <c r="M1285" s="141" t="e">
        <f>#REF!</f>
        <v>#REF!</v>
      </c>
      <c r="N1285" s="141" t="e">
        <f>#REF!</f>
        <v>#REF!</v>
      </c>
      <c r="O1285" s="141" t="e">
        <f>#REF!</f>
        <v>#REF!</v>
      </c>
      <c r="P1285" s="141" t="e">
        <f>#REF!</f>
        <v>#REF!</v>
      </c>
      <c r="Q1285" s="141" t="e">
        <f>#REF!</f>
        <v>#REF!</v>
      </c>
      <c r="R1285" s="141" t="e">
        <f>#REF!</f>
        <v>#REF!</v>
      </c>
      <c r="S1285" s="239"/>
      <c r="T1285" s="1476"/>
      <c r="U1285" s="146"/>
      <c r="V1285" s="5"/>
      <c r="W1285" s="5"/>
      <c r="X1285" s="5"/>
      <c r="Y1285" s="5"/>
      <c r="Z1285" s="5"/>
    </row>
    <row r="1286" spans="1:26" s="4" customFormat="1" x14ac:dyDescent="0.25">
      <c r="A1286" s="160"/>
      <c r="B1286" s="160"/>
      <c r="C1286" s="1294"/>
      <c r="D1286" s="1294" t="s">
        <v>2002</v>
      </c>
      <c r="E1286" s="235"/>
      <c r="F1286" s="235"/>
      <c r="G1286" s="235"/>
      <c r="H1286" s="235"/>
      <c r="I1286" s="126" t="e">
        <f>SUM(I1283:I1285)</f>
        <v>#REF!</v>
      </c>
      <c r="J1286" s="126" t="e">
        <f t="shared" ref="J1286:Q1286" si="50">SUM(J1283:J1285)</f>
        <v>#REF!</v>
      </c>
      <c r="K1286" s="126" t="e">
        <f t="shared" si="50"/>
        <v>#REF!</v>
      </c>
      <c r="L1286" s="126" t="e">
        <f t="shared" si="50"/>
        <v>#REF!</v>
      </c>
      <c r="M1286" s="126" t="e">
        <f t="shared" si="50"/>
        <v>#REF!</v>
      </c>
      <c r="N1286" s="126" t="e">
        <f t="shared" si="50"/>
        <v>#REF!</v>
      </c>
      <c r="O1286" s="126" t="e">
        <f t="shared" si="50"/>
        <v>#REF!</v>
      </c>
      <c r="P1286" s="126" t="e">
        <f t="shared" si="50"/>
        <v>#REF!</v>
      </c>
      <c r="Q1286" s="126" t="e">
        <f t="shared" si="50"/>
        <v>#REF!</v>
      </c>
      <c r="R1286" s="126" t="e">
        <f>SUM(R1283:R1285)</f>
        <v>#REF!</v>
      </c>
      <c r="S1286" s="239"/>
      <c r="T1286" s="1476"/>
      <c r="U1286" s="146"/>
      <c r="V1286" s="5"/>
      <c r="W1286" s="5"/>
      <c r="X1286" s="5"/>
      <c r="Y1286" s="5"/>
      <c r="Z1286" s="5"/>
    </row>
    <row r="1287" spans="1:26" s="4" customFormat="1" x14ac:dyDescent="0.25">
      <c r="A1287" s="160"/>
      <c r="B1287" s="160"/>
      <c r="C1287" s="1294"/>
      <c r="D1287" s="1294" t="s">
        <v>2003</v>
      </c>
      <c r="E1287" s="235"/>
      <c r="F1287" s="235"/>
      <c r="G1287" s="235"/>
      <c r="H1287" s="235"/>
      <c r="I1287" s="126" t="e">
        <f>I1286+I1280</f>
        <v>#REF!</v>
      </c>
      <c r="J1287" s="126" t="e">
        <f t="shared" ref="J1287:R1287" si="51">J1286+J1280</f>
        <v>#REF!</v>
      </c>
      <c r="K1287" s="126" t="e">
        <f t="shared" si="51"/>
        <v>#REF!</v>
      </c>
      <c r="L1287" s="126" t="e">
        <f t="shared" si="51"/>
        <v>#REF!</v>
      </c>
      <c r="M1287" s="126" t="e">
        <f t="shared" si="51"/>
        <v>#REF!</v>
      </c>
      <c r="N1287" s="126" t="e">
        <f t="shared" si="51"/>
        <v>#REF!</v>
      </c>
      <c r="O1287" s="126" t="e">
        <f t="shared" si="51"/>
        <v>#REF!</v>
      </c>
      <c r="P1287" s="126" t="e">
        <f t="shared" si="51"/>
        <v>#REF!</v>
      </c>
      <c r="Q1287" s="126" t="e">
        <f t="shared" si="51"/>
        <v>#REF!</v>
      </c>
      <c r="R1287" s="126" t="e">
        <f t="shared" si="51"/>
        <v>#REF!</v>
      </c>
      <c r="S1287" s="1447"/>
      <c r="T1287" s="1476"/>
      <c r="U1287" s="146"/>
      <c r="V1287" s="5"/>
      <c r="W1287" s="5"/>
      <c r="X1287" s="5"/>
      <c r="Y1287" s="5"/>
      <c r="Z1287" s="5"/>
    </row>
    <row r="1288" spans="1:26" x14ac:dyDescent="0.25">
      <c r="S1288" s="1465"/>
    </row>
    <row r="1289" spans="1:26" s="4" customFormat="1" x14ac:dyDescent="0.25">
      <c r="A1289" s="160"/>
      <c r="B1289" s="160"/>
      <c r="C1289" s="957"/>
      <c r="D1289" s="1294" t="s">
        <v>1431</v>
      </c>
      <c r="E1289" s="235"/>
      <c r="F1289" s="235"/>
      <c r="G1289" s="235"/>
      <c r="H1289" s="235"/>
      <c r="I1289" s="160"/>
      <c r="J1289" s="160"/>
      <c r="K1289" s="160"/>
      <c r="L1289" s="160"/>
      <c r="M1289" s="160"/>
      <c r="N1289" s="160"/>
      <c r="O1289" s="160"/>
      <c r="P1289" s="160"/>
      <c r="Q1289" s="160"/>
      <c r="R1289" s="161"/>
      <c r="S1289" s="1447"/>
      <c r="T1289" s="1476"/>
      <c r="U1289" s="146"/>
      <c r="V1289" s="5"/>
      <c r="W1289" s="5"/>
      <c r="X1289" s="5"/>
      <c r="Y1289" s="5"/>
      <c r="Z1289" s="5"/>
    </row>
    <row r="1290" spans="1:26" s="4" customFormat="1" x14ac:dyDescent="0.25">
      <c r="A1290" s="160"/>
      <c r="B1290" s="160"/>
      <c r="C1290" s="957"/>
      <c r="D1290" s="957" t="s">
        <v>3</v>
      </c>
      <c r="E1290" s="235"/>
      <c r="F1290" s="235"/>
      <c r="G1290" s="235"/>
      <c r="H1290" s="235"/>
      <c r="I1290" s="141" t="e">
        <f>#REF!</f>
        <v>#REF!</v>
      </c>
      <c r="J1290" s="141" t="e">
        <f>#REF!</f>
        <v>#REF!</v>
      </c>
      <c r="K1290" s="141" t="e">
        <f>#REF!</f>
        <v>#REF!</v>
      </c>
      <c r="L1290" s="141" t="e">
        <f>#REF!</f>
        <v>#REF!</v>
      </c>
      <c r="M1290" s="141" t="e">
        <f>#REF!</f>
        <v>#REF!</v>
      </c>
      <c r="N1290" s="141" t="e">
        <f>#REF!</f>
        <v>#REF!</v>
      </c>
      <c r="O1290" s="141" t="e">
        <f>#REF!</f>
        <v>#REF!</v>
      </c>
      <c r="P1290" s="141" t="e">
        <f>#REF!</f>
        <v>#REF!</v>
      </c>
      <c r="Q1290" s="141" t="e">
        <f>#REF!</f>
        <v>#REF!</v>
      </c>
      <c r="R1290" s="141" t="e">
        <f>#REF!</f>
        <v>#REF!</v>
      </c>
      <c r="S1290" s="1447"/>
      <c r="T1290" s="1476"/>
      <c r="U1290" s="146"/>
      <c r="V1290" s="5"/>
      <c r="W1290" s="5"/>
      <c r="X1290" s="5"/>
      <c r="Y1290" s="5"/>
      <c r="Z1290" s="5"/>
    </row>
    <row r="1291" spans="1:26" s="4" customFormat="1" x14ac:dyDescent="0.25">
      <c r="A1291" s="160"/>
      <c r="B1291" s="160"/>
      <c r="C1291" s="957"/>
      <c r="D1291" s="957" t="s">
        <v>1499</v>
      </c>
      <c r="E1291" s="235"/>
      <c r="F1291" s="235"/>
      <c r="G1291" s="235"/>
      <c r="H1291" s="235"/>
      <c r="I1291" s="141">
        <f t="shared" ref="I1291:R1291" si="52">I239</f>
        <v>0</v>
      </c>
      <c r="J1291" s="141">
        <f t="shared" si="52"/>
        <v>0</v>
      </c>
      <c r="K1291" s="141">
        <f t="shared" si="52"/>
        <v>0</v>
      </c>
      <c r="L1291" s="141">
        <f t="shared" si="52"/>
        <v>0</v>
      </c>
      <c r="M1291" s="141">
        <f t="shared" si="52"/>
        <v>0</v>
      </c>
      <c r="N1291" s="141">
        <f t="shared" si="52"/>
        <v>0</v>
      </c>
      <c r="O1291" s="141">
        <f t="shared" si="52"/>
        <v>0</v>
      </c>
      <c r="P1291" s="141">
        <f t="shared" si="52"/>
        <v>300000</v>
      </c>
      <c r="Q1291" s="141">
        <f t="shared" si="52"/>
        <v>300000</v>
      </c>
      <c r="R1291" s="141">
        <f t="shared" si="52"/>
        <v>300000</v>
      </c>
      <c r="S1291" s="239"/>
      <c r="T1291" s="1476"/>
      <c r="U1291" s="146"/>
      <c r="V1291" s="5"/>
      <c r="W1291" s="5"/>
      <c r="X1291" s="5"/>
      <c r="Y1291" s="5"/>
      <c r="Z1291" s="5"/>
    </row>
    <row r="1292" spans="1:26" s="4" customFormat="1" x14ac:dyDescent="0.25">
      <c r="A1292" s="160"/>
      <c r="B1292" s="160"/>
      <c r="C1292" s="957"/>
      <c r="D1292" s="957" t="s">
        <v>1991</v>
      </c>
      <c r="E1292" s="235"/>
      <c r="F1292" s="235"/>
      <c r="G1292" s="235"/>
      <c r="H1292" s="235"/>
      <c r="I1292" s="141">
        <f t="shared" ref="I1292:R1292" si="53">I321</f>
        <v>433277.98</v>
      </c>
      <c r="J1292" s="141">
        <f t="shared" si="53"/>
        <v>1465000</v>
      </c>
      <c r="K1292" s="141">
        <f t="shared" si="53"/>
        <v>365948.54</v>
      </c>
      <c r="L1292" s="141">
        <f t="shared" si="53"/>
        <v>1099051.46</v>
      </c>
      <c r="M1292" s="141">
        <f t="shared" si="53"/>
        <v>1465000</v>
      </c>
      <c r="N1292" s="141">
        <f t="shared" si="53"/>
        <v>376655.31</v>
      </c>
      <c r="O1292" s="141">
        <f t="shared" si="53"/>
        <v>0</v>
      </c>
      <c r="P1292" s="141">
        <f t="shared" si="53"/>
        <v>1465000</v>
      </c>
      <c r="Q1292" s="141">
        <f t="shared" si="53"/>
        <v>1465000</v>
      </c>
      <c r="R1292" s="141">
        <f t="shared" si="53"/>
        <v>1465000</v>
      </c>
      <c r="S1292" s="239"/>
      <c r="T1292" s="1476"/>
      <c r="U1292" s="146"/>
      <c r="V1292" s="5"/>
      <c r="W1292" s="5"/>
      <c r="X1292" s="5"/>
      <c r="Y1292" s="5"/>
      <c r="Z1292" s="5"/>
    </row>
    <row r="1293" spans="1:26" s="4" customFormat="1" x14ac:dyDescent="0.25">
      <c r="A1293" s="160"/>
      <c r="B1293" s="160"/>
      <c r="C1293" s="957"/>
      <c r="D1293" s="957" t="s">
        <v>1501</v>
      </c>
      <c r="E1293" s="235"/>
      <c r="F1293" s="235"/>
      <c r="G1293" s="235"/>
      <c r="H1293" s="235"/>
      <c r="I1293" s="141">
        <f t="shared" ref="I1293:R1293" si="54">I422</f>
        <v>166930</v>
      </c>
      <c r="J1293" s="141">
        <f t="shared" si="54"/>
        <v>121650</v>
      </c>
      <c r="K1293" s="141">
        <f t="shared" si="54"/>
        <v>0</v>
      </c>
      <c r="L1293" s="141">
        <f t="shared" si="54"/>
        <v>121650</v>
      </c>
      <c r="M1293" s="141">
        <f t="shared" si="54"/>
        <v>121650</v>
      </c>
      <c r="N1293" s="141">
        <f t="shared" si="54"/>
        <v>24600</v>
      </c>
      <c r="O1293" s="141">
        <f t="shared" si="54"/>
        <v>0</v>
      </c>
      <c r="P1293" s="141">
        <f t="shared" si="54"/>
        <v>482857</v>
      </c>
      <c r="Q1293" s="141">
        <f t="shared" si="54"/>
        <v>482857</v>
      </c>
      <c r="R1293" s="141">
        <f t="shared" si="54"/>
        <v>482857</v>
      </c>
      <c r="S1293" s="239"/>
      <c r="T1293" s="1476"/>
      <c r="U1293" s="146"/>
      <c r="V1293" s="5"/>
      <c r="W1293" s="5"/>
      <c r="X1293" s="5"/>
      <c r="Y1293" s="5"/>
      <c r="Z1293" s="5"/>
    </row>
    <row r="1294" spans="1:26" s="4" customFormat="1" x14ac:dyDescent="0.25">
      <c r="A1294" s="160"/>
      <c r="B1294" s="160"/>
      <c r="C1294" s="957"/>
      <c r="D1294" s="957" t="s">
        <v>1502</v>
      </c>
      <c r="E1294" s="235"/>
      <c r="F1294" s="235"/>
      <c r="G1294" s="235"/>
      <c r="H1294" s="235"/>
      <c r="I1294" s="141">
        <f t="shared" ref="I1294:R1294" si="55">I471</f>
        <v>0</v>
      </c>
      <c r="J1294" s="141">
        <f t="shared" si="55"/>
        <v>0</v>
      </c>
      <c r="K1294" s="141">
        <f t="shared" si="55"/>
        <v>0</v>
      </c>
      <c r="L1294" s="141">
        <f t="shared" si="55"/>
        <v>0</v>
      </c>
      <c r="M1294" s="141">
        <f t="shared" si="55"/>
        <v>0</v>
      </c>
      <c r="N1294" s="141">
        <f t="shared" si="55"/>
        <v>0</v>
      </c>
      <c r="O1294" s="141">
        <f t="shared" si="55"/>
        <v>0</v>
      </c>
      <c r="P1294" s="141">
        <f t="shared" si="55"/>
        <v>0</v>
      </c>
      <c r="Q1294" s="141">
        <f t="shared" si="55"/>
        <v>0</v>
      </c>
      <c r="R1294" s="141">
        <f t="shared" si="55"/>
        <v>400000</v>
      </c>
      <c r="S1294" s="239"/>
      <c r="T1294" s="1476"/>
      <c r="U1294" s="146"/>
      <c r="V1294" s="5"/>
      <c r="W1294" s="5"/>
      <c r="X1294" s="5"/>
      <c r="Y1294" s="5"/>
      <c r="Z1294" s="5"/>
    </row>
    <row r="1295" spans="1:26" s="4" customFormat="1" x14ac:dyDescent="0.25">
      <c r="A1295" s="160"/>
      <c r="B1295" s="160"/>
      <c r="C1295" s="957"/>
      <c r="D1295" s="957" t="s">
        <v>1503</v>
      </c>
      <c r="E1295" s="235"/>
      <c r="F1295" s="235"/>
      <c r="G1295" s="235"/>
      <c r="H1295" s="235"/>
      <c r="I1295" s="141">
        <f t="shared" ref="I1295:R1295" si="56">I551</f>
        <v>0</v>
      </c>
      <c r="J1295" s="141">
        <f t="shared" si="56"/>
        <v>0</v>
      </c>
      <c r="K1295" s="141">
        <f t="shared" si="56"/>
        <v>0</v>
      </c>
      <c r="L1295" s="141">
        <f t="shared" si="56"/>
        <v>0</v>
      </c>
      <c r="M1295" s="141">
        <f t="shared" si="56"/>
        <v>0</v>
      </c>
      <c r="N1295" s="141">
        <f t="shared" si="56"/>
        <v>0</v>
      </c>
      <c r="O1295" s="141">
        <f t="shared" si="56"/>
        <v>0</v>
      </c>
      <c r="P1295" s="141">
        <f t="shared" si="56"/>
        <v>800000</v>
      </c>
      <c r="Q1295" s="141">
        <f t="shared" si="56"/>
        <v>800000</v>
      </c>
      <c r="R1295" s="141">
        <f t="shared" si="56"/>
        <v>800000</v>
      </c>
      <c r="S1295" s="239"/>
      <c r="T1295" s="1476"/>
      <c r="U1295" s="146"/>
      <c r="V1295" s="5"/>
      <c r="W1295" s="5"/>
      <c r="X1295" s="5"/>
      <c r="Y1295" s="5"/>
      <c r="Z1295" s="5"/>
    </row>
    <row r="1296" spans="1:26" s="4" customFormat="1" x14ac:dyDescent="0.25">
      <c r="A1296" s="160"/>
      <c r="B1296" s="160"/>
      <c r="C1296" s="957"/>
      <c r="D1296" s="957" t="s">
        <v>1024</v>
      </c>
      <c r="E1296" s="235"/>
      <c r="F1296" s="235"/>
      <c r="G1296" s="235"/>
      <c r="H1296" s="235"/>
      <c r="I1296" s="141">
        <f t="shared" ref="I1296:R1296" si="57">I624</f>
        <v>0</v>
      </c>
      <c r="J1296" s="141">
        <f t="shared" si="57"/>
        <v>0</v>
      </c>
      <c r="K1296" s="141">
        <f t="shared" si="57"/>
        <v>0</v>
      </c>
      <c r="L1296" s="141">
        <f t="shared" si="57"/>
        <v>0</v>
      </c>
      <c r="M1296" s="141">
        <f t="shared" si="57"/>
        <v>0</v>
      </c>
      <c r="N1296" s="141">
        <f t="shared" si="57"/>
        <v>0</v>
      </c>
      <c r="O1296" s="141">
        <f t="shared" si="57"/>
        <v>0</v>
      </c>
      <c r="P1296" s="141">
        <f t="shared" si="57"/>
        <v>603300</v>
      </c>
      <c r="Q1296" s="141">
        <f t="shared" si="57"/>
        <v>603300</v>
      </c>
      <c r="R1296" s="141">
        <f t="shared" si="57"/>
        <v>603300</v>
      </c>
      <c r="S1296" s="239"/>
      <c r="T1296" s="1476"/>
      <c r="U1296" s="146"/>
      <c r="V1296" s="5"/>
      <c r="W1296" s="5"/>
      <c r="X1296" s="5"/>
      <c r="Y1296" s="5"/>
      <c r="Z1296" s="5"/>
    </row>
    <row r="1297" spans="1:26" s="4" customFormat="1" x14ac:dyDescent="0.25">
      <c r="A1297" s="160"/>
      <c r="B1297" s="160"/>
      <c r="C1297" s="957"/>
      <c r="D1297" s="957" t="s">
        <v>1992</v>
      </c>
      <c r="E1297" s="235"/>
      <c r="F1297" s="235"/>
      <c r="G1297" s="235"/>
      <c r="H1297" s="235"/>
      <c r="I1297" s="141">
        <f t="shared" ref="I1297:R1297" si="58">I709</f>
        <v>18000</v>
      </c>
      <c r="J1297" s="141">
        <f t="shared" si="58"/>
        <v>18000</v>
      </c>
      <c r="K1297" s="141">
        <f t="shared" si="58"/>
        <v>18000</v>
      </c>
      <c r="L1297" s="141">
        <f t="shared" si="58"/>
        <v>0</v>
      </c>
      <c r="M1297" s="141">
        <f t="shared" si="58"/>
        <v>18000</v>
      </c>
      <c r="N1297" s="141">
        <f t="shared" si="58"/>
        <v>18000</v>
      </c>
      <c r="O1297" s="141">
        <f t="shared" si="58"/>
        <v>0</v>
      </c>
      <c r="P1297" s="141">
        <f t="shared" si="58"/>
        <v>18000</v>
      </c>
      <c r="Q1297" s="141">
        <f t="shared" si="58"/>
        <v>18000</v>
      </c>
      <c r="R1297" s="141">
        <f t="shared" si="58"/>
        <v>18000</v>
      </c>
      <c r="S1297" s="239"/>
      <c r="T1297" s="1476"/>
      <c r="U1297" s="146"/>
      <c r="V1297" s="5"/>
      <c r="W1297" s="5"/>
      <c r="X1297" s="5"/>
      <c r="Y1297" s="5"/>
      <c r="Z1297" s="5"/>
    </row>
    <row r="1298" spans="1:26" s="4" customFormat="1" x14ac:dyDescent="0.25">
      <c r="A1298" s="160"/>
      <c r="B1298" s="160"/>
      <c r="C1298" s="957"/>
      <c r="D1298" s="957" t="s">
        <v>1321</v>
      </c>
      <c r="E1298" s="235"/>
      <c r="F1298" s="235"/>
      <c r="G1298" s="235"/>
      <c r="H1298" s="235"/>
      <c r="I1298" s="141" t="e">
        <f>#REF!</f>
        <v>#REF!</v>
      </c>
      <c r="J1298" s="141" t="e">
        <f>#REF!</f>
        <v>#REF!</v>
      </c>
      <c r="K1298" s="141" t="e">
        <f>#REF!</f>
        <v>#REF!</v>
      </c>
      <c r="L1298" s="141" t="e">
        <f>#REF!</f>
        <v>#REF!</v>
      </c>
      <c r="M1298" s="141" t="e">
        <f>#REF!</f>
        <v>#REF!</v>
      </c>
      <c r="N1298" s="141" t="e">
        <f>#REF!</f>
        <v>#REF!</v>
      </c>
      <c r="O1298" s="141" t="e">
        <f>#REF!</f>
        <v>#REF!</v>
      </c>
      <c r="P1298" s="141" t="e">
        <f>#REF!</f>
        <v>#REF!</v>
      </c>
      <c r="Q1298" s="141" t="e">
        <f>#REF!</f>
        <v>#REF!</v>
      </c>
      <c r="R1298" s="141" t="e">
        <f>#REF!</f>
        <v>#REF!</v>
      </c>
      <c r="S1298" s="239"/>
      <c r="T1298" s="1476"/>
      <c r="U1298" s="146"/>
      <c r="V1298" s="5"/>
      <c r="W1298" s="5"/>
      <c r="X1298" s="5"/>
      <c r="Y1298" s="5"/>
      <c r="Z1298" s="5"/>
    </row>
    <row r="1299" spans="1:26" s="4" customFormat="1" x14ac:dyDescent="0.25">
      <c r="A1299" s="160"/>
      <c r="B1299" s="160"/>
      <c r="C1299" s="957"/>
      <c r="D1299" s="957" t="s">
        <v>1504</v>
      </c>
      <c r="E1299" s="235"/>
      <c r="F1299" s="235"/>
      <c r="G1299" s="235"/>
      <c r="H1299" s="235"/>
      <c r="I1299" s="141">
        <f t="shared" ref="I1299:R1299" si="59">I789</f>
        <v>67500</v>
      </c>
      <c r="J1299" s="141">
        <f t="shared" si="59"/>
        <v>72000</v>
      </c>
      <c r="K1299" s="141">
        <f t="shared" si="59"/>
        <v>36000</v>
      </c>
      <c r="L1299" s="141">
        <f t="shared" si="59"/>
        <v>36000</v>
      </c>
      <c r="M1299" s="141">
        <f t="shared" si="59"/>
        <v>72000</v>
      </c>
      <c r="N1299" s="141">
        <f t="shared" si="59"/>
        <v>48000</v>
      </c>
      <c r="O1299" s="141">
        <f t="shared" si="59"/>
        <v>0</v>
      </c>
      <c r="P1299" s="141">
        <f t="shared" si="59"/>
        <v>72000</v>
      </c>
      <c r="Q1299" s="141">
        <f t="shared" si="59"/>
        <v>72000</v>
      </c>
      <c r="R1299" s="141">
        <f t="shared" si="59"/>
        <v>72000</v>
      </c>
      <c r="S1299" s="239"/>
      <c r="T1299" s="1476"/>
      <c r="U1299" s="146"/>
      <c r="V1299" s="5"/>
      <c r="W1299" s="5"/>
      <c r="X1299" s="5"/>
      <c r="Y1299" s="5"/>
      <c r="Z1299" s="5"/>
    </row>
    <row r="1300" spans="1:26" s="4" customFormat="1" x14ac:dyDescent="0.25">
      <c r="A1300" s="160"/>
      <c r="B1300" s="160"/>
      <c r="C1300" s="957"/>
      <c r="D1300" s="957" t="s">
        <v>1505</v>
      </c>
      <c r="E1300" s="235"/>
      <c r="F1300" s="235"/>
      <c r="G1300" s="235"/>
      <c r="H1300" s="235"/>
      <c r="I1300" s="141">
        <f t="shared" ref="I1300:R1300" si="60">I855</f>
        <v>18000</v>
      </c>
      <c r="J1300" s="141">
        <f t="shared" si="60"/>
        <v>24000</v>
      </c>
      <c r="K1300" s="141">
        <f t="shared" si="60"/>
        <v>18000</v>
      </c>
      <c r="L1300" s="141">
        <f t="shared" si="60"/>
        <v>6000</v>
      </c>
      <c r="M1300" s="141">
        <f t="shared" si="60"/>
        <v>24000</v>
      </c>
      <c r="N1300" s="141">
        <f t="shared" si="60"/>
        <v>18000</v>
      </c>
      <c r="O1300" s="141">
        <f t="shared" si="60"/>
        <v>0</v>
      </c>
      <c r="P1300" s="141">
        <f t="shared" si="60"/>
        <v>24000</v>
      </c>
      <c r="Q1300" s="141">
        <f t="shared" si="60"/>
        <v>24000</v>
      </c>
      <c r="R1300" s="141">
        <f t="shared" si="60"/>
        <v>24000</v>
      </c>
      <c r="S1300" s="239"/>
      <c r="T1300" s="1476"/>
      <c r="U1300" s="146"/>
      <c r="V1300" s="5"/>
      <c r="W1300" s="5"/>
      <c r="X1300" s="5"/>
      <c r="Y1300" s="5"/>
      <c r="Z1300" s="5"/>
    </row>
    <row r="1301" spans="1:26" s="4" customFormat="1" x14ac:dyDescent="0.25">
      <c r="A1301" s="160"/>
      <c r="B1301" s="160"/>
      <c r="C1301" s="957"/>
      <c r="D1301" s="957" t="s">
        <v>1506</v>
      </c>
      <c r="E1301" s="235"/>
      <c r="F1301" s="235"/>
      <c r="G1301" s="235"/>
      <c r="H1301" s="235"/>
      <c r="I1301" s="141" t="e">
        <f>#REF!</f>
        <v>#REF!</v>
      </c>
      <c r="J1301" s="141" t="e">
        <f>#REF!</f>
        <v>#REF!</v>
      </c>
      <c r="K1301" s="141" t="e">
        <f>#REF!</f>
        <v>#REF!</v>
      </c>
      <c r="L1301" s="141" t="e">
        <f>#REF!</f>
        <v>#REF!</v>
      </c>
      <c r="M1301" s="141" t="e">
        <f>#REF!</f>
        <v>#REF!</v>
      </c>
      <c r="N1301" s="141" t="e">
        <f>#REF!</f>
        <v>#REF!</v>
      </c>
      <c r="O1301" s="141" t="e">
        <f>#REF!</f>
        <v>#REF!</v>
      </c>
      <c r="P1301" s="141" t="e">
        <f>#REF!</f>
        <v>#REF!</v>
      </c>
      <c r="Q1301" s="141" t="e">
        <f>#REF!</f>
        <v>#REF!</v>
      </c>
      <c r="R1301" s="141" t="e">
        <f>#REF!</f>
        <v>#REF!</v>
      </c>
      <c r="S1301" s="239"/>
      <c r="T1301" s="1476"/>
      <c r="U1301" s="146"/>
      <c r="V1301" s="5"/>
      <c r="W1301" s="5"/>
      <c r="X1301" s="5"/>
      <c r="Y1301" s="5"/>
      <c r="Z1301" s="5"/>
    </row>
    <row r="1302" spans="1:26" s="4" customFormat="1" x14ac:dyDescent="0.25">
      <c r="A1302" s="160"/>
      <c r="B1302" s="160"/>
      <c r="C1302" s="957"/>
      <c r="D1302" s="957" t="s">
        <v>1507</v>
      </c>
      <c r="E1302" s="235"/>
      <c r="F1302" s="235"/>
      <c r="G1302" s="235"/>
      <c r="H1302" s="235"/>
      <c r="I1302" s="141">
        <f t="shared" ref="I1302:R1302" si="61">I962</f>
        <v>6300</v>
      </c>
      <c r="J1302" s="141">
        <f t="shared" si="61"/>
        <v>7200</v>
      </c>
      <c r="K1302" s="141">
        <f t="shared" si="61"/>
        <v>3100</v>
      </c>
      <c r="L1302" s="141">
        <f t="shared" si="61"/>
        <v>4100</v>
      </c>
      <c r="M1302" s="141">
        <f t="shared" si="61"/>
        <v>7200</v>
      </c>
      <c r="N1302" s="141">
        <f t="shared" si="61"/>
        <v>4100</v>
      </c>
      <c r="O1302" s="141">
        <f t="shared" si="61"/>
        <v>0</v>
      </c>
      <c r="P1302" s="141">
        <f t="shared" si="61"/>
        <v>7200</v>
      </c>
      <c r="Q1302" s="141">
        <f t="shared" si="61"/>
        <v>7200</v>
      </c>
      <c r="R1302" s="141">
        <f t="shared" si="61"/>
        <v>7200</v>
      </c>
      <c r="S1302" s="239"/>
      <c r="T1302" s="1476"/>
      <c r="U1302" s="146"/>
      <c r="V1302" s="5"/>
      <c r="W1302" s="5"/>
      <c r="X1302" s="5"/>
      <c r="Y1302" s="5"/>
      <c r="Z1302" s="5"/>
    </row>
    <row r="1303" spans="1:26" s="4" customFormat="1" x14ac:dyDescent="0.25">
      <c r="A1303" s="160"/>
      <c r="B1303" s="160"/>
      <c r="C1303" s="957"/>
      <c r="D1303" s="957" t="s">
        <v>1993</v>
      </c>
      <c r="E1303" s="235"/>
      <c r="F1303" s="235"/>
      <c r="G1303" s="235"/>
      <c r="H1303" s="235"/>
      <c r="I1303" s="141">
        <f t="shared" ref="I1303:R1303" si="62">I1027</f>
        <v>1632584.72</v>
      </c>
      <c r="J1303" s="141">
        <f t="shared" si="62"/>
        <v>1820285.28</v>
      </c>
      <c r="K1303" s="141">
        <f t="shared" si="62"/>
        <v>813586.24</v>
      </c>
      <c r="L1303" s="141">
        <f t="shared" si="62"/>
        <v>1006699.04</v>
      </c>
      <c r="M1303" s="141">
        <f t="shared" si="62"/>
        <v>1820285.28</v>
      </c>
      <c r="N1303" s="141">
        <f t="shared" si="62"/>
        <v>1079573.23</v>
      </c>
      <c r="O1303" s="141">
        <f t="shared" si="62"/>
        <v>0</v>
      </c>
      <c r="P1303" s="141">
        <f t="shared" si="62"/>
        <v>1871350.56</v>
      </c>
      <c r="Q1303" s="141">
        <f t="shared" si="62"/>
        <v>1871350.56</v>
      </c>
      <c r="R1303" s="141">
        <f t="shared" si="62"/>
        <v>1821248.64</v>
      </c>
      <c r="S1303" s="239"/>
      <c r="T1303" s="1476"/>
      <c r="U1303" s="146"/>
      <c r="V1303" s="5"/>
      <c r="W1303" s="5"/>
      <c r="X1303" s="5"/>
      <c r="Y1303" s="5"/>
      <c r="Z1303" s="5"/>
    </row>
    <row r="1304" spans="1:26" s="4" customFormat="1" x14ac:dyDescent="0.25">
      <c r="A1304" s="160"/>
      <c r="B1304" s="160"/>
      <c r="C1304" s="957"/>
      <c r="D1304" s="957" t="s">
        <v>1994</v>
      </c>
      <c r="E1304" s="235"/>
      <c r="F1304" s="235"/>
      <c r="G1304" s="235"/>
      <c r="H1304" s="235"/>
      <c r="I1304" s="141">
        <f t="shared" ref="I1304:R1304" si="63">I1103</f>
        <v>5000</v>
      </c>
      <c r="J1304" s="141">
        <f t="shared" si="63"/>
        <v>5000</v>
      </c>
      <c r="K1304" s="141">
        <f t="shared" si="63"/>
        <v>0</v>
      </c>
      <c r="L1304" s="141">
        <f t="shared" si="63"/>
        <v>5000</v>
      </c>
      <c r="M1304" s="141">
        <f t="shared" si="63"/>
        <v>5000</v>
      </c>
      <c r="N1304" s="141">
        <f t="shared" si="63"/>
        <v>0</v>
      </c>
      <c r="O1304" s="141">
        <f t="shared" si="63"/>
        <v>0</v>
      </c>
      <c r="P1304" s="141">
        <f t="shared" si="63"/>
        <v>5000</v>
      </c>
      <c r="Q1304" s="141">
        <f t="shared" si="63"/>
        <v>5000</v>
      </c>
      <c r="R1304" s="141">
        <f t="shared" si="63"/>
        <v>5000</v>
      </c>
      <c r="S1304" s="239"/>
      <c r="T1304" s="1476"/>
      <c r="U1304" s="146"/>
      <c r="V1304" s="5"/>
      <c r="W1304" s="5"/>
      <c r="X1304" s="5"/>
      <c r="Y1304" s="5"/>
      <c r="Z1304" s="5"/>
    </row>
    <row r="1305" spans="1:26" s="4" customFormat="1" x14ac:dyDescent="0.25">
      <c r="A1305" s="160"/>
      <c r="B1305" s="160"/>
      <c r="C1305" s="957"/>
      <c r="D1305" s="957" t="s">
        <v>1995</v>
      </c>
      <c r="E1305" s="235"/>
      <c r="F1305" s="235"/>
      <c r="G1305" s="235"/>
      <c r="H1305" s="235"/>
      <c r="I1305" s="141">
        <f t="shared" ref="I1305:R1305" si="64">I1164</f>
        <v>26650</v>
      </c>
      <c r="J1305" s="141">
        <f t="shared" si="64"/>
        <v>54000</v>
      </c>
      <c r="K1305" s="141">
        <f t="shared" si="64"/>
        <v>11925</v>
      </c>
      <c r="L1305" s="141">
        <f t="shared" si="64"/>
        <v>42075</v>
      </c>
      <c r="M1305" s="141">
        <f t="shared" si="64"/>
        <v>54000</v>
      </c>
      <c r="N1305" s="141">
        <f t="shared" si="64"/>
        <v>14425</v>
      </c>
      <c r="O1305" s="141">
        <f t="shared" si="64"/>
        <v>0</v>
      </c>
      <c r="P1305" s="141">
        <f t="shared" si="64"/>
        <v>72000</v>
      </c>
      <c r="Q1305" s="141">
        <f t="shared" si="64"/>
        <v>72000</v>
      </c>
      <c r="R1305" s="141">
        <f t="shared" si="64"/>
        <v>54000</v>
      </c>
      <c r="S1305" s="239"/>
      <c r="T1305" s="1476"/>
      <c r="U1305" s="146"/>
      <c r="V1305" s="5"/>
      <c r="W1305" s="5"/>
      <c r="X1305" s="5"/>
      <c r="Y1305" s="5"/>
      <c r="Z1305" s="5"/>
    </row>
    <row r="1306" spans="1:26" s="4" customFormat="1" x14ac:dyDescent="0.25">
      <c r="A1306" s="160"/>
      <c r="B1306" s="160"/>
      <c r="C1306" s="957"/>
      <c r="D1306" s="957" t="s">
        <v>1510</v>
      </c>
      <c r="E1306" s="235"/>
      <c r="F1306" s="235"/>
      <c r="G1306" s="235"/>
      <c r="H1306" s="235"/>
      <c r="I1306" s="141" t="e">
        <f>#REF!</f>
        <v>#REF!</v>
      </c>
      <c r="J1306" s="141" t="e">
        <f>#REF!</f>
        <v>#REF!</v>
      </c>
      <c r="K1306" s="141" t="e">
        <f>#REF!</f>
        <v>#REF!</v>
      </c>
      <c r="L1306" s="141" t="e">
        <f>#REF!</f>
        <v>#REF!</v>
      </c>
      <c r="M1306" s="141" t="e">
        <f>#REF!</f>
        <v>#REF!</v>
      </c>
      <c r="N1306" s="141" t="e">
        <f>#REF!</f>
        <v>#REF!</v>
      </c>
      <c r="O1306" s="141" t="e">
        <f>#REF!</f>
        <v>#REF!</v>
      </c>
      <c r="P1306" s="141" t="e">
        <f>#REF!</f>
        <v>#REF!</v>
      </c>
      <c r="Q1306" s="141" t="e">
        <f>#REF!</f>
        <v>#REF!</v>
      </c>
      <c r="R1306" s="141" t="e">
        <f>#REF!</f>
        <v>#REF!</v>
      </c>
      <c r="S1306" s="239"/>
      <c r="T1306" s="1476"/>
      <c r="U1306" s="146"/>
      <c r="V1306" s="5"/>
      <c r="W1306" s="5"/>
      <c r="X1306" s="5"/>
      <c r="Y1306" s="5"/>
      <c r="Z1306" s="5"/>
    </row>
    <row r="1307" spans="1:26" s="4" customFormat="1" x14ac:dyDescent="0.25">
      <c r="A1307" s="160"/>
      <c r="B1307" s="160"/>
      <c r="C1307" s="957"/>
      <c r="D1307" s="957" t="s">
        <v>27</v>
      </c>
      <c r="E1307" s="235"/>
      <c r="F1307" s="235"/>
      <c r="G1307" s="235"/>
      <c r="H1307" s="235"/>
      <c r="I1307" s="141" t="e">
        <f>#REF!</f>
        <v>#REF!</v>
      </c>
      <c r="J1307" s="141" t="e">
        <f>#REF!</f>
        <v>#REF!</v>
      </c>
      <c r="K1307" s="141" t="e">
        <f>#REF!</f>
        <v>#REF!</v>
      </c>
      <c r="L1307" s="141" t="e">
        <f>#REF!</f>
        <v>#REF!</v>
      </c>
      <c r="M1307" s="141" t="e">
        <f>#REF!</f>
        <v>#REF!</v>
      </c>
      <c r="N1307" s="141" t="e">
        <f>#REF!</f>
        <v>#REF!</v>
      </c>
      <c r="O1307" s="141" t="e">
        <f>#REF!</f>
        <v>#REF!</v>
      </c>
      <c r="P1307" s="141" t="e">
        <f>#REF!</f>
        <v>#REF!</v>
      </c>
      <c r="Q1307" s="141" t="e">
        <f>#REF!</f>
        <v>#REF!</v>
      </c>
      <c r="R1307" s="141" t="e">
        <f>#REF!</f>
        <v>#REF!</v>
      </c>
      <c r="S1307" s="239"/>
      <c r="T1307" s="1476"/>
      <c r="U1307" s="146"/>
      <c r="V1307" s="5"/>
      <c r="W1307" s="5"/>
      <c r="X1307" s="5"/>
      <c r="Y1307" s="5"/>
      <c r="Z1307" s="5"/>
    </row>
    <row r="1308" spans="1:26" s="4" customFormat="1" x14ac:dyDescent="0.25">
      <c r="A1308" s="160"/>
      <c r="B1308" s="160"/>
      <c r="C1308" s="957"/>
      <c r="D1308" s="957" t="s">
        <v>28</v>
      </c>
      <c r="E1308" s="235"/>
      <c r="F1308" s="235"/>
      <c r="G1308" s="235"/>
      <c r="H1308" s="235"/>
      <c r="I1308" s="141" t="e">
        <f>#REF!</f>
        <v>#REF!</v>
      </c>
      <c r="J1308" s="141" t="e">
        <f>#REF!</f>
        <v>#REF!</v>
      </c>
      <c r="K1308" s="141" t="e">
        <f>#REF!</f>
        <v>#REF!</v>
      </c>
      <c r="L1308" s="141" t="e">
        <f>#REF!</f>
        <v>#REF!</v>
      </c>
      <c r="M1308" s="141" t="e">
        <f>#REF!</f>
        <v>#REF!</v>
      </c>
      <c r="N1308" s="141" t="e">
        <f>#REF!</f>
        <v>#REF!</v>
      </c>
      <c r="O1308" s="141" t="e">
        <f>#REF!</f>
        <v>#REF!</v>
      </c>
      <c r="P1308" s="141" t="e">
        <f>#REF!</f>
        <v>#REF!</v>
      </c>
      <c r="Q1308" s="141" t="e">
        <f>#REF!</f>
        <v>#REF!</v>
      </c>
      <c r="R1308" s="141" t="e">
        <f>#REF!</f>
        <v>#REF!</v>
      </c>
      <c r="S1308" s="239"/>
      <c r="T1308" s="1476"/>
      <c r="U1308" s="146"/>
      <c r="V1308" s="5"/>
      <c r="W1308" s="5"/>
      <c r="X1308" s="5"/>
      <c r="Y1308" s="5"/>
      <c r="Z1308" s="5"/>
    </row>
    <row r="1309" spans="1:26" s="4" customFormat="1" x14ac:dyDescent="0.25">
      <c r="A1309" s="160"/>
      <c r="B1309" s="160"/>
      <c r="C1309" s="957"/>
      <c r="D1309" s="957" t="s">
        <v>29</v>
      </c>
      <c r="E1309" s="235"/>
      <c r="F1309" s="235"/>
      <c r="G1309" s="235"/>
      <c r="H1309" s="235"/>
      <c r="I1309" s="141" t="e">
        <f>#REF!</f>
        <v>#REF!</v>
      </c>
      <c r="J1309" s="141" t="e">
        <f>#REF!</f>
        <v>#REF!</v>
      </c>
      <c r="K1309" s="141" t="e">
        <f>#REF!</f>
        <v>#REF!</v>
      </c>
      <c r="L1309" s="141" t="e">
        <f>#REF!</f>
        <v>#REF!</v>
      </c>
      <c r="M1309" s="141" t="e">
        <f>#REF!</f>
        <v>#REF!</v>
      </c>
      <c r="N1309" s="141" t="e">
        <f>#REF!</f>
        <v>#REF!</v>
      </c>
      <c r="O1309" s="141" t="e">
        <f>#REF!</f>
        <v>#REF!</v>
      </c>
      <c r="P1309" s="141" t="e">
        <f>#REF!</f>
        <v>#REF!</v>
      </c>
      <c r="Q1309" s="141" t="e">
        <f>#REF!</f>
        <v>#REF!</v>
      </c>
      <c r="R1309" s="141" t="e">
        <f>#REF!</f>
        <v>#REF!</v>
      </c>
      <c r="S1309" s="239"/>
      <c r="T1309" s="1476"/>
      <c r="U1309" s="146"/>
      <c r="V1309" s="5"/>
      <c r="W1309" s="5"/>
      <c r="X1309" s="5"/>
      <c r="Y1309" s="5"/>
      <c r="Z1309" s="5"/>
    </row>
    <row r="1310" spans="1:26" s="4" customFormat="1" x14ac:dyDescent="0.25">
      <c r="A1310" s="160"/>
      <c r="B1310" s="160"/>
      <c r="C1310" s="957"/>
      <c r="D1310" s="957" t="s">
        <v>31</v>
      </c>
      <c r="E1310" s="235"/>
      <c r="F1310" s="235"/>
      <c r="G1310" s="235"/>
      <c r="H1310" s="235"/>
      <c r="I1310" s="141" t="e">
        <f>#REF!</f>
        <v>#REF!</v>
      </c>
      <c r="J1310" s="141" t="e">
        <f>#REF!</f>
        <v>#REF!</v>
      </c>
      <c r="K1310" s="141" t="e">
        <f>#REF!</f>
        <v>#REF!</v>
      </c>
      <c r="L1310" s="141" t="e">
        <f>#REF!</f>
        <v>#REF!</v>
      </c>
      <c r="M1310" s="141" t="e">
        <f>#REF!</f>
        <v>#REF!</v>
      </c>
      <c r="N1310" s="141" t="e">
        <f>#REF!</f>
        <v>#REF!</v>
      </c>
      <c r="O1310" s="141" t="e">
        <f>#REF!</f>
        <v>#REF!</v>
      </c>
      <c r="P1310" s="141" t="e">
        <f>#REF!</f>
        <v>#REF!</v>
      </c>
      <c r="Q1310" s="141" t="e">
        <f>#REF!</f>
        <v>#REF!</v>
      </c>
      <c r="R1310" s="141" t="e">
        <f>#REF!</f>
        <v>#REF!</v>
      </c>
      <c r="S1310" s="239"/>
      <c r="T1310" s="1476"/>
      <c r="U1310" s="146"/>
      <c r="V1310" s="5"/>
      <c r="W1310" s="5"/>
      <c r="X1310" s="5"/>
      <c r="Y1310" s="5"/>
      <c r="Z1310" s="5"/>
    </row>
    <row r="1311" spans="1:26" s="4" customFormat="1" x14ac:dyDescent="0.25">
      <c r="A1311" s="160"/>
      <c r="B1311" s="160"/>
      <c r="C1311" s="957"/>
      <c r="D1311" s="957" t="s">
        <v>32</v>
      </c>
      <c r="E1311" s="235"/>
      <c r="F1311" s="235"/>
      <c r="G1311" s="235"/>
      <c r="H1311" s="235"/>
      <c r="I1311" s="141" t="e">
        <f>#REF!</f>
        <v>#REF!</v>
      </c>
      <c r="J1311" s="141" t="e">
        <f>#REF!</f>
        <v>#REF!</v>
      </c>
      <c r="K1311" s="141" t="e">
        <f>#REF!</f>
        <v>#REF!</v>
      </c>
      <c r="L1311" s="141" t="e">
        <f>#REF!</f>
        <v>#REF!</v>
      </c>
      <c r="M1311" s="141" t="e">
        <f>#REF!</f>
        <v>#REF!</v>
      </c>
      <c r="N1311" s="141" t="e">
        <f>#REF!</f>
        <v>#REF!</v>
      </c>
      <c r="O1311" s="141" t="e">
        <f>#REF!</f>
        <v>#REF!</v>
      </c>
      <c r="P1311" s="141" t="e">
        <f>#REF!</f>
        <v>#REF!</v>
      </c>
      <c r="Q1311" s="141" t="e">
        <f>#REF!</f>
        <v>#REF!</v>
      </c>
      <c r="R1311" s="141" t="e">
        <f>#REF!</f>
        <v>#REF!</v>
      </c>
      <c r="S1311" s="239"/>
      <c r="T1311" s="1476"/>
      <c r="U1311" s="146"/>
      <c r="V1311" s="5"/>
      <c r="W1311" s="5"/>
      <c r="X1311" s="5"/>
      <c r="Y1311" s="5"/>
      <c r="Z1311" s="5"/>
    </row>
    <row r="1312" spans="1:26" s="4" customFormat="1" x14ac:dyDescent="0.25">
      <c r="A1312" s="160"/>
      <c r="B1312" s="160"/>
      <c r="C1312" s="957"/>
      <c r="D1312" s="957" t="s">
        <v>33</v>
      </c>
      <c r="E1312" s="235"/>
      <c r="F1312" s="235"/>
      <c r="G1312" s="235"/>
      <c r="H1312" s="235"/>
      <c r="I1312" s="141" t="e">
        <f>#REF!</f>
        <v>#REF!</v>
      </c>
      <c r="J1312" s="141" t="e">
        <f>#REF!</f>
        <v>#REF!</v>
      </c>
      <c r="K1312" s="141" t="e">
        <f>#REF!</f>
        <v>#REF!</v>
      </c>
      <c r="L1312" s="141" t="e">
        <f>#REF!</f>
        <v>#REF!</v>
      </c>
      <c r="M1312" s="141" t="e">
        <f>#REF!</f>
        <v>#REF!</v>
      </c>
      <c r="N1312" s="141" t="e">
        <f>#REF!</f>
        <v>#REF!</v>
      </c>
      <c r="O1312" s="141" t="e">
        <f>#REF!</f>
        <v>#REF!</v>
      </c>
      <c r="P1312" s="141" t="e">
        <f>#REF!</f>
        <v>#REF!</v>
      </c>
      <c r="Q1312" s="141" t="e">
        <f>#REF!</f>
        <v>#REF!</v>
      </c>
      <c r="R1312" s="141" t="e">
        <f>#REF!</f>
        <v>#REF!</v>
      </c>
      <c r="S1312" s="239"/>
      <c r="T1312" s="1476"/>
      <c r="U1312" s="146"/>
      <c r="V1312" s="5"/>
      <c r="W1312" s="5"/>
      <c r="X1312" s="5"/>
      <c r="Y1312" s="5"/>
      <c r="Z1312" s="5"/>
    </row>
    <row r="1313" spans="1:26" s="4" customFormat="1" x14ac:dyDescent="0.25">
      <c r="A1313" s="160"/>
      <c r="B1313" s="160"/>
      <c r="C1313" s="957"/>
      <c r="D1313" s="957" t="s">
        <v>1996</v>
      </c>
      <c r="E1313" s="235"/>
      <c r="F1313" s="235"/>
      <c r="G1313" s="235"/>
      <c r="H1313" s="235"/>
      <c r="I1313" s="141" t="e">
        <f>#REF!</f>
        <v>#REF!</v>
      </c>
      <c r="J1313" s="141" t="e">
        <f>#REF!</f>
        <v>#REF!</v>
      </c>
      <c r="K1313" s="141" t="e">
        <f>#REF!</f>
        <v>#REF!</v>
      </c>
      <c r="L1313" s="141" t="e">
        <f>#REF!</f>
        <v>#REF!</v>
      </c>
      <c r="M1313" s="141" t="e">
        <f>#REF!</f>
        <v>#REF!</v>
      </c>
      <c r="N1313" s="141" t="e">
        <f>#REF!</f>
        <v>#REF!</v>
      </c>
      <c r="O1313" s="141" t="e">
        <f>#REF!</f>
        <v>#REF!</v>
      </c>
      <c r="P1313" s="141" t="e">
        <f>#REF!</f>
        <v>#REF!</v>
      </c>
      <c r="Q1313" s="141" t="e">
        <f>#REF!</f>
        <v>#REF!</v>
      </c>
      <c r="R1313" s="141" t="e">
        <f>#REF!</f>
        <v>#REF!</v>
      </c>
      <c r="S1313" s="239"/>
      <c r="T1313" s="1476"/>
      <c r="U1313" s="146"/>
      <c r="V1313" s="5"/>
      <c r="W1313" s="5"/>
      <c r="X1313" s="5"/>
      <c r="Y1313" s="5"/>
      <c r="Z1313" s="5"/>
    </row>
    <row r="1314" spans="1:26" s="4" customFormat="1" x14ac:dyDescent="0.25">
      <c r="A1314" s="160"/>
      <c r="B1314" s="160"/>
      <c r="C1314" s="957"/>
      <c r="D1314" s="957" t="s">
        <v>35</v>
      </c>
      <c r="E1314" s="235"/>
      <c r="F1314" s="235"/>
      <c r="G1314" s="235"/>
      <c r="H1314" s="235"/>
      <c r="I1314" s="141" t="e">
        <f>#REF!</f>
        <v>#REF!</v>
      </c>
      <c r="J1314" s="141" t="e">
        <f>#REF!</f>
        <v>#REF!</v>
      </c>
      <c r="K1314" s="141" t="e">
        <f>#REF!</f>
        <v>#REF!</v>
      </c>
      <c r="L1314" s="141" t="e">
        <f>#REF!</f>
        <v>#REF!</v>
      </c>
      <c r="M1314" s="141" t="e">
        <f>#REF!</f>
        <v>#REF!</v>
      </c>
      <c r="N1314" s="141" t="e">
        <f>#REF!</f>
        <v>#REF!</v>
      </c>
      <c r="O1314" s="141" t="e">
        <f>#REF!</f>
        <v>#REF!</v>
      </c>
      <c r="P1314" s="141" t="e">
        <f>#REF!</f>
        <v>#REF!</v>
      </c>
      <c r="Q1314" s="141" t="e">
        <f>#REF!</f>
        <v>#REF!</v>
      </c>
      <c r="R1314" s="141" t="e">
        <f>#REF!</f>
        <v>#REF!</v>
      </c>
      <c r="S1314" s="239"/>
      <c r="T1314" s="1476"/>
      <c r="U1314" s="146"/>
      <c r="V1314" s="5"/>
      <c r="W1314" s="5"/>
      <c r="X1314" s="5"/>
      <c r="Y1314" s="5"/>
      <c r="Z1314" s="5"/>
    </row>
    <row r="1315" spans="1:26" s="4" customFormat="1" x14ac:dyDescent="0.25">
      <c r="A1315" s="160"/>
      <c r="B1315" s="160"/>
      <c r="C1315" s="957"/>
      <c r="D1315" s="957" t="s">
        <v>1322</v>
      </c>
      <c r="E1315" s="235"/>
      <c r="F1315" s="235"/>
      <c r="G1315" s="235"/>
      <c r="H1315" s="235"/>
      <c r="I1315" s="141" t="e">
        <f>#REF!</f>
        <v>#REF!</v>
      </c>
      <c r="J1315" s="141" t="e">
        <f>#REF!</f>
        <v>#REF!</v>
      </c>
      <c r="K1315" s="141" t="e">
        <f>#REF!</f>
        <v>#REF!</v>
      </c>
      <c r="L1315" s="141" t="e">
        <f>#REF!</f>
        <v>#REF!</v>
      </c>
      <c r="M1315" s="141" t="e">
        <f>#REF!</f>
        <v>#REF!</v>
      </c>
      <c r="N1315" s="141" t="e">
        <f>#REF!</f>
        <v>#REF!</v>
      </c>
      <c r="O1315" s="141" t="e">
        <f>#REF!</f>
        <v>#REF!</v>
      </c>
      <c r="P1315" s="141" t="e">
        <f>#REF!</f>
        <v>#REF!</v>
      </c>
      <c r="Q1315" s="141" t="e">
        <f>#REF!</f>
        <v>#REF!</v>
      </c>
      <c r="R1315" s="141" t="e">
        <f>#REF!</f>
        <v>#REF!</v>
      </c>
      <c r="S1315" s="239"/>
      <c r="T1315" s="1476"/>
      <c r="U1315" s="146"/>
      <c r="V1315" s="5"/>
      <c r="W1315" s="5"/>
      <c r="X1315" s="5"/>
      <c r="Y1315" s="5"/>
      <c r="Z1315" s="5"/>
    </row>
    <row r="1316" spans="1:26" s="4" customFormat="1" x14ac:dyDescent="0.25">
      <c r="A1316" s="160"/>
      <c r="B1316" s="160"/>
      <c r="C1316" s="957"/>
      <c r="D1316" s="957" t="s">
        <v>1997</v>
      </c>
      <c r="E1316" s="235"/>
      <c r="F1316" s="235"/>
      <c r="G1316" s="235"/>
      <c r="H1316" s="235"/>
      <c r="I1316" s="141" t="e">
        <f>#REF!</f>
        <v>#REF!</v>
      </c>
      <c r="J1316" s="141" t="e">
        <f>#REF!</f>
        <v>#REF!</v>
      </c>
      <c r="K1316" s="141" t="e">
        <f>#REF!</f>
        <v>#REF!</v>
      </c>
      <c r="L1316" s="141" t="e">
        <f>#REF!</f>
        <v>#REF!</v>
      </c>
      <c r="M1316" s="141" t="e">
        <f>#REF!</f>
        <v>#REF!</v>
      </c>
      <c r="N1316" s="141" t="e">
        <f>#REF!</f>
        <v>#REF!</v>
      </c>
      <c r="O1316" s="141" t="e">
        <f>#REF!</f>
        <v>#REF!</v>
      </c>
      <c r="P1316" s="141" t="e">
        <f>#REF!</f>
        <v>#REF!</v>
      </c>
      <c r="Q1316" s="141" t="e">
        <f>#REF!</f>
        <v>#REF!</v>
      </c>
      <c r="R1316" s="141" t="e">
        <f>#REF!</f>
        <v>#REF!</v>
      </c>
      <c r="S1316" s="239"/>
      <c r="T1316" s="1476"/>
      <c r="U1316" s="146"/>
      <c r="V1316" s="5"/>
      <c r="W1316" s="5"/>
      <c r="X1316" s="5"/>
      <c r="Y1316" s="5"/>
      <c r="Z1316" s="5"/>
    </row>
    <row r="1317" spans="1:26" s="4" customFormat="1" x14ac:dyDescent="0.25">
      <c r="A1317" s="160"/>
      <c r="B1317" s="160"/>
      <c r="C1317" s="957"/>
      <c r="D1317" s="957" t="s">
        <v>1998</v>
      </c>
      <c r="E1317" s="235"/>
      <c r="F1317" s="235"/>
      <c r="G1317" s="235"/>
      <c r="H1317" s="235"/>
      <c r="I1317" s="141" t="e">
        <f>#REF!</f>
        <v>#REF!</v>
      </c>
      <c r="J1317" s="141" t="e">
        <f>#REF!</f>
        <v>#REF!</v>
      </c>
      <c r="K1317" s="141" t="e">
        <f>#REF!</f>
        <v>#REF!</v>
      </c>
      <c r="L1317" s="141" t="e">
        <f>#REF!</f>
        <v>#REF!</v>
      </c>
      <c r="M1317" s="141" t="e">
        <f>#REF!</f>
        <v>#REF!</v>
      </c>
      <c r="N1317" s="141" t="e">
        <f>#REF!</f>
        <v>#REF!</v>
      </c>
      <c r="O1317" s="141" t="e">
        <f>#REF!</f>
        <v>#REF!</v>
      </c>
      <c r="P1317" s="141" t="e">
        <f>#REF!</f>
        <v>#REF!</v>
      </c>
      <c r="Q1317" s="141" t="e">
        <f>#REF!</f>
        <v>#REF!</v>
      </c>
      <c r="R1317" s="141" t="e">
        <f>#REF!</f>
        <v>#REF!</v>
      </c>
      <c r="S1317" s="239"/>
      <c r="T1317" s="1476"/>
      <c r="U1317" s="146"/>
      <c r="V1317" s="5"/>
      <c r="W1317" s="5"/>
      <c r="X1317" s="5"/>
      <c r="Y1317" s="5"/>
      <c r="Z1317" s="5"/>
    </row>
    <row r="1318" spans="1:26" s="4" customFormat="1" x14ac:dyDescent="0.25">
      <c r="A1318" s="160"/>
      <c r="B1318" s="160"/>
      <c r="C1318" s="957"/>
      <c r="D1318" s="957" t="s">
        <v>40</v>
      </c>
      <c r="E1318" s="235"/>
      <c r="F1318" s="235"/>
      <c r="G1318" s="235"/>
      <c r="H1318" s="235"/>
      <c r="I1318" s="141" t="e">
        <f>#REF!</f>
        <v>#REF!</v>
      </c>
      <c r="J1318" s="141" t="e">
        <f>#REF!</f>
        <v>#REF!</v>
      </c>
      <c r="K1318" s="141" t="e">
        <f>#REF!</f>
        <v>#REF!</v>
      </c>
      <c r="L1318" s="141" t="e">
        <f>#REF!</f>
        <v>#REF!</v>
      </c>
      <c r="M1318" s="141" t="e">
        <f>#REF!</f>
        <v>#REF!</v>
      </c>
      <c r="N1318" s="141" t="e">
        <f>#REF!</f>
        <v>#REF!</v>
      </c>
      <c r="O1318" s="141" t="e">
        <f>#REF!</f>
        <v>#REF!</v>
      </c>
      <c r="P1318" s="141" t="e">
        <f>#REF!</f>
        <v>#REF!</v>
      </c>
      <c r="Q1318" s="141" t="e">
        <f>#REF!</f>
        <v>#REF!</v>
      </c>
      <c r="R1318" s="141" t="e">
        <f>#REF!</f>
        <v>#REF!</v>
      </c>
      <c r="S1318" s="239"/>
      <c r="T1318" s="1476"/>
      <c r="U1318" s="146"/>
      <c r="V1318" s="5"/>
      <c r="W1318" s="5"/>
      <c r="X1318" s="5"/>
      <c r="Y1318" s="5"/>
      <c r="Z1318" s="5"/>
    </row>
    <row r="1319" spans="1:26" s="4" customFormat="1" x14ac:dyDescent="0.25">
      <c r="A1319" s="160"/>
      <c r="B1319" s="160"/>
      <c r="C1319" s="957"/>
      <c r="D1319" s="957" t="s">
        <v>1999</v>
      </c>
      <c r="E1319" s="235"/>
      <c r="F1319" s="235"/>
      <c r="G1319" s="235"/>
      <c r="H1319" s="235"/>
      <c r="I1319" s="141" t="e">
        <f>#REF!</f>
        <v>#REF!</v>
      </c>
      <c r="J1319" s="141" t="e">
        <f>#REF!</f>
        <v>#REF!</v>
      </c>
      <c r="K1319" s="141" t="e">
        <f>#REF!</f>
        <v>#REF!</v>
      </c>
      <c r="L1319" s="141" t="e">
        <f>#REF!</f>
        <v>#REF!</v>
      </c>
      <c r="M1319" s="141" t="e">
        <f>#REF!</f>
        <v>#REF!</v>
      </c>
      <c r="N1319" s="141" t="e">
        <f>#REF!</f>
        <v>#REF!</v>
      </c>
      <c r="O1319" s="141" t="e">
        <f>#REF!</f>
        <v>#REF!</v>
      </c>
      <c r="P1319" s="141" t="e">
        <f>#REF!</f>
        <v>#REF!</v>
      </c>
      <c r="Q1319" s="141" t="e">
        <f>#REF!</f>
        <v>#REF!</v>
      </c>
      <c r="R1319" s="141" t="e">
        <f>#REF!</f>
        <v>#REF!</v>
      </c>
      <c r="S1319" s="239"/>
      <c r="T1319" s="1476"/>
      <c r="U1319" s="146"/>
      <c r="V1319" s="5"/>
      <c r="W1319" s="5"/>
      <c r="X1319" s="5"/>
      <c r="Y1319" s="5"/>
      <c r="Z1319" s="5"/>
    </row>
    <row r="1320" spans="1:26" s="4" customFormat="1" x14ac:dyDescent="0.25">
      <c r="A1320" s="160"/>
      <c r="B1320" s="160"/>
      <c r="C1320" s="1294"/>
      <c r="D1320" s="1294" t="s">
        <v>2004</v>
      </c>
      <c r="E1320" s="235"/>
      <c r="F1320" s="235"/>
      <c r="G1320" s="235"/>
      <c r="H1320" s="235"/>
      <c r="I1320" s="126" t="e">
        <f>SUM(I1290:I1319)</f>
        <v>#REF!</v>
      </c>
      <c r="J1320" s="126" t="e">
        <f t="shared" ref="J1320:R1320" si="65">SUM(J1290:J1319)</f>
        <v>#REF!</v>
      </c>
      <c r="K1320" s="126" t="e">
        <f t="shared" si="65"/>
        <v>#REF!</v>
      </c>
      <c r="L1320" s="126" t="e">
        <f t="shared" si="65"/>
        <v>#REF!</v>
      </c>
      <c r="M1320" s="126" t="e">
        <f t="shared" si="65"/>
        <v>#REF!</v>
      </c>
      <c r="N1320" s="126" t="e">
        <f t="shared" si="65"/>
        <v>#REF!</v>
      </c>
      <c r="O1320" s="126" t="e">
        <f t="shared" si="65"/>
        <v>#REF!</v>
      </c>
      <c r="P1320" s="126" t="e">
        <f t="shared" si="65"/>
        <v>#REF!</v>
      </c>
      <c r="Q1320" s="126" t="e">
        <f t="shared" si="65"/>
        <v>#REF!</v>
      </c>
      <c r="R1320" s="126" t="e">
        <f t="shared" si="65"/>
        <v>#REF!</v>
      </c>
      <c r="S1320" s="239"/>
      <c r="T1320" s="1476"/>
      <c r="U1320" s="146"/>
      <c r="V1320" s="5"/>
      <c r="W1320" s="5"/>
      <c r="X1320" s="5"/>
      <c r="Y1320" s="5"/>
      <c r="Z1320" s="5"/>
    </row>
    <row r="1321" spans="1:26" s="4" customFormat="1" x14ac:dyDescent="0.25">
      <c r="A1321" s="160"/>
      <c r="B1321" s="160"/>
      <c r="C1321" s="1294"/>
      <c r="D1321" s="1294"/>
      <c r="E1321" s="235"/>
      <c r="F1321" s="235"/>
      <c r="G1321" s="235"/>
      <c r="H1321" s="235"/>
      <c r="I1321" s="160"/>
      <c r="J1321" s="160"/>
      <c r="K1321" s="160"/>
      <c r="L1321" s="160"/>
      <c r="M1321" s="160"/>
      <c r="N1321" s="160"/>
      <c r="O1321" s="160"/>
      <c r="P1321" s="160"/>
      <c r="Q1321" s="160"/>
      <c r="R1321" s="161"/>
      <c r="S1321" s="239"/>
      <c r="T1321" s="1476"/>
      <c r="U1321" s="146"/>
      <c r="V1321" s="5"/>
      <c r="W1321" s="5"/>
      <c r="X1321" s="5"/>
      <c r="Y1321" s="5"/>
      <c r="Z1321" s="5"/>
    </row>
    <row r="1322" spans="1:26" s="4" customFormat="1" x14ac:dyDescent="0.25">
      <c r="A1322" s="160"/>
      <c r="B1322" s="160"/>
      <c r="C1322" s="1294"/>
      <c r="D1322" s="1294" t="s">
        <v>1318</v>
      </c>
      <c r="E1322" s="235"/>
      <c r="F1322" s="235"/>
      <c r="G1322" s="235"/>
      <c r="H1322" s="235"/>
      <c r="I1322" s="160"/>
      <c r="J1322" s="160"/>
      <c r="K1322" s="160"/>
      <c r="L1322" s="160"/>
      <c r="M1322" s="160"/>
      <c r="N1322" s="160"/>
      <c r="O1322" s="160"/>
      <c r="P1322" s="160"/>
      <c r="Q1322" s="160"/>
      <c r="R1322" s="160"/>
      <c r="S1322" s="239"/>
      <c r="T1322" s="1476"/>
      <c r="U1322" s="146"/>
      <c r="V1322" s="5"/>
      <c r="W1322" s="5"/>
      <c r="X1322" s="5"/>
      <c r="Y1322" s="5"/>
      <c r="Z1322" s="5"/>
    </row>
    <row r="1323" spans="1:26" s="4" customFormat="1" x14ac:dyDescent="0.25">
      <c r="A1323" s="160"/>
      <c r="B1323" s="160"/>
      <c r="C1323" s="957"/>
      <c r="D1323" s="957" t="s">
        <v>2001</v>
      </c>
      <c r="E1323" s="235"/>
      <c r="F1323" s="235"/>
      <c r="G1323" s="235"/>
      <c r="H1323" s="235"/>
      <c r="I1323" s="141" t="e">
        <f>#REF!</f>
        <v>#REF!</v>
      </c>
      <c r="J1323" s="141" t="e">
        <f>#REF!</f>
        <v>#REF!</v>
      </c>
      <c r="K1323" s="141" t="e">
        <f>#REF!</f>
        <v>#REF!</v>
      </c>
      <c r="L1323" s="141" t="e">
        <f>#REF!</f>
        <v>#REF!</v>
      </c>
      <c r="M1323" s="141" t="e">
        <f>#REF!</f>
        <v>#REF!</v>
      </c>
      <c r="N1323" s="141" t="e">
        <f>#REF!</f>
        <v>#REF!</v>
      </c>
      <c r="O1323" s="141" t="e">
        <f>#REF!</f>
        <v>#REF!</v>
      </c>
      <c r="P1323" s="141" t="e">
        <f>#REF!</f>
        <v>#REF!</v>
      </c>
      <c r="Q1323" s="141" t="e">
        <f>#REF!</f>
        <v>#REF!</v>
      </c>
      <c r="R1323" s="141" t="e">
        <f>#REF!</f>
        <v>#REF!</v>
      </c>
      <c r="S1323" s="239"/>
      <c r="T1323" s="1476"/>
      <c r="U1323" s="146"/>
      <c r="V1323" s="5"/>
      <c r="W1323" s="5"/>
      <c r="X1323" s="5"/>
      <c r="Y1323" s="5"/>
      <c r="Z1323" s="5"/>
    </row>
    <row r="1324" spans="1:26" s="4" customFormat="1" x14ac:dyDescent="0.25">
      <c r="A1324" s="160"/>
      <c r="B1324" s="160"/>
      <c r="C1324" s="957"/>
      <c r="D1324" s="957" t="s">
        <v>1325</v>
      </c>
      <c r="E1324" s="235"/>
      <c r="F1324" s="235"/>
      <c r="G1324" s="235"/>
      <c r="H1324" s="235"/>
      <c r="I1324" s="141" t="e">
        <f>#REF!</f>
        <v>#REF!</v>
      </c>
      <c r="J1324" s="141" t="e">
        <f>#REF!</f>
        <v>#REF!</v>
      </c>
      <c r="K1324" s="141" t="e">
        <f>#REF!</f>
        <v>#REF!</v>
      </c>
      <c r="L1324" s="141" t="e">
        <f>#REF!</f>
        <v>#REF!</v>
      </c>
      <c r="M1324" s="141" t="e">
        <f>#REF!</f>
        <v>#REF!</v>
      </c>
      <c r="N1324" s="141" t="e">
        <f>#REF!</f>
        <v>#REF!</v>
      </c>
      <c r="O1324" s="141" t="e">
        <f>#REF!</f>
        <v>#REF!</v>
      </c>
      <c r="P1324" s="141" t="e">
        <f>#REF!</f>
        <v>#REF!</v>
      </c>
      <c r="Q1324" s="141" t="e">
        <f>#REF!</f>
        <v>#REF!</v>
      </c>
      <c r="R1324" s="141" t="e">
        <f>#REF!</f>
        <v>#REF!</v>
      </c>
      <c r="S1324" s="239"/>
      <c r="T1324" s="1476"/>
      <c r="U1324" s="146"/>
      <c r="V1324" s="5"/>
      <c r="W1324" s="5"/>
      <c r="X1324" s="5"/>
      <c r="Y1324" s="5"/>
      <c r="Z1324" s="5"/>
    </row>
    <row r="1325" spans="1:26" s="4" customFormat="1" x14ac:dyDescent="0.25">
      <c r="A1325" s="160"/>
      <c r="B1325" s="160"/>
      <c r="C1325" s="957"/>
      <c r="D1325" s="957" t="s">
        <v>1326</v>
      </c>
      <c r="E1325" s="235"/>
      <c r="F1325" s="235"/>
      <c r="G1325" s="235"/>
      <c r="H1325" s="235"/>
      <c r="I1325" s="141" t="e">
        <f>#REF!</f>
        <v>#REF!</v>
      </c>
      <c r="J1325" s="141" t="e">
        <f>#REF!</f>
        <v>#REF!</v>
      </c>
      <c r="K1325" s="141" t="e">
        <f>#REF!</f>
        <v>#REF!</v>
      </c>
      <c r="L1325" s="141" t="e">
        <f>#REF!</f>
        <v>#REF!</v>
      </c>
      <c r="M1325" s="141" t="e">
        <f>#REF!</f>
        <v>#REF!</v>
      </c>
      <c r="N1325" s="141" t="e">
        <f>#REF!</f>
        <v>#REF!</v>
      </c>
      <c r="O1325" s="141" t="e">
        <f>#REF!</f>
        <v>#REF!</v>
      </c>
      <c r="P1325" s="141" t="e">
        <f>#REF!</f>
        <v>#REF!</v>
      </c>
      <c r="Q1325" s="141" t="e">
        <f>#REF!</f>
        <v>#REF!</v>
      </c>
      <c r="R1325" s="141" t="e">
        <f>#REF!</f>
        <v>#REF!</v>
      </c>
      <c r="S1325" s="239"/>
      <c r="T1325" s="1476"/>
      <c r="U1325" s="146"/>
      <c r="V1325" s="5"/>
      <c r="W1325" s="5"/>
      <c r="X1325" s="5"/>
      <c r="Y1325" s="5"/>
      <c r="Z1325" s="5"/>
    </row>
    <row r="1326" spans="1:26" s="4" customFormat="1" x14ac:dyDescent="0.25">
      <c r="A1326" s="160"/>
      <c r="B1326" s="160"/>
      <c r="C1326" s="1294"/>
      <c r="D1326" s="1294" t="s">
        <v>2005</v>
      </c>
      <c r="E1326" s="235"/>
      <c r="F1326" s="235"/>
      <c r="G1326" s="235"/>
      <c r="H1326" s="235"/>
      <c r="I1326" s="126" t="e">
        <f>SUM(I1323:I1325)</f>
        <v>#REF!</v>
      </c>
      <c r="J1326" s="126" t="e">
        <f t="shared" ref="J1326:R1326" si="66">SUM(J1323:J1325)</f>
        <v>#REF!</v>
      </c>
      <c r="K1326" s="126" t="e">
        <f t="shared" si="66"/>
        <v>#REF!</v>
      </c>
      <c r="L1326" s="126" t="e">
        <f t="shared" si="66"/>
        <v>#REF!</v>
      </c>
      <c r="M1326" s="126" t="e">
        <f t="shared" si="66"/>
        <v>#REF!</v>
      </c>
      <c r="N1326" s="126" t="e">
        <f t="shared" si="66"/>
        <v>#REF!</v>
      </c>
      <c r="O1326" s="126" t="e">
        <f t="shared" si="66"/>
        <v>#REF!</v>
      </c>
      <c r="P1326" s="126" t="e">
        <f t="shared" si="66"/>
        <v>#REF!</v>
      </c>
      <c r="Q1326" s="126" t="e">
        <f t="shared" si="66"/>
        <v>#REF!</v>
      </c>
      <c r="R1326" s="126" t="e">
        <f t="shared" si="66"/>
        <v>#REF!</v>
      </c>
      <c r="S1326" s="239"/>
      <c r="T1326" s="1476"/>
      <c r="U1326" s="146"/>
      <c r="V1326" s="5"/>
      <c r="W1326" s="5"/>
      <c r="X1326" s="5"/>
      <c r="Y1326" s="5"/>
      <c r="Z1326" s="5"/>
    </row>
    <row r="1327" spans="1:26" s="4" customFormat="1" x14ac:dyDescent="0.25">
      <c r="A1327" s="160"/>
      <c r="B1327" s="160"/>
      <c r="C1327" s="1294"/>
      <c r="D1327" s="1294" t="s">
        <v>2006</v>
      </c>
      <c r="E1327" s="235"/>
      <c r="F1327" s="235"/>
      <c r="G1327" s="235"/>
      <c r="H1327" s="235"/>
      <c r="I1327" s="126" t="e">
        <f>I1326+I1320</f>
        <v>#REF!</v>
      </c>
      <c r="J1327" s="126" t="e">
        <f t="shared" ref="J1327:R1327" si="67">J1326+J1320</f>
        <v>#REF!</v>
      </c>
      <c r="K1327" s="126" t="e">
        <f t="shared" si="67"/>
        <v>#REF!</v>
      </c>
      <c r="L1327" s="126" t="e">
        <f t="shared" si="67"/>
        <v>#REF!</v>
      </c>
      <c r="M1327" s="126" t="e">
        <f t="shared" si="67"/>
        <v>#REF!</v>
      </c>
      <c r="N1327" s="126" t="e">
        <f t="shared" si="67"/>
        <v>#REF!</v>
      </c>
      <c r="O1327" s="126" t="e">
        <f t="shared" si="67"/>
        <v>#REF!</v>
      </c>
      <c r="P1327" s="126" t="e">
        <f t="shared" si="67"/>
        <v>#REF!</v>
      </c>
      <c r="Q1327" s="126" t="e">
        <f t="shared" si="67"/>
        <v>#REF!</v>
      </c>
      <c r="R1327" s="126" t="e">
        <f t="shared" si="67"/>
        <v>#REF!</v>
      </c>
      <c r="S1327" s="239"/>
      <c r="T1327" s="1476"/>
      <c r="U1327" s="146"/>
      <c r="V1327" s="5"/>
      <c r="W1327" s="5"/>
      <c r="X1327" s="5"/>
      <c r="Y1327" s="5"/>
      <c r="Z1327" s="5"/>
    </row>
    <row r="1328" spans="1:26" s="4" customFormat="1" x14ac:dyDescent="0.25">
      <c r="A1328" s="160"/>
      <c r="B1328" s="160"/>
      <c r="C1328" s="1294"/>
      <c r="D1328" s="1294"/>
      <c r="E1328" s="235"/>
      <c r="F1328" s="235"/>
      <c r="G1328" s="235"/>
      <c r="H1328" s="235"/>
      <c r="I1328" s="126"/>
      <c r="J1328" s="126"/>
      <c r="K1328" s="126"/>
      <c r="L1328" s="126"/>
      <c r="M1328" s="126"/>
      <c r="N1328" s="126"/>
      <c r="O1328" s="126"/>
      <c r="P1328" s="126"/>
      <c r="Q1328" s="126"/>
      <c r="R1328" s="161"/>
      <c r="S1328" s="239"/>
      <c r="T1328" s="1476"/>
      <c r="U1328" s="146"/>
      <c r="V1328" s="5"/>
      <c r="W1328" s="5"/>
      <c r="X1328" s="5"/>
      <c r="Y1328" s="5"/>
      <c r="Z1328" s="5"/>
    </row>
    <row r="1329" spans="1:26" s="4" customFormat="1" x14ac:dyDescent="0.25">
      <c r="A1329" s="160"/>
      <c r="B1329" s="160"/>
      <c r="C1329" s="1294"/>
      <c r="D1329" s="1294"/>
      <c r="E1329" s="235"/>
      <c r="F1329" s="235"/>
      <c r="G1329" s="235"/>
      <c r="H1329" s="235"/>
      <c r="I1329" s="126"/>
      <c r="J1329" s="126"/>
      <c r="K1329" s="126"/>
      <c r="L1329" s="126"/>
      <c r="M1329" s="126"/>
      <c r="N1329" s="126"/>
      <c r="O1329" s="126"/>
      <c r="P1329" s="126"/>
      <c r="Q1329" s="126"/>
      <c r="R1329" s="161"/>
      <c r="S1329" s="239"/>
      <c r="T1329" s="1476"/>
      <c r="U1329" s="146"/>
      <c r="V1329" s="5"/>
      <c r="W1329" s="5"/>
      <c r="X1329" s="5"/>
      <c r="Y1329" s="5"/>
      <c r="Z1329" s="5"/>
    </row>
    <row r="1330" spans="1:26" s="4" customFormat="1" x14ac:dyDescent="0.25">
      <c r="A1330" s="160"/>
      <c r="B1330" s="160"/>
      <c r="C1330" s="1294"/>
      <c r="D1330" s="1294"/>
      <c r="E1330" s="235"/>
      <c r="F1330" s="235"/>
      <c r="G1330" s="235"/>
      <c r="H1330" s="235"/>
      <c r="I1330" s="126"/>
      <c r="J1330" s="126"/>
      <c r="K1330" s="126"/>
      <c r="L1330" s="126"/>
      <c r="M1330" s="126"/>
      <c r="N1330" s="126"/>
      <c r="O1330" s="126"/>
      <c r="P1330" s="126"/>
      <c r="Q1330" s="126"/>
      <c r="R1330" s="161"/>
      <c r="S1330" s="239"/>
      <c r="T1330" s="1476"/>
      <c r="U1330" s="146"/>
      <c r="V1330" s="5"/>
      <c r="W1330" s="5"/>
      <c r="X1330" s="5"/>
      <c r="Y1330" s="5"/>
      <c r="Z1330" s="5"/>
    </row>
    <row r="1331" spans="1:26" s="48" customFormat="1" ht="21.75" customHeight="1" x14ac:dyDescent="0.25">
      <c r="A1331" s="961"/>
      <c r="B1331" s="961"/>
      <c r="C1331" s="1401"/>
      <c r="D1331" s="1388" t="s">
        <v>115</v>
      </c>
      <c r="E1331" s="1388"/>
      <c r="F1331" s="1388"/>
      <c r="G1331" s="1388"/>
      <c r="H1331" s="125"/>
      <c r="I1331" s="1395" t="s">
        <v>2063</v>
      </c>
      <c r="J1331" s="1395" t="s">
        <v>2064</v>
      </c>
      <c r="K1331" s="1396" t="s">
        <v>2065</v>
      </c>
      <c r="L1331" s="1396"/>
      <c r="M1331" s="1395" t="s">
        <v>2064</v>
      </c>
      <c r="N1331" s="1395" t="s">
        <v>2066</v>
      </c>
      <c r="O1331" s="1395" t="s">
        <v>1537</v>
      </c>
      <c r="P1331" s="1395" t="s">
        <v>1538</v>
      </c>
      <c r="Q1331" s="1395" t="s">
        <v>1539</v>
      </c>
      <c r="R1331" s="1399" t="s">
        <v>1540</v>
      </c>
      <c r="S1331" s="1701"/>
      <c r="T1331" s="1477"/>
      <c r="U1331" s="169"/>
      <c r="V1331" s="169"/>
      <c r="W1331" s="169"/>
      <c r="X1331" s="169"/>
      <c r="Y1331" s="169"/>
      <c r="Z1331" s="169"/>
    </row>
    <row r="1332" spans="1:26" s="1153" customFormat="1" ht="31.5" customHeight="1" x14ac:dyDescent="0.25">
      <c r="A1332" s="1442"/>
      <c r="B1332" s="1442"/>
      <c r="C1332" s="1401"/>
      <c r="D1332" s="1388"/>
      <c r="E1332" s="1388"/>
      <c r="F1332" s="1388"/>
      <c r="G1332" s="1388"/>
      <c r="H1332" s="1388" t="s">
        <v>116</v>
      </c>
      <c r="I1332" s="1395"/>
      <c r="J1332" s="1395"/>
      <c r="K1332" s="1395" t="s">
        <v>2067</v>
      </c>
      <c r="L1332" s="1395" t="s">
        <v>2068</v>
      </c>
      <c r="M1332" s="1395"/>
      <c r="N1332" s="1395"/>
      <c r="O1332" s="1395"/>
      <c r="P1332" s="1395"/>
      <c r="Q1332" s="1395"/>
      <c r="R1332" s="1399"/>
      <c r="S1332" s="1701"/>
      <c r="T1332" s="1483"/>
      <c r="U1332" s="1256"/>
      <c r="V1332" s="1256"/>
      <c r="W1332" s="1256"/>
      <c r="X1332" s="1256"/>
      <c r="Y1332" s="1256"/>
      <c r="Z1332" s="1256"/>
    </row>
    <row r="1333" spans="1:26" s="4" customFormat="1" x14ac:dyDescent="0.25">
      <c r="A1333" s="160"/>
      <c r="B1333" s="160"/>
      <c r="C1333" s="957"/>
      <c r="D1333" s="1294" t="s">
        <v>1484</v>
      </c>
      <c r="E1333" s="235"/>
      <c r="F1333" s="235"/>
      <c r="G1333" s="235"/>
      <c r="H1333" s="235"/>
      <c r="I1333" s="160"/>
      <c r="J1333" s="160"/>
      <c r="K1333" s="160"/>
      <c r="L1333" s="160"/>
      <c r="M1333" s="160"/>
      <c r="N1333" s="160"/>
      <c r="O1333" s="160"/>
      <c r="P1333" s="160"/>
      <c r="Q1333" s="160"/>
      <c r="R1333" s="161"/>
      <c r="S1333" s="239"/>
      <c r="T1333" s="1476"/>
      <c r="U1333" s="146"/>
      <c r="V1333" s="5"/>
      <c r="W1333" s="5"/>
      <c r="X1333" s="5"/>
      <c r="Y1333" s="5"/>
      <c r="Z1333" s="5"/>
    </row>
    <row r="1334" spans="1:26" s="4" customFormat="1" x14ac:dyDescent="0.25">
      <c r="A1334" s="160"/>
      <c r="B1334" s="160"/>
      <c r="C1334" s="957"/>
      <c r="D1334" s="957" t="s">
        <v>3</v>
      </c>
      <c r="E1334" s="235"/>
      <c r="F1334" s="235"/>
      <c r="G1334" s="235"/>
      <c r="H1334" s="235"/>
      <c r="I1334" s="141" t="e">
        <f>#REF!</f>
        <v>#REF!</v>
      </c>
      <c r="J1334" s="141" t="e">
        <f>#REF!</f>
        <v>#REF!</v>
      </c>
      <c r="K1334" s="141" t="e">
        <f>#REF!</f>
        <v>#REF!</v>
      </c>
      <c r="L1334" s="141" t="e">
        <f>#REF!</f>
        <v>#REF!</v>
      </c>
      <c r="M1334" s="141" t="e">
        <f>#REF!</f>
        <v>#REF!</v>
      </c>
      <c r="N1334" s="141" t="e">
        <f>#REF!</f>
        <v>#REF!</v>
      </c>
      <c r="O1334" s="141" t="e">
        <f>#REF!</f>
        <v>#REF!</v>
      </c>
      <c r="P1334" s="141" t="e">
        <f>#REF!</f>
        <v>#REF!</v>
      </c>
      <c r="Q1334" s="141" t="e">
        <f>#REF!</f>
        <v>#REF!</v>
      </c>
      <c r="R1334" s="141" t="e">
        <f>#REF!</f>
        <v>#REF!</v>
      </c>
      <c r="S1334" s="239"/>
      <c r="T1334" s="1476"/>
      <c r="U1334" s="146"/>
      <c r="V1334" s="5"/>
      <c r="W1334" s="5"/>
      <c r="X1334" s="5"/>
      <c r="Y1334" s="5"/>
      <c r="Z1334" s="5"/>
    </row>
    <row r="1335" spans="1:26" s="4" customFormat="1" x14ac:dyDescent="0.25">
      <c r="A1335" s="160"/>
      <c r="B1335" s="160"/>
      <c r="C1335" s="957"/>
      <c r="D1335" s="957" t="s">
        <v>1499</v>
      </c>
      <c r="E1335" s="235"/>
      <c r="F1335" s="235"/>
      <c r="G1335" s="235"/>
      <c r="H1335" s="235"/>
      <c r="I1335" s="141">
        <f t="shared" ref="I1335:R1335" si="68">I246</f>
        <v>42000</v>
      </c>
      <c r="J1335" s="141">
        <f t="shared" si="68"/>
        <v>42000</v>
      </c>
      <c r="K1335" s="141">
        <f t="shared" si="68"/>
        <v>14000</v>
      </c>
      <c r="L1335" s="141">
        <f t="shared" si="68"/>
        <v>28000</v>
      </c>
      <c r="M1335" s="141">
        <f t="shared" si="68"/>
        <v>42000</v>
      </c>
      <c r="N1335" s="141">
        <f t="shared" si="68"/>
        <v>21000</v>
      </c>
      <c r="O1335" s="141">
        <f t="shared" si="68"/>
        <v>0</v>
      </c>
      <c r="P1335" s="141">
        <f t="shared" si="68"/>
        <v>42000</v>
      </c>
      <c r="Q1335" s="141">
        <f t="shared" si="68"/>
        <v>42000</v>
      </c>
      <c r="R1335" s="141">
        <f t="shared" si="68"/>
        <v>42000</v>
      </c>
      <c r="S1335" s="239"/>
      <c r="T1335" s="1476"/>
      <c r="U1335" s="146"/>
      <c r="V1335" s="5"/>
      <c r="W1335" s="5"/>
      <c r="X1335" s="5"/>
      <c r="Y1335" s="5"/>
      <c r="Z1335" s="5"/>
    </row>
    <row r="1336" spans="1:26" s="4" customFormat="1" x14ac:dyDescent="0.25">
      <c r="A1336" s="160"/>
      <c r="B1336" s="160"/>
      <c r="C1336" s="957"/>
      <c r="D1336" s="957" t="s">
        <v>1991</v>
      </c>
      <c r="E1336" s="235"/>
      <c r="F1336" s="235"/>
      <c r="G1336" s="141"/>
      <c r="H1336" s="141" t="str">
        <f t="shared" ref="H1336:R1336" si="69">H476</f>
        <v>5-02-05-020</v>
      </c>
      <c r="I1336" s="141">
        <f t="shared" si="69"/>
        <v>280855.26</v>
      </c>
      <c r="J1336" s="141">
        <f t="shared" si="69"/>
        <v>1030000</v>
      </c>
      <c r="K1336" s="141">
        <f t="shared" si="69"/>
        <v>108718.28</v>
      </c>
      <c r="L1336" s="141">
        <f t="shared" si="69"/>
        <v>921281.72</v>
      </c>
      <c r="M1336" s="141">
        <f t="shared" si="69"/>
        <v>1030000</v>
      </c>
      <c r="N1336" s="141">
        <f t="shared" si="69"/>
        <v>150479.14000000001</v>
      </c>
      <c r="O1336" s="141">
        <f t="shared" si="69"/>
        <v>0</v>
      </c>
      <c r="P1336" s="141">
        <f t="shared" si="69"/>
        <v>1150000</v>
      </c>
      <c r="Q1336" s="141">
        <f t="shared" si="69"/>
        <v>1150000</v>
      </c>
      <c r="R1336" s="141">
        <f t="shared" si="69"/>
        <v>350000</v>
      </c>
      <c r="S1336" s="239"/>
      <c r="T1336" s="1476"/>
      <c r="U1336" s="146"/>
      <c r="V1336" s="5"/>
      <c r="W1336" s="5"/>
      <c r="X1336" s="5"/>
      <c r="Y1336" s="5"/>
      <c r="Z1336" s="5"/>
    </row>
    <row r="1337" spans="1:26" s="4" customFormat="1" x14ac:dyDescent="0.25">
      <c r="A1337" s="160"/>
      <c r="B1337" s="160"/>
      <c r="C1337" s="957"/>
      <c r="D1337" s="957" t="s">
        <v>1501</v>
      </c>
      <c r="E1337" s="235"/>
      <c r="F1337" s="235"/>
      <c r="G1337" s="235"/>
      <c r="H1337" s="235"/>
      <c r="I1337" s="141">
        <f t="shared" ref="I1337:R1337" si="70">I429</f>
        <v>0</v>
      </c>
      <c r="J1337" s="141">
        <f t="shared" si="70"/>
        <v>5000</v>
      </c>
      <c r="K1337" s="141">
        <f t="shared" si="70"/>
        <v>0</v>
      </c>
      <c r="L1337" s="141">
        <f t="shared" si="70"/>
        <v>5000</v>
      </c>
      <c r="M1337" s="141">
        <f t="shared" si="70"/>
        <v>5000</v>
      </c>
      <c r="N1337" s="141">
        <f t="shared" si="70"/>
        <v>0</v>
      </c>
      <c r="O1337" s="141">
        <f t="shared" si="70"/>
        <v>0</v>
      </c>
      <c r="P1337" s="141">
        <f t="shared" si="70"/>
        <v>5000</v>
      </c>
      <c r="Q1337" s="141">
        <f t="shared" si="70"/>
        <v>5000</v>
      </c>
      <c r="R1337" s="141">
        <f t="shared" si="70"/>
        <v>5000</v>
      </c>
      <c r="S1337" s="239"/>
      <c r="T1337" s="1476"/>
      <c r="U1337" s="146"/>
      <c r="V1337" s="5"/>
      <c r="W1337" s="5"/>
      <c r="X1337" s="5"/>
      <c r="Y1337" s="5"/>
      <c r="Z1337" s="5"/>
    </row>
    <row r="1338" spans="1:26" s="4" customFormat="1" x14ac:dyDescent="0.25">
      <c r="A1338" s="160"/>
      <c r="B1338" s="160"/>
      <c r="C1338" s="957"/>
      <c r="D1338" s="957" t="s">
        <v>1502</v>
      </c>
      <c r="E1338" s="235"/>
      <c r="F1338" s="235"/>
      <c r="G1338" s="235"/>
      <c r="H1338" s="235"/>
      <c r="I1338" s="141">
        <f t="shared" ref="I1338:R1338" si="71">I476</f>
        <v>280855.26</v>
      </c>
      <c r="J1338" s="141">
        <f t="shared" si="71"/>
        <v>1030000</v>
      </c>
      <c r="K1338" s="141">
        <f t="shared" si="71"/>
        <v>108718.28</v>
      </c>
      <c r="L1338" s="141">
        <f t="shared" si="71"/>
        <v>921281.72</v>
      </c>
      <c r="M1338" s="141">
        <f t="shared" si="71"/>
        <v>1030000</v>
      </c>
      <c r="N1338" s="141">
        <f t="shared" si="71"/>
        <v>150479.14000000001</v>
      </c>
      <c r="O1338" s="141">
        <f t="shared" si="71"/>
        <v>0</v>
      </c>
      <c r="P1338" s="141">
        <f t="shared" si="71"/>
        <v>1150000</v>
      </c>
      <c r="Q1338" s="141">
        <f t="shared" si="71"/>
        <v>1150000</v>
      </c>
      <c r="R1338" s="141">
        <f t="shared" si="71"/>
        <v>350000</v>
      </c>
      <c r="S1338" s="239"/>
      <c r="T1338" s="1476"/>
      <c r="U1338" s="146"/>
      <c r="V1338" s="5"/>
      <c r="W1338" s="5"/>
      <c r="X1338" s="5"/>
      <c r="Y1338" s="5"/>
      <c r="Z1338" s="5"/>
    </row>
    <row r="1339" spans="1:26" s="4" customFormat="1" x14ac:dyDescent="0.25">
      <c r="A1339" s="160"/>
      <c r="B1339" s="160"/>
      <c r="C1339" s="957"/>
      <c r="D1339" s="957" t="s">
        <v>1503</v>
      </c>
      <c r="E1339" s="235"/>
      <c r="F1339" s="235"/>
      <c r="G1339" s="235"/>
      <c r="H1339" s="235"/>
      <c r="I1339" s="141">
        <f t="shared" ref="I1339:R1339" si="72">I564</f>
        <v>21591</v>
      </c>
      <c r="J1339" s="141">
        <f t="shared" si="72"/>
        <v>67200</v>
      </c>
      <c r="K1339" s="141">
        <f t="shared" si="72"/>
        <v>14394</v>
      </c>
      <c r="L1339" s="141">
        <f t="shared" si="72"/>
        <v>52806</v>
      </c>
      <c r="M1339" s="141">
        <f t="shared" si="72"/>
        <v>67200</v>
      </c>
      <c r="N1339" s="141">
        <f t="shared" si="72"/>
        <v>21591</v>
      </c>
      <c r="O1339" s="141">
        <f t="shared" si="72"/>
        <v>0</v>
      </c>
      <c r="P1339" s="141">
        <f t="shared" si="72"/>
        <v>67200</v>
      </c>
      <c r="Q1339" s="141">
        <f t="shared" si="72"/>
        <v>67200</v>
      </c>
      <c r="R1339" s="141">
        <f t="shared" si="72"/>
        <v>67200</v>
      </c>
      <c r="S1339" s="239"/>
      <c r="T1339" s="1476"/>
      <c r="U1339" s="146"/>
      <c r="V1339" s="5"/>
      <c r="W1339" s="5"/>
      <c r="X1339" s="5"/>
      <c r="Y1339" s="5"/>
      <c r="Z1339" s="5"/>
    </row>
    <row r="1340" spans="1:26" s="4" customFormat="1" x14ac:dyDescent="0.25">
      <c r="A1340" s="160"/>
      <c r="B1340" s="160"/>
      <c r="C1340" s="957"/>
      <c r="D1340" s="957" t="s">
        <v>1024</v>
      </c>
      <c r="E1340" s="235"/>
      <c r="F1340" s="235"/>
      <c r="G1340" s="235"/>
      <c r="H1340" s="235"/>
      <c r="I1340" s="141">
        <f t="shared" ref="I1340:R1340" si="73">I638</f>
        <v>0</v>
      </c>
      <c r="J1340" s="141">
        <f t="shared" si="73"/>
        <v>0</v>
      </c>
      <c r="K1340" s="141">
        <f t="shared" si="73"/>
        <v>0</v>
      </c>
      <c r="L1340" s="141">
        <f t="shared" si="73"/>
        <v>0</v>
      </c>
      <c r="M1340" s="141">
        <f t="shared" si="73"/>
        <v>0</v>
      </c>
      <c r="N1340" s="141">
        <f t="shared" si="73"/>
        <v>0</v>
      </c>
      <c r="O1340" s="141">
        <f t="shared" si="73"/>
        <v>0</v>
      </c>
      <c r="P1340" s="141">
        <f t="shared" si="73"/>
        <v>110000</v>
      </c>
      <c r="Q1340" s="141">
        <f t="shared" si="73"/>
        <v>110000</v>
      </c>
      <c r="R1340" s="141">
        <f t="shared" si="73"/>
        <v>110000</v>
      </c>
      <c r="S1340" s="239"/>
      <c r="T1340" s="1476"/>
      <c r="U1340" s="146"/>
      <c r="V1340" s="5"/>
      <c r="W1340" s="5"/>
      <c r="X1340" s="5"/>
      <c r="Y1340" s="5"/>
      <c r="Z1340" s="5"/>
    </row>
    <row r="1341" spans="1:26" s="4" customFormat="1" x14ac:dyDescent="0.25">
      <c r="A1341" s="160"/>
      <c r="B1341" s="160"/>
      <c r="C1341" s="957"/>
      <c r="D1341" s="957" t="s">
        <v>1992</v>
      </c>
      <c r="E1341" s="235"/>
      <c r="F1341" s="235"/>
      <c r="G1341" s="235"/>
      <c r="H1341" s="235"/>
      <c r="I1341" s="141" t="e">
        <f>#REF!</f>
        <v>#REF!</v>
      </c>
      <c r="J1341" s="141" t="e">
        <f>#REF!</f>
        <v>#REF!</v>
      </c>
      <c r="K1341" s="141" t="e">
        <f>#REF!</f>
        <v>#REF!</v>
      </c>
      <c r="L1341" s="141" t="e">
        <f>#REF!</f>
        <v>#REF!</v>
      </c>
      <c r="M1341" s="141" t="e">
        <f>#REF!</f>
        <v>#REF!</v>
      </c>
      <c r="N1341" s="141" t="e">
        <f>#REF!</f>
        <v>#REF!</v>
      </c>
      <c r="O1341" s="141" t="e">
        <f>#REF!</f>
        <v>#REF!</v>
      </c>
      <c r="P1341" s="141" t="e">
        <f>#REF!</f>
        <v>#REF!</v>
      </c>
      <c r="Q1341" s="141" t="e">
        <f>#REF!</f>
        <v>#REF!</v>
      </c>
      <c r="R1341" s="141" t="e">
        <f>#REF!</f>
        <v>#REF!</v>
      </c>
      <c r="S1341" s="239"/>
      <c r="T1341" s="1476"/>
      <c r="U1341" s="146"/>
      <c r="V1341" s="5"/>
      <c r="W1341" s="5"/>
      <c r="X1341" s="5"/>
      <c r="Y1341" s="5"/>
      <c r="Z1341" s="5"/>
    </row>
    <row r="1342" spans="1:26" s="4" customFormat="1" x14ac:dyDescent="0.25">
      <c r="A1342" s="160"/>
      <c r="B1342" s="160"/>
      <c r="C1342" s="957"/>
      <c r="D1342" s="957" t="s">
        <v>1321</v>
      </c>
      <c r="E1342" s="235"/>
      <c r="F1342" s="235"/>
      <c r="G1342" s="235"/>
      <c r="H1342" s="235"/>
      <c r="I1342" s="141"/>
      <c r="J1342" s="141"/>
      <c r="K1342" s="141"/>
      <c r="L1342" s="141"/>
      <c r="M1342" s="141"/>
      <c r="N1342" s="141"/>
      <c r="O1342" s="141"/>
      <c r="P1342" s="141"/>
      <c r="Q1342" s="141"/>
      <c r="R1342" s="141"/>
      <c r="S1342" s="239"/>
      <c r="T1342" s="1476"/>
      <c r="U1342" s="146"/>
      <c r="V1342" s="5"/>
      <c r="W1342" s="5"/>
      <c r="X1342" s="5"/>
      <c r="Y1342" s="5"/>
      <c r="Z1342" s="5"/>
    </row>
    <row r="1343" spans="1:26" s="4" customFormat="1" x14ac:dyDescent="0.25">
      <c r="A1343" s="160"/>
      <c r="B1343" s="160"/>
      <c r="C1343" s="957"/>
      <c r="D1343" s="957" t="s">
        <v>1504</v>
      </c>
      <c r="E1343" s="235"/>
      <c r="F1343" s="235"/>
      <c r="G1343" s="235"/>
      <c r="H1343" s="235"/>
      <c r="I1343" s="141"/>
      <c r="J1343" s="141"/>
      <c r="K1343" s="141"/>
      <c r="L1343" s="141"/>
      <c r="M1343" s="141"/>
      <c r="N1343" s="141"/>
      <c r="O1343" s="141"/>
      <c r="P1343" s="141"/>
      <c r="Q1343" s="141"/>
      <c r="R1343" s="141"/>
      <c r="S1343" s="239"/>
      <c r="T1343" s="1476"/>
      <c r="U1343" s="146"/>
      <c r="V1343" s="5"/>
      <c r="W1343" s="5"/>
      <c r="X1343" s="5"/>
      <c r="Y1343" s="5"/>
      <c r="Z1343" s="5"/>
    </row>
    <row r="1344" spans="1:26" s="4" customFormat="1" x14ac:dyDescent="0.25">
      <c r="A1344" s="160"/>
      <c r="B1344" s="160"/>
      <c r="C1344" s="957"/>
      <c r="D1344" s="957" t="s">
        <v>1505</v>
      </c>
      <c r="E1344" s="235"/>
      <c r="F1344" s="235"/>
      <c r="G1344" s="235"/>
      <c r="H1344" s="235"/>
      <c r="I1344" s="141">
        <f t="shared" ref="I1344:R1344" si="74">I861</f>
        <v>18000</v>
      </c>
      <c r="J1344" s="141">
        <f t="shared" si="74"/>
        <v>24000</v>
      </c>
      <c r="K1344" s="141">
        <f t="shared" si="74"/>
        <v>18000</v>
      </c>
      <c r="L1344" s="141">
        <f t="shared" si="74"/>
        <v>6000</v>
      </c>
      <c r="M1344" s="141">
        <f t="shared" si="74"/>
        <v>24000</v>
      </c>
      <c r="N1344" s="141">
        <f t="shared" si="74"/>
        <v>18000</v>
      </c>
      <c r="O1344" s="141">
        <f t="shared" si="74"/>
        <v>0</v>
      </c>
      <c r="P1344" s="141">
        <f t="shared" si="74"/>
        <v>24000</v>
      </c>
      <c r="Q1344" s="141">
        <f t="shared" si="74"/>
        <v>24000</v>
      </c>
      <c r="R1344" s="141">
        <f t="shared" si="74"/>
        <v>24000</v>
      </c>
      <c r="S1344" s="239"/>
      <c r="T1344" s="1476"/>
      <c r="U1344" s="146"/>
      <c r="V1344" s="5"/>
      <c r="W1344" s="5"/>
      <c r="X1344" s="5"/>
      <c r="Y1344" s="5"/>
      <c r="Z1344" s="5"/>
    </row>
    <row r="1345" spans="1:26" s="4" customFormat="1" x14ac:dyDescent="0.25">
      <c r="A1345" s="160"/>
      <c r="B1345" s="160"/>
      <c r="C1345" s="957"/>
      <c r="D1345" s="957" t="s">
        <v>1506</v>
      </c>
      <c r="E1345" s="235"/>
      <c r="F1345" s="235"/>
      <c r="G1345" s="235"/>
      <c r="H1345" s="235"/>
      <c r="I1345" s="141" t="e">
        <f>#REF!</f>
        <v>#REF!</v>
      </c>
      <c r="J1345" s="141" t="e">
        <f>#REF!</f>
        <v>#REF!</v>
      </c>
      <c r="K1345" s="141" t="e">
        <f>#REF!</f>
        <v>#REF!</v>
      </c>
      <c r="L1345" s="141" t="e">
        <f>#REF!</f>
        <v>#REF!</v>
      </c>
      <c r="M1345" s="141" t="e">
        <f>#REF!</f>
        <v>#REF!</v>
      </c>
      <c r="N1345" s="141" t="e">
        <f>#REF!</f>
        <v>#REF!</v>
      </c>
      <c r="O1345" s="141" t="e">
        <f>#REF!</f>
        <v>#REF!</v>
      </c>
      <c r="P1345" s="141" t="e">
        <f>#REF!</f>
        <v>#REF!</v>
      </c>
      <c r="Q1345" s="141" t="e">
        <f>#REF!</f>
        <v>#REF!</v>
      </c>
      <c r="R1345" s="141" t="e">
        <f>#REF!</f>
        <v>#REF!</v>
      </c>
      <c r="S1345" s="239"/>
      <c r="T1345" s="1476"/>
      <c r="U1345" s="146"/>
      <c r="V1345" s="5"/>
      <c r="W1345" s="5"/>
      <c r="X1345" s="5"/>
      <c r="Y1345" s="5"/>
      <c r="Z1345" s="5"/>
    </row>
    <row r="1346" spans="1:26" s="4" customFormat="1" x14ac:dyDescent="0.25">
      <c r="A1346" s="160"/>
      <c r="B1346" s="160"/>
      <c r="C1346" s="957"/>
      <c r="D1346" s="957" t="s">
        <v>1507</v>
      </c>
      <c r="E1346" s="235"/>
      <c r="F1346" s="235"/>
      <c r="G1346" s="235"/>
      <c r="H1346" s="235"/>
      <c r="I1346" s="141">
        <f t="shared" ref="I1346:R1346" si="75">I969</f>
        <v>297273.23</v>
      </c>
      <c r="J1346" s="141">
        <f t="shared" si="75"/>
        <v>720000</v>
      </c>
      <c r="K1346" s="141">
        <f t="shared" si="75"/>
        <v>140909.26999999999</v>
      </c>
      <c r="L1346" s="141">
        <f t="shared" si="75"/>
        <v>579090.73</v>
      </c>
      <c r="M1346" s="141">
        <f t="shared" si="75"/>
        <v>720000</v>
      </c>
      <c r="N1346" s="141">
        <f t="shared" si="75"/>
        <v>187909.26</v>
      </c>
      <c r="O1346" s="141">
        <f t="shared" si="75"/>
        <v>0</v>
      </c>
      <c r="P1346" s="141">
        <f t="shared" si="75"/>
        <v>720000</v>
      </c>
      <c r="Q1346" s="141">
        <f t="shared" si="75"/>
        <v>720000</v>
      </c>
      <c r="R1346" s="141">
        <f t="shared" si="75"/>
        <v>720000</v>
      </c>
      <c r="S1346" s="239"/>
      <c r="T1346" s="1476"/>
      <c r="U1346" s="146"/>
      <c r="V1346" s="5"/>
      <c r="W1346" s="5"/>
      <c r="X1346" s="5"/>
      <c r="Y1346" s="5"/>
      <c r="Z1346" s="5"/>
    </row>
    <row r="1347" spans="1:26" s="4" customFormat="1" x14ac:dyDescent="0.25">
      <c r="A1347" s="160"/>
      <c r="B1347" s="160"/>
      <c r="C1347" s="957"/>
      <c r="D1347" s="957" t="s">
        <v>1993</v>
      </c>
      <c r="E1347" s="235"/>
      <c r="F1347" s="235"/>
      <c r="G1347" s="235"/>
      <c r="H1347" s="235"/>
      <c r="I1347" s="141"/>
      <c r="J1347" s="141"/>
      <c r="K1347" s="141"/>
      <c r="L1347" s="141"/>
      <c r="M1347" s="141"/>
      <c r="N1347" s="141"/>
      <c r="O1347" s="141"/>
      <c r="P1347" s="141"/>
      <c r="Q1347" s="141"/>
      <c r="R1347" s="141"/>
      <c r="S1347" s="239"/>
      <c r="T1347" s="1476"/>
      <c r="U1347" s="146"/>
      <c r="V1347" s="5"/>
      <c r="W1347" s="5"/>
      <c r="X1347" s="5"/>
      <c r="Y1347" s="5"/>
      <c r="Z1347" s="5"/>
    </row>
    <row r="1348" spans="1:26" s="4" customFormat="1" x14ac:dyDescent="0.25">
      <c r="A1348" s="160"/>
      <c r="B1348" s="160"/>
      <c r="C1348" s="957"/>
      <c r="D1348" s="957" t="s">
        <v>1994</v>
      </c>
      <c r="E1348" s="235"/>
      <c r="F1348" s="235"/>
      <c r="G1348" s="235"/>
      <c r="H1348" s="235"/>
      <c r="I1348" s="141">
        <f t="shared" ref="I1348:R1348" si="76">I1108</f>
        <v>6000</v>
      </c>
      <c r="J1348" s="141">
        <f t="shared" si="76"/>
        <v>6000</v>
      </c>
      <c r="K1348" s="141">
        <f t="shared" si="76"/>
        <v>6000</v>
      </c>
      <c r="L1348" s="141">
        <f t="shared" si="76"/>
        <v>0</v>
      </c>
      <c r="M1348" s="141">
        <f t="shared" si="76"/>
        <v>6000</v>
      </c>
      <c r="N1348" s="141">
        <f t="shared" si="76"/>
        <v>6000</v>
      </c>
      <c r="O1348" s="141">
        <f t="shared" si="76"/>
        <v>0</v>
      </c>
      <c r="P1348" s="141">
        <f t="shared" si="76"/>
        <v>6000</v>
      </c>
      <c r="Q1348" s="141">
        <f t="shared" si="76"/>
        <v>6000</v>
      </c>
      <c r="R1348" s="141">
        <f t="shared" si="76"/>
        <v>6000</v>
      </c>
      <c r="S1348" s="239"/>
      <c r="T1348" s="1476"/>
      <c r="U1348" s="146"/>
      <c r="V1348" s="5"/>
      <c r="W1348" s="5"/>
      <c r="X1348" s="5"/>
      <c r="Y1348" s="5"/>
      <c r="Z1348" s="5"/>
    </row>
    <row r="1349" spans="1:26" s="4" customFormat="1" x14ac:dyDescent="0.25">
      <c r="A1349" s="160"/>
      <c r="B1349" s="160"/>
      <c r="C1349" s="957"/>
      <c r="D1349" s="957" t="s">
        <v>1995</v>
      </c>
      <c r="E1349" s="235"/>
      <c r="F1349" s="235"/>
      <c r="G1349" s="235"/>
      <c r="H1349" s="235"/>
      <c r="I1349" s="141"/>
      <c r="J1349" s="141"/>
      <c r="K1349" s="141"/>
      <c r="L1349" s="141"/>
      <c r="M1349" s="141"/>
      <c r="N1349" s="141"/>
      <c r="O1349" s="141"/>
      <c r="P1349" s="141"/>
      <c r="Q1349" s="141"/>
      <c r="R1349" s="141"/>
      <c r="S1349" s="239"/>
      <c r="T1349" s="1476"/>
      <c r="U1349" s="146"/>
      <c r="V1349" s="5"/>
      <c r="W1349" s="5"/>
      <c r="X1349" s="5"/>
      <c r="Y1349" s="5"/>
      <c r="Z1349" s="5"/>
    </row>
    <row r="1350" spans="1:26" s="4" customFormat="1" x14ac:dyDescent="0.25">
      <c r="A1350" s="160"/>
      <c r="B1350" s="160"/>
      <c r="C1350" s="957"/>
      <c r="D1350" s="957" t="s">
        <v>1510</v>
      </c>
      <c r="E1350" s="235"/>
      <c r="F1350" s="235"/>
      <c r="G1350" s="235"/>
      <c r="H1350" s="235"/>
      <c r="I1350" s="141" t="e">
        <f>#REF!</f>
        <v>#REF!</v>
      </c>
      <c r="J1350" s="141" t="e">
        <f>#REF!</f>
        <v>#REF!</v>
      </c>
      <c r="K1350" s="141" t="e">
        <f>#REF!</f>
        <v>#REF!</v>
      </c>
      <c r="L1350" s="141" t="e">
        <f>#REF!</f>
        <v>#REF!</v>
      </c>
      <c r="M1350" s="141" t="e">
        <f>#REF!</f>
        <v>#REF!</v>
      </c>
      <c r="N1350" s="141" t="e">
        <f>#REF!</f>
        <v>#REF!</v>
      </c>
      <c r="O1350" s="141" t="e">
        <f>#REF!</f>
        <v>#REF!</v>
      </c>
      <c r="P1350" s="141" t="e">
        <f>#REF!</f>
        <v>#REF!</v>
      </c>
      <c r="Q1350" s="141" t="e">
        <f>#REF!</f>
        <v>#REF!</v>
      </c>
      <c r="R1350" s="141" t="e">
        <f>#REF!</f>
        <v>#REF!</v>
      </c>
      <c r="S1350" s="239"/>
      <c r="T1350" s="1476"/>
      <c r="U1350" s="146"/>
      <c r="V1350" s="5"/>
      <c r="W1350" s="5"/>
      <c r="X1350" s="5"/>
      <c r="Y1350" s="5"/>
      <c r="Z1350" s="5"/>
    </row>
    <row r="1351" spans="1:26" s="4" customFormat="1" x14ac:dyDescent="0.25">
      <c r="A1351" s="160"/>
      <c r="B1351" s="160"/>
      <c r="C1351" s="957"/>
      <c r="D1351" s="957" t="s">
        <v>27</v>
      </c>
      <c r="E1351" s="235"/>
      <c r="F1351" s="235"/>
      <c r="G1351" s="235"/>
      <c r="H1351" s="235"/>
      <c r="I1351" s="141" t="e">
        <f>#REF!</f>
        <v>#REF!</v>
      </c>
      <c r="J1351" s="141" t="e">
        <f>#REF!</f>
        <v>#REF!</v>
      </c>
      <c r="K1351" s="141" t="e">
        <f>#REF!</f>
        <v>#REF!</v>
      </c>
      <c r="L1351" s="141" t="e">
        <f>#REF!</f>
        <v>#REF!</v>
      </c>
      <c r="M1351" s="141" t="e">
        <f>#REF!</f>
        <v>#REF!</v>
      </c>
      <c r="N1351" s="141" t="e">
        <f>#REF!</f>
        <v>#REF!</v>
      </c>
      <c r="O1351" s="141" t="e">
        <f>#REF!</f>
        <v>#REF!</v>
      </c>
      <c r="P1351" s="141" t="e">
        <f>#REF!</f>
        <v>#REF!</v>
      </c>
      <c r="Q1351" s="141" t="e">
        <f>#REF!</f>
        <v>#REF!</v>
      </c>
      <c r="R1351" s="141" t="e">
        <f>#REF!</f>
        <v>#REF!</v>
      </c>
      <c r="S1351" s="239"/>
      <c r="T1351" s="1476"/>
      <c r="U1351" s="146"/>
      <c r="V1351" s="5"/>
      <c r="W1351" s="5"/>
      <c r="X1351" s="5"/>
      <c r="Y1351" s="5"/>
      <c r="Z1351" s="5"/>
    </row>
    <row r="1352" spans="1:26" s="4" customFormat="1" x14ac:dyDescent="0.25">
      <c r="A1352" s="160"/>
      <c r="B1352" s="160"/>
      <c r="C1352" s="957"/>
      <c r="D1352" s="957" t="s">
        <v>28</v>
      </c>
      <c r="E1352" s="235"/>
      <c r="F1352" s="235"/>
      <c r="G1352" s="235"/>
      <c r="H1352" s="235"/>
      <c r="I1352" s="141" t="e">
        <f>#REF!</f>
        <v>#REF!</v>
      </c>
      <c r="J1352" s="141" t="e">
        <f>#REF!</f>
        <v>#REF!</v>
      </c>
      <c r="K1352" s="141" t="e">
        <f>#REF!</f>
        <v>#REF!</v>
      </c>
      <c r="L1352" s="141" t="e">
        <f>#REF!</f>
        <v>#REF!</v>
      </c>
      <c r="M1352" s="141" t="e">
        <f>#REF!</f>
        <v>#REF!</v>
      </c>
      <c r="N1352" s="141" t="e">
        <f>#REF!</f>
        <v>#REF!</v>
      </c>
      <c r="O1352" s="141" t="e">
        <f>#REF!</f>
        <v>#REF!</v>
      </c>
      <c r="P1352" s="141" t="e">
        <f>#REF!</f>
        <v>#REF!</v>
      </c>
      <c r="Q1352" s="141" t="e">
        <f>#REF!</f>
        <v>#REF!</v>
      </c>
      <c r="R1352" s="141" t="e">
        <f>#REF!</f>
        <v>#REF!</v>
      </c>
      <c r="S1352" s="239"/>
      <c r="T1352" s="1476"/>
      <c r="U1352" s="146"/>
      <c r="V1352" s="5"/>
      <c r="W1352" s="5"/>
      <c r="X1352" s="5"/>
      <c r="Y1352" s="5"/>
      <c r="Z1352" s="5"/>
    </row>
    <row r="1353" spans="1:26" s="4" customFormat="1" x14ac:dyDescent="0.25">
      <c r="A1353" s="160"/>
      <c r="B1353" s="160"/>
      <c r="C1353" s="957"/>
      <c r="D1353" s="957" t="s">
        <v>29</v>
      </c>
      <c r="E1353" s="235"/>
      <c r="F1353" s="235"/>
      <c r="G1353" s="235"/>
      <c r="H1353" s="235"/>
      <c r="I1353" s="141" t="e">
        <f>#REF!</f>
        <v>#REF!</v>
      </c>
      <c r="J1353" s="141" t="e">
        <f>#REF!</f>
        <v>#REF!</v>
      </c>
      <c r="K1353" s="141" t="e">
        <f>#REF!</f>
        <v>#REF!</v>
      </c>
      <c r="L1353" s="141" t="e">
        <f>#REF!</f>
        <v>#REF!</v>
      </c>
      <c r="M1353" s="141" t="e">
        <f>#REF!</f>
        <v>#REF!</v>
      </c>
      <c r="N1353" s="141" t="e">
        <f>#REF!</f>
        <v>#REF!</v>
      </c>
      <c r="O1353" s="141" t="e">
        <f>#REF!</f>
        <v>#REF!</v>
      </c>
      <c r="P1353" s="141" t="e">
        <f>#REF!</f>
        <v>#REF!</v>
      </c>
      <c r="Q1353" s="141" t="e">
        <f>#REF!</f>
        <v>#REF!</v>
      </c>
      <c r="R1353" s="141" t="e">
        <f>#REF!</f>
        <v>#REF!</v>
      </c>
      <c r="S1353" s="239"/>
      <c r="T1353" s="1476"/>
      <c r="U1353" s="146"/>
      <c r="V1353" s="5"/>
      <c r="W1353" s="5"/>
      <c r="X1353" s="5"/>
      <c r="Y1353" s="5"/>
      <c r="Z1353" s="5"/>
    </row>
    <row r="1354" spans="1:26" s="4" customFormat="1" x14ac:dyDescent="0.25">
      <c r="A1354" s="160"/>
      <c r="B1354" s="160"/>
      <c r="C1354" s="957"/>
      <c r="D1354" s="957" t="s">
        <v>31</v>
      </c>
      <c r="E1354" s="235"/>
      <c r="F1354" s="235"/>
      <c r="G1354" s="235"/>
      <c r="H1354" s="235"/>
      <c r="I1354" s="141" t="e">
        <f>#REF!</f>
        <v>#REF!</v>
      </c>
      <c r="J1354" s="141" t="e">
        <f>#REF!</f>
        <v>#REF!</v>
      </c>
      <c r="K1354" s="141" t="e">
        <f>#REF!</f>
        <v>#REF!</v>
      </c>
      <c r="L1354" s="141" t="e">
        <f>#REF!</f>
        <v>#REF!</v>
      </c>
      <c r="M1354" s="141" t="e">
        <f>#REF!</f>
        <v>#REF!</v>
      </c>
      <c r="N1354" s="141" t="e">
        <f>#REF!</f>
        <v>#REF!</v>
      </c>
      <c r="O1354" s="141" t="e">
        <f>#REF!</f>
        <v>#REF!</v>
      </c>
      <c r="P1354" s="141" t="e">
        <f>#REF!</f>
        <v>#REF!</v>
      </c>
      <c r="Q1354" s="141" t="e">
        <f>#REF!</f>
        <v>#REF!</v>
      </c>
      <c r="R1354" s="141" t="e">
        <f>#REF!</f>
        <v>#REF!</v>
      </c>
      <c r="S1354" s="239"/>
      <c r="T1354" s="1476"/>
      <c r="U1354" s="146"/>
      <c r="V1354" s="5"/>
      <c r="W1354" s="5"/>
      <c r="X1354" s="5"/>
      <c r="Y1354" s="5"/>
      <c r="Z1354" s="5"/>
    </row>
    <row r="1355" spans="1:26" s="4" customFormat="1" x14ac:dyDescent="0.25">
      <c r="A1355" s="160"/>
      <c r="B1355" s="160"/>
      <c r="C1355" s="957"/>
      <c r="D1355" s="957" t="s">
        <v>32</v>
      </c>
      <c r="E1355" s="235"/>
      <c r="F1355" s="235"/>
      <c r="G1355" s="235"/>
      <c r="H1355" s="235"/>
      <c r="I1355" s="141" t="e">
        <f>#REF!</f>
        <v>#REF!</v>
      </c>
      <c r="J1355" s="141" t="e">
        <f>#REF!</f>
        <v>#REF!</v>
      </c>
      <c r="K1355" s="141" t="e">
        <f>#REF!</f>
        <v>#REF!</v>
      </c>
      <c r="L1355" s="141" t="e">
        <f>#REF!</f>
        <v>#REF!</v>
      </c>
      <c r="M1355" s="141" t="e">
        <f>#REF!</f>
        <v>#REF!</v>
      </c>
      <c r="N1355" s="141" t="e">
        <f>#REF!</f>
        <v>#REF!</v>
      </c>
      <c r="O1355" s="141" t="e">
        <f>#REF!</f>
        <v>#REF!</v>
      </c>
      <c r="P1355" s="141" t="e">
        <f>#REF!</f>
        <v>#REF!</v>
      </c>
      <c r="Q1355" s="141" t="e">
        <f>#REF!</f>
        <v>#REF!</v>
      </c>
      <c r="R1355" s="141" t="e">
        <f>#REF!</f>
        <v>#REF!</v>
      </c>
      <c r="S1355" s="239"/>
      <c r="T1355" s="1476"/>
      <c r="U1355" s="146"/>
      <c r="V1355" s="5"/>
      <c r="W1355" s="5"/>
      <c r="X1355" s="5"/>
      <c r="Y1355" s="5"/>
      <c r="Z1355" s="5"/>
    </row>
    <row r="1356" spans="1:26" s="4" customFormat="1" x14ac:dyDescent="0.25">
      <c r="A1356" s="160"/>
      <c r="B1356" s="160"/>
      <c r="C1356" s="957"/>
      <c r="D1356" s="957" t="s">
        <v>33</v>
      </c>
      <c r="E1356" s="235"/>
      <c r="F1356" s="235"/>
      <c r="G1356" s="235"/>
      <c r="H1356" s="235"/>
      <c r="I1356" s="141" t="e">
        <f>#REF!</f>
        <v>#REF!</v>
      </c>
      <c r="J1356" s="141" t="e">
        <f>#REF!</f>
        <v>#REF!</v>
      </c>
      <c r="K1356" s="141" t="e">
        <f>#REF!</f>
        <v>#REF!</v>
      </c>
      <c r="L1356" s="141" t="e">
        <f>#REF!</f>
        <v>#REF!</v>
      </c>
      <c r="M1356" s="141" t="e">
        <f>#REF!</f>
        <v>#REF!</v>
      </c>
      <c r="N1356" s="141" t="e">
        <f>#REF!</f>
        <v>#REF!</v>
      </c>
      <c r="O1356" s="141" t="e">
        <f>#REF!</f>
        <v>#REF!</v>
      </c>
      <c r="P1356" s="141" t="e">
        <f>#REF!</f>
        <v>#REF!</v>
      </c>
      <c r="Q1356" s="141" t="e">
        <f>#REF!</f>
        <v>#REF!</v>
      </c>
      <c r="R1356" s="141" t="e">
        <f>#REF!</f>
        <v>#REF!</v>
      </c>
      <c r="S1356" s="239"/>
      <c r="T1356" s="1476"/>
      <c r="U1356" s="146"/>
      <c r="V1356" s="5"/>
      <c r="W1356" s="5"/>
      <c r="X1356" s="5"/>
      <c r="Y1356" s="5"/>
      <c r="Z1356" s="5"/>
    </row>
    <row r="1357" spans="1:26" s="4" customFormat="1" x14ac:dyDescent="0.25">
      <c r="A1357" s="160"/>
      <c r="B1357" s="160"/>
      <c r="C1357" s="957"/>
      <c r="D1357" s="957" t="s">
        <v>1996</v>
      </c>
      <c r="E1357" s="235"/>
      <c r="F1357" s="235"/>
      <c r="G1357" s="235"/>
      <c r="H1357" s="235"/>
      <c r="I1357" s="141" t="e">
        <f>#REF!</f>
        <v>#REF!</v>
      </c>
      <c r="J1357" s="141" t="e">
        <f>#REF!</f>
        <v>#REF!</v>
      </c>
      <c r="K1357" s="141" t="e">
        <f>#REF!</f>
        <v>#REF!</v>
      </c>
      <c r="L1357" s="141" t="e">
        <f>#REF!</f>
        <v>#REF!</v>
      </c>
      <c r="M1357" s="141" t="e">
        <f>#REF!</f>
        <v>#REF!</v>
      </c>
      <c r="N1357" s="141" t="e">
        <f>#REF!</f>
        <v>#REF!</v>
      </c>
      <c r="O1357" s="141" t="e">
        <f>#REF!</f>
        <v>#REF!</v>
      </c>
      <c r="P1357" s="141" t="e">
        <f>#REF!</f>
        <v>#REF!</v>
      </c>
      <c r="Q1357" s="141" t="e">
        <f>#REF!</f>
        <v>#REF!</v>
      </c>
      <c r="R1357" s="141" t="e">
        <f>#REF!</f>
        <v>#REF!</v>
      </c>
      <c r="S1357" s="239"/>
      <c r="T1357" s="1476"/>
      <c r="U1357" s="146"/>
      <c r="V1357" s="5"/>
      <c r="W1357" s="5"/>
      <c r="X1357" s="5"/>
      <c r="Y1357" s="5"/>
      <c r="Z1357" s="5"/>
    </row>
    <row r="1358" spans="1:26" s="4" customFormat="1" x14ac:dyDescent="0.25">
      <c r="A1358" s="160"/>
      <c r="B1358" s="160"/>
      <c r="C1358" s="957"/>
      <c r="D1358" s="957" t="s">
        <v>35</v>
      </c>
      <c r="E1358" s="235"/>
      <c r="F1358" s="235"/>
      <c r="G1358" s="235"/>
      <c r="H1358" s="235"/>
      <c r="I1358" s="141" t="e">
        <f>#REF!</f>
        <v>#REF!</v>
      </c>
      <c r="J1358" s="141" t="e">
        <f>#REF!</f>
        <v>#REF!</v>
      </c>
      <c r="K1358" s="141" t="e">
        <f>#REF!</f>
        <v>#REF!</v>
      </c>
      <c r="L1358" s="141" t="e">
        <f>#REF!</f>
        <v>#REF!</v>
      </c>
      <c r="M1358" s="141" t="e">
        <f>#REF!</f>
        <v>#REF!</v>
      </c>
      <c r="N1358" s="141" t="e">
        <f>#REF!</f>
        <v>#REF!</v>
      </c>
      <c r="O1358" s="141" t="e">
        <f>#REF!</f>
        <v>#REF!</v>
      </c>
      <c r="P1358" s="141" t="e">
        <f>#REF!</f>
        <v>#REF!</v>
      </c>
      <c r="Q1358" s="141" t="e">
        <f>#REF!</f>
        <v>#REF!</v>
      </c>
      <c r="R1358" s="141" t="e">
        <f>#REF!</f>
        <v>#REF!</v>
      </c>
      <c r="S1358" s="239"/>
      <c r="T1358" s="1476"/>
      <c r="U1358" s="146"/>
      <c r="V1358" s="5"/>
      <c r="W1358" s="5"/>
      <c r="X1358" s="5"/>
      <c r="Y1358" s="5"/>
      <c r="Z1358" s="5"/>
    </row>
    <row r="1359" spans="1:26" s="4" customFormat="1" x14ac:dyDescent="0.25">
      <c r="A1359" s="160"/>
      <c r="B1359" s="160"/>
      <c r="C1359" s="957"/>
      <c r="D1359" s="957" t="s">
        <v>1322</v>
      </c>
      <c r="E1359" s="235"/>
      <c r="F1359" s="235"/>
      <c r="G1359" s="235"/>
      <c r="H1359" s="235"/>
      <c r="I1359" s="141" t="e">
        <f>#REF!</f>
        <v>#REF!</v>
      </c>
      <c r="J1359" s="141" t="e">
        <f>#REF!</f>
        <v>#REF!</v>
      </c>
      <c r="K1359" s="141" t="e">
        <f>#REF!</f>
        <v>#REF!</v>
      </c>
      <c r="L1359" s="141" t="e">
        <f>#REF!</f>
        <v>#REF!</v>
      </c>
      <c r="M1359" s="141" t="e">
        <f>#REF!</f>
        <v>#REF!</v>
      </c>
      <c r="N1359" s="141" t="e">
        <f>#REF!</f>
        <v>#REF!</v>
      </c>
      <c r="O1359" s="141" t="e">
        <f>#REF!</f>
        <v>#REF!</v>
      </c>
      <c r="P1359" s="141" t="e">
        <f>#REF!</f>
        <v>#REF!</v>
      </c>
      <c r="Q1359" s="141" t="e">
        <f>#REF!</f>
        <v>#REF!</v>
      </c>
      <c r="R1359" s="141" t="e">
        <f>#REF!</f>
        <v>#REF!</v>
      </c>
      <c r="S1359" s="239"/>
      <c r="T1359" s="1476"/>
      <c r="U1359" s="146"/>
      <c r="V1359" s="5"/>
      <c r="W1359" s="5"/>
      <c r="X1359" s="5"/>
      <c r="Y1359" s="5"/>
      <c r="Z1359" s="5"/>
    </row>
    <row r="1360" spans="1:26" s="4" customFormat="1" x14ac:dyDescent="0.25">
      <c r="A1360" s="160"/>
      <c r="B1360" s="160"/>
      <c r="C1360" s="957"/>
      <c r="D1360" s="957" t="s">
        <v>1997</v>
      </c>
      <c r="E1360" s="235"/>
      <c r="F1360" s="235"/>
      <c r="G1360" s="235"/>
      <c r="H1360" s="235"/>
      <c r="I1360" s="141" t="e">
        <f>#REF!</f>
        <v>#REF!</v>
      </c>
      <c r="J1360" s="141" t="e">
        <f>#REF!</f>
        <v>#REF!</v>
      </c>
      <c r="K1360" s="141" t="e">
        <f>#REF!</f>
        <v>#REF!</v>
      </c>
      <c r="L1360" s="141" t="e">
        <f>#REF!</f>
        <v>#REF!</v>
      </c>
      <c r="M1360" s="141" t="e">
        <f>#REF!</f>
        <v>#REF!</v>
      </c>
      <c r="N1360" s="141" t="e">
        <f>#REF!</f>
        <v>#REF!</v>
      </c>
      <c r="O1360" s="141" t="e">
        <f>#REF!</f>
        <v>#REF!</v>
      </c>
      <c r="P1360" s="141" t="e">
        <f>#REF!</f>
        <v>#REF!</v>
      </c>
      <c r="Q1360" s="141" t="e">
        <f>#REF!</f>
        <v>#REF!</v>
      </c>
      <c r="R1360" s="141" t="e">
        <f>#REF!</f>
        <v>#REF!</v>
      </c>
      <c r="S1360" s="239"/>
      <c r="T1360" s="1476"/>
      <c r="U1360" s="146"/>
      <c r="V1360" s="5"/>
      <c r="W1360" s="5"/>
      <c r="X1360" s="5"/>
      <c r="Y1360" s="5"/>
      <c r="Z1360" s="5"/>
    </row>
    <row r="1361" spans="1:26" s="4" customFormat="1" x14ac:dyDescent="0.25">
      <c r="A1361" s="160"/>
      <c r="B1361" s="160"/>
      <c r="C1361" s="957"/>
      <c r="D1361" s="957" t="s">
        <v>1998</v>
      </c>
      <c r="E1361" s="235"/>
      <c r="F1361" s="235"/>
      <c r="G1361" s="235"/>
      <c r="H1361" s="235"/>
      <c r="I1361" s="141" t="e">
        <f>#REF!</f>
        <v>#REF!</v>
      </c>
      <c r="J1361" s="141" t="e">
        <f>#REF!</f>
        <v>#REF!</v>
      </c>
      <c r="K1361" s="141" t="e">
        <f>#REF!</f>
        <v>#REF!</v>
      </c>
      <c r="L1361" s="141" t="e">
        <f>#REF!</f>
        <v>#REF!</v>
      </c>
      <c r="M1361" s="141" t="e">
        <f>#REF!</f>
        <v>#REF!</v>
      </c>
      <c r="N1361" s="141" t="e">
        <f>#REF!</f>
        <v>#REF!</v>
      </c>
      <c r="O1361" s="141" t="e">
        <f>#REF!</f>
        <v>#REF!</v>
      </c>
      <c r="P1361" s="141" t="e">
        <f>#REF!</f>
        <v>#REF!</v>
      </c>
      <c r="Q1361" s="141" t="e">
        <f>#REF!</f>
        <v>#REF!</v>
      </c>
      <c r="R1361" s="141" t="e">
        <f>#REF!</f>
        <v>#REF!</v>
      </c>
      <c r="S1361" s="239"/>
      <c r="T1361" s="1476"/>
      <c r="U1361" s="146"/>
      <c r="V1361" s="5"/>
      <c r="W1361" s="5"/>
      <c r="X1361" s="5"/>
      <c r="Y1361" s="5"/>
      <c r="Z1361" s="5"/>
    </row>
    <row r="1362" spans="1:26" s="4" customFormat="1" x14ac:dyDescent="0.25">
      <c r="A1362" s="160"/>
      <c r="B1362" s="160"/>
      <c r="C1362" s="957"/>
      <c r="D1362" s="957" t="s">
        <v>40</v>
      </c>
      <c r="E1362" s="235"/>
      <c r="F1362" s="235"/>
      <c r="G1362" s="235"/>
      <c r="H1362" s="235"/>
      <c r="I1362" s="141" t="e">
        <f>#REF!</f>
        <v>#REF!</v>
      </c>
      <c r="J1362" s="141" t="e">
        <f>#REF!</f>
        <v>#REF!</v>
      </c>
      <c r="K1362" s="141" t="e">
        <f>#REF!</f>
        <v>#REF!</v>
      </c>
      <c r="L1362" s="141" t="e">
        <f>#REF!</f>
        <v>#REF!</v>
      </c>
      <c r="M1362" s="141" t="e">
        <f>#REF!</f>
        <v>#REF!</v>
      </c>
      <c r="N1362" s="141" t="e">
        <f>#REF!</f>
        <v>#REF!</v>
      </c>
      <c r="O1362" s="141" t="e">
        <f>#REF!</f>
        <v>#REF!</v>
      </c>
      <c r="P1362" s="141" t="e">
        <f>#REF!</f>
        <v>#REF!</v>
      </c>
      <c r="Q1362" s="141" t="e">
        <f>#REF!</f>
        <v>#REF!</v>
      </c>
      <c r="R1362" s="141" t="e">
        <f>#REF!</f>
        <v>#REF!</v>
      </c>
      <c r="S1362" s="239"/>
      <c r="T1362" s="1476"/>
      <c r="U1362" s="146"/>
      <c r="V1362" s="5"/>
      <c r="W1362" s="5"/>
      <c r="X1362" s="5"/>
      <c r="Y1362" s="5"/>
      <c r="Z1362" s="5"/>
    </row>
    <row r="1363" spans="1:26" s="4" customFormat="1" x14ac:dyDescent="0.25">
      <c r="A1363" s="160"/>
      <c r="B1363" s="160"/>
      <c r="C1363" s="957"/>
      <c r="D1363" s="957" t="s">
        <v>1999</v>
      </c>
      <c r="E1363" s="235"/>
      <c r="F1363" s="235"/>
      <c r="G1363" s="235"/>
      <c r="H1363" s="235"/>
      <c r="I1363" s="141" t="e">
        <f>#REF!</f>
        <v>#REF!</v>
      </c>
      <c r="J1363" s="141" t="e">
        <f>#REF!</f>
        <v>#REF!</v>
      </c>
      <c r="K1363" s="141" t="e">
        <f>#REF!</f>
        <v>#REF!</v>
      </c>
      <c r="L1363" s="141" t="e">
        <f>#REF!</f>
        <v>#REF!</v>
      </c>
      <c r="M1363" s="141" t="e">
        <f>#REF!</f>
        <v>#REF!</v>
      </c>
      <c r="N1363" s="141" t="e">
        <f>#REF!</f>
        <v>#REF!</v>
      </c>
      <c r="O1363" s="141" t="e">
        <f>#REF!</f>
        <v>#REF!</v>
      </c>
      <c r="P1363" s="141" t="e">
        <f>#REF!</f>
        <v>#REF!</v>
      </c>
      <c r="Q1363" s="141" t="e">
        <f>#REF!</f>
        <v>#REF!</v>
      </c>
      <c r="R1363" s="141" t="e">
        <f>#REF!</f>
        <v>#REF!</v>
      </c>
      <c r="S1363" s="239"/>
      <c r="T1363" s="1476"/>
      <c r="U1363" s="146"/>
      <c r="V1363" s="5"/>
      <c r="W1363" s="5"/>
      <c r="X1363" s="5"/>
      <c r="Y1363" s="5"/>
      <c r="Z1363" s="5"/>
    </row>
    <row r="1364" spans="1:26" s="4" customFormat="1" x14ac:dyDescent="0.25">
      <c r="A1364" s="160"/>
      <c r="B1364" s="160"/>
      <c r="C1364" s="1294"/>
      <c r="D1364" s="1294" t="s">
        <v>2007</v>
      </c>
      <c r="E1364" s="235"/>
      <c r="F1364" s="235"/>
      <c r="G1364" s="235"/>
      <c r="H1364" s="235"/>
      <c r="I1364" s="126" t="e">
        <f>SUM(I1334:I1363)</f>
        <v>#REF!</v>
      </c>
      <c r="J1364" s="126" t="e">
        <f t="shared" ref="J1364:R1364" si="77">SUM(J1334:J1363)</f>
        <v>#REF!</v>
      </c>
      <c r="K1364" s="126" t="e">
        <f t="shared" si="77"/>
        <v>#REF!</v>
      </c>
      <c r="L1364" s="126" t="e">
        <f t="shared" si="77"/>
        <v>#REF!</v>
      </c>
      <c r="M1364" s="126" t="e">
        <f t="shared" si="77"/>
        <v>#REF!</v>
      </c>
      <c r="N1364" s="126" t="e">
        <f t="shared" si="77"/>
        <v>#REF!</v>
      </c>
      <c r="O1364" s="126" t="e">
        <f t="shared" si="77"/>
        <v>#REF!</v>
      </c>
      <c r="P1364" s="126" t="e">
        <f t="shared" si="77"/>
        <v>#REF!</v>
      </c>
      <c r="Q1364" s="126" t="e">
        <f t="shared" si="77"/>
        <v>#REF!</v>
      </c>
      <c r="R1364" s="126" t="e">
        <f t="shared" si="77"/>
        <v>#REF!</v>
      </c>
      <c r="S1364" s="1447"/>
      <c r="T1364" s="1476"/>
      <c r="U1364" s="146"/>
      <c r="V1364" s="5"/>
      <c r="W1364" s="5"/>
      <c r="X1364" s="5"/>
      <c r="Y1364" s="5"/>
      <c r="Z1364" s="5"/>
    </row>
    <row r="1365" spans="1:26" s="4" customFormat="1" x14ac:dyDescent="0.25">
      <c r="A1365" s="160"/>
      <c r="B1365" s="160"/>
      <c r="C1365" s="1294"/>
      <c r="D1365" s="1294"/>
      <c r="E1365" s="235"/>
      <c r="F1365" s="235"/>
      <c r="G1365" s="235"/>
      <c r="H1365" s="235"/>
      <c r="I1365" s="160"/>
      <c r="J1365" s="160"/>
      <c r="K1365" s="160"/>
      <c r="L1365" s="160"/>
      <c r="M1365" s="160"/>
      <c r="N1365" s="160"/>
      <c r="O1365" s="160"/>
      <c r="P1365" s="160"/>
      <c r="Q1365" s="160"/>
      <c r="R1365" s="160"/>
      <c r="S1365" s="1447"/>
      <c r="T1365" s="1476"/>
      <c r="U1365" s="146"/>
      <c r="V1365" s="5"/>
      <c r="W1365" s="5"/>
      <c r="X1365" s="5"/>
      <c r="Y1365" s="5"/>
      <c r="Z1365" s="5"/>
    </row>
    <row r="1366" spans="1:26" s="4" customFormat="1" x14ac:dyDescent="0.25">
      <c r="A1366" s="160"/>
      <c r="B1366" s="160"/>
      <c r="C1366" s="1294"/>
      <c r="D1366" s="1294" t="s">
        <v>1318</v>
      </c>
      <c r="E1366" s="235"/>
      <c r="F1366" s="235"/>
      <c r="G1366" s="235"/>
      <c r="H1366" s="235"/>
      <c r="I1366" s="160"/>
      <c r="J1366" s="160"/>
      <c r="K1366" s="160"/>
      <c r="L1366" s="160"/>
      <c r="M1366" s="160"/>
      <c r="N1366" s="160"/>
      <c r="O1366" s="160"/>
      <c r="P1366" s="160"/>
      <c r="Q1366" s="160"/>
      <c r="R1366" s="160"/>
      <c r="S1366" s="1447"/>
      <c r="T1366" s="1476"/>
      <c r="U1366" s="146"/>
      <c r="V1366" s="5"/>
      <c r="W1366" s="5"/>
      <c r="X1366" s="5"/>
      <c r="Y1366" s="5"/>
      <c r="Z1366" s="5"/>
    </row>
    <row r="1367" spans="1:26" s="4" customFormat="1" x14ac:dyDescent="0.25">
      <c r="A1367" s="160"/>
      <c r="B1367" s="160"/>
      <c r="C1367" s="957"/>
      <c r="D1367" s="957" t="s">
        <v>2001</v>
      </c>
      <c r="E1367" s="235"/>
      <c r="F1367" s="235"/>
      <c r="G1367" s="235"/>
      <c r="H1367" s="235"/>
      <c r="I1367" s="141" t="e">
        <f>#REF!</f>
        <v>#REF!</v>
      </c>
      <c r="J1367" s="141" t="e">
        <f>#REF!</f>
        <v>#REF!</v>
      </c>
      <c r="K1367" s="141" t="e">
        <f>#REF!</f>
        <v>#REF!</v>
      </c>
      <c r="L1367" s="141" t="e">
        <f>#REF!</f>
        <v>#REF!</v>
      </c>
      <c r="M1367" s="141" t="e">
        <f>#REF!</f>
        <v>#REF!</v>
      </c>
      <c r="N1367" s="141" t="e">
        <f>#REF!</f>
        <v>#REF!</v>
      </c>
      <c r="O1367" s="141" t="e">
        <f>#REF!</f>
        <v>#REF!</v>
      </c>
      <c r="P1367" s="141" t="e">
        <f>#REF!</f>
        <v>#REF!</v>
      </c>
      <c r="Q1367" s="141" t="e">
        <f>#REF!</f>
        <v>#REF!</v>
      </c>
      <c r="R1367" s="141" t="e">
        <f>#REF!</f>
        <v>#REF!</v>
      </c>
      <c r="S1367" s="239"/>
      <c r="T1367" s="1476"/>
      <c r="U1367" s="146"/>
      <c r="V1367" s="5"/>
      <c r="W1367" s="5"/>
      <c r="X1367" s="5"/>
      <c r="Y1367" s="5"/>
      <c r="Z1367" s="5"/>
    </row>
    <row r="1368" spans="1:26" s="4" customFormat="1" x14ac:dyDescent="0.25">
      <c r="A1368" s="160"/>
      <c r="B1368" s="160"/>
      <c r="C1368" s="957"/>
      <c r="D1368" s="957" t="s">
        <v>1325</v>
      </c>
      <c r="E1368" s="235"/>
      <c r="F1368" s="235"/>
      <c r="G1368" s="235"/>
      <c r="H1368" s="235"/>
      <c r="I1368" s="141" t="e">
        <f>#REF!</f>
        <v>#REF!</v>
      </c>
      <c r="J1368" s="141" t="e">
        <f>#REF!</f>
        <v>#REF!</v>
      </c>
      <c r="K1368" s="141" t="e">
        <f>#REF!</f>
        <v>#REF!</v>
      </c>
      <c r="L1368" s="141" t="e">
        <f>#REF!</f>
        <v>#REF!</v>
      </c>
      <c r="M1368" s="141" t="e">
        <f>#REF!</f>
        <v>#REF!</v>
      </c>
      <c r="N1368" s="141" t="e">
        <f>#REF!</f>
        <v>#REF!</v>
      </c>
      <c r="O1368" s="141" t="e">
        <f>#REF!</f>
        <v>#REF!</v>
      </c>
      <c r="P1368" s="141" t="e">
        <f>#REF!</f>
        <v>#REF!</v>
      </c>
      <c r="Q1368" s="141" t="e">
        <f>#REF!</f>
        <v>#REF!</v>
      </c>
      <c r="R1368" s="141" t="e">
        <f>#REF!</f>
        <v>#REF!</v>
      </c>
      <c r="S1368" s="239"/>
      <c r="T1368" s="1476"/>
      <c r="U1368" s="146"/>
      <c r="V1368" s="5"/>
      <c r="W1368" s="5"/>
      <c r="X1368" s="5"/>
      <c r="Y1368" s="5"/>
      <c r="Z1368" s="5"/>
    </row>
    <row r="1369" spans="1:26" s="4" customFormat="1" x14ac:dyDescent="0.25">
      <c r="A1369" s="160"/>
      <c r="B1369" s="160"/>
      <c r="C1369" s="957"/>
      <c r="D1369" s="957" t="s">
        <v>1326</v>
      </c>
      <c r="E1369" s="235"/>
      <c r="F1369" s="235"/>
      <c r="G1369" s="235"/>
      <c r="H1369" s="235"/>
      <c r="I1369" s="141" t="e">
        <f>#REF!</f>
        <v>#REF!</v>
      </c>
      <c r="J1369" s="141" t="e">
        <f>#REF!</f>
        <v>#REF!</v>
      </c>
      <c r="K1369" s="141" t="e">
        <f>#REF!</f>
        <v>#REF!</v>
      </c>
      <c r="L1369" s="141" t="e">
        <f>#REF!</f>
        <v>#REF!</v>
      </c>
      <c r="M1369" s="141" t="e">
        <f>#REF!</f>
        <v>#REF!</v>
      </c>
      <c r="N1369" s="141" t="e">
        <f>#REF!</f>
        <v>#REF!</v>
      </c>
      <c r="O1369" s="141" t="e">
        <f>#REF!</f>
        <v>#REF!</v>
      </c>
      <c r="P1369" s="141" t="e">
        <f>#REF!</f>
        <v>#REF!</v>
      </c>
      <c r="Q1369" s="141" t="e">
        <f>#REF!</f>
        <v>#REF!</v>
      </c>
      <c r="R1369" s="141" t="e">
        <f>#REF!</f>
        <v>#REF!</v>
      </c>
      <c r="S1369" s="239"/>
      <c r="T1369" s="1476"/>
      <c r="U1369" s="146"/>
      <c r="V1369" s="5"/>
      <c r="W1369" s="5"/>
      <c r="X1369" s="5"/>
      <c r="Y1369" s="5"/>
      <c r="Z1369" s="5"/>
    </row>
    <row r="1370" spans="1:26" s="4" customFormat="1" x14ac:dyDescent="0.25">
      <c r="A1370" s="160"/>
      <c r="B1370" s="160"/>
      <c r="C1370" s="1294"/>
      <c r="D1370" s="1294" t="s">
        <v>2008</v>
      </c>
      <c r="E1370" s="235"/>
      <c r="F1370" s="235"/>
      <c r="G1370" s="235"/>
      <c r="H1370" s="235"/>
      <c r="I1370" s="126" t="e">
        <f>SUM(I1367:I1369)</f>
        <v>#REF!</v>
      </c>
      <c r="J1370" s="126" t="e">
        <f t="shared" ref="J1370:R1370" si="78">SUM(J1367:J1369)</f>
        <v>#REF!</v>
      </c>
      <c r="K1370" s="126" t="e">
        <f t="shared" si="78"/>
        <v>#REF!</v>
      </c>
      <c r="L1370" s="126" t="e">
        <f t="shared" si="78"/>
        <v>#REF!</v>
      </c>
      <c r="M1370" s="126" t="e">
        <f t="shared" si="78"/>
        <v>#REF!</v>
      </c>
      <c r="N1370" s="126" t="e">
        <f t="shared" si="78"/>
        <v>#REF!</v>
      </c>
      <c r="O1370" s="126" t="e">
        <f t="shared" si="78"/>
        <v>#REF!</v>
      </c>
      <c r="P1370" s="126" t="e">
        <f t="shared" si="78"/>
        <v>#REF!</v>
      </c>
      <c r="Q1370" s="126" t="e">
        <f t="shared" si="78"/>
        <v>#REF!</v>
      </c>
      <c r="R1370" s="126" t="e">
        <f t="shared" si="78"/>
        <v>#REF!</v>
      </c>
      <c r="S1370" s="239"/>
      <c r="T1370" s="1476"/>
      <c r="U1370" s="146"/>
      <c r="V1370" s="5"/>
      <c r="W1370" s="5"/>
      <c r="X1370" s="5"/>
      <c r="Y1370" s="5"/>
      <c r="Z1370" s="5"/>
    </row>
    <row r="1371" spans="1:26" s="4" customFormat="1" x14ac:dyDescent="0.25">
      <c r="A1371" s="160"/>
      <c r="B1371" s="160"/>
      <c r="C1371" s="1294"/>
      <c r="D1371" s="1294" t="s">
        <v>2009</v>
      </c>
      <c r="E1371" s="235"/>
      <c r="F1371" s="235"/>
      <c r="G1371" s="235"/>
      <c r="H1371" s="235"/>
      <c r="I1371" s="126" t="e">
        <f>I1370+I1364</f>
        <v>#REF!</v>
      </c>
      <c r="J1371" s="126" t="e">
        <f t="shared" ref="J1371:R1371" si="79">J1370+J1364</f>
        <v>#REF!</v>
      </c>
      <c r="K1371" s="126" t="e">
        <f t="shared" si="79"/>
        <v>#REF!</v>
      </c>
      <c r="L1371" s="126" t="e">
        <f t="shared" si="79"/>
        <v>#REF!</v>
      </c>
      <c r="M1371" s="126" t="e">
        <f t="shared" si="79"/>
        <v>#REF!</v>
      </c>
      <c r="N1371" s="126" t="e">
        <f t="shared" si="79"/>
        <v>#REF!</v>
      </c>
      <c r="O1371" s="126" t="e">
        <f t="shared" si="79"/>
        <v>#REF!</v>
      </c>
      <c r="P1371" s="126" t="e">
        <f t="shared" si="79"/>
        <v>#REF!</v>
      </c>
      <c r="Q1371" s="126" t="e">
        <f t="shared" si="79"/>
        <v>#REF!</v>
      </c>
      <c r="R1371" s="126" t="e">
        <f t="shared" si="79"/>
        <v>#REF!</v>
      </c>
      <c r="S1371" s="239"/>
      <c r="T1371" s="1476"/>
      <c r="U1371" s="146"/>
      <c r="V1371" s="5"/>
      <c r="W1371" s="5"/>
      <c r="X1371" s="5"/>
      <c r="Y1371" s="5"/>
      <c r="Z1371" s="5"/>
    </row>
    <row r="1372" spans="1:26" s="4" customFormat="1" x14ac:dyDescent="0.25">
      <c r="A1372" s="160"/>
      <c r="B1372" s="160"/>
      <c r="C1372" s="1294"/>
      <c r="D1372" s="1294"/>
      <c r="E1372" s="235"/>
      <c r="F1372" s="235"/>
      <c r="G1372" s="235"/>
      <c r="H1372" s="235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239"/>
      <c r="T1372" s="1476"/>
      <c r="U1372" s="146"/>
      <c r="V1372" s="5"/>
      <c r="W1372" s="5"/>
      <c r="X1372" s="5"/>
      <c r="Y1372" s="5"/>
      <c r="Z1372" s="5"/>
    </row>
    <row r="1373" spans="1:26" s="4" customFormat="1" x14ac:dyDescent="0.25">
      <c r="A1373" s="160"/>
      <c r="B1373" s="160"/>
      <c r="C1373" s="1294"/>
      <c r="D1373" s="1294"/>
      <c r="E1373" s="235"/>
      <c r="F1373" s="235"/>
      <c r="G1373" s="235"/>
      <c r="H1373" s="235"/>
      <c r="I1373" s="126"/>
      <c r="J1373" s="126"/>
      <c r="K1373" s="126"/>
      <c r="L1373" s="126"/>
      <c r="M1373" s="126"/>
      <c r="N1373" s="126"/>
      <c r="O1373" s="126"/>
      <c r="P1373" s="126"/>
      <c r="Q1373" s="126"/>
      <c r="R1373" s="161"/>
      <c r="S1373" s="239"/>
      <c r="T1373" s="1476"/>
      <c r="U1373" s="146"/>
      <c r="V1373" s="5"/>
      <c r="W1373" s="5"/>
      <c r="X1373" s="5"/>
      <c r="Y1373" s="5"/>
      <c r="Z1373" s="5"/>
    </row>
    <row r="1374" spans="1:26" s="4" customFormat="1" x14ac:dyDescent="0.25">
      <c r="A1374" s="160"/>
      <c r="B1374" s="160"/>
      <c r="C1374" s="957"/>
      <c r="D1374" s="235" t="s">
        <v>2010</v>
      </c>
      <c r="E1374" s="235"/>
      <c r="F1374" s="235"/>
      <c r="G1374" s="235"/>
      <c r="H1374" s="235"/>
      <c r="I1374" s="141" t="e">
        <f>#REF!</f>
        <v>#REF!</v>
      </c>
      <c r="J1374" s="141" t="e">
        <f>#REF!</f>
        <v>#REF!</v>
      </c>
      <c r="K1374" s="141" t="e">
        <f>#REF!</f>
        <v>#REF!</v>
      </c>
      <c r="L1374" s="141" t="e">
        <f>#REF!</f>
        <v>#REF!</v>
      </c>
      <c r="M1374" s="141" t="e">
        <f>#REF!</f>
        <v>#REF!</v>
      </c>
      <c r="N1374" s="141" t="e">
        <f>#REF!</f>
        <v>#REF!</v>
      </c>
      <c r="O1374" s="141" t="e">
        <f>#REF!</f>
        <v>#REF!</v>
      </c>
      <c r="P1374" s="141" t="e">
        <f>#REF!</f>
        <v>#REF!</v>
      </c>
      <c r="Q1374" s="141" t="e">
        <f>#REF!</f>
        <v>#REF!</v>
      </c>
      <c r="R1374" s="141" t="e">
        <f>#REF!</f>
        <v>#REF!</v>
      </c>
      <c r="S1374" s="239"/>
      <c r="T1374" s="1476"/>
      <c r="U1374" s="146"/>
      <c r="V1374" s="5"/>
      <c r="W1374" s="5"/>
      <c r="X1374" s="5"/>
      <c r="Y1374" s="5"/>
      <c r="Z1374" s="5"/>
    </row>
    <row r="1375" spans="1:26" s="4" customFormat="1" x14ac:dyDescent="0.25">
      <c r="A1375" s="160"/>
      <c r="B1375" s="160"/>
      <c r="C1375" s="957"/>
      <c r="D1375" s="235" t="s">
        <v>2011</v>
      </c>
      <c r="E1375" s="235"/>
      <c r="F1375" s="235"/>
      <c r="G1375" s="235"/>
      <c r="H1375" s="235"/>
      <c r="I1375" s="141" t="e">
        <f>#REF!</f>
        <v>#REF!</v>
      </c>
      <c r="J1375" s="141" t="e">
        <f>#REF!</f>
        <v>#REF!</v>
      </c>
      <c r="K1375" s="141" t="e">
        <f>#REF!</f>
        <v>#REF!</v>
      </c>
      <c r="L1375" s="141" t="e">
        <f>#REF!</f>
        <v>#REF!</v>
      </c>
      <c r="M1375" s="141" t="e">
        <f>#REF!</f>
        <v>#REF!</v>
      </c>
      <c r="N1375" s="141" t="e">
        <f>#REF!</f>
        <v>#REF!</v>
      </c>
      <c r="O1375" s="141" t="e">
        <f>#REF!</f>
        <v>#REF!</v>
      </c>
      <c r="P1375" s="141" t="e">
        <f>#REF!</f>
        <v>#REF!</v>
      </c>
      <c r="Q1375" s="141" t="e">
        <f>#REF!</f>
        <v>#REF!</v>
      </c>
      <c r="R1375" s="141" t="e">
        <f>#REF!</f>
        <v>#REF!</v>
      </c>
      <c r="S1375" s="239"/>
      <c r="T1375" s="1476"/>
      <c r="U1375" s="146"/>
      <c r="V1375" s="5"/>
      <c r="W1375" s="5"/>
      <c r="X1375" s="5"/>
      <c r="Y1375" s="5"/>
      <c r="Z1375" s="5"/>
    </row>
    <row r="1376" spans="1:26" s="5" customFormat="1" x14ac:dyDescent="0.25">
      <c r="A1376" s="161"/>
      <c r="B1376" s="161"/>
      <c r="C1376" s="957"/>
      <c r="D1376" s="51" t="s">
        <v>2012</v>
      </c>
      <c r="E1376" s="51"/>
      <c r="F1376" s="51"/>
      <c r="G1376" s="51"/>
      <c r="H1376" s="51"/>
      <c r="I1376" s="122" t="e">
        <f>#REF!</f>
        <v>#REF!</v>
      </c>
      <c r="J1376" s="122" t="e">
        <f>#REF!</f>
        <v>#REF!</v>
      </c>
      <c r="K1376" s="122" t="e">
        <f>#REF!</f>
        <v>#REF!</v>
      </c>
      <c r="L1376" s="122" t="e">
        <f>#REF!</f>
        <v>#REF!</v>
      </c>
      <c r="M1376" s="122" t="e">
        <f>#REF!</f>
        <v>#REF!</v>
      </c>
      <c r="N1376" s="122" t="e">
        <f>#REF!</f>
        <v>#REF!</v>
      </c>
      <c r="O1376" s="122" t="e">
        <f>#REF!</f>
        <v>#REF!</v>
      </c>
      <c r="P1376" s="122" t="e">
        <f>#REF!</f>
        <v>#REF!</v>
      </c>
      <c r="Q1376" s="122" t="e">
        <f>#REF!</f>
        <v>#REF!</v>
      </c>
      <c r="R1376" s="122" t="e">
        <f>#REF!</f>
        <v>#REF!</v>
      </c>
      <c r="S1376" s="1447"/>
      <c r="T1376" s="1476"/>
      <c r="U1376" s="146"/>
    </row>
    <row r="1377" spans="1:26" s="5" customFormat="1" x14ac:dyDescent="0.25">
      <c r="A1377" s="161"/>
      <c r="B1377" s="161"/>
      <c r="C1377" s="957"/>
      <c r="D1377" s="51" t="s">
        <v>1332</v>
      </c>
      <c r="E1377" s="51"/>
      <c r="F1377" s="51"/>
      <c r="G1377" s="51"/>
      <c r="H1377" s="51"/>
      <c r="I1377" s="122" t="e">
        <f>#REF!</f>
        <v>#REF!</v>
      </c>
      <c r="J1377" s="122" t="e">
        <f>#REF!</f>
        <v>#REF!</v>
      </c>
      <c r="K1377" s="122" t="e">
        <f>#REF!</f>
        <v>#REF!</v>
      </c>
      <c r="L1377" s="122" t="e">
        <f>#REF!</f>
        <v>#REF!</v>
      </c>
      <c r="M1377" s="122" t="e">
        <f>#REF!</f>
        <v>#REF!</v>
      </c>
      <c r="N1377" s="122" t="e">
        <f>#REF!</f>
        <v>#REF!</v>
      </c>
      <c r="O1377" s="122" t="e">
        <f>#REF!</f>
        <v>#REF!</v>
      </c>
      <c r="P1377" s="122" t="e">
        <f>#REF!</f>
        <v>#REF!</v>
      </c>
      <c r="Q1377" s="122" t="e">
        <f>#REF!</f>
        <v>#REF!</v>
      </c>
      <c r="R1377" s="122" t="e">
        <f>#REF!</f>
        <v>#REF!</v>
      </c>
      <c r="S1377" s="1447"/>
      <c r="T1377" s="1476"/>
      <c r="U1377" s="146"/>
    </row>
    <row r="1378" spans="1:26" s="5" customFormat="1" x14ac:dyDescent="0.25">
      <c r="A1378" s="161"/>
      <c r="B1378" s="161"/>
      <c r="C1378" s="957"/>
      <c r="D1378" s="51" t="s">
        <v>2013</v>
      </c>
      <c r="E1378" s="51"/>
      <c r="F1378" s="51"/>
      <c r="G1378" s="51"/>
      <c r="H1378" s="51"/>
      <c r="I1378" s="122" t="e">
        <f>#REF!</f>
        <v>#REF!</v>
      </c>
      <c r="J1378" s="122" t="e">
        <f>#REF!</f>
        <v>#REF!</v>
      </c>
      <c r="K1378" s="122" t="e">
        <f>#REF!</f>
        <v>#REF!</v>
      </c>
      <c r="L1378" s="122" t="e">
        <f>#REF!</f>
        <v>#REF!</v>
      </c>
      <c r="M1378" s="122" t="e">
        <f>#REF!</f>
        <v>#REF!</v>
      </c>
      <c r="N1378" s="122" t="e">
        <f>#REF!</f>
        <v>#REF!</v>
      </c>
      <c r="O1378" s="122" t="e">
        <f>#REF!</f>
        <v>#REF!</v>
      </c>
      <c r="P1378" s="122" t="e">
        <f>#REF!</f>
        <v>#REF!</v>
      </c>
      <c r="Q1378" s="122" t="e">
        <f>#REF!</f>
        <v>#REF!</v>
      </c>
      <c r="R1378" s="122" t="e">
        <f>#REF!</f>
        <v>#REF!</v>
      </c>
      <c r="S1378" s="1447"/>
      <c r="T1378" s="1476"/>
      <c r="U1378" s="146"/>
    </row>
    <row r="1379" spans="1:26" s="5" customFormat="1" x14ac:dyDescent="0.25">
      <c r="A1379" s="161"/>
      <c r="B1379" s="161"/>
      <c r="C1379" s="957"/>
      <c r="D1379" s="51" t="s">
        <v>2014</v>
      </c>
      <c r="E1379" s="51"/>
      <c r="F1379" s="51"/>
      <c r="G1379" s="51"/>
      <c r="H1379" s="51"/>
      <c r="I1379" s="122" t="e">
        <f>#REF!</f>
        <v>#REF!</v>
      </c>
      <c r="J1379" s="122" t="e">
        <f>#REF!</f>
        <v>#REF!</v>
      </c>
      <c r="K1379" s="122" t="e">
        <f>#REF!</f>
        <v>#REF!</v>
      </c>
      <c r="L1379" s="122" t="e">
        <f>#REF!</f>
        <v>#REF!</v>
      </c>
      <c r="M1379" s="122" t="e">
        <f>#REF!</f>
        <v>#REF!</v>
      </c>
      <c r="N1379" s="122" t="e">
        <f>#REF!</f>
        <v>#REF!</v>
      </c>
      <c r="O1379" s="122" t="e">
        <f>#REF!</f>
        <v>#REF!</v>
      </c>
      <c r="P1379" s="122" t="e">
        <f>#REF!</f>
        <v>#REF!</v>
      </c>
      <c r="Q1379" s="122" t="e">
        <f>#REF!</f>
        <v>#REF!</v>
      </c>
      <c r="R1379" s="122" t="e">
        <f>#REF!</f>
        <v>#REF!</v>
      </c>
      <c r="S1379" s="1447"/>
      <c r="T1379" s="1476"/>
      <c r="U1379" s="146"/>
    </row>
    <row r="1380" spans="1:26" s="5" customFormat="1" x14ac:dyDescent="0.25">
      <c r="A1380" s="161"/>
      <c r="B1380" s="161"/>
      <c r="C1380" s="957"/>
      <c r="D1380" s="51"/>
      <c r="E1380" s="51"/>
      <c r="F1380" s="51"/>
      <c r="G1380" s="51"/>
      <c r="H1380" s="51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447"/>
      <c r="T1380" s="1476"/>
      <c r="U1380" s="146"/>
    </row>
    <row r="1381" spans="1:26" s="5" customFormat="1" x14ac:dyDescent="0.25">
      <c r="A1381" s="161"/>
      <c r="B1381" s="161"/>
      <c r="C1381" s="957"/>
      <c r="D1381" s="51" t="s">
        <v>653</v>
      </c>
      <c r="E1381" s="51"/>
      <c r="F1381" s="51"/>
      <c r="G1381" s="51"/>
      <c r="H1381" s="51"/>
      <c r="I1381" s="122" t="e">
        <f>#REF!</f>
        <v>#REF!</v>
      </c>
      <c r="J1381" s="122" t="e">
        <f>#REF!</f>
        <v>#REF!</v>
      </c>
      <c r="K1381" s="122" t="e">
        <f>#REF!</f>
        <v>#REF!</v>
      </c>
      <c r="L1381" s="122" t="e">
        <f>#REF!</f>
        <v>#REF!</v>
      </c>
      <c r="M1381" s="122" t="e">
        <f>#REF!</f>
        <v>#REF!</v>
      </c>
      <c r="N1381" s="122" t="e">
        <f>#REF!</f>
        <v>#REF!</v>
      </c>
      <c r="O1381" s="122" t="e">
        <f>#REF!</f>
        <v>#REF!</v>
      </c>
      <c r="P1381" s="122" t="e">
        <f>#REF!</f>
        <v>#REF!</v>
      </c>
      <c r="Q1381" s="122" t="e">
        <f>#REF!</f>
        <v>#REF!</v>
      </c>
      <c r="R1381" s="122" t="e">
        <f>#REF!</f>
        <v>#REF!</v>
      </c>
      <c r="S1381" s="239"/>
      <c r="T1381" s="1476"/>
      <c r="U1381" s="146"/>
    </row>
    <row r="1382" spans="1:26" s="5" customFormat="1" x14ac:dyDescent="0.25">
      <c r="A1382" s="161"/>
      <c r="B1382" s="161"/>
      <c r="C1382" s="957"/>
      <c r="D1382" s="51" t="s">
        <v>2015</v>
      </c>
      <c r="E1382" s="51"/>
      <c r="F1382" s="51"/>
      <c r="G1382" s="51"/>
      <c r="H1382" s="51"/>
      <c r="I1382" s="122" t="e">
        <f>#REF!</f>
        <v>#REF!</v>
      </c>
      <c r="J1382" s="122" t="e">
        <f>#REF!</f>
        <v>#REF!</v>
      </c>
      <c r="K1382" s="122" t="e">
        <f>#REF!</f>
        <v>#REF!</v>
      </c>
      <c r="L1382" s="122" t="e">
        <f>#REF!</f>
        <v>#REF!</v>
      </c>
      <c r="M1382" s="122" t="e">
        <f>#REF!</f>
        <v>#REF!</v>
      </c>
      <c r="N1382" s="122" t="e">
        <f>#REF!</f>
        <v>#REF!</v>
      </c>
      <c r="O1382" s="122" t="e">
        <f>#REF!</f>
        <v>#REF!</v>
      </c>
      <c r="P1382" s="122" t="e">
        <f>#REF!</f>
        <v>#REF!</v>
      </c>
      <c r="Q1382" s="122" t="e">
        <f>#REF!</f>
        <v>#REF!</v>
      </c>
      <c r="R1382" s="122" t="e">
        <f>#REF!</f>
        <v>#REF!</v>
      </c>
      <c r="S1382" s="239"/>
      <c r="T1382" s="1476"/>
      <c r="U1382" s="146"/>
    </row>
    <row r="1383" spans="1:26" s="5" customFormat="1" x14ac:dyDescent="0.25">
      <c r="A1383" s="161"/>
      <c r="B1383" s="161"/>
      <c r="C1383" s="957"/>
      <c r="D1383" s="51" t="s">
        <v>2016</v>
      </c>
      <c r="E1383" s="51"/>
      <c r="F1383" s="51"/>
      <c r="G1383" s="51"/>
      <c r="H1383" s="51"/>
      <c r="I1383" s="122" t="e">
        <f>#REF!</f>
        <v>#REF!</v>
      </c>
      <c r="J1383" s="122" t="e">
        <f>#REF!</f>
        <v>#REF!</v>
      </c>
      <c r="K1383" s="122" t="e">
        <f>#REF!</f>
        <v>#REF!</v>
      </c>
      <c r="L1383" s="122" t="e">
        <f>#REF!</f>
        <v>#REF!</v>
      </c>
      <c r="M1383" s="122" t="e">
        <f>#REF!</f>
        <v>#REF!</v>
      </c>
      <c r="N1383" s="122" t="e">
        <f>#REF!</f>
        <v>#REF!</v>
      </c>
      <c r="O1383" s="122" t="e">
        <f>#REF!</f>
        <v>#REF!</v>
      </c>
      <c r="P1383" s="122" t="e">
        <f>#REF!</f>
        <v>#REF!</v>
      </c>
      <c r="Q1383" s="122" t="e">
        <f>#REF!</f>
        <v>#REF!</v>
      </c>
      <c r="R1383" s="122" t="e">
        <f>#REF!</f>
        <v>#REF!</v>
      </c>
      <c r="S1383" s="239"/>
      <c r="T1383" s="1476"/>
      <c r="U1383" s="146"/>
    </row>
    <row r="1384" spans="1:26" s="5" customFormat="1" x14ac:dyDescent="0.25">
      <c r="A1384" s="161"/>
      <c r="B1384" s="161"/>
      <c r="C1384" s="957"/>
      <c r="D1384" s="51" t="s">
        <v>2017</v>
      </c>
      <c r="E1384" s="51"/>
      <c r="F1384" s="51"/>
      <c r="G1384" s="51"/>
      <c r="H1384" s="51"/>
      <c r="I1384" s="122" t="e">
        <f>#REF!</f>
        <v>#REF!</v>
      </c>
      <c r="J1384" s="122" t="e">
        <f>#REF!</f>
        <v>#REF!</v>
      </c>
      <c r="K1384" s="122" t="e">
        <f>#REF!</f>
        <v>#REF!</v>
      </c>
      <c r="L1384" s="122" t="e">
        <f>#REF!</f>
        <v>#REF!</v>
      </c>
      <c r="M1384" s="122" t="e">
        <f>#REF!</f>
        <v>#REF!</v>
      </c>
      <c r="N1384" s="122" t="e">
        <f>#REF!</f>
        <v>#REF!</v>
      </c>
      <c r="O1384" s="122" t="e">
        <f>#REF!</f>
        <v>#REF!</v>
      </c>
      <c r="P1384" s="122" t="e">
        <f>#REF!</f>
        <v>#REF!</v>
      </c>
      <c r="Q1384" s="122" t="e">
        <f>#REF!</f>
        <v>#REF!</v>
      </c>
      <c r="R1384" s="122" t="e">
        <f>#REF!</f>
        <v>#REF!</v>
      </c>
      <c r="S1384" s="239"/>
      <c r="T1384" s="1476"/>
      <c r="U1384" s="146"/>
    </row>
    <row r="1385" spans="1:26" s="5" customFormat="1" x14ac:dyDescent="0.25">
      <c r="A1385" s="161"/>
      <c r="B1385" s="161"/>
      <c r="C1385" s="957"/>
      <c r="D1385" s="51" t="s">
        <v>2017</v>
      </c>
      <c r="E1385" s="51"/>
      <c r="F1385" s="51"/>
      <c r="G1385" s="51"/>
      <c r="H1385" s="51"/>
      <c r="I1385" s="122" t="e">
        <f>#REF!</f>
        <v>#REF!</v>
      </c>
      <c r="J1385" s="122" t="e">
        <f>#REF!</f>
        <v>#REF!</v>
      </c>
      <c r="K1385" s="122" t="e">
        <f>#REF!</f>
        <v>#REF!</v>
      </c>
      <c r="L1385" s="122" t="e">
        <f>#REF!</f>
        <v>#REF!</v>
      </c>
      <c r="M1385" s="122" t="e">
        <f>#REF!</f>
        <v>#REF!</v>
      </c>
      <c r="N1385" s="122" t="e">
        <f>#REF!</f>
        <v>#REF!</v>
      </c>
      <c r="O1385" s="122" t="e">
        <f>#REF!</f>
        <v>#REF!</v>
      </c>
      <c r="P1385" s="122" t="e">
        <f>#REF!</f>
        <v>#REF!</v>
      </c>
      <c r="Q1385" s="122" t="e">
        <f>#REF!</f>
        <v>#REF!</v>
      </c>
      <c r="R1385" s="122" t="e">
        <f>#REF!</f>
        <v>#REF!</v>
      </c>
      <c r="S1385" s="239"/>
      <c r="T1385" s="1476"/>
      <c r="U1385" s="146"/>
    </row>
    <row r="1386" spans="1:26" s="4" customFormat="1" x14ac:dyDescent="0.25">
      <c r="A1386" s="160"/>
      <c r="B1386" s="160"/>
      <c r="C1386" s="957"/>
      <c r="D1386" s="235"/>
      <c r="E1386" s="235"/>
      <c r="F1386" s="235"/>
      <c r="G1386" s="235"/>
      <c r="H1386" s="235"/>
      <c r="I1386" s="141"/>
      <c r="J1386" s="160"/>
      <c r="K1386" s="160"/>
      <c r="L1386" s="160"/>
      <c r="M1386" s="160"/>
      <c r="N1386" s="160"/>
      <c r="O1386" s="160"/>
      <c r="P1386" s="160"/>
      <c r="Q1386" s="160"/>
      <c r="R1386" s="161"/>
      <c r="S1386" s="239"/>
      <c r="T1386" s="1476"/>
      <c r="U1386" s="146"/>
      <c r="V1386" s="5"/>
      <c r="W1386" s="5"/>
      <c r="X1386" s="5"/>
      <c r="Y1386" s="5"/>
      <c r="Z1386" s="5"/>
    </row>
    <row r="1387" spans="1:26" s="4" customFormat="1" x14ac:dyDescent="0.25">
      <c r="A1387" s="160"/>
      <c r="B1387" s="160"/>
      <c r="C1387" s="957"/>
      <c r="D1387" s="235" t="s">
        <v>2018</v>
      </c>
      <c r="E1387" s="235"/>
      <c r="F1387" s="235"/>
      <c r="G1387" s="235"/>
      <c r="H1387" s="235"/>
      <c r="I1387" s="122" t="e">
        <f>#REF!</f>
        <v>#REF!</v>
      </c>
      <c r="J1387" s="122" t="e">
        <f>#REF!</f>
        <v>#REF!</v>
      </c>
      <c r="K1387" s="122" t="e">
        <f>#REF!</f>
        <v>#REF!</v>
      </c>
      <c r="L1387" s="122" t="e">
        <f>#REF!</f>
        <v>#REF!</v>
      </c>
      <c r="M1387" s="122" t="e">
        <f>#REF!</f>
        <v>#REF!</v>
      </c>
      <c r="N1387" s="122" t="e">
        <f>#REF!</f>
        <v>#REF!</v>
      </c>
      <c r="O1387" s="122" t="e">
        <f>#REF!</f>
        <v>#REF!</v>
      </c>
      <c r="P1387" s="122" t="e">
        <f>#REF!</f>
        <v>#REF!</v>
      </c>
      <c r="Q1387" s="122" t="e">
        <f>#REF!</f>
        <v>#REF!</v>
      </c>
      <c r="R1387" s="122" t="e">
        <f>#REF!</f>
        <v>#REF!</v>
      </c>
      <c r="S1387" s="239"/>
      <c r="T1387" s="1476"/>
      <c r="U1387" s="146"/>
      <c r="V1387" s="5"/>
      <c r="W1387" s="5"/>
      <c r="X1387" s="5"/>
      <c r="Y1387" s="5"/>
      <c r="Z1387" s="5"/>
    </row>
    <row r="1392" spans="1:26" x14ac:dyDescent="0.25">
      <c r="F1392" s="122"/>
      <c r="G1392" s="122"/>
      <c r="H1392" s="122">
        <f>H1382+H1381+H1377+H1375+H1374+H1371+H1327+H1287</f>
        <v>0</v>
      </c>
      <c r="I1392" s="122" t="e">
        <f t="shared" ref="I1392:Q1392" si="80">I1382+I1381+I1377+I1375+I1374+I1371+I1327+I1287+I1387+I1376+I1378+I1379+I1383+I1384+I1385</f>
        <v>#REF!</v>
      </c>
      <c r="J1392" s="122" t="e">
        <f t="shared" si="80"/>
        <v>#REF!</v>
      </c>
      <c r="K1392" s="122" t="e">
        <f t="shared" si="80"/>
        <v>#REF!</v>
      </c>
      <c r="L1392" s="122" t="e">
        <f t="shared" si="80"/>
        <v>#REF!</v>
      </c>
      <c r="M1392" s="122" t="e">
        <f t="shared" si="80"/>
        <v>#REF!</v>
      </c>
      <c r="N1392" s="122" t="e">
        <f t="shared" si="80"/>
        <v>#REF!</v>
      </c>
      <c r="O1392" s="122" t="e">
        <f t="shared" si="80"/>
        <v>#REF!</v>
      </c>
      <c r="P1392" s="122" t="e">
        <f t="shared" si="80"/>
        <v>#REF!</v>
      </c>
      <c r="Q1392" s="122" t="e">
        <f t="shared" si="80"/>
        <v>#REF!</v>
      </c>
      <c r="R1392" s="122" t="e">
        <f>R1382+R1381+R1377+R1375+R1374+R1371+R1327+R1287+R1387+R1376+R1378+R1379+R1383+R1384+R1385</f>
        <v>#REF!</v>
      </c>
      <c r="S1392" s="1447"/>
    </row>
    <row r="1393" spans="1:26" ht="15" x14ac:dyDescent="0.25">
      <c r="I1393" s="1446">
        <v>472712996.31999999</v>
      </c>
      <c r="J1393" s="1446"/>
      <c r="K1393" s="1446"/>
      <c r="L1393" s="1446"/>
      <c r="M1393" s="1446">
        <v>1116083420.5599999</v>
      </c>
      <c r="N1393" s="1446">
        <v>309211854.81</v>
      </c>
      <c r="O1393" s="1446"/>
      <c r="P1393" s="1446"/>
      <c r="Q1393" s="1446"/>
      <c r="R1393" s="1447">
        <v>803114862.72000003</v>
      </c>
      <c r="S1393" s="1447"/>
    </row>
    <row r="1394" spans="1:26" s="4" customFormat="1" x14ac:dyDescent="0.25">
      <c r="A1394" s="160"/>
      <c r="B1394" s="160"/>
      <c r="C1394" s="957"/>
      <c r="D1394" s="235"/>
      <c r="E1394" s="235"/>
      <c r="F1394" s="235"/>
      <c r="G1394" s="235"/>
      <c r="H1394" s="235"/>
      <c r="I1394" s="1448" t="e">
        <f>I1392-I1393</f>
        <v>#REF!</v>
      </c>
      <c r="J1394" s="1448" t="e">
        <f t="shared" ref="J1394:R1394" si="81">J1392-J1393</f>
        <v>#REF!</v>
      </c>
      <c r="K1394" s="1448" t="e">
        <f t="shared" si="81"/>
        <v>#REF!</v>
      </c>
      <c r="L1394" s="1448" t="e">
        <f t="shared" si="81"/>
        <v>#REF!</v>
      </c>
      <c r="M1394" s="1448" t="e">
        <f>M1392-M1393</f>
        <v>#REF!</v>
      </c>
      <c r="N1394" s="1448" t="e">
        <f t="shared" si="81"/>
        <v>#REF!</v>
      </c>
      <c r="O1394" s="1448" t="e">
        <f t="shared" si="81"/>
        <v>#REF!</v>
      </c>
      <c r="P1394" s="1448" t="e">
        <f t="shared" si="81"/>
        <v>#REF!</v>
      </c>
      <c r="Q1394" s="1448" t="e">
        <f t="shared" si="81"/>
        <v>#REF!</v>
      </c>
      <c r="R1394" s="1448" t="e">
        <f t="shared" si="81"/>
        <v>#REF!</v>
      </c>
      <c r="S1394" s="1447"/>
      <c r="T1394" s="1476"/>
      <c r="U1394" s="146"/>
      <c r="V1394" s="5"/>
      <c r="W1394" s="5"/>
      <c r="X1394" s="5"/>
      <c r="Y1394" s="5"/>
      <c r="Z1394" s="5"/>
    </row>
    <row r="1395" spans="1:26" s="4" customFormat="1" x14ac:dyDescent="0.25">
      <c r="A1395" s="160"/>
      <c r="B1395" s="160"/>
      <c r="C1395" s="957"/>
      <c r="D1395" s="235"/>
      <c r="E1395" s="235"/>
      <c r="F1395" s="235"/>
      <c r="G1395" s="235"/>
      <c r="H1395" s="235"/>
      <c r="I1395" s="160"/>
      <c r="J1395" s="160"/>
      <c r="K1395" s="160"/>
      <c r="L1395" s="160"/>
      <c r="M1395" s="160"/>
      <c r="N1395" s="160"/>
      <c r="O1395" s="160"/>
      <c r="P1395" s="160"/>
      <c r="Q1395" s="160"/>
      <c r="R1395" s="161"/>
      <c r="S1395" s="1447"/>
      <c r="T1395" s="1476"/>
      <c r="U1395" s="146"/>
      <c r="V1395" s="5"/>
      <c r="W1395" s="5"/>
      <c r="X1395" s="5"/>
      <c r="Y1395" s="5"/>
      <c r="Z1395" s="5"/>
    </row>
    <row r="1396" spans="1:26" s="4" customFormat="1" x14ac:dyDescent="0.25">
      <c r="A1396" s="160"/>
      <c r="B1396" s="160"/>
      <c r="C1396" s="957"/>
      <c r="D1396" s="235"/>
      <c r="E1396" s="235"/>
      <c r="F1396" s="235"/>
      <c r="G1396" s="235"/>
      <c r="H1396" s="235"/>
      <c r="I1396" s="160"/>
      <c r="J1396" s="160"/>
      <c r="K1396" s="160"/>
      <c r="L1396" s="160"/>
      <c r="M1396" s="160"/>
      <c r="N1396" s="160"/>
      <c r="O1396" s="160"/>
      <c r="P1396" s="160"/>
      <c r="Q1396" s="160"/>
      <c r="R1396" s="161"/>
      <c r="S1396" s="1447"/>
      <c r="T1396" s="1476"/>
      <c r="U1396" s="146"/>
      <c r="V1396" s="5"/>
      <c r="W1396" s="5"/>
      <c r="X1396" s="5"/>
      <c r="Y1396" s="5"/>
      <c r="Z1396" s="5"/>
    </row>
    <row r="1397" spans="1:26" s="4" customFormat="1" x14ac:dyDescent="0.25">
      <c r="A1397" s="160"/>
      <c r="B1397" s="160"/>
      <c r="C1397" s="957"/>
      <c r="D1397" s="235"/>
      <c r="E1397" s="235"/>
      <c r="F1397" s="235"/>
      <c r="G1397" s="235"/>
      <c r="H1397" s="235"/>
      <c r="I1397" s="160"/>
      <c r="J1397" s="160"/>
      <c r="K1397" s="160"/>
      <c r="L1397" s="160"/>
      <c r="M1397" s="160"/>
      <c r="N1397" s="160"/>
      <c r="O1397" s="160"/>
      <c r="P1397" s="160"/>
      <c r="Q1397" s="160"/>
      <c r="R1397" s="161"/>
      <c r="S1397" s="1447"/>
      <c r="T1397" s="1476"/>
      <c r="U1397" s="146"/>
      <c r="V1397" s="5"/>
      <c r="W1397" s="5"/>
      <c r="X1397" s="5"/>
      <c r="Y1397" s="5"/>
      <c r="Z1397" s="5"/>
    </row>
    <row r="1398" spans="1:26" s="4" customFormat="1" x14ac:dyDescent="0.25">
      <c r="A1398" s="160"/>
      <c r="B1398" s="160"/>
      <c r="C1398" s="957"/>
      <c r="D1398" s="235"/>
      <c r="E1398" s="235"/>
      <c r="F1398" s="235"/>
      <c r="G1398" s="235"/>
      <c r="H1398" s="235"/>
      <c r="I1398" s="160"/>
      <c r="J1398" s="160"/>
      <c r="K1398" s="160"/>
      <c r="L1398" s="160"/>
      <c r="M1398" s="160"/>
      <c r="N1398" s="160"/>
      <c r="O1398" s="160"/>
      <c r="P1398" s="160"/>
      <c r="Q1398" s="160"/>
      <c r="R1398" s="161"/>
      <c r="S1398" s="1447"/>
      <c r="T1398" s="1476"/>
      <c r="U1398" s="146"/>
      <c r="V1398" s="5"/>
      <c r="W1398" s="5"/>
      <c r="X1398" s="5"/>
      <c r="Y1398" s="5"/>
      <c r="Z1398" s="5"/>
    </row>
    <row r="1399" spans="1:26" s="4" customFormat="1" x14ac:dyDescent="0.25">
      <c r="A1399" s="160"/>
      <c r="B1399" s="160"/>
      <c r="C1399" s="957"/>
      <c r="D1399" s="235"/>
      <c r="E1399" s="235"/>
      <c r="F1399" s="235"/>
      <c r="G1399" s="235"/>
      <c r="H1399" s="235"/>
      <c r="I1399" s="160"/>
      <c r="J1399" s="160"/>
      <c r="K1399" s="160"/>
      <c r="L1399" s="160"/>
      <c r="M1399" s="160"/>
      <c r="N1399" s="160"/>
      <c r="O1399" s="160"/>
      <c r="P1399" s="160"/>
      <c r="Q1399" s="160"/>
      <c r="R1399" s="161"/>
      <c r="S1399" s="1447"/>
      <c r="T1399" s="1476"/>
      <c r="U1399" s="146"/>
      <c r="V1399" s="5"/>
      <c r="W1399" s="5"/>
      <c r="X1399" s="5"/>
      <c r="Y1399" s="5"/>
      <c r="Z1399" s="5"/>
    </row>
    <row r="1400" spans="1:26" s="4" customFormat="1" x14ac:dyDescent="0.25">
      <c r="A1400" s="160"/>
      <c r="B1400" s="160"/>
      <c r="C1400" s="957"/>
      <c r="D1400" s="235"/>
      <c r="E1400" s="235"/>
      <c r="F1400" s="235"/>
      <c r="G1400" s="235"/>
      <c r="H1400" s="235"/>
      <c r="I1400" s="160"/>
      <c r="J1400" s="160"/>
      <c r="K1400" s="160"/>
      <c r="L1400" s="160"/>
      <c r="M1400" s="160"/>
      <c r="N1400" s="160"/>
      <c r="O1400" s="160"/>
      <c r="P1400" s="160"/>
      <c r="Q1400" s="160"/>
      <c r="R1400" s="161"/>
      <c r="S1400" s="1447"/>
      <c r="T1400" s="1476"/>
      <c r="U1400" s="146"/>
      <c r="V1400" s="5"/>
      <c r="W1400" s="5"/>
      <c r="X1400" s="5"/>
      <c r="Y1400" s="5"/>
      <c r="Z1400" s="5"/>
    </row>
  </sheetData>
  <sortState ref="C675:R836">
    <sortCondition ref="C836"/>
  </sortState>
  <mergeCells count="12">
    <mergeCell ref="S1331:S1332"/>
    <mergeCell ref="S1247:S1248"/>
    <mergeCell ref="S922:S923"/>
    <mergeCell ref="S997:S998"/>
    <mergeCell ref="S1073:S1074"/>
    <mergeCell ref="S672:S673"/>
    <mergeCell ref="S754:S755"/>
    <mergeCell ref="S281:S282"/>
    <mergeCell ref="S368:S369"/>
    <mergeCell ref="S441:S442"/>
    <mergeCell ref="S516:S517"/>
    <mergeCell ref="S592:S593"/>
  </mergeCells>
  <pageMargins left="0.43307086614173229" right="0.15748031496062992" top="0.70866141732283472" bottom="1.5748031496062993" header="0.31496062992125984" footer="1.1023622047244095"/>
  <pageSetup paperSize="5" scale="65" orientation="portrait" horizontalDpi="4294967294" r:id="rId1"/>
  <headerFooter>
    <oddFooter>&amp;C&amp;14&amp;P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02"/>
  <sheetViews>
    <sheetView workbookViewId="0">
      <selection activeCell="J21" sqref="J21"/>
    </sheetView>
  </sheetViews>
  <sheetFormatPr defaultRowHeight="15.75" x14ac:dyDescent="0.25"/>
  <cols>
    <col min="1" max="1" width="28.5703125" style="484" customWidth="1"/>
    <col min="2" max="2" width="22.28515625" style="484" hidden="1" customWidth="1"/>
    <col min="3" max="5" width="22.28515625" hidden="1" customWidth="1"/>
    <col min="6" max="8" width="19.5703125" style="1025" customWidth="1"/>
    <col min="9" max="9" width="23.28515625" style="1026" customWidth="1"/>
  </cols>
  <sheetData>
    <row r="3" spans="1:9" ht="36" x14ac:dyDescent="0.25">
      <c r="A3" s="1003" t="s">
        <v>1320</v>
      </c>
      <c r="B3" s="1020" t="s">
        <v>1331</v>
      </c>
      <c r="C3" s="1376" t="s">
        <v>163</v>
      </c>
      <c r="D3" s="1376" t="s">
        <v>201</v>
      </c>
      <c r="E3" s="1376" t="s">
        <v>208</v>
      </c>
      <c r="F3" s="1022" t="s">
        <v>1317</v>
      </c>
      <c r="G3" s="1022" t="s">
        <v>1515</v>
      </c>
      <c r="H3" s="1022" t="s">
        <v>1318</v>
      </c>
      <c r="I3" s="1022" t="s">
        <v>208</v>
      </c>
    </row>
    <row r="4" spans="1:9" ht="18" x14ac:dyDescent="0.25">
      <c r="A4" s="1018" t="s">
        <v>3</v>
      </c>
      <c r="B4" s="1036">
        <v>6685453.6699999999</v>
      </c>
      <c r="C4" s="1036">
        <v>71521830.260000005</v>
      </c>
      <c r="D4" s="1097">
        <v>0</v>
      </c>
      <c r="E4" s="1036">
        <f t="shared" ref="E4:E23" si="0">SUM(B4:D4)</f>
        <v>78207283.930000007</v>
      </c>
      <c r="F4" s="1373">
        <f>E4</f>
        <v>78207283.930000007</v>
      </c>
      <c r="G4" s="1028"/>
      <c r="H4" s="1028"/>
      <c r="I4" s="1029">
        <f>SUM(F4:H4)</f>
        <v>78207283.930000007</v>
      </c>
    </row>
    <row r="5" spans="1:9" ht="18" x14ac:dyDescent="0.25">
      <c r="A5" s="1018" t="s">
        <v>1499</v>
      </c>
      <c r="B5" s="1036">
        <v>7920529.6500000004</v>
      </c>
      <c r="C5" s="1036">
        <v>3984797.14</v>
      </c>
      <c r="D5" s="1097">
        <v>0</v>
      </c>
      <c r="E5" s="1036">
        <f t="shared" si="0"/>
        <v>11905326.790000001</v>
      </c>
      <c r="F5" s="1373">
        <f>E5</f>
        <v>11905326.790000001</v>
      </c>
      <c r="G5" s="1028"/>
      <c r="H5" s="1028"/>
      <c r="I5" s="1029">
        <f t="shared" ref="I5:I33" si="1">SUM(F5:H5)</f>
        <v>11905326.790000001</v>
      </c>
    </row>
    <row r="6" spans="1:9" ht="18" x14ac:dyDescent="0.25">
      <c r="A6" s="1018" t="s">
        <v>1500</v>
      </c>
      <c r="B6" s="1036">
        <v>647720.72</v>
      </c>
      <c r="C6" s="1036">
        <v>2577731.2999999998</v>
      </c>
      <c r="D6" s="1097">
        <v>0</v>
      </c>
      <c r="E6" s="1036">
        <f t="shared" si="0"/>
        <v>3225452.0199999996</v>
      </c>
      <c r="F6" s="1373"/>
      <c r="G6" s="1027">
        <f>E6</f>
        <v>3225452.0199999996</v>
      </c>
      <c r="H6" s="1028"/>
      <c r="I6" s="1029">
        <f t="shared" si="1"/>
        <v>3225452.0199999996</v>
      </c>
    </row>
    <row r="7" spans="1:9" ht="18" x14ac:dyDescent="0.25">
      <c r="A7" s="1018" t="s">
        <v>1501</v>
      </c>
      <c r="B7" s="1036">
        <v>2485379.73</v>
      </c>
      <c r="C7" s="1036">
        <v>15732000</v>
      </c>
      <c r="D7" s="1097">
        <v>0</v>
      </c>
      <c r="E7" s="1036">
        <f t="shared" si="0"/>
        <v>18217379.73</v>
      </c>
      <c r="F7" s="1374"/>
      <c r="G7" s="1028"/>
      <c r="H7" s="1027">
        <f>E7</f>
        <v>18217379.73</v>
      </c>
      <c r="I7" s="1029">
        <f t="shared" si="1"/>
        <v>18217379.73</v>
      </c>
    </row>
    <row r="8" spans="1:9" ht="18" x14ac:dyDescent="0.25">
      <c r="A8" s="1018" t="s">
        <v>1502</v>
      </c>
      <c r="B8" s="1036">
        <v>1360036.89</v>
      </c>
      <c r="C8" s="1036">
        <v>214557.5</v>
      </c>
      <c r="D8" s="1097">
        <v>0</v>
      </c>
      <c r="E8" s="1036">
        <f t="shared" si="0"/>
        <v>1574594.39</v>
      </c>
      <c r="F8" s="1373">
        <f>E8</f>
        <v>1574594.39</v>
      </c>
      <c r="G8" s="1028"/>
      <c r="H8" s="1028"/>
      <c r="I8" s="1029">
        <f t="shared" si="1"/>
        <v>1574594.39</v>
      </c>
    </row>
    <row r="9" spans="1:9" ht="18" x14ac:dyDescent="0.25">
      <c r="A9" s="1018" t="s">
        <v>1503</v>
      </c>
      <c r="B9" s="1036">
        <v>1431243.2</v>
      </c>
      <c r="C9" s="1036">
        <v>950880.18</v>
      </c>
      <c r="D9" s="1097">
        <v>0</v>
      </c>
      <c r="E9" s="1036">
        <f t="shared" si="0"/>
        <v>2382123.38</v>
      </c>
      <c r="F9" s="1373">
        <f>E9</f>
        <v>2382123.38</v>
      </c>
      <c r="G9" s="1028"/>
      <c r="H9" s="1028"/>
      <c r="I9" s="1029">
        <f t="shared" si="1"/>
        <v>2382123.38</v>
      </c>
    </row>
    <row r="10" spans="1:9" ht="18" x14ac:dyDescent="0.25">
      <c r="A10" s="1018" t="s">
        <v>1024</v>
      </c>
      <c r="B10" s="1036">
        <v>1150933.6299999999</v>
      </c>
      <c r="C10" s="1036">
        <v>1883543.9</v>
      </c>
      <c r="D10" s="1097">
        <v>0</v>
      </c>
      <c r="E10" s="1036">
        <f t="shared" si="0"/>
        <v>3034477.53</v>
      </c>
      <c r="F10" s="1373">
        <f>E10</f>
        <v>3034477.53</v>
      </c>
      <c r="G10" s="1028"/>
      <c r="H10" s="1028"/>
      <c r="I10" s="1029">
        <f t="shared" si="1"/>
        <v>3034477.53</v>
      </c>
    </row>
    <row r="11" spans="1:9" ht="18" x14ac:dyDescent="0.25">
      <c r="A11" s="1018" t="s">
        <v>1028</v>
      </c>
      <c r="B11" s="1036">
        <v>1100011.5</v>
      </c>
      <c r="C11" s="1036">
        <v>4509873.66</v>
      </c>
      <c r="D11" s="1036">
        <v>1377600</v>
      </c>
      <c r="E11" s="1036">
        <f t="shared" si="0"/>
        <v>6987485.1600000001</v>
      </c>
      <c r="F11" s="1374"/>
      <c r="G11" s="1028"/>
      <c r="H11" s="1027">
        <f>E11</f>
        <v>6987485.1600000001</v>
      </c>
      <c r="I11" s="1029">
        <f t="shared" si="1"/>
        <v>6987485.1600000001</v>
      </c>
    </row>
    <row r="12" spans="1:9" ht="18" x14ac:dyDescent="0.25">
      <c r="A12" s="1018" t="s">
        <v>1321</v>
      </c>
      <c r="B12" s="1036">
        <v>703129.89</v>
      </c>
      <c r="C12" s="1036">
        <v>2508912</v>
      </c>
      <c r="D12" s="1097">
        <v>0</v>
      </c>
      <c r="E12" s="1036">
        <f t="shared" si="0"/>
        <v>3212041.89</v>
      </c>
      <c r="F12" s="1374"/>
      <c r="G12" s="1027">
        <f>E12</f>
        <v>3212041.89</v>
      </c>
      <c r="H12" s="1028"/>
      <c r="I12" s="1029">
        <f t="shared" si="1"/>
        <v>3212041.89</v>
      </c>
    </row>
    <row r="13" spans="1:9" ht="18" x14ac:dyDescent="0.25">
      <c r="A13" s="1018" t="s">
        <v>1504</v>
      </c>
      <c r="B13" s="1036">
        <v>2235776.7000000002</v>
      </c>
      <c r="C13" s="1036">
        <v>3389226.52</v>
      </c>
      <c r="D13" s="1097">
        <v>0</v>
      </c>
      <c r="E13" s="1036">
        <f t="shared" si="0"/>
        <v>5625003.2200000007</v>
      </c>
      <c r="F13" s="1373">
        <f>E13</f>
        <v>5625003.2200000007</v>
      </c>
      <c r="G13" s="1028"/>
      <c r="H13" s="1028"/>
      <c r="I13" s="1029">
        <f t="shared" si="1"/>
        <v>5625003.2200000007</v>
      </c>
    </row>
    <row r="14" spans="1:9" ht="18" x14ac:dyDescent="0.25">
      <c r="A14" s="1018" t="s">
        <v>1505</v>
      </c>
      <c r="B14" s="1036">
        <v>3632718.36</v>
      </c>
      <c r="C14" s="1036">
        <v>3555800</v>
      </c>
      <c r="D14" s="1036">
        <v>1075000</v>
      </c>
      <c r="E14" s="1036">
        <f t="shared" si="0"/>
        <v>8263518.3599999994</v>
      </c>
      <c r="F14" s="1373">
        <f>E14</f>
        <v>8263518.3599999994</v>
      </c>
      <c r="G14" s="1028"/>
      <c r="H14" s="1028"/>
      <c r="I14" s="1029">
        <f t="shared" si="1"/>
        <v>8263518.3599999994</v>
      </c>
    </row>
    <row r="15" spans="1:9" ht="18" x14ac:dyDescent="0.25">
      <c r="A15" s="1018" t="s">
        <v>1506</v>
      </c>
      <c r="B15" s="1036">
        <v>23216116.760000002</v>
      </c>
      <c r="C15" s="1036">
        <v>8290800</v>
      </c>
      <c r="D15" s="1036">
        <v>1110000</v>
      </c>
      <c r="E15" s="1036">
        <f t="shared" si="0"/>
        <v>32616916.760000002</v>
      </c>
      <c r="F15" s="1373">
        <f>E15</f>
        <v>32616916.760000002</v>
      </c>
      <c r="G15" s="1028"/>
      <c r="H15" s="1028"/>
      <c r="I15" s="1029">
        <f t="shared" si="1"/>
        <v>32616916.760000002</v>
      </c>
    </row>
    <row r="16" spans="1:9" ht="18" x14ac:dyDescent="0.25">
      <c r="A16" s="1018" t="s">
        <v>1507</v>
      </c>
      <c r="B16" s="1036">
        <v>6675601.6600000001</v>
      </c>
      <c r="C16" s="1036">
        <v>3835800</v>
      </c>
      <c r="D16" s="1097">
        <v>150000</v>
      </c>
      <c r="E16" s="1036">
        <f t="shared" si="0"/>
        <v>10661401.66</v>
      </c>
      <c r="F16" s="1373">
        <f>E16</f>
        <v>10661401.66</v>
      </c>
      <c r="G16" s="1028"/>
      <c r="H16" s="1028"/>
      <c r="I16" s="1029">
        <f t="shared" si="1"/>
        <v>10661401.66</v>
      </c>
    </row>
    <row r="17" spans="1:9" ht="18" x14ac:dyDescent="0.25">
      <c r="A17" s="1018" t="s">
        <v>1508</v>
      </c>
      <c r="B17" s="1036">
        <v>386394.25</v>
      </c>
      <c r="C17" s="1036">
        <v>309000</v>
      </c>
      <c r="D17" s="1097">
        <v>0</v>
      </c>
      <c r="E17" s="1036">
        <f t="shared" si="0"/>
        <v>695394.25</v>
      </c>
      <c r="F17" s="1374"/>
      <c r="G17" s="1027">
        <f>E17</f>
        <v>695394.25</v>
      </c>
      <c r="H17" s="1028"/>
      <c r="I17" s="1029">
        <f t="shared" si="1"/>
        <v>695394.25</v>
      </c>
    </row>
    <row r="18" spans="1:9" ht="18" x14ac:dyDescent="0.25">
      <c r="A18" s="1018" t="s">
        <v>1509</v>
      </c>
      <c r="B18" s="1036">
        <v>1938439.46</v>
      </c>
      <c r="C18" s="1036">
        <v>432000</v>
      </c>
      <c r="D18" s="1036">
        <v>100000</v>
      </c>
      <c r="E18" s="1036">
        <f t="shared" si="0"/>
        <v>2470439.46</v>
      </c>
      <c r="F18" s="1373">
        <f>E18</f>
        <v>2470439.46</v>
      </c>
      <c r="G18" s="1028"/>
      <c r="H18" s="1028"/>
      <c r="I18" s="1029">
        <f t="shared" si="1"/>
        <v>2470439.46</v>
      </c>
    </row>
    <row r="19" spans="1:9" ht="18" x14ac:dyDescent="0.25">
      <c r="A19" s="1018" t="s">
        <v>26</v>
      </c>
      <c r="B19" s="1036">
        <v>1683923.04</v>
      </c>
      <c r="C19" s="1036">
        <v>98600</v>
      </c>
      <c r="D19" s="1097">
        <v>0</v>
      </c>
      <c r="E19" s="1036">
        <f t="shared" si="0"/>
        <v>1782523.04</v>
      </c>
      <c r="F19" s="1373">
        <f>E19</f>
        <v>1782523.04</v>
      </c>
      <c r="G19" s="1028"/>
      <c r="H19" s="1028"/>
      <c r="I19" s="1029">
        <f t="shared" si="1"/>
        <v>1782523.04</v>
      </c>
    </row>
    <row r="20" spans="1:9" ht="18" x14ac:dyDescent="0.25">
      <c r="A20" s="1018" t="s">
        <v>1510</v>
      </c>
      <c r="B20" s="1036">
        <v>3007759.23</v>
      </c>
      <c r="C20" s="1036">
        <v>8885824.9000000004</v>
      </c>
      <c r="D20" s="1097">
        <v>0</v>
      </c>
      <c r="E20" s="1036">
        <f t="shared" si="0"/>
        <v>11893584.130000001</v>
      </c>
      <c r="F20" s="1373">
        <f>E20</f>
        <v>11893584.130000001</v>
      </c>
      <c r="G20" s="1028"/>
      <c r="H20" s="1028"/>
      <c r="I20" s="1029">
        <f t="shared" si="1"/>
        <v>11893584.130000001</v>
      </c>
    </row>
    <row r="21" spans="1:9" ht="18" x14ac:dyDescent="0.25">
      <c r="A21" s="1018" t="s">
        <v>27</v>
      </c>
      <c r="B21" s="1036">
        <v>6612598.6600000001</v>
      </c>
      <c r="C21" s="1036">
        <v>3127894.52</v>
      </c>
      <c r="D21" s="1036">
        <v>300000</v>
      </c>
      <c r="E21" s="1036">
        <f t="shared" si="0"/>
        <v>10040493.18</v>
      </c>
      <c r="F21" s="1373">
        <f t="shared" ref="F21:F26" si="2">E21</f>
        <v>10040493.18</v>
      </c>
      <c r="G21" s="1028"/>
      <c r="H21" s="1028"/>
      <c r="I21" s="1029">
        <f t="shared" si="1"/>
        <v>10040493.18</v>
      </c>
    </row>
    <row r="22" spans="1:9" ht="18" x14ac:dyDescent="0.25">
      <c r="A22" s="1019" t="s">
        <v>28</v>
      </c>
      <c r="B22" s="487">
        <v>3183023.43</v>
      </c>
      <c r="C22" s="487">
        <v>847021.78</v>
      </c>
      <c r="D22" s="1097">
        <v>0</v>
      </c>
      <c r="E22" s="1036">
        <f t="shared" si="0"/>
        <v>4030045.21</v>
      </c>
      <c r="F22" s="1373">
        <f t="shared" si="2"/>
        <v>4030045.21</v>
      </c>
      <c r="G22" s="1030"/>
      <c r="H22" s="1030"/>
      <c r="I22" s="1031">
        <f t="shared" si="1"/>
        <v>4030045.21</v>
      </c>
    </row>
    <row r="23" spans="1:9" ht="18" x14ac:dyDescent="0.25">
      <c r="A23" s="1019" t="s">
        <v>29</v>
      </c>
      <c r="B23" s="487">
        <v>6795236.5800000001</v>
      </c>
      <c r="C23" s="487">
        <v>1195864.3999999999</v>
      </c>
      <c r="D23" s="1097">
        <v>0</v>
      </c>
      <c r="E23" s="1036">
        <f t="shared" si="0"/>
        <v>7991100.9800000004</v>
      </c>
      <c r="F23" s="1373">
        <f t="shared" si="2"/>
        <v>7991100.9800000004</v>
      </c>
      <c r="G23" s="1030"/>
      <c r="H23" s="1030"/>
      <c r="I23" s="1031">
        <f t="shared" si="1"/>
        <v>7991100.9800000004</v>
      </c>
    </row>
    <row r="24" spans="1:9" ht="18" x14ac:dyDescent="0.25">
      <c r="A24" s="1019" t="s">
        <v>31</v>
      </c>
      <c r="B24" s="487">
        <v>12766890.01</v>
      </c>
      <c r="C24" s="487">
        <v>49680612.5</v>
      </c>
      <c r="D24" s="487">
        <v>2200000</v>
      </c>
      <c r="E24" s="1036">
        <f>SUM(B24:D24)</f>
        <v>64647502.509999998</v>
      </c>
      <c r="F24" s="1373">
        <f t="shared" si="2"/>
        <v>64647502.509999998</v>
      </c>
      <c r="G24" s="1030"/>
      <c r="H24" s="1030"/>
      <c r="I24" s="1031">
        <f t="shared" si="1"/>
        <v>64647502.509999998</v>
      </c>
    </row>
    <row r="25" spans="1:9" ht="18" x14ac:dyDescent="0.25">
      <c r="A25" s="1019" t="s">
        <v>32</v>
      </c>
      <c r="B25" s="487">
        <v>7793831.0999999996</v>
      </c>
      <c r="C25" s="487">
        <v>2211835.98</v>
      </c>
      <c r="D25" s="487">
        <v>800000</v>
      </c>
      <c r="E25" s="1036">
        <f>SUM(B25:D25)</f>
        <v>10805667.08</v>
      </c>
      <c r="F25" s="1373">
        <f t="shared" si="2"/>
        <v>10805667.08</v>
      </c>
      <c r="G25" s="1030"/>
      <c r="H25" s="1030"/>
      <c r="I25" s="1031">
        <f t="shared" si="1"/>
        <v>10805667.08</v>
      </c>
    </row>
    <row r="26" spans="1:9" ht="18" x14ac:dyDescent="0.25">
      <c r="A26" s="1019" t="s">
        <v>33</v>
      </c>
      <c r="B26" s="487">
        <v>8760808.8800000008</v>
      </c>
      <c r="C26" s="487">
        <v>4390588.18</v>
      </c>
      <c r="D26" s="487">
        <v>40100000</v>
      </c>
      <c r="E26" s="1036">
        <f t="shared" ref="E26:E33" si="3">SUM(B26:D26)</f>
        <v>53251397.060000002</v>
      </c>
      <c r="F26" s="1373">
        <f t="shared" si="2"/>
        <v>53251397.060000002</v>
      </c>
      <c r="G26" s="1030"/>
      <c r="H26" s="1030"/>
      <c r="I26" s="1031">
        <f t="shared" si="1"/>
        <v>53251397.060000002</v>
      </c>
    </row>
    <row r="27" spans="1:9" ht="18" x14ac:dyDescent="0.25">
      <c r="A27" s="1019" t="s">
        <v>1511</v>
      </c>
      <c r="B27" s="487">
        <v>2383753.83</v>
      </c>
      <c r="C27" s="487">
        <v>728358.06</v>
      </c>
      <c r="D27" s="1097">
        <v>0</v>
      </c>
      <c r="E27" s="1036">
        <f t="shared" si="3"/>
        <v>3112111.89</v>
      </c>
      <c r="F27" s="1373">
        <f>E27</f>
        <v>3112111.89</v>
      </c>
      <c r="G27" s="1030"/>
      <c r="H27" s="1030"/>
      <c r="I27" s="1031">
        <f t="shared" si="1"/>
        <v>3112111.89</v>
      </c>
    </row>
    <row r="28" spans="1:9" ht="18" x14ac:dyDescent="0.25">
      <c r="A28" s="1019" t="s">
        <v>35</v>
      </c>
      <c r="B28" s="487">
        <v>22776272.690000001</v>
      </c>
      <c r="C28" s="487">
        <v>66999502.259999998</v>
      </c>
      <c r="D28" s="1097">
        <v>0</v>
      </c>
      <c r="E28" s="1036">
        <f t="shared" si="3"/>
        <v>89775774.950000003</v>
      </c>
      <c r="F28" s="1375"/>
      <c r="G28" s="1032">
        <f>E28</f>
        <v>89775774.950000003</v>
      </c>
      <c r="H28" s="1030"/>
      <c r="I28" s="1031">
        <f t="shared" si="1"/>
        <v>89775774.950000003</v>
      </c>
    </row>
    <row r="29" spans="1:9" ht="18" x14ac:dyDescent="0.25">
      <c r="A29" s="1018" t="s">
        <v>1322</v>
      </c>
      <c r="B29" s="1036">
        <v>6132807.04</v>
      </c>
      <c r="C29" s="1036">
        <v>24495069.75</v>
      </c>
      <c r="D29" s="1097">
        <v>0</v>
      </c>
      <c r="E29" s="1036">
        <f t="shared" si="3"/>
        <v>30627876.789999999</v>
      </c>
      <c r="F29" s="1374"/>
      <c r="G29" s="1027">
        <f>E29</f>
        <v>30627876.789999999</v>
      </c>
      <c r="H29" s="1028"/>
      <c r="I29" s="1029">
        <f t="shared" si="1"/>
        <v>30627876.789999999</v>
      </c>
    </row>
    <row r="30" spans="1:9" ht="18" x14ac:dyDescent="0.25">
      <c r="A30" s="1019" t="s">
        <v>1512</v>
      </c>
      <c r="B30" s="487">
        <v>11336441.59</v>
      </c>
      <c r="C30" s="487">
        <v>18466423.140000001</v>
      </c>
      <c r="D30" s="487">
        <v>80000</v>
      </c>
      <c r="E30" s="1036">
        <f t="shared" si="3"/>
        <v>29882864.73</v>
      </c>
      <c r="F30" s="1375"/>
      <c r="G30" s="1030"/>
      <c r="H30" s="1032">
        <f>E30</f>
        <v>29882864.73</v>
      </c>
      <c r="I30" s="1031">
        <f t="shared" si="1"/>
        <v>29882864.73</v>
      </c>
    </row>
    <row r="31" spans="1:9" ht="18" x14ac:dyDescent="0.25">
      <c r="A31" s="1019" t="s">
        <v>1513</v>
      </c>
      <c r="B31" s="487">
        <v>2010267.32</v>
      </c>
      <c r="C31" s="487">
        <v>11684500</v>
      </c>
      <c r="D31" s="1097">
        <v>0</v>
      </c>
      <c r="E31" s="1036">
        <f t="shared" si="3"/>
        <v>13694767.32</v>
      </c>
      <c r="F31" s="1375"/>
      <c r="G31" s="1030"/>
      <c r="H31" s="1032">
        <f>E31</f>
        <v>13694767.32</v>
      </c>
      <c r="I31" s="1031">
        <f t="shared" si="1"/>
        <v>13694767.32</v>
      </c>
    </row>
    <row r="32" spans="1:9" ht="18" x14ac:dyDescent="0.25">
      <c r="A32" s="1019" t="s">
        <v>40</v>
      </c>
      <c r="B32" s="487">
        <v>16542250.439999999</v>
      </c>
      <c r="C32" s="487">
        <v>10848769.439999999</v>
      </c>
      <c r="D32" s="487">
        <v>400000</v>
      </c>
      <c r="E32" s="1036">
        <f t="shared" si="3"/>
        <v>27791019.879999999</v>
      </c>
      <c r="F32" s="1375"/>
      <c r="G32" s="1030"/>
      <c r="H32" s="1032">
        <f>E32</f>
        <v>27791019.879999999</v>
      </c>
      <c r="I32" s="1031">
        <f t="shared" si="1"/>
        <v>27791019.879999999</v>
      </c>
    </row>
    <row r="33" spans="1:9" ht="18" x14ac:dyDescent="0.25">
      <c r="A33" s="1019" t="s">
        <v>1514</v>
      </c>
      <c r="B33" s="487">
        <v>3087002.72</v>
      </c>
      <c r="C33" s="487">
        <v>2449574.35</v>
      </c>
      <c r="D33" s="1097">
        <v>0</v>
      </c>
      <c r="E33" s="1036">
        <f t="shared" si="3"/>
        <v>5536577.0700000003</v>
      </c>
      <c r="F33" s="1375"/>
      <c r="G33" s="1030"/>
      <c r="H33" s="1032">
        <f>E33</f>
        <v>5536577.0700000003</v>
      </c>
      <c r="I33" s="1031">
        <f t="shared" si="1"/>
        <v>5536577.0700000003</v>
      </c>
    </row>
    <row r="34" spans="1:9" ht="18" x14ac:dyDescent="0.25">
      <c r="A34" s="1008" t="s">
        <v>1323</v>
      </c>
      <c r="B34" s="1035">
        <f>SUM(B4:B33)</f>
        <v>176442352.63</v>
      </c>
      <c r="C34" s="488">
        <f>SUM(C4:C33)</f>
        <v>329807191.72000003</v>
      </c>
      <c r="D34" s="488">
        <f>SUM(D4:D33)</f>
        <v>47692600</v>
      </c>
      <c r="E34" s="488">
        <f>SUM(B34:D34)</f>
        <v>553942144.35000002</v>
      </c>
      <c r="F34" s="1023">
        <f>SUM(F4:F33)</f>
        <v>324295510.56</v>
      </c>
      <c r="G34" s="1023">
        <f>SUM(G4:G33)</f>
        <v>127536539.90000001</v>
      </c>
      <c r="H34" s="1023">
        <f>SUM(H4:H33)</f>
        <v>102110093.88999999</v>
      </c>
      <c r="I34" s="1023">
        <f>SUM(F34:H34)</f>
        <v>553942144.35000002</v>
      </c>
    </row>
    <row r="35" spans="1:9" ht="18" x14ac:dyDescent="0.25">
      <c r="A35" s="1006"/>
      <c r="B35" s="1007"/>
      <c r="C35" s="1006"/>
      <c r="D35" s="1006"/>
      <c r="E35" s="1006">
        <f>SUM(B35:D35)</f>
        <v>0</v>
      </c>
      <c r="F35" s="1030"/>
      <c r="G35" s="1030"/>
      <c r="H35" s="1030"/>
      <c r="I35" s="1031">
        <f t="shared" ref="I35:I94" si="4">SUM(F35:H35)</f>
        <v>0</v>
      </c>
    </row>
    <row r="36" spans="1:9" ht="18" x14ac:dyDescent="0.25">
      <c r="A36" s="1008" t="s">
        <v>1453</v>
      </c>
      <c r="B36" s="1007"/>
      <c r="C36" s="1006"/>
      <c r="D36" s="1006"/>
      <c r="E36" s="1006"/>
      <c r="F36" s="1030"/>
      <c r="G36" s="1030"/>
      <c r="H36" s="1030"/>
      <c r="I36" s="1031">
        <f t="shared" si="4"/>
        <v>0</v>
      </c>
    </row>
    <row r="37" spans="1:9" ht="18" x14ac:dyDescent="0.25">
      <c r="A37" s="1006" t="s">
        <v>1329</v>
      </c>
      <c r="B37" s="1007"/>
      <c r="C37" s="1006">
        <v>215000</v>
      </c>
      <c r="D37" s="1006"/>
      <c r="E37" s="1006">
        <f>SUM(B37:D37)</f>
        <v>215000</v>
      </c>
      <c r="F37" s="1030"/>
      <c r="G37" s="1032">
        <f>E37</f>
        <v>215000</v>
      </c>
      <c r="H37" s="1030"/>
      <c r="I37" s="1031">
        <f t="shared" si="4"/>
        <v>215000</v>
      </c>
    </row>
    <row r="38" spans="1:9" ht="18" x14ac:dyDescent="0.25">
      <c r="A38" s="1006" t="s">
        <v>1330</v>
      </c>
      <c r="B38" s="1007"/>
      <c r="C38" s="1006">
        <v>26241184.719999999</v>
      </c>
      <c r="D38" s="1006">
        <v>11462764.359999999</v>
      </c>
      <c r="E38" s="1006">
        <f>SUM(B38:D38)</f>
        <v>37703949.079999998</v>
      </c>
      <c r="F38" s="1030"/>
      <c r="G38" s="1032">
        <f>E38</f>
        <v>37703949.079999998</v>
      </c>
      <c r="H38" s="1030"/>
      <c r="I38" s="1031">
        <f t="shared" si="4"/>
        <v>37703949.079999998</v>
      </c>
    </row>
    <row r="39" spans="1:9" ht="18" x14ac:dyDescent="0.25">
      <c r="A39" s="1006" t="s">
        <v>1332</v>
      </c>
      <c r="B39" s="1007"/>
      <c r="C39" s="1006">
        <v>104157843.8</v>
      </c>
      <c r="D39" s="1006">
        <v>22650000</v>
      </c>
      <c r="E39" s="1006">
        <f t="shared" ref="E39:E52" si="5">SUM(B39:D39)</f>
        <v>126807843.8</v>
      </c>
      <c r="F39" s="1030"/>
      <c r="G39" s="1032">
        <f>E39</f>
        <v>126807843.8</v>
      </c>
      <c r="H39" s="1030"/>
      <c r="I39" s="1031">
        <f t="shared" si="4"/>
        <v>126807843.8</v>
      </c>
    </row>
    <row r="40" spans="1:9" ht="18" x14ac:dyDescent="0.25">
      <c r="A40" s="1008" t="s">
        <v>1333</v>
      </c>
      <c r="B40" s="1035">
        <f t="shared" ref="B40:H40" si="6">SUM(B37:B39)</f>
        <v>0</v>
      </c>
      <c r="C40" s="488">
        <f t="shared" si="6"/>
        <v>130614028.52</v>
      </c>
      <c r="D40" s="488">
        <f t="shared" si="6"/>
        <v>34112764.359999999</v>
      </c>
      <c r="E40" s="488">
        <f t="shared" si="6"/>
        <v>164726792.88</v>
      </c>
      <c r="F40" s="1023">
        <f t="shared" si="6"/>
        <v>0</v>
      </c>
      <c r="G40" s="1023">
        <f t="shared" si="6"/>
        <v>164726792.88</v>
      </c>
      <c r="H40" s="1023">
        <f t="shared" si="6"/>
        <v>0</v>
      </c>
      <c r="I40" s="1023">
        <f t="shared" si="4"/>
        <v>164726792.88</v>
      </c>
    </row>
    <row r="41" spans="1:9" ht="18" x14ac:dyDescent="0.25">
      <c r="A41" s="1008"/>
      <c r="B41" s="1471"/>
      <c r="C41" s="488"/>
      <c r="D41" s="488"/>
      <c r="E41" s="488"/>
      <c r="F41" s="1023"/>
      <c r="G41" s="1023"/>
      <c r="H41" s="1023"/>
      <c r="I41" s="1023"/>
    </row>
    <row r="42" spans="1:9" ht="18" x14ac:dyDescent="0.25">
      <c r="A42" s="1008" t="s">
        <v>1453</v>
      </c>
      <c r="B42" s="1471"/>
      <c r="C42" s="488"/>
      <c r="D42" s="488"/>
      <c r="E42" s="488"/>
      <c r="F42" s="1023"/>
      <c r="G42" s="1023"/>
      <c r="H42" s="1023"/>
      <c r="I42" s="1023"/>
    </row>
    <row r="43" spans="1:9" ht="18" x14ac:dyDescent="0.25">
      <c r="A43" s="1006" t="s">
        <v>2080</v>
      </c>
      <c r="B43" s="1472"/>
      <c r="C43" s="487">
        <v>750000</v>
      </c>
      <c r="D43" s="487"/>
      <c r="E43" s="1006">
        <f t="shared" ref="E43:E46" si="7">SUM(B43:D43)</f>
        <v>750000</v>
      </c>
      <c r="F43" s="1031"/>
      <c r="G43" s="1031">
        <f>C43</f>
        <v>750000</v>
      </c>
      <c r="H43" s="1031"/>
      <c r="I43" s="1031">
        <f t="shared" si="4"/>
        <v>750000</v>
      </c>
    </row>
    <row r="44" spans="1:9" ht="18" x14ac:dyDescent="0.25">
      <c r="A44" s="1006" t="s">
        <v>2081</v>
      </c>
      <c r="B44" s="1472"/>
      <c r="C44" s="487">
        <v>650000</v>
      </c>
      <c r="D44" s="487"/>
      <c r="E44" s="1006">
        <f t="shared" si="7"/>
        <v>650000</v>
      </c>
      <c r="F44" s="1031"/>
      <c r="G44" s="1031">
        <f t="shared" ref="G44:G46" si="8">C44</f>
        <v>650000</v>
      </c>
      <c r="H44" s="1031"/>
      <c r="I44" s="1031">
        <f t="shared" si="4"/>
        <v>650000</v>
      </c>
    </row>
    <row r="45" spans="1:9" ht="18" x14ac:dyDescent="0.25">
      <c r="A45" s="1006" t="s">
        <v>2082</v>
      </c>
      <c r="B45" s="1472"/>
      <c r="C45" s="487">
        <v>150000</v>
      </c>
      <c r="D45" s="487"/>
      <c r="E45" s="1006">
        <f t="shared" si="7"/>
        <v>150000</v>
      </c>
      <c r="F45" s="1031"/>
      <c r="G45" s="1031">
        <f t="shared" si="8"/>
        <v>150000</v>
      </c>
      <c r="H45" s="1031"/>
      <c r="I45" s="1031">
        <f t="shared" si="4"/>
        <v>150000</v>
      </c>
    </row>
    <row r="46" spans="1:9" ht="18" x14ac:dyDescent="0.25">
      <c r="A46" s="1006" t="s">
        <v>2083</v>
      </c>
      <c r="B46" s="1472"/>
      <c r="C46" s="487">
        <v>20000000</v>
      </c>
      <c r="D46" s="487"/>
      <c r="E46" s="1006">
        <f t="shared" si="7"/>
        <v>20000000</v>
      </c>
      <c r="F46" s="1031"/>
      <c r="G46" s="1031">
        <f t="shared" si="8"/>
        <v>20000000</v>
      </c>
      <c r="H46" s="1031"/>
      <c r="I46" s="1031">
        <f t="shared" si="4"/>
        <v>20000000</v>
      </c>
    </row>
    <row r="47" spans="1:9" ht="18" x14ac:dyDescent="0.25">
      <c r="A47" s="1008" t="s">
        <v>208</v>
      </c>
      <c r="B47" s="1471"/>
      <c r="C47" s="488">
        <f t="shared" ref="C47:I47" si="9">SUM(C43:C46)</f>
        <v>21550000</v>
      </c>
      <c r="D47" s="488">
        <f t="shared" si="9"/>
        <v>0</v>
      </c>
      <c r="E47" s="488">
        <f t="shared" si="9"/>
        <v>21550000</v>
      </c>
      <c r="F47" s="488">
        <f t="shared" si="9"/>
        <v>0</v>
      </c>
      <c r="G47" s="488">
        <f t="shared" si="9"/>
        <v>21550000</v>
      </c>
      <c r="H47" s="488">
        <f t="shared" si="9"/>
        <v>0</v>
      </c>
      <c r="I47" s="488">
        <f t="shared" si="9"/>
        <v>21550000</v>
      </c>
    </row>
    <row r="48" spans="1:9" ht="18" x14ac:dyDescent="0.25">
      <c r="A48" s="1008" t="s">
        <v>1524</v>
      </c>
      <c r="B48" s="1007"/>
      <c r="C48" s="1006"/>
      <c r="D48" s="1006"/>
      <c r="E48" s="1006">
        <f t="shared" si="5"/>
        <v>0</v>
      </c>
      <c r="F48" s="1030"/>
      <c r="G48" s="1030"/>
      <c r="H48" s="1030"/>
      <c r="I48" s="1031">
        <f t="shared" si="4"/>
        <v>0</v>
      </c>
    </row>
    <row r="49" spans="1:9" ht="18" x14ac:dyDescent="0.25">
      <c r="A49" s="1006" t="s">
        <v>1335</v>
      </c>
      <c r="B49" s="1007"/>
      <c r="C49" s="1006">
        <v>16962000</v>
      </c>
      <c r="D49" s="1006"/>
      <c r="E49" s="1006">
        <f t="shared" si="5"/>
        <v>16962000</v>
      </c>
      <c r="F49" s="1030"/>
      <c r="G49" s="1032">
        <f>E49</f>
        <v>16962000</v>
      </c>
      <c r="H49" s="1030"/>
      <c r="I49" s="1031">
        <f t="shared" si="4"/>
        <v>16962000</v>
      </c>
    </row>
    <row r="50" spans="1:9" ht="18" x14ac:dyDescent="0.25">
      <c r="A50" s="1006" t="s">
        <v>1236</v>
      </c>
      <c r="B50" s="1007"/>
      <c r="C50" s="1006">
        <v>2700000</v>
      </c>
      <c r="D50" s="1006"/>
      <c r="E50" s="1006">
        <f t="shared" si="5"/>
        <v>2700000</v>
      </c>
      <c r="F50" s="1030"/>
      <c r="G50" s="1030"/>
      <c r="H50" s="1032">
        <f>E50</f>
        <v>2700000</v>
      </c>
      <c r="I50" s="1031">
        <f t="shared" si="4"/>
        <v>2700000</v>
      </c>
    </row>
    <row r="51" spans="1:9" ht="18" x14ac:dyDescent="0.25">
      <c r="A51" s="1006" t="s">
        <v>1336</v>
      </c>
      <c r="B51" s="1007"/>
      <c r="C51" s="1006">
        <v>6620000</v>
      </c>
      <c r="D51" s="1006"/>
      <c r="E51" s="1006">
        <f t="shared" si="5"/>
        <v>6620000</v>
      </c>
      <c r="F51" s="1030"/>
      <c r="G51" s="1030"/>
      <c r="H51" s="1032">
        <f>E51</f>
        <v>6620000</v>
      </c>
      <c r="I51" s="1031">
        <f t="shared" si="4"/>
        <v>6620000</v>
      </c>
    </row>
    <row r="52" spans="1:9" ht="18" x14ac:dyDescent="0.25">
      <c r="A52" s="1006" t="s">
        <v>1337</v>
      </c>
      <c r="B52" s="1007"/>
      <c r="C52" s="1006">
        <v>11877279.85</v>
      </c>
      <c r="D52" s="1006"/>
      <c r="E52" s="1006">
        <f t="shared" si="5"/>
        <v>11877279.85</v>
      </c>
      <c r="F52" s="1033">
        <f>E52</f>
        <v>11877279.85</v>
      </c>
      <c r="G52" s="1034"/>
      <c r="H52" s="1034"/>
      <c r="I52" s="1031">
        <f t="shared" si="4"/>
        <v>11877279.85</v>
      </c>
    </row>
    <row r="53" spans="1:9" ht="18" x14ac:dyDescent="0.25">
      <c r="A53" s="1008" t="s">
        <v>1338</v>
      </c>
      <c r="B53" s="1009">
        <f t="shared" ref="B53:H53" si="10">SUM(B49:B52)</f>
        <v>0</v>
      </c>
      <c r="C53" s="1008">
        <f t="shared" si="10"/>
        <v>38159279.850000001</v>
      </c>
      <c r="D53" s="1008">
        <f t="shared" si="10"/>
        <v>0</v>
      </c>
      <c r="E53" s="1008">
        <f t="shared" si="10"/>
        <v>38159279.850000001</v>
      </c>
      <c r="F53" s="1023">
        <f t="shared" si="10"/>
        <v>11877279.85</v>
      </c>
      <c r="G53" s="1023">
        <f>SUM(G49:G52)</f>
        <v>16962000</v>
      </c>
      <c r="H53" s="1023">
        <f t="shared" si="10"/>
        <v>9320000</v>
      </c>
      <c r="I53" s="1023">
        <f t="shared" si="4"/>
        <v>38159279.850000001</v>
      </c>
    </row>
    <row r="54" spans="1:9" ht="36" x14ac:dyDescent="0.25">
      <c r="A54" s="1003" t="s">
        <v>1320</v>
      </c>
      <c r="B54" s="1020" t="s">
        <v>1331</v>
      </c>
      <c r="C54" s="1021" t="s">
        <v>163</v>
      </c>
      <c r="D54" s="1021" t="s">
        <v>201</v>
      </c>
      <c r="E54" s="1003" t="s">
        <v>208</v>
      </c>
      <c r="F54" s="1022" t="s">
        <v>1317</v>
      </c>
      <c r="G54" s="1022" t="s">
        <v>1515</v>
      </c>
      <c r="H54" s="1022" t="s">
        <v>1318</v>
      </c>
      <c r="I54" s="1022" t="s">
        <v>208</v>
      </c>
    </row>
    <row r="55" spans="1:9" ht="18" x14ac:dyDescent="0.25">
      <c r="A55" s="1008" t="s">
        <v>1525</v>
      </c>
      <c r="B55" s="1007"/>
      <c r="C55" s="1006"/>
      <c r="D55" s="1006"/>
      <c r="E55" s="1006"/>
      <c r="F55" s="1030"/>
      <c r="G55" s="1030"/>
      <c r="H55" s="1030"/>
      <c r="I55" s="1031">
        <f t="shared" si="4"/>
        <v>0</v>
      </c>
    </row>
    <row r="56" spans="1:9" ht="18" x14ac:dyDescent="0.25">
      <c r="A56" s="1006" t="s">
        <v>1341</v>
      </c>
      <c r="B56" s="1007"/>
      <c r="C56" s="1006">
        <v>300000</v>
      </c>
      <c r="D56" s="1006"/>
      <c r="E56" s="1006">
        <f t="shared" ref="E56:E90" si="11">SUM(B56:D56)</f>
        <v>300000</v>
      </c>
      <c r="F56" s="1032">
        <f>E56</f>
        <v>300000</v>
      </c>
      <c r="G56" s="1030"/>
      <c r="H56" s="1030"/>
      <c r="I56" s="1031">
        <f t="shared" si="4"/>
        <v>300000</v>
      </c>
    </row>
    <row r="57" spans="1:9" ht="18" x14ac:dyDescent="0.25">
      <c r="A57" s="1006" t="s">
        <v>1342</v>
      </c>
      <c r="B57" s="1007"/>
      <c r="C57" s="1006">
        <v>136600</v>
      </c>
      <c r="D57" s="1006"/>
      <c r="E57" s="1006">
        <f t="shared" si="11"/>
        <v>136600</v>
      </c>
      <c r="F57" s="1032">
        <f t="shared" ref="F57:F70" si="12">E57</f>
        <v>136600</v>
      </c>
      <c r="G57" s="1034"/>
      <c r="H57" s="1034"/>
      <c r="I57" s="1031">
        <f t="shared" si="4"/>
        <v>136600</v>
      </c>
    </row>
    <row r="58" spans="1:9" ht="18" x14ac:dyDescent="0.25">
      <c r="A58" s="1006" t="s">
        <v>1343</v>
      </c>
      <c r="B58" s="1007"/>
      <c r="C58" s="1006">
        <v>220000</v>
      </c>
      <c r="D58" s="1006"/>
      <c r="E58" s="1006">
        <f t="shared" si="11"/>
        <v>220000</v>
      </c>
      <c r="F58" s="1032">
        <f t="shared" si="12"/>
        <v>220000</v>
      </c>
      <c r="G58" s="1034"/>
      <c r="H58" s="1034"/>
      <c r="I58" s="1031">
        <f t="shared" si="4"/>
        <v>220000</v>
      </c>
    </row>
    <row r="59" spans="1:9" ht="18" x14ac:dyDescent="0.25">
      <c r="A59" s="1006" t="s">
        <v>1344</v>
      </c>
      <c r="B59" s="1007"/>
      <c r="C59" s="1006">
        <v>212000</v>
      </c>
      <c r="D59" s="1006"/>
      <c r="E59" s="1006">
        <f t="shared" si="11"/>
        <v>212000</v>
      </c>
      <c r="F59" s="1032">
        <f t="shared" si="12"/>
        <v>212000</v>
      </c>
      <c r="G59" s="1030"/>
      <c r="H59" s="1030"/>
      <c r="I59" s="1031">
        <f t="shared" si="4"/>
        <v>212000</v>
      </c>
    </row>
    <row r="60" spans="1:9" ht="18" x14ac:dyDescent="0.25">
      <c r="A60" s="1006" t="s">
        <v>1345</v>
      </c>
      <c r="B60" s="1007"/>
      <c r="C60" s="1006">
        <v>105000</v>
      </c>
      <c r="D60" s="1006"/>
      <c r="E60" s="1006">
        <f t="shared" si="11"/>
        <v>105000</v>
      </c>
      <c r="F60" s="1032">
        <f t="shared" si="12"/>
        <v>105000</v>
      </c>
      <c r="G60" s="1030"/>
      <c r="H60" s="1030"/>
      <c r="I60" s="1031">
        <f t="shared" si="4"/>
        <v>105000</v>
      </c>
    </row>
    <row r="61" spans="1:9" ht="18" x14ac:dyDescent="0.25">
      <c r="A61" s="1006" t="s">
        <v>1346</v>
      </c>
      <c r="B61" s="1007"/>
      <c r="C61" s="1006">
        <v>695000</v>
      </c>
      <c r="D61" s="1006"/>
      <c r="E61" s="1006">
        <f t="shared" si="11"/>
        <v>695000</v>
      </c>
      <c r="F61" s="1032">
        <f t="shared" si="12"/>
        <v>695000</v>
      </c>
      <c r="G61" s="1030"/>
      <c r="H61" s="1030"/>
      <c r="I61" s="1031">
        <f t="shared" si="4"/>
        <v>695000</v>
      </c>
    </row>
    <row r="62" spans="1:9" ht="18" x14ac:dyDescent="0.25">
      <c r="A62" s="1006" t="s">
        <v>1347</v>
      </c>
      <c r="B62" s="1007"/>
      <c r="C62" s="1006">
        <v>196000</v>
      </c>
      <c r="D62" s="1006"/>
      <c r="E62" s="1006">
        <f t="shared" si="11"/>
        <v>196000</v>
      </c>
      <c r="F62" s="1032">
        <f t="shared" si="12"/>
        <v>196000</v>
      </c>
      <c r="G62" s="1030"/>
      <c r="H62" s="1030"/>
      <c r="I62" s="1031">
        <f t="shared" si="4"/>
        <v>196000</v>
      </c>
    </row>
    <row r="63" spans="1:9" ht="18" x14ac:dyDescent="0.25">
      <c r="A63" s="1006" t="s">
        <v>1348</v>
      </c>
      <c r="B63" s="1007"/>
      <c r="C63" s="1006">
        <v>650002</v>
      </c>
      <c r="D63" s="1006"/>
      <c r="E63" s="1006">
        <f t="shared" si="11"/>
        <v>650002</v>
      </c>
      <c r="F63" s="1032">
        <f t="shared" si="12"/>
        <v>650002</v>
      </c>
      <c r="G63" s="1030"/>
      <c r="H63" s="1030"/>
      <c r="I63" s="1031">
        <f t="shared" si="4"/>
        <v>650002</v>
      </c>
    </row>
    <row r="64" spans="1:9" ht="18" x14ac:dyDescent="0.25">
      <c r="A64" s="1006" t="s">
        <v>1349</v>
      </c>
      <c r="B64" s="1007"/>
      <c r="C64" s="1006">
        <v>175000</v>
      </c>
      <c r="D64" s="1006"/>
      <c r="E64" s="1006">
        <f t="shared" si="11"/>
        <v>175000</v>
      </c>
      <c r="F64" s="1032">
        <f t="shared" si="12"/>
        <v>175000</v>
      </c>
      <c r="G64" s="1030"/>
      <c r="H64" s="1030"/>
      <c r="I64" s="1031">
        <f t="shared" si="4"/>
        <v>175000</v>
      </c>
    </row>
    <row r="65" spans="1:9" ht="18" x14ac:dyDescent="0.25">
      <c r="A65" s="1006" t="s">
        <v>1350</v>
      </c>
      <c r="B65" s="1007"/>
      <c r="C65" s="1006">
        <v>3400000</v>
      </c>
      <c r="D65" s="1006"/>
      <c r="E65" s="1006">
        <f t="shared" si="11"/>
        <v>3400000</v>
      </c>
      <c r="F65" s="1032">
        <f t="shared" si="12"/>
        <v>3400000</v>
      </c>
      <c r="G65" s="1030"/>
      <c r="H65" s="1030"/>
      <c r="I65" s="1031">
        <f t="shared" si="4"/>
        <v>3400000</v>
      </c>
    </row>
    <row r="66" spans="1:9" ht="18" x14ac:dyDescent="0.25">
      <c r="A66" s="1006" t="s">
        <v>1351</v>
      </c>
      <c r="B66" s="1007"/>
      <c r="C66" s="1006">
        <v>1164000</v>
      </c>
      <c r="D66" s="1006"/>
      <c r="E66" s="1006">
        <f t="shared" si="11"/>
        <v>1164000</v>
      </c>
      <c r="F66" s="1032">
        <f t="shared" si="12"/>
        <v>1164000</v>
      </c>
      <c r="G66" s="1030"/>
      <c r="H66" s="1030"/>
      <c r="I66" s="1031">
        <f t="shared" si="4"/>
        <v>1164000</v>
      </c>
    </row>
    <row r="67" spans="1:9" ht="18" x14ac:dyDescent="0.25">
      <c r="A67" s="1006" t="s">
        <v>1352</v>
      </c>
      <c r="B67" s="1007"/>
      <c r="C67" s="1006">
        <v>216000</v>
      </c>
      <c r="D67" s="1006"/>
      <c r="E67" s="1006">
        <f t="shared" si="11"/>
        <v>216000</v>
      </c>
      <c r="F67" s="1032">
        <f t="shared" si="12"/>
        <v>216000</v>
      </c>
      <c r="G67" s="1030"/>
      <c r="H67" s="1030"/>
      <c r="I67" s="1031">
        <f t="shared" si="4"/>
        <v>216000</v>
      </c>
    </row>
    <row r="68" spans="1:9" ht="18" x14ac:dyDescent="0.25">
      <c r="A68" s="1006" t="s">
        <v>1353</v>
      </c>
      <c r="B68" s="1007"/>
      <c r="C68" s="1006">
        <v>981000</v>
      </c>
      <c r="D68" s="1006"/>
      <c r="E68" s="1006">
        <f t="shared" si="11"/>
        <v>981000</v>
      </c>
      <c r="F68" s="1032">
        <f t="shared" si="12"/>
        <v>981000</v>
      </c>
      <c r="G68" s="1030"/>
      <c r="H68" s="1030"/>
      <c r="I68" s="1031">
        <f t="shared" si="4"/>
        <v>981000</v>
      </c>
    </row>
    <row r="69" spans="1:9" ht="18" x14ac:dyDescent="0.25">
      <c r="A69" s="1006" t="s">
        <v>1354</v>
      </c>
      <c r="B69" s="1007"/>
      <c r="C69" s="1006">
        <v>150000</v>
      </c>
      <c r="D69" s="1006"/>
      <c r="E69" s="1006">
        <f t="shared" si="11"/>
        <v>150000</v>
      </c>
      <c r="F69" s="1032">
        <f t="shared" si="12"/>
        <v>150000</v>
      </c>
      <c r="G69" s="1030"/>
      <c r="H69" s="1030"/>
      <c r="I69" s="1031">
        <f t="shared" si="4"/>
        <v>150000</v>
      </c>
    </row>
    <row r="70" spans="1:9" ht="18" x14ac:dyDescent="0.25">
      <c r="A70" s="1006" t="s">
        <v>1355</v>
      </c>
      <c r="B70" s="1007"/>
      <c r="C70" s="1006"/>
      <c r="D70" s="1006"/>
      <c r="E70" s="1006">
        <f t="shared" si="11"/>
        <v>0</v>
      </c>
      <c r="F70" s="1032">
        <f t="shared" si="12"/>
        <v>0</v>
      </c>
      <c r="G70" s="1030"/>
      <c r="H70" s="1030"/>
      <c r="I70" s="1031">
        <f t="shared" si="4"/>
        <v>0</v>
      </c>
    </row>
    <row r="71" spans="1:9" ht="18" x14ac:dyDescent="0.25">
      <c r="A71" s="1006" t="s">
        <v>1356</v>
      </c>
      <c r="B71" s="1007"/>
      <c r="C71" s="1006">
        <v>13478000</v>
      </c>
      <c r="D71" s="1006"/>
      <c r="E71" s="1006">
        <f t="shared" si="11"/>
        <v>13478000</v>
      </c>
      <c r="F71" s="1032"/>
      <c r="G71" s="1032">
        <f>E71</f>
        <v>13478000</v>
      </c>
      <c r="H71" s="1030"/>
      <c r="I71" s="1031">
        <f t="shared" si="4"/>
        <v>13478000</v>
      </c>
    </row>
    <row r="72" spans="1:9" ht="18" x14ac:dyDescent="0.25">
      <c r="A72" s="1006" t="s">
        <v>1357</v>
      </c>
      <c r="B72" s="1007"/>
      <c r="C72" s="1006"/>
      <c r="D72" s="1006"/>
      <c r="E72" s="1006">
        <f t="shared" si="11"/>
        <v>0</v>
      </c>
      <c r="F72" s="1030"/>
      <c r="G72" s="1032">
        <f>E72</f>
        <v>0</v>
      </c>
      <c r="H72" s="1030"/>
      <c r="I72" s="1031">
        <f t="shared" si="4"/>
        <v>0</v>
      </c>
    </row>
    <row r="73" spans="1:9" ht="18" x14ac:dyDescent="0.25">
      <c r="A73" s="1006" t="s">
        <v>993</v>
      </c>
      <c r="B73" s="1007"/>
      <c r="C73" s="1006"/>
      <c r="D73" s="1006"/>
      <c r="E73" s="1006">
        <f t="shared" si="11"/>
        <v>0</v>
      </c>
      <c r="F73" s="1032">
        <f>E73</f>
        <v>0</v>
      </c>
      <c r="G73" s="1030"/>
      <c r="H73" s="1030"/>
      <c r="I73" s="1031">
        <f t="shared" si="4"/>
        <v>0</v>
      </c>
    </row>
    <row r="74" spans="1:9" ht="18" x14ac:dyDescent="0.25">
      <c r="A74" s="1006" t="s">
        <v>1358</v>
      </c>
      <c r="B74" s="1007"/>
      <c r="C74" s="1006"/>
      <c r="D74" s="1006"/>
      <c r="E74" s="1006">
        <f t="shared" si="11"/>
        <v>0</v>
      </c>
      <c r="F74" s="1030"/>
      <c r="G74" s="1030"/>
      <c r="H74" s="1032">
        <f>E74</f>
        <v>0</v>
      </c>
      <c r="I74" s="1031">
        <f t="shared" si="4"/>
        <v>0</v>
      </c>
    </row>
    <row r="75" spans="1:9" ht="18" x14ac:dyDescent="0.25">
      <c r="A75" s="1006" t="s">
        <v>1021</v>
      </c>
      <c r="B75" s="1007"/>
      <c r="C75" s="1006"/>
      <c r="D75" s="1006"/>
      <c r="E75" s="1006">
        <f t="shared" si="11"/>
        <v>0</v>
      </c>
      <c r="F75" s="1032">
        <f>E75</f>
        <v>0</v>
      </c>
      <c r="G75" s="1030"/>
      <c r="H75" s="1030"/>
      <c r="I75" s="1031">
        <f t="shared" si="4"/>
        <v>0</v>
      </c>
    </row>
    <row r="76" spans="1:9" ht="18" x14ac:dyDescent="0.25">
      <c r="A76" s="1006" t="s">
        <v>1028</v>
      </c>
      <c r="B76" s="1007"/>
      <c r="C76" s="1006">
        <v>0</v>
      </c>
      <c r="D76" s="1006"/>
      <c r="E76" s="1006">
        <f t="shared" si="11"/>
        <v>0</v>
      </c>
      <c r="F76" s="1030"/>
      <c r="G76" s="1030"/>
      <c r="H76" s="1032">
        <f>E76</f>
        <v>0</v>
      </c>
      <c r="I76" s="1031">
        <f t="shared" si="4"/>
        <v>0</v>
      </c>
    </row>
    <row r="77" spans="1:9" ht="18" x14ac:dyDescent="0.25">
      <c r="A77" s="1006" t="s">
        <v>1321</v>
      </c>
      <c r="B77" s="1007"/>
      <c r="C77" s="1006"/>
      <c r="D77" s="1006"/>
      <c r="E77" s="1006">
        <f t="shared" si="11"/>
        <v>0</v>
      </c>
      <c r="F77" s="1030"/>
      <c r="G77" s="1032">
        <f>E77</f>
        <v>0</v>
      </c>
      <c r="H77" s="1030"/>
      <c r="I77" s="1031">
        <f t="shared" si="4"/>
        <v>0</v>
      </c>
    </row>
    <row r="78" spans="1:9" ht="18" x14ac:dyDescent="0.25">
      <c r="A78" s="1006" t="s">
        <v>1359</v>
      </c>
      <c r="B78" s="1007"/>
      <c r="C78" s="1006"/>
      <c r="D78" s="1006"/>
      <c r="E78" s="1006">
        <f t="shared" si="11"/>
        <v>0</v>
      </c>
      <c r="F78" s="1032">
        <f>E78</f>
        <v>0</v>
      </c>
      <c r="G78" s="1030"/>
      <c r="H78" s="1030"/>
      <c r="I78" s="1031">
        <f t="shared" si="4"/>
        <v>0</v>
      </c>
    </row>
    <row r="79" spans="1:9" ht="18" x14ac:dyDescent="0.25">
      <c r="A79" s="1006" t="s">
        <v>27</v>
      </c>
      <c r="B79" s="1007"/>
      <c r="C79" s="1006">
        <v>0</v>
      </c>
      <c r="D79" s="1006"/>
      <c r="E79" s="1006">
        <f t="shared" si="11"/>
        <v>0</v>
      </c>
      <c r="F79" s="1032">
        <f>E79</f>
        <v>0</v>
      </c>
      <c r="G79" s="1030"/>
      <c r="H79" s="1030"/>
      <c r="I79" s="1031">
        <f t="shared" si="4"/>
        <v>0</v>
      </c>
    </row>
    <row r="80" spans="1:9" ht="18" x14ac:dyDescent="0.25">
      <c r="A80" s="1006" t="s">
        <v>1360</v>
      </c>
      <c r="B80" s="1007"/>
      <c r="C80" s="1006"/>
      <c r="D80" s="1006"/>
      <c r="E80" s="1006">
        <f t="shared" si="11"/>
        <v>0</v>
      </c>
      <c r="F80" s="1032">
        <f>E80</f>
        <v>0</v>
      </c>
      <c r="G80" s="1030"/>
      <c r="H80" s="1030"/>
      <c r="I80" s="1031">
        <f t="shared" si="4"/>
        <v>0</v>
      </c>
    </row>
    <row r="81" spans="1:9" ht="18" x14ac:dyDescent="0.25">
      <c r="A81" s="1006" t="s">
        <v>33</v>
      </c>
      <c r="B81" s="1007"/>
      <c r="C81" s="1006"/>
      <c r="D81" s="1006"/>
      <c r="E81" s="1006">
        <f t="shared" si="11"/>
        <v>0</v>
      </c>
      <c r="F81" s="1032">
        <f>E81</f>
        <v>0</v>
      </c>
      <c r="G81" s="1030"/>
      <c r="H81" s="1030"/>
      <c r="I81" s="1031">
        <f t="shared" si="4"/>
        <v>0</v>
      </c>
    </row>
    <row r="82" spans="1:9" ht="18" x14ac:dyDescent="0.25">
      <c r="A82" s="1006" t="s">
        <v>35</v>
      </c>
      <c r="B82" s="1007"/>
      <c r="C82" s="1006"/>
      <c r="D82" s="1006"/>
      <c r="E82" s="1006">
        <f t="shared" si="11"/>
        <v>0</v>
      </c>
      <c r="F82" s="1030"/>
      <c r="G82" s="1032">
        <f t="shared" ref="G82:G88" si="13">E82</f>
        <v>0</v>
      </c>
      <c r="H82" s="1030"/>
      <c r="I82" s="1031">
        <f t="shared" si="4"/>
        <v>0</v>
      </c>
    </row>
    <row r="83" spans="1:9" ht="18" x14ac:dyDescent="0.25">
      <c r="A83" s="1006" t="s">
        <v>1322</v>
      </c>
      <c r="B83" s="1007"/>
      <c r="C83" s="1006"/>
      <c r="D83" s="1006"/>
      <c r="E83" s="1006">
        <f t="shared" si="11"/>
        <v>0</v>
      </c>
      <c r="F83" s="1030"/>
      <c r="G83" s="1032">
        <f t="shared" si="13"/>
        <v>0</v>
      </c>
      <c r="H83" s="1030"/>
      <c r="I83" s="1031">
        <f t="shared" si="4"/>
        <v>0</v>
      </c>
    </row>
    <row r="84" spans="1:9" ht="18" x14ac:dyDescent="0.25">
      <c r="A84" s="1006" t="s">
        <v>1527</v>
      </c>
      <c r="B84" s="1007"/>
      <c r="C84" s="1006"/>
      <c r="D84" s="1006"/>
      <c r="E84" s="1006">
        <f t="shared" si="11"/>
        <v>0</v>
      </c>
      <c r="F84" s="1030"/>
      <c r="G84" s="1032">
        <f t="shared" si="13"/>
        <v>0</v>
      </c>
      <c r="H84" s="1030"/>
      <c r="I84" s="1031">
        <f t="shared" si="4"/>
        <v>0</v>
      </c>
    </row>
    <row r="85" spans="1:9" ht="18" x14ac:dyDescent="0.25">
      <c r="A85" s="1006" t="s">
        <v>1368</v>
      </c>
      <c r="B85" s="1007"/>
      <c r="C85" s="1006"/>
      <c r="D85" s="1006"/>
      <c r="E85" s="1006">
        <f t="shared" si="11"/>
        <v>0</v>
      </c>
      <c r="F85" s="1030"/>
      <c r="G85" s="1032">
        <f t="shared" si="13"/>
        <v>0</v>
      </c>
      <c r="H85" s="1030"/>
      <c r="I85" s="1031">
        <f t="shared" si="4"/>
        <v>0</v>
      </c>
    </row>
    <row r="86" spans="1:9" ht="18" x14ac:dyDescent="0.25">
      <c r="A86" s="1006" t="s">
        <v>1528</v>
      </c>
      <c r="B86" s="1007"/>
      <c r="C86" s="1006"/>
      <c r="D86" s="1006"/>
      <c r="E86" s="1006">
        <f t="shared" si="11"/>
        <v>0</v>
      </c>
      <c r="F86" s="1030"/>
      <c r="G86" s="1032">
        <f t="shared" si="13"/>
        <v>0</v>
      </c>
      <c r="H86" s="1030"/>
      <c r="I86" s="1031">
        <f t="shared" si="4"/>
        <v>0</v>
      </c>
    </row>
    <row r="87" spans="1:9" ht="18" x14ac:dyDescent="0.25">
      <c r="A87" s="1006" t="s">
        <v>1365</v>
      </c>
      <c r="B87" s="1007"/>
      <c r="C87" s="1006"/>
      <c r="D87" s="1006"/>
      <c r="E87" s="1006">
        <f t="shared" si="11"/>
        <v>0</v>
      </c>
      <c r="F87" s="1030"/>
      <c r="G87" s="1032">
        <f t="shared" si="13"/>
        <v>0</v>
      </c>
      <c r="H87" s="1030"/>
      <c r="I87" s="1031">
        <f t="shared" si="4"/>
        <v>0</v>
      </c>
    </row>
    <row r="88" spans="1:9" ht="18" x14ac:dyDescent="0.25">
      <c r="A88" s="1006" t="s">
        <v>1366</v>
      </c>
      <c r="B88" s="1007"/>
      <c r="C88" s="1006"/>
      <c r="D88" s="1006"/>
      <c r="E88" s="1006">
        <f t="shared" si="11"/>
        <v>0</v>
      </c>
      <c r="F88" s="1030"/>
      <c r="G88" s="1032">
        <f t="shared" si="13"/>
        <v>0</v>
      </c>
      <c r="H88" s="1030"/>
      <c r="I88" s="1031">
        <f t="shared" si="4"/>
        <v>0</v>
      </c>
    </row>
    <row r="89" spans="1:9" ht="18" x14ac:dyDescent="0.25">
      <c r="A89" s="1006" t="s">
        <v>1361</v>
      </c>
      <c r="B89" s="1007"/>
      <c r="C89" s="1006"/>
      <c r="D89" s="1006"/>
      <c r="E89" s="1006">
        <f t="shared" si="11"/>
        <v>0</v>
      </c>
      <c r="F89" s="1030"/>
      <c r="G89" s="1030"/>
      <c r="H89" s="1032">
        <f>E89</f>
        <v>0</v>
      </c>
      <c r="I89" s="1031">
        <f t="shared" si="4"/>
        <v>0</v>
      </c>
    </row>
    <row r="90" spans="1:9" ht="18" x14ac:dyDescent="0.25">
      <c r="A90" s="1006" t="s">
        <v>1362</v>
      </c>
      <c r="B90" s="1007"/>
      <c r="C90" s="1006"/>
      <c r="D90" s="1006"/>
      <c r="E90" s="1006">
        <f t="shared" si="11"/>
        <v>0</v>
      </c>
      <c r="F90" s="1030"/>
      <c r="G90" s="1030"/>
      <c r="H90" s="1032">
        <f>E90</f>
        <v>0</v>
      </c>
      <c r="I90" s="1031">
        <f t="shared" si="4"/>
        <v>0</v>
      </c>
    </row>
    <row r="91" spans="1:9" ht="18" x14ac:dyDescent="0.25">
      <c r="A91" s="1008" t="s">
        <v>1526</v>
      </c>
      <c r="B91" s="1007"/>
      <c r="C91" s="1008">
        <f t="shared" ref="C91:H91" si="14">SUM(C56:C90)</f>
        <v>22078602</v>
      </c>
      <c r="D91" s="1008">
        <f t="shared" si="14"/>
        <v>0</v>
      </c>
      <c r="E91" s="1008">
        <f t="shared" si="14"/>
        <v>22078602</v>
      </c>
      <c r="F91" s="1023">
        <f t="shared" si="14"/>
        <v>8600602</v>
      </c>
      <c r="G91" s="1023">
        <f t="shared" si="14"/>
        <v>13478000</v>
      </c>
      <c r="H91" s="1023">
        <f t="shared" si="14"/>
        <v>0</v>
      </c>
      <c r="I91" s="1023">
        <f t="shared" si="4"/>
        <v>22078602</v>
      </c>
    </row>
    <row r="92" spans="1:9" ht="18" x14ac:dyDescent="0.25">
      <c r="A92" s="1008" t="s">
        <v>1260</v>
      </c>
      <c r="B92" s="1035">
        <f t="shared" ref="B92:D92" si="15">B91+B53+B40+B34+B47</f>
        <v>176442352.63</v>
      </c>
      <c r="C92" s="1035">
        <f t="shared" si="15"/>
        <v>542209102.09000003</v>
      </c>
      <c r="D92" s="1035">
        <f t="shared" si="15"/>
        <v>81805364.359999999</v>
      </c>
      <c r="E92" s="1035">
        <f>E91+E53+E40+E34+E47</f>
        <v>800456819.08000004</v>
      </c>
      <c r="F92" s="1023">
        <f>F91+F53+F40+F34+F47</f>
        <v>344773392.41000003</v>
      </c>
      <c r="G92" s="1023">
        <f t="shared" ref="G92:I92" si="16">G91+G53+G40+G34+G47</f>
        <v>344253332.77999997</v>
      </c>
      <c r="H92" s="1023">
        <f t="shared" si="16"/>
        <v>111430093.88999999</v>
      </c>
      <c r="I92" s="1023">
        <f t="shared" si="16"/>
        <v>800456819.08000004</v>
      </c>
    </row>
    <row r="93" spans="1:9" ht="18" x14ac:dyDescent="0.25">
      <c r="A93" s="1006"/>
      <c r="B93" s="1007"/>
      <c r="C93" s="1006"/>
      <c r="D93" s="1006"/>
      <c r="E93" s="1006"/>
      <c r="F93" s="1539">
        <f>F91+F47+F53</f>
        <v>20477881.850000001</v>
      </c>
      <c r="G93" s="1539">
        <f>G91+G47+G53</f>
        <v>51990000</v>
      </c>
      <c r="H93" s="1539">
        <f t="shared" ref="H93:I93" si="17">H91+H47+H53</f>
        <v>9320000</v>
      </c>
      <c r="I93" s="1539">
        <f t="shared" si="17"/>
        <v>81787881.849999994</v>
      </c>
    </row>
    <row r="94" spans="1:9" ht="18" x14ac:dyDescent="0.25">
      <c r="A94" s="1008" t="s">
        <v>1364</v>
      </c>
      <c r="B94" s="1007"/>
      <c r="C94" s="1006"/>
      <c r="D94" s="1006"/>
      <c r="E94" s="1006"/>
      <c r="F94" s="1030"/>
      <c r="G94" s="1030"/>
      <c r="H94" s="1030"/>
      <c r="I94" s="1031">
        <f t="shared" si="4"/>
        <v>0</v>
      </c>
    </row>
    <row r="95" spans="1:9" ht="18" x14ac:dyDescent="0.25">
      <c r="A95" s="1019" t="s">
        <v>1324</v>
      </c>
      <c r="B95" s="1037">
        <v>6898207.6500000004</v>
      </c>
      <c r="C95" s="487">
        <v>11729564.98</v>
      </c>
      <c r="D95" s="1038">
        <v>322000</v>
      </c>
      <c r="E95" s="1007">
        <f>SUM(B95:D95)</f>
        <v>18949772.630000003</v>
      </c>
      <c r="F95" s="1030"/>
      <c r="G95" s="1030"/>
      <c r="H95" s="1032">
        <f>E95</f>
        <v>18949772.630000003</v>
      </c>
      <c r="I95" s="1031">
        <f>SUM(F95:H95)</f>
        <v>18949772.630000003</v>
      </c>
    </row>
    <row r="96" spans="1:9" ht="18" x14ac:dyDescent="0.25">
      <c r="A96" s="1019" t="s">
        <v>1325</v>
      </c>
      <c r="B96" s="1037">
        <v>3799599.31</v>
      </c>
      <c r="C96" s="487">
        <v>3142974.34</v>
      </c>
      <c r="D96" s="1038">
        <v>150000</v>
      </c>
      <c r="E96" s="1007">
        <f>SUM(B96:D96)</f>
        <v>7092573.6500000004</v>
      </c>
      <c r="F96" s="1030"/>
      <c r="G96" s="1030"/>
      <c r="H96" s="1032">
        <f>E96</f>
        <v>7092573.6500000004</v>
      </c>
      <c r="I96" s="1031">
        <f>SUM(F96:H96)</f>
        <v>7092573.6500000004</v>
      </c>
    </row>
    <row r="97" spans="1:9" ht="18" x14ac:dyDescent="0.25">
      <c r="A97" s="1019" t="s">
        <v>1326</v>
      </c>
      <c r="B97" s="789">
        <v>5637664.7199999997</v>
      </c>
      <c r="C97" s="487">
        <v>967006</v>
      </c>
      <c r="D97" s="1038">
        <v>370000</v>
      </c>
      <c r="E97" s="1007">
        <f>SUM(B97:D97)</f>
        <v>6974670.7199999997</v>
      </c>
      <c r="F97" s="1030"/>
      <c r="G97" s="1030"/>
      <c r="H97" s="1032">
        <f>E97</f>
        <v>6974670.7199999997</v>
      </c>
      <c r="I97" s="1031">
        <f>SUM(F97:H97)</f>
        <v>6974670.7199999997</v>
      </c>
    </row>
    <row r="98" spans="1:9" ht="18" x14ac:dyDescent="0.25">
      <c r="A98" s="1008" t="s">
        <v>1312</v>
      </c>
      <c r="B98" s="1009">
        <f t="shared" ref="B98:H98" si="18">SUM(B95:B97)</f>
        <v>16335471.68</v>
      </c>
      <c r="C98" s="1008">
        <f>SUM(C95:C97)</f>
        <v>15839545.32</v>
      </c>
      <c r="D98" s="1008">
        <f t="shared" si="18"/>
        <v>842000</v>
      </c>
      <c r="E98" s="1008">
        <f t="shared" si="18"/>
        <v>33017017</v>
      </c>
      <c r="F98" s="1023">
        <f t="shared" si="18"/>
        <v>0</v>
      </c>
      <c r="G98" s="1023">
        <f t="shared" si="18"/>
        <v>0</v>
      </c>
      <c r="H98" s="1023">
        <f t="shared" si="18"/>
        <v>33017017</v>
      </c>
      <c r="I98" s="1023">
        <f>SUM(F98:H98)</f>
        <v>33017017</v>
      </c>
    </row>
    <row r="99" spans="1:9" ht="18" x14ac:dyDescent="0.25">
      <c r="A99" s="1008" t="s">
        <v>1313</v>
      </c>
      <c r="B99" s="1035">
        <f t="shared" ref="B99:H99" si="19">B92+B98</f>
        <v>192777824.31</v>
      </c>
      <c r="C99" s="488">
        <f t="shared" si="19"/>
        <v>558048647.41000009</v>
      </c>
      <c r="D99" s="488">
        <f t="shared" si="19"/>
        <v>82647364.359999999</v>
      </c>
      <c r="E99" s="978">
        <f>E92+E98</f>
        <v>833473836.08000004</v>
      </c>
      <c r="F99" s="1023">
        <f t="shared" si="19"/>
        <v>344773392.41000003</v>
      </c>
      <c r="G99" s="1023">
        <f t="shared" si="19"/>
        <v>344253332.77999997</v>
      </c>
      <c r="H99" s="1023">
        <f t="shared" si="19"/>
        <v>144447110.88999999</v>
      </c>
      <c r="I99" s="1024">
        <f>SUM(F99:H99)</f>
        <v>833473836.08000004</v>
      </c>
    </row>
    <row r="100" spans="1:9" x14ac:dyDescent="0.25">
      <c r="A100" s="490"/>
      <c r="B100" s="490"/>
      <c r="C100" s="490"/>
      <c r="D100" s="490"/>
      <c r="E100" s="490"/>
    </row>
    <row r="101" spans="1:9" x14ac:dyDescent="0.25">
      <c r="A101" s="490"/>
      <c r="B101" s="490"/>
      <c r="C101" s="490"/>
      <c r="D101" s="490"/>
      <c r="E101" s="490" t="e">
        <f>#REF!-E99</f>
        <v>#REF!</v>
      </c>
    </row>
    <row r="102" spans="1:9" x14ac:dyDescent="0.25">
      <c r="A102" s="490"/>
      <c r="B102" s="490"/>
      <c r="C102" s="490"/>
      <c r="D102" s="490"/>
      <c r="E102" s="49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46"/>
  <sheetViews>
    <sheetView view="pageBreakPreview" topLeftCell="A379" zoomScale="110" zoomScaleNormal="100" zoomScaleSheetLayoutView="110" workbookViewId="0">
      <selection activeCell="K408" sqref="K408"/>
    </sheetView>
  </sheetViews>
  <sheetFormatPr defaultRowHeight="15.75" x14ac:dyDescent="0.25"/>
  <cols>
    <col min="1" max="1" width="17.42578125" style="8" customWidth="1"/>
    <col min="2" max="2" width="18.42578125" style="8" customWidth="1"/>
    <col min="3" max="3" width="18.7109375" style="9" customWidth="1"/>
    <col min="4" max="4" width="38.42578125" style="8" customWidth="1"/>
    <col min="5" max="5" width="5.140625" style="8" customWidth="1"/>
    <col min="6" max="6" width="5.28515625" style="8" customWidth="1"/>
    <col min="7" max="7" width="16" style="8" hidden="1" customWidth="1"/>
    <col min="8" max="8" width="20.28515625" style="4" hidden="1" customWidth="1"/>
    <col min="9" max="10" width="18.28515625" style="4" hidden="1" customWidth="1"/>
    <col min="11" max="11" width="18.28515625" style="5" customWidth="1"/>
    <col min="12" max="12" width="19.140625" style="10" customWidth="1"/>
  </cols>
  <sheetData>
    <row r="1" spans="1:12" s="7" customFormat="1" ht="18" hidden="1" customHeight="1" x14ac:dyDescent="0.25">
      <c r="A1" s="1" t="s">
        <v>0</v>
      </c>
      <c r="B1" s="1"/>
      <c r="C1" s="2"/>
      <c r="D1" s="3"/>
      <c r="E1" s="3"/>
      <c r="F1" s="3"/>
      <c r="G1" s="3"/>
      <c r="H1" s="4"/>
      <c r="I1" s="4"/>
      <c r="J1" s="4"/>
      <c r="K1" s="5"/>
      <c r="L1" s="6"/>
    </row>
    <row r="2" spans="1:12" ht="15.75" hidden="1" customHeight="1" x14ac:dyDescent="0.25"/>
    <row r="3" spans="1:12" ht="20.25" hidden="1" customHeight="1" x14ac:dyDescent="0.3">
      <c r="A3" s="1584" t="s">
        <v>1</v>
      </c>
      <c r="B3" s="1584"/>
      <c r="C3" s="1584"/>
      <c r="D3" s="1584"/>
      <c r="E3" s="1584"/>
      <c r="F3" s="1584"/>
      <c r="G3" s="1584"/>
      <c r="H3" s="1584"/>
      <c r="I3" s="1584"/>
      <c r="J3" s="1584"/>
      <c r="K3" s="1059"/>
    </row>
    <row r="4" spans="1:12" ht="18" hidden="1" customHeight="1" x14ac:dyDescent="0.25">
      <c r="A4" s="1585" t="s">
        <v>2</v>
      </c>
      <c r="B4" s="1585"/>
      <c r="C4" s="1585"/>
      <c r="D4" s="1586"/>
      <c r="E4" s="1586"/>
      <c r="F4" s="1585"/>
      <c r="G4" s="1585"/>
      <c r="H4" s="1585"/>
      <c r="I4" s="1585"/>
      <c r="J4" s="1585"/>
      <c r="K4" s="1060"/>
    </row>
    <row r="5" spans="1:12" ht="18" hidden="1" customHeight="1" x14ac:dyDescent="0.25">
      <c r="A5" s="1060"/>
      <c r="B5" s="1060"/>
      <c r="C5" s="1060"/>
      <c r="D5" s="1061" t="s">
        <v>3</v>
      </c>
      <c r="E5" s="1061"/>
      <c r="F5" s="1060"/>
      <c r="G5" s="1060"/>
      <c r="H5" s="11"/>
      <c r="I5" s="11"/>
      <c r="J5" s="11"/>
      <c r="K5" s="11"/>
    </row>
    <row r="6" spans="1:12" ht="15" hidden="1" customHeight="1" x14ac:dyDescent="0.25">
      <c r="A6" s="1587" t="s">
        <v>4</v>
      </c>
      <c r="B6" s="1587"/>
      <c r="C6" s="1587"/>
      <c r="D6" s="1588"/>
      <c r="E6" s="1588"/>
      <c r="F6" s="1707"/>
      <c r="G6" s="1604" t="s">
        <v>5</v>
      </c>
      <c r="H6" s="1052"/>
      <c r="I6" s="1607" t="s">
        <v>8</v>
      </c>
      <c r="J6" s="1607" t="s">
        <v>8</v>
      </c>
      <c r="K6" s="1702" t="s">
        <v>8</v>
      </c>
    </row>
    <row r="7" spans="1:12" ht="15" hidden="1" customHeight="1" x14ac:dyDescent="0.25">
      <c r="A7" s="1587"/>
      <c r="B7" s="1587"/>
      <c r="C7" s="1587"/>
      <c r="D7" s="1588"/>
      <c r="E7" s="1588"/>
      <c r="F7" s="1707"/>
      <c r="G7" s="1591"/>
      <c r="H7" s="1053"/>
      <c r="I7" s="1600"/>
      <c r="J7" s="1600"/>
      <c r="K7" s="1703"/>
    </row>
    <row r="8" spans="1:12" ht="15" hidden="1" customHeight="1" x14ac:dyDescent="0.25">
      <c r="A8" s="1587"/>
      <c r="B8" s="1587"/>
      <c r="C8" s="1587"/>
      <c r="D8" s="1588"/>
      <c r="E8" s="1588"/>
      <c r="F8" s="1707"/>
      <c r="G8" s="1591"/>
      <c r="H8" s="1053"/>
      <c r="I8" s="1600"/>
      <c r="J8" s="1600"/>
      <c r="K8" s="1703"/>
    </row>
    <row r="9" spans="1:12" ht="15" hidden="1" customHeight="1" x14ac:dyDescent="0.25">
      <c r="A9" s="1587"/>
      <c r="B9" s="1587"/>
      <c r="C9" s="1587"/>
      <c r="D9" s="1588"/>
      <c r="E9" s="1588"/>
      <c r="F9" s="1707"/>
      <c r="G9" s="1591"/>
      <c r="H9" s="1053"/>
      <c r="I9" s="1600"/>
      <c r="J9" s="1600"/>
      <c r="K9" s="1703"/>
    </row>
    <row r="10" spans="1:12" ht="15" hidden="1" customHeight="1" x14ac:dyDescent="0.25">
      <c r="A10" s="1587"/>
      <c r="B10" s="1587"/>
      <c r="C10" s="1587"/>
      <c r="D10" s="1588"/>
      <c r="E10" s="1588"/>
      <c r="F10" s="1707"/>
      <c r="G10" s="1592"/>
      <c r="H10" s="1054"/>
      <c r="I10" s="1601"/>
      <c r="J10" s="1601"/>
      <c r="K10" s="1704"/>
    </row>
    <row r="11" spans="1:12" ht="18" hidden="1" customHeight="1" x14ac:dyDescent="0.25">
      <c r="A11" s="1705" t="s">
        <v>9</v>
      </c>
      <c r="B11" s="1571"/>
      <c r="C11" s="1571"/>
      <c r="D11" s="1572"/>
      <c r="E11" s="1572"/>
      <c r="F11" s="1706"/>
      <c r="G11" s="1147"/>
      <c r="H11" s="1148"/>
      <c r="I11" s="1148"/>
      <c r="J11" s="1148"/>
      <c r="K11" s="1148"/>
    </row>
    <row r="12" spans="1:12" ht="18" hidden="1" customHeight="1" x14ac:dyDescent="0.25">
      <c r="A12" s="12" t="s">
        <v>10</v>
      </c>
      <c r="B12" s="170"/>
      <c r="C12" s="1574" t="s">
        <v>11</v>
      </c>
      <c r="D12" s="1575"/>
      <c r="E12" s="1575"/>
      <c r="F12" s="1576"/>
      <c r="G12" s="13"/>
      <c r="H12" s="15"/>
      <c r="I12" s="15"/>
      <c r="J12" s="15"/>
      <c r="K12" s="15"/>
    </row>
    <row r="13" spans="1:12" ht="18" hidden="1" customHeight="1" x14ac:dyDescent="0.25">
      <c r="A13" s="16" t="s">
        <v>12</v>
      </c>
      <c r="B13" s="1045"/>
      <c r="C13" s="1574" t="s">
        <v>13</v>
      </c>
      <c r="D13" s="1575"/>
      <c r="E13" s="1575"/>
      <c r="F13" s="1576"/>
      <c r="G13" s="13"/>
      <c r="H13" s="15"/>
      <c r="I13" s="15"/>
      <c r="J13" s="15"/>
      <c r="K13" s="15"/>
    </row>
    <row r="14" spans="1:12" ht="18" hidden="1" customHeight="1" x14ac:dyDescent="0.25">
      <c r="A14" s="12" t="s">
        <v>12</v>
      </c>
      <c r="B14" s="170"/>
      <c r="C14" s="1574" t="s">
        <v>14</v>
      </c>
      <c r="D14" s="1575"/>
      <c r="E14" s="1575"/>
      <c r="F14" s="1576"/>
      <c r="G14" s="13"/>
      <c r="H14" s="18"/>
      <c r="I14" s="18"/>
      <c r="J14" s="18"/>
      <c r="K14" s="18"/>
    </row>
    <row r="15" spans="1:12" ht="18" hidden="1" customHeight="1" x14ac:dyDescent="0.25">
      <c r="A15" s="1577" t="s">
        <v>15</v>
      </c>
      <c r="B15" s="1578"/>
      <c r="C15" s="1578"/>
      <c r="D15" s="1579"/>
      <c r="E15" s="1579"/>
      <c r="F15" s="1580"/>
      <c r="G15" s="13"/>
      <c r="H15" s="20"/>
      <c r="I15" s="20">
        <f>SUM(I12:I14)</f>
        <v>0</v>
      </c>
      <c r="J15" s="20">
        <f>SUM(J12:J14)</f>
        <v>0</v>
      </c>
      <c r="K15" s="19">
        <f>SUM(K12:K14)</f>
        <v>0</v>
      </c>
    </row>
    <row r="16" spans="1:12" ht="18" hidden="1" customHeight="1" x14ac:dyDescent="0.25">
      <c r="A16" s="1581" t="s">
        <v>16</v>
      </c>
      <c r="B16" s="1582"/>
      <c r="C16" s="1582"/>
      <c r="D16" s="1572"/>
      <c r="E16" s="1572"/>
      <c r="F16" s="1583"/>
      <c r="G16" s="13"/>
      <c r="H16" s="20"/>
      <c r="I16" s="20"/>
      <c r="J16" s="20"/>
      <c r="K16" s="19"/>
    </row>
    <row r="17" spans="1:11" ht="18" hidden="1" customHeight="1" x14ac:dyDescent="0.25">
      <c r="A17" s="22" t="s">
        <v>17</v>
      </c>
      <c r="B17" s="23"/>
      <c r="C17" s="23" t="s">
        <v>18</v>
      </c>
      <c r="D17" s="24" t="s">
        <v>19</v>
      </c>
      <c r="E17" s="24"/>
      <c r="F17" s="25"/>
      <c r="G17" s="26"/>
      <c r="H17" s="29"/>
      <c r="I17" s="29"/>
      <c r="J17" s="29"/>
      <c r="K17" s="29"/>
    </row>
    <row r="18" spans="1:11" ht="18" hidden="1" customHeight="1" x14ac:dyDescent="0.25">
      <c r="A18" s="22"/>
      <c r="B18" s="23"/>
      <c r="C18" s="23" t="s">
        <v>20</v>
      </c>
      <c r="D18" s="24" t="s">
        <v>21</v>
      </c>
      <c r="E18" s="24"/>
      <c r="F18" s="25"/>
      <c r="G18" s="26"/>
      <c r="H18" s="29"/>
      <c r="I18" s="29"/>
      <c r="J18" s="29"/>
      <c r="K18" s="29"/>
    </row>
    <row r="19" spans="1:11" ht="18" hidden="1" customHeight="1" x14ac:dyDescent="0.25">
      <c r="A19" s="22"/>
      <c r="B19" s="23"/>
      <c r="C19" s="23" t="s">
        <v>22</v>
      </c>
      <c r="D19" s="24" t="s">
        <v>23</v>
      </c>
      <c r="E19" s="24"/>
      <c r="F19" s="25"/>
      <c r="G19" s="26"/>
      <c r="H19" s="29"/>
      <c r="I19" s="29"/>
      <c r="J19" s="29"/>
      <c r="K19" s="29"/>
    </row>
    <row r="20" spans="1:11" ht="15.75" hidden="1" customHeight="1" x14ac:dyDescent="0.25">
      <c r="A20" s="30"/>
      <c r="B20" s="252"/>
      <c r="D20" s="31" t="s">
        <v>24</v>
      </c>
      <c r="E20" s="32"/>
      <c r="F20" s="33"/>
      <c r="G20" s="26" t="s">
        <v>25</v>
      </c>
      <c r="H20" s="34"/>
      <c r="I20" s="34"/>
      <c r="J20" s="34"/>
      <c r="K20" s="34"/>
    </row>
    <row r="21" spans="1:11" ht="15.75" hidden="1" customHeight="1" x14ac:dyDescent="0.25">
      <c r="A21" s="30"/>
      <c r="B21" s="252"/>
      <c r="D21" s="31" t="s">
        <v>26</v>
      </c>
      <c r="E21" s="32"/>
      <c r="F21" s="33"/>
      <c r="G21" s="26" t="s">
        <v>25</v>
      </c>
      <c r="H21" s="34"/>
      <c r="I21" s="34"/>
      <c r="J21" s="34"/>
      <c r="K21" s="34"/>
    </row>
    <row r="22" spans="1:11" ht="15.75" hidden="1" customHeight="1" x14ac:dyDescent="0.25">
      <c r="A22" s="30"/>
      <c r="B22" s="252"/>
      <c r="D22" s="31" t="s">
        <v>27</v>
      </c>
      <c r="E22" s="32"/>
      <c r="F22" s="33"/>
      <c r="G22" s="26" t="s">
        <v>25</v>
      </c>
      <c r="H22" s="34"/>
      <c r="I22" s="34"/>
      <c r="J22" s="34"/>
      <c r="K22" s="34"/>
    </row>
    <row r="23" spans="1:11" ht="15.75" hidden="1" customHeight="1" x14ac:dyDescent="0.25">
      <c r="A23" s="30"/>
      <c r="B23" s="252"/>
      <c r="D23" s="31" t="s">
        <v>28</v>
      </c>
      <c r="E23" s="32"/>
      <c r="F23" s="33"/>
      <c r="G23" s="26" t="s">
        <v>25</v>
      </c>
      <c r="H23" s="29"/>
      <c r="I23" s="29"/>
      <c r="J23" s="29"/>
      <c r="K23" s="29"/>
    </row>
    <row r="24" spans="1:11" ht="15.75" hidden="1" customHeight="1" x14ac:dyDescent="0.25">
      <c r="A24" s="30"/>
      <c r="B24" s="252"/>
      <c r="D24" s="31" t="s">
        <v>29</v>
      </c>
      <c r="E24" s="32"/>
      <c r="F24" s="33"/>
      <c r="G24" s="26"/>
      <c r="H24" s="29"/>
      <c r="I24" s="29"/>
      <c r="J24" s="29"/>
      <c r="K24" s="29"/>
    </row>
    <row r="25" spans="1:11" ht="18" hidden="1" customHeight="1" x14ac:dyDescent="0.25">
      <c r="A25" s="35"/>
      <c r="B25" s="387"/>
      <c r="C25" s="36" t="s">
        <v>30</v>
      </c>
      <c r="D25" s="32" t="s">
        <v>31</v>
      </c>
      <c r="E25" s="32"/>
      <c r="F25" s="33"/>
      <c r="G25" s="26"/>
      <c r="H25" s="29"/>
      <c r="I25" s="29"/>
      <c r="J25" s="29"/>
      <c r="K25" s="29"/>
    </row>
    <row r="26" spans="1:11" ht="15.75" hidden="1" customHeight="1" x14ac:dyDescent="0.25">
      <c r="A26" s="30"/>
      <c r="B26" s="252"/>
      <c r="D26" s="31" t="s">
        <v>32</v>
      </c>
      <c r="E26" s="32"/>
      <c r="F26" s="33"/>
      <c r="G26" s="26" t="s">
        <v>25</v>
      </c>
      <c r="H26" s="29"/>
      <c r="I26" s="29"/>
      <c r="J26" s="29"/>
      <c r="K26" s="29"/>
    </row>
    <row r="27" spans="1:11" ht="15.75" hidden="1" customHeight="1" x14ac:dyDescent="0.25">
      <c r="A27" s="30"/>
      <c r="B27" s="252"/>
      <c r="D27" s="31" t="s">
        <v>33</v>
      </c>
      <c r="E27" s="32"/>
      <c r="F27" s="33"/>
      <c r="G27" s="26" t="s">
        <v>25</v>
      </c>
      <c r="H27" s="29"/>
      <c r="I27" s="29"/>
      <c r="J27" s="29"/>
      <c r="K27" s="29"/>
    </row>
    <row r="28" spans="1:11" ht="15.75" hidden="1" customHeight="1" x14ac:dyDescent="0.25">
      <c r="A28" s="30"/>
      <c r="B28" s="252"/>
      <c r="D28" s="31" t="s">
        <v>34</v>
      </c>
      <c r="E28" s="32"/>
      <c r="F28" s="33"/>
      <c r="G28" s="26" t="s">
        <v>25</v>
      </c>
      <c r="H28" s="29"/>
      <c r="I28" s="29"/>
      <c r="J28" s="29"/>
      <c r="K28" s="29"/>
    </row>
    <row r="29" spans="1:11" ht="15.75" hidden="1" customHeight="1" x14ac:dyDescent="0.25">
      <c r="A29" s="30"/>
      <c r="B29" s="252"/>
      <c r="D29" s="31" t="s">
        <v>35</v>
      </c>
      <c r="E29" s="32"/>
      <c r="F29" s="33"/>
      <c r="G29" s="26" t="s">
        <v>25</v>
      </c>
      <c r="H29" s="29"/>
      <c r="I29" s="29"/>
      <c r="J29" s="29"/>
      <c r="K29" s="29"/>
    </row>
    <row r="30" spans="1:11" ht="15.75" hidden="1" customHeight="1" x14ac:dyDescent="0.25">
      <c r="A30" s="30"/>
      <c r="B30" s="252"/>
      <c r="D30" s="31" t="s">
        <v>36</v>
      </c>
      <c r="E30" s="32"/>
      <c r="F30" s="33"/>
      <c r="G30" s="26"/>
      <c r="H30" s="29"/>
      <c r="I30" s="29"/>
      <c r="J30" s="29"/>
      <c r="K30" s="29"/>
    </row>
    <row r="31" spans="1:11" ht="15.75" hidden="1" customHeight="1" x14ac:dyDescent="0.25">
      <c r="A31" s="30"/>
      <c r="B31" s="252"/>
      <c r="D31" s="31" t="s">
        <v>37</v>
      </c>
      <c r="E31" s="32"/>
      <c r="F31" s="33"/>
      <c r="G31" s="26" t="s">
        <v>25</v>
      </c>
      <c r="H31" s="29"/>
      <c r="I31" s="29"/>
      <c r="J31" s="29"/>
      <c r="K31" s="29"/>
    </row>
    <row r="32" spans="1:11" ht="18" hidden="1" customHeight="1" x14ac:dyDescent="0.25">
      <c r="A32" s="37"/>
      <c r="B32" s="52"/>
      <c r="C32" s="36" t="s">
        <v>38</v>
      </c>
      <c r="D32" s="32" t="s">
        <v>39</v>
      </c>
      <c r="E32" s="32"/>
      <c r="F32" s="33"/>
      <c r="G32" s="26"/>
      <c r="H32" s="29"/>
      <c r="I32" s="29"/>
      <c r="J32" s="29"/>
      <c r="K32" s="29"/>
    </row>
    <row r="33" spans="1:12" ht="15.75" hidden="1" customHeight="1" x14ac:dyDescent="0.25">
      <c r="A33" s="37"/>
      <c r="B33" s="52"/>
      <c r="D33" s="31" t="s">
        <v>40</v>
      </c>
      <c r="E33" s="32"/>
      <c r="F33" s="33"/>
      <c r="G33" s="26" t="s">
        <v>25</v>
      </c>
      <c r="H33" s="29"/>
      <c r="I33" s="29"/>
      <c r="J33" s="29"/>
      <c r="K33" s="29"/>
    </row>
    <row r="34" spans="1:12" ht="15.75" hidden="1" customHeight="1" x14ac:dyDescent="0.25">
      <c r="A34" s="37"/>
      <c r="B34" s="52"/>
      <c r="D34" s="31" t="s">
        <v>41</v>
      </c>
      <c r="E34" s="32"/>
      <c r="F34" s="33"/>
      <c r="G34" s="26" t="s">
        <v>25</v>
      </c>
      <c r="H34" s="29"/>
      <c r="I34" s="29"/>
      <c r="J34" s="29"/>
      <c r="K34" s="29"/>
    </row>
    <row r="35" spans="1:12" ht="18" hidden="1" customHeight="1" x14ac:dyDescent="0.25">
      <c r="A35" s="37"/>
      <c r="B35" s="52"/>
      <c r="D35" s="1149" t="s">
        <v>42</v>
      </c>
      <c r="E35" s="1150"/>
      <c r="F35" s="33"/>
      <c r="G35" s="26" t="s">
        <v>25</v>
      </c>
      <c r="H35" s="29"/>
      <c r="I35" s="29"/>
      <c r="J35" s="29"/>
      <c r="K35" s="29"/>
    </row>
    <row r="36" spans="1:12" ht="18" hidden="1" customHeight="1" x14ac:dyDescent="0.25">
      <c r="A36" s="37"/>
      <c r="B36" s="52"/>
      <c r="D36" s="38" t="s">
        <v>43</v>
      </c>
      <c r="E36" s="33"/>
      <c r="F36" s="33"/>
      <c r="G36" s="26"/>
      <c r="H36" s="29"/>
      <c r="I36" s="29"/>
      <c r="J36" s="29"/>
      <c r="K36" s="29"/>
    </row>
    <row r="37" spans="1:12" ht="18" hidden="1" customHeight="1" x14ac:dyDescent="0.25">
      <c r="A37" s="37"/>
      <c r="B37" s="52"/>
      <c r="D37" s="39" t="s">
        <v>44</v>
      </c>
      <c r="E37" s="33"/>
      <c r="F37" s="33"/>
      <c r="G37" s="26"/>
      <c r="H37" s="29"/>
      <c r="I37" s="29"/>
      <c r="J37" s="29"/>
      <c r="K37" s="29"/>
    </row>
    <row r="38" spans="1:12" ht="18" hidden="1" customHeight="1" x14ac:dyDescent="0.25">
      <c r="A38" s="22"/>
      <c r="B38" s="23"/>
      <c r="C38" s="23" t="s">
        <v>45</v>
      </c>
      <c r="D38" s="23"/>
      <c r="E38" s="23"/>
      <c r="F38" s="25"/>
      <c r="G38" s="26"/>
      <c r="H38" s="29"/>
      <c r="I38" s="29"/>
      <c r="J38" s="29"/>
      <c r="K38" s="29"/>
    </row>
    <row r="39" spans="1:12" ht="18" hidden="1" customHeight="1" x14ac:dyDescent="0.25">
      <c r="A39" s="40"/>
      <c r="B39" s="60"/>
      <c r="C39" s="36" t="s">
        <v>46</v>
      </c>
      <c r="D39" s="41"/>
      <c r="E39" s="33"/>
      <c r="F39" s="33"/>
      <c r="G39" s="26"/>
      <c r="H39" s="29"/>
      <c r="I39" s="29"/>
      <c r="J39" s="29"/>
      <c r="K39" s="29"/>
    </row>
    <row r="40" spans="1:12" s="48" customFormat="1" ht="18" hidden="1" customHeight="1" x14ac:dyDescent="0.25">
      <c r="A40" s="42"/>
      <c r="B40" s="601"/>
      <c r="C40" s="43"/>
      <c r="D40" s="44" t="s">
        <v>47</v>
      </c>
      <c r="E40" s="45"/>
      <c r="F40" s="45"/>
      <c r="G40" s="46" t="s">
        <v>25</v>
      </c>
      <c r="H40" s="29"/>
      <c r="I40" s="29"/>
      <c r="J40" s="29"/>
      <c r="K40" s="29"/>
      <c r="L40" s="47"/>
    </row>
    <row r="41" spans="1:12" s="48" customFormat="1" ht="18" hidden="1" customHeight="1" x14ac:dyDescent="0.25">
      <c r="A41" s="42"/>
      <c r="B41" s="601"/>
      <c r="C41" s="43"/>
      <c r="D41" s="44" t="s">
        <v>48</v>
      </c>
      <c r="E41" s="45"/>
      <c r="F41" s="45"/>
      <c r="G41" s="46"/>
      <c r="H41" s="29"/>
      <c r="I41" s="29"/>
      <c r="J41" s="29"/>
      <c r="K41" s="29"/>
      <c r="L41" s="47"/>
    </row>
    <row r="42" spans="1:12" s="48" customFormat="1" ht="18" hidden="1" customHeight="1" x14ac:dyDescent="0.25">
      <c r="A42" s="42"/>
      <c r="B42" s="601"/>
      <c r="C42" s="43"/>
      <c r="D42" s="44" t="s">
        <v>49</v>
      </c>
      <c r="E42" s="45"/>
      <c r="F42" s="45"/>
      <c r="G42" s="46" t="s">
        <v>25</v>
      </c>
      <c r="H42" s="29"/>
      <c r="I42" s="29"/>
      <c r="J42" s="29"/>
      <c r="K42" s="29"/>
      <c r="L42" s="47"/>
    </row>
    <row r="43" spans="1:12" s="48" customFormat="1" ht="18" hidden="1" customHeight="1" x14ac:dyDescent="0.25">
      <c r="A43" s="42"/>
      <c r="B43" s="601"/>
      <c r="C43" s="43"/>
      <c r="D43" s="1062" t="s">
        <v>50</v>
      </c>
      <c r="E43" s="45"/>
      <c r="F43" s="45"/>
      <c r="G43" s="46" t="s">
        <v>25</v>
      </c>
      <c r="H43" s="29"/>
      <c r="I43" s="29"/>
      <c r="J43" s="29"/>
      <c r="K43" s="29"/>
      <c r="L43" s="47"/>
    </row>
    <row r="44" spans="1:12" s="48" customFormat="1" ht="18" hidden="1" customHeight="1" x14ac:dyDescent="0.25">
      <c r="A44" s="42"/>
      <c r="B44" s="601"/>
      <c r="C44" s="43"/>
      <c r="D44" s="44" t="s">
        <v>51</v>
      </c>
      <c r="E44" s="45"/>
      <c r="F44" s="45"/>
      <c r="G44" s="46" t="s">
        <v>25</v>
      </c>
      <c r="H44" s="29"/>
      <c r="I44" s="29"/>
      <c r="J44" s="29"/>
      <c r="K44" s="29"/>
      <c r="L44" s="47"/>
    </row>
    <row r="45" spans="1:12" s="48" customFormat="1" ht="18" hidden="1" customHeight="1" x14ac:dyDescent="0.25">
      <c r="A45" s="42"/>
      <c r="B45" s="601"/>
      <c r="C45" s="43"/>
      <c r="D45" s="44" t="s">
        <v>52</v>
      </c>
      <c r="E45" s="45"/>
      <c r="F45" s="45"/>
      <c r="G45" s="46" t="s">
        <v>25</v>
      </c>
      <c r="H45" s="29"/>
      <c r="I45" s="29"/>
      <c r="J45" s="29"/>
      <c r="K45" s="29"/>
      <c r="L45" s="47"/>
    </row>
    <row r="46" spans="1:12" s="48" customFormat="1" ht="18" hidden="1" customHeight="1" x14ac:dyDescent="0.25">
      <c r="A46" s="42"/>
      <c r="B46" s="601"/>
      <c r="C46" s="43"/>
      <c r="D46" s="44" t="s">
        <v>53</v>
      </c>
      <c r="E46" s="45"/>
      <c r="F46" s="45"/>
      <c r="G46" s="46" t="s">
        <v>25</v>
      </c>
      <c r="H46" s="29"/>
      <c r="I46" s="29"/>
      <c r="J46" s="29"/>
      <c r="K46" s="29"/>
      <c r="L46" s="47"/>
    </row>
    <row r="47" spans="1:12" s="48" customFormat="1" ht="18" hidden="1" customHeight="1" x14ac:dyDescent="0.25">
      <c r="A47" s="42"/>
      <c r="B47" s="601"/>
      <c r="C47" s="43"/>
      <c r="D47" s="44" t="s">
        <v>54</v>
      </c>
      <c r="E47" s="45"/>
      <c r="F47" s="45"/>
      <c r="G47" s="46" t="s">
        <v>25</v>
      </c>
      <c r="H47" s="29"/>
      <c r="I47" s="29"/>
      <c r="J47" s="29"/>
      <c r="K47" s="29"/>
      <c r="L47" s="47"/>
    </row>
    <row r="48" spans="1:12" s="48" customFormat="1" ht="18" hidden="1" customHeight="1" x14ac:dyDescent="0.25">
      <c r="A48" s="42"/>
      <c r="B48" s="601"/>
      <c r="C48" s="43"/>
      <c r="D48" s="1062" t="s">
        <v>55</v>
      </c>
      <c r="E48" s="45"/>
      <c r="F48" s="45"/>
      <c r="G48" s="46" t="s">
        <v>25</v>
      </c>
      <c r="H48" s="29"/>
      <c r="I48" s="29"/>
      <c r="J48" s="29"/>
      <c r="K48" s="29"/>
      <c r="L48" s="47"/>
    </row>
    <row r="49" spans="1:12" s="48" customFormat="1" ht="36.75" hidden="1" customHeight="1" x14ac:dyDescent="0.25">
      <c r="A49" s="42"/>
      <c r="B49" s="601"/>
      <c r="C49" s="43"/>
      <c r="D49" s="1574" t="s">
        <v>56</v>
      </c>
      <c r="E49" s="1574"/>
      <c r="F49" s="1576"/>
      <c r="G49" s="46" t="s">
        <v>25</v>
      </c>
      <c r="H49" s="29"/>
      <c r="I49" s="29"/>
      <c r="J49" s="29"/>
      <c r="K49" s="29"/>
      <c r="L49" s="47"/>
    </row>
    <row r="50" spans="1:12" s="48" customFormat="1" ht="18" hidden="1" customHeight="1" x14ac:dyDescent="0.25">
      <c r="A50" s="42"/>
      <c r="B50" s="601"/>
      <c r="C50" s="43"/>
      <c r="D50" s="49" t="s">
        <v>57</v>
      </c>
      <c r="E50" s="45"/>
      <c r="F50" s="45"/>
      <c r="G50" s="46" t="s">
        <v>25</v>
      </c>
      <c r="H50" s="29"/>
      <c r="I50" s="29"/>
      <c r="J50" s="29"/>
      <c r="K50" s="29"/>
      <c r="L50" s="47"/>
    </row>
    <row r="51" spans="1:12" s="48" customFormat="1" ht="34.5" hidden="1" customHeight="1" x14ac:dyDescent="0.25">
      <c r="A51" s="42"/>
      <c r="B51" s="601"/>
      <c r="C51" s="43"/>
      <c r="D51" s="1574" t="s">
        <v>58</v>
      </c>
      <c r="E51" s="1574"/>
      <c r="F51" s="1576"/>
      <c r="G51" s="46" t="s">
        <v>25</v>
      </c>
      <c r="H51" s="29"/>
      <c r="I51" s="29"/>
      <c r="J51" s="29"/>
      <c r="K51" s="29"/>
      <c r="L51" s="47"/>
    </row>
    <row r="52" spans="1:12" ht="35.25" hidden="1" customHeight="1" x14ac:dyDescent="0.25">
      <c r="A52" s="37"/>
      <c r="B52" s="52"/>
      <c r="D52" s="1574" t="s">
        <v>59</v>
      </c>
      <c r="E52" s="1574"/>
      <c r="F52" s="1576"/>
      <c r="G52" s="46" t="s">
        <v>25</v>
      </c>
      <c r="H52" s="29"/>
      <c r="I52" s="29"/>
      <c r="J52" s="29"/>
      <c r="K52" s="29"/>
    </row>
    <row r="53" spans="1:12" s="48" customFormat="1" ht="18" hidden="1" customHeight="1" x14ac:dyDescent="0.25">
      <c r="A53" s="42"/>
      <c r="B53" s="601"/>
      <c r="C53" s="43"/>
      <c r="D53" s="44" t="s">
        <v>60</v>
      </c>
      <c r="E53" s="45"/>
      <c r="F53" s="45"/>
      <c r="G53" s="46" t="s">
        <v>25</v>
      </c>
      <c r="H53" s="29"/>
      <c r="I53" s="29"/>
      <c r="J53" s="29"/>
      <c r="K53" s="29"/>
      <c r="L53" s="47"/>
    </row>
    <row r="54" spans="1:12" s="48" customFormat="1" ht="18" hidden="1" customHeight="1" x14ac:dyDescent="0.25">
      <c r="A54" s="42"/>
      <c r="B54" s="601"/>
      <c r="C54" s="43"/>
      <c r="D54" s="44" t="s">
        <v>61</v>
      </c>
      <c r="E54" s="45"/>
      <c r="F54" s="45"/>
      <c r="G54" s="46" t="s">
        <v>25</v>
      </c>
      <c r="H54" s="29"/>
      <c r="I54" s="29"/>
      <c r="J54" s="29"/>
      <c r="K54" s="29"/>
      <c r="L54" s="47"/>
    </row>
    <row r="55" spans="1:12" s="48" customFormat="1" ht="36" hidden="1" customHeight="1" x14ac:dyDescent="0.25">
      <c r="A55" s="42"/>
      <c r="B55" s="601"/>
      <c r="C55" s="43"/>
      <c r="D55" s="1574" t="s">
        <v>62</v>
      </c>
      <c r="E55" s="1574"/>
      <c r="F55" s="1576"/>
      <c r="G55" s="46" t="s">
        <v>25</v>
      </c>
      <c r="H55" s="29"/>
      <c r="I55" s="29"/>
      <c r="J55" s="29"/>
      <c r="K55" s="29"/>
      <c r="L55" s="47"/>
    </row>
    <row r="56" spans="1:12" ht="18" hidden="1" customHeight="1" x14ac:dyDescent="0.25">
      <c r="A56" s="37"/>
      <c r="B56" s="52"/>
      <c r="D56" s="1062" t="s">
        <v>63</v>
      </c>
      <c r="E56" s="33"/>
      <c r="F56" s="33"/>
      <c r="G56" s="46" t="s">
        <v>25</v>
      </c>
      <c r="H56" s="29"/>
      <c r="I56" s="29"/>
      <c r="J56" s="29"/>
      <c r="K56" s="29"/>
    </row>
    <row r="57" spans="1:12" ht="35.25" hidden="1" customHeight="1" x14ac:dyDescent="0.25">
      <c r="A57" s="37"/>
      <c r="B57" s="52"/>
      <c r="C57" s="51"/>
      <c r="D57" s="1574" t="s">
        <v>64</v>
      </c>
      <c r="E57" s="1574"/>
      <c r="F57" s="1576"/>
      <c r="G57" s="46" t="s">
        <v>25</v>
      </c>
      <c r="H57" s="29"/>
      <c r="I57" s="29"/>
      <c r="J57" s="29"/>
      <c r="K57" s="29"/>
    </row>
    <row r="58" spans="1:12" ht="20.25" hidden="1" customHeight="1" x14ac:dyDescent="0.25">
      <c r="A58" s="52"/>
      <c r="B58" s="52"/>
      <c r="C58" s="51"/>
      <c r="D58" s="1045"/>
      <c r="E58" s="1045"/>
      <c r="F58" s="1056"/>
      <c r="G58" s="53"/>
      <c r="H58" s="55"/>
      <c r="I58" s="55"/>
      <c r="J58" s="55"/>
      <c r="K58" s="55"/>
    </row>
    <row r="59" spans="1:12" ht="20.25" hidden="1" customHeight="1" x14ac:dyDescent="0.25">
      <c r="A59" s="52"/>
      <c r="B59" s="52"/>
      <c r="C59" s="51"/>
      <c r="D59" s="1045"/>
      <c r="E59" s="1045"/>
      <c r="F59" s="1056"/>
      <c r="G59" s="53"/>
      <c r="H59" s="55"/>
      <c r="I59" s="55"/>
      <c r="J59" s="55"/>
      <c r="K59" s="55"/>
    </row>
    <row r="60" spans="1:12" ht="20.25" hidden="1" customHeight="1" x14ac:dyDescent="0.25">
      <c r="A60" s="52"/>
      <c r="B60" s="52"/>
      <c r="C60" s="51"/>
      <c r="D60" s="1045"/>
      <c r="E60" s="1045"/>
      <c r="F60" s="1056"/>
      <c r="G60" s="53"/>
      <c r="H60" s="55"/>
      <c r="I60" s="55"/>
      <c r="J60" s="55"/>
      <c r="K60" s="55"/>
    </row>
    <row r="61" spans="1:12" ht="20.25" hidden="1" customHeight="1" x14ac:dyDescent="0.25">
      <c r="A61" s="52"/>
      <c r="B61" s="52"/>
      <c r="C61" s="51"/>
      <c r="D61" s="1045"/>
      <c r="E61" s="1045"/>
      <c r="F61" s="1056"/>
      <c r="G61" s="53"/>
      <c r="H61" s="55"/>
      <c r="I61" s="55"/>
      <c r="J61" s="55"/>
      <c r="K61" s="55"/>
    </row>
    <row r="62" spans="1:12" ht="20.25" hidden="1" customHeight="1" x14ac:dyDescent="0.25">
      <c r="A62" s="52"/>
      <c r="B62" s="52"/>
      <c r="C62" s="51"/>
      <c r="D62" s="1045"/>
      <c r="E62" s="1045"/>
      <c r="F62" s="1056"/>
      <c r="G62" s="53"/>
      <c r="H62" s="55"/>
      <c r="I62" s="55"/>
      <c r="J62" s="55"/>
      <c r="K62" s="55"/>
    </row>
    <row r="63" spans="1:12" ht="20.25" hidden="1" customHeight="1" x14ac:dyDescent="0.25">
      <c r="A63" s="52"/>
      <c r="B63" s="52"/>
      <c r="C63" s="51"/>
      <c r="D63" s="1045"/>
      <c r="E63" s="1045"/>
      <c r="F63" s="1056"/>
      <c r="G63" s="53"/>
      <c r="H63" s="55"/>
      <c r="I63" s="55"/>
      <c r="J63" s="55"/>
      <c r="K63" s="55"/>
    </row>
    <row r="64" spans="1:12" ht="20.25" hidden="1" customHeight="1" x14ac:dyDescent="0.25">
      <c r="A64" s="52"/>
      <c r="B64" s="52"/>
      <c r="C64" s="51"/>
      <c r="D64" s="1045"/>
      <c r="E64" s="1045"/>
      <c r="F64" s="1056"/>
      <c r="G64" s="53"/>
      <c r="H64" s="55"/>
      <c r="I64" s="55"/>
      <c r="J64" s="55"/>
      <c r="K64" s="55"/>
    </row>
    <row r="65" spans="1:11" ht="20.25" hidden="1" customHeight="1" x14ac:dyDescent="0.25">
      <c r="A65" s="52"/>
      <c r="B65" s="52"/>
      <c r="C65" s="51"/>
      <c r="D65" s="1045"/>
      <c r="E65" s="1045"/>
      <c r="F65" s="1056"/>
      <c r="G65" s="53"/>
      <c r="H65" s="55"/>
      <c r="I65" s="55"/>
      <c r="J65" s="55"/>
      <c r="K65" s="55"/>
    </row>
    <row r="66" spans="1:11" ht="20.25" hidden="1" customHeight="1" x14ac:dyDescent="0.25">
      <c r="A66" s="52"/>
      <c r="B66" s="52"/>
      <c r="C66" s="51"/>
      <c r="D66" s="1045"/>
      <c r="E66" s="1045"/>
      <c r="F66" s="1056"/>
      <c r="G66" s="53"/>
      <c r="H66" s="55"/>
      <c r="I66" s="55"/>
      <c r="J66" s="55"/>
      <c r="K66" s="55"/>
    </row>
    <row r="67" spans="1:11" ht="20.25" hidden="1" customHeight="1" x14ac:dyDescent="0.25">
      <c r="A67" s="52"/>
      <c r="B67" s="52"/>
      <c r="C67" s="51"/>
      <c r="D67" s="1045"/>
      <c r="E67" s="1045"/>
      <c r="F67" s="1056"/>
      <c r="G67" s="53"/>
      <c r="H67" s="55"/>
      <c r="I67" s="55"/>
      <c r="J67" s="55"/>
      <c r="K67" s="55"/>
    </row>
    <row r="68" spans="1:11" ht="20.25" hidden="1" customHeight="1" x14ac:dyDescent="0.25">
      <c r="A68" s="52"/>
      <c r="B68" s="52"/>
      <c r="C68" s="51"/>
      <c r="D68" s="1045"/>
      <c r="E68" s="1045"/>
      <c r="F68" s="1056"/>
      <c r="G68" s="53"/>
      <c r="H68" s="55"/>
      <c r="I68" s="55"/>
      <c r="J68" s="55"/>
      <c r="K68" s="55"/>
    </row>
    <row r="69" spans="1:11" ht="15" hidden="1" customHeight="1" x14ac:dyDescent="0.25">
      <c r="A69" s="1587" t="s">
        <v>4</v>
      </c>
      <c r="B69" s="1587"/>
      <c r="C69" s="1587"/>
      <c r="D69" s="1587"/>
      <c r="E69" s="1587"/>
      <c r="F69" s="1587"/>
      <c r="G69" s="1604" t="s">
        <v>5</v>
      </c>
      <c r="H69" s="1052"/>
      <c r="I69" s="1607" t="s">
        <v>67</v>
      </c>
      <c r="J69" s="1607" t="s">
        <v>67</v>
      </c>
      <c r="K69" s="1702" t="s">
        <v>67</v>
      </c>
    </row>
    <row r="70" spans="1:11" ht="15" hidden="1" customHeight="1" x14ac:dyDescent="0.25">
      <c r="A70" s="1587"/>
      <c r="B70" s="1587"/>
      <c r="C70" s="1587"/>
      <c r="D70" s="1587"/>
      <c r="E70" s="1587"/>
      <c r="F70" s="1587"/>
      <c r="G70" s="1591"/>
      <c r="H70" s="1053"/>
      <c r="I70" s="1600"/>
      <c r="J70" s="1600"/>
      <c r="K70" s="1703"/>
    </row>
    <row r="71" spans="1:11" ht="15" hidden="1" customHeight="1" x14ac:dyDescent="0.25">
      <c r="A71" s="1587"/>
      <c r="B71" s="1587"/>
      <c r="C71" s="1587"/>
      <c r="D71" s="1587"/>
      <c r="E71" s="1587"/>
      <c r="F71" s="1587"/>
      <c r="G71" s="1591"/>
      <c r="H71" s="1053"/>
      <c r="I71" s="1600"/>
      <c r="J71" s="1600"/>
      <c r="K71" s="1703"/>
    </row>
    <row r="72" spans="1:11" ht="15" hidden="1" customHeight="1" x14ac:dyDescent="0.25">
      <c r="A72" s="1587"/>
      <c r="B72" s="1587"/>
      <c r="C72" s="1587"/>
      <c r="D72" s="1587"/>
      <c r="E72" s="1587"/>
      <c r="F72" s="1587"/>
      <c r="G72" s="1591"/>
      <c r="H72" s="1053"/>
      <c r="I72" s="1600"/>
      <c r="J72" s="1600"/>
      <c r="K72" s="1703"/>
    </row>
    <row r="73" spans="1:11" ht="15" hidden="1" customHeight="1" x14ac:dyDescent="0.25">
      <c r="A73" s="1587"/>
      <c r="B73" s="1587"/>
      <c r="C73" s="1587"/>
      <c r="D73" s="1587"/>
      <c r="E73" s="1587"/>
      <c r="F73" s="1587"/>
      <c r="G73" s="1592"/>
      <c r="H73" s="1054"/>
      <c r="I73" s="1601"/>
      <c r="J73" s="1601"/>
      <c r="K73" s="1704"/>
    </row>
    <row r="74" spans="1:11" ht="20.25" hidden="1" customHeight="1" x14ac:dyDescent="0.25">
      <c r="A74" s="52"/>
      <c r="B74" s="52"/>
      <c r="C74" s="51"/>
      <c r="D74" s="1045"/>
      <c r="E74" s="1045"/>
      <c r="F74" s="1056"/>
      <c r="G74" s="53"/>
      <c r="H74" s="55"/>
      <c r="I74" s="55"/>
      <c r="J74" s="55"/>
      <c r="K74" s="55"/>
    </row>
    <row r="75" spans="1:11" ht="18" hidden="1" customHeight="1" x14ac:dyDescent="0.25">
      <c r="A75" s="56"/>
      <c r="B75" s="602"/>
      <c r="C75" s="1608" t="s">
        <v>68</v>
      </c>
      <c r="D75" s="1608"/>
      <c r="E75" s="1608"/>
      <c r="F75" s="1609"/>
      <c r="G75" s="57"/>
      <c r="H75" s="58"/>
      <c r="I75" s="58"/>
      <c r="J75" s="58"/>
      <c r="K75" s="58"/>
    </row>
    <row r="76" spans="1:11" ht="18" hidden="1" customHeight="1" x14ac:dyDescent="0.25">
      <c r="A76" s="59"/>
      <c r="B76" s="52"/>
      <c r="C76" s="38" t="s">
        <v>69</v>
      </c>
      <c r="D76" s="41"/>
      <c r="E76" s="60"/>
      <c r="F76" s="61"/>
      <c r="G76" s="62" t="s">
        <v>25</v>
      </c>
      <c r="H76" s="58"/>
      <c r="I76" s="58"/>
      <c r="J76" s="58"/>
      <c r="K76" s="58"/>
    </row>
    <row r="77" spans="1:11" ht="18" hidden="1" customHeight="1" x14ac:dyDescent="0.25">
      <c r="A77" s="59"/>
      <c r="B77" s="52"/>
      <c r="C77" s="38" t="s">
        <v>70</v>
      </c>
      <c r="D77" s="41"/>
      <c r="E77" s="60"/>
      <c r="F77" s="61"/>
      <c r="G77" s="62" t="s">
        <v>25</v>
      </c>
      <c r="H77" s="58"/>
      <c r="I77" s="58"/>
      <c r="J77" s="58"/>
      <c r="K77" s="58"/>
    </row>
    <row r="78" spans="1:11" ht="18" hidden="1" customHeight="1" x14ac:dyDescent="0.25">
      <c r="A78" s="59"/>
      <c r="B78" s="52"/>
      <c r="C78" s="38" t="s">
        <v>71</v>
      </c>
      <c r="D78" s="41"/>
      <c r="E78" s="60"/>
      <c r="F78" s="61"/>
      <c r="G78" s="62" t="s">
        <v>25</v>
      </c>
      <c r="H78" s="58"/>
      <c r="I78" s="58"/>
      <c r="J78" s="58"/>
      <c r="K78" s="58"/>
    </row>
    <row r="79" spans="1:11" ht="18" hidden="1" customHeight="1" x14ac:dyDescent="0.25">
      <c r="A79" s="59"/>
      <c r="B79" s="52"/>
      <c r="C79" s="38" t="s">
        <v>72</v>
      </c>
      <c r="D79" s="41"/>
      <c r="E79" s="60"/>
      <c r="F79" s="61"/>
      <c r="G79" s="62" t="s">
        <v>25</v>
      </c>
      <c r="H79" s="58"/>
      <c r="I79" s="58"/>
      <c r="J79" s="58"/>
      <c r="K79" s="58"/>
    </row>
    <row r="80" spans="1:11" ht="18" hidden="1" customHeight="1" x14ac:dyDescent="0.25">
      <c r="A80" s="59"/>
      <c r="B80" s="52"/>
      <c r="C80" s="38" t="s">
        <v>73</v>
      </c>
      <c r="D80" s="41"/>
      <c r="E80" s="60"/>
      <c r="F80" s="61"/>
      <c r="G80" s="62" t="s">
        <v>25</v>
      </c>
      <c r="H80" s="58"/>
      <c r="I80" s="58"/>
      <c r="J80" s="58"/>
      <c r="K80" s="58"/>
    </row>
    <row r="81" spans="1:11" ht="18" hidden="1" customHeight="1" x14ac:dyDescent="0.25">
      <c r="A81" s="56"/>
      <c r="B81" s="602"/>
      <c r="C81" s="36"/>
      <c r="D81" s="41"/>
      <c r="E81" s="60"/>
      <c r="F81" s="61"/>
      <c r="G81" s="62"/>
      <c r="H81" s="58"/>
      <c r="I81" s="58"/>
      <c r="J81" s="58"/>
      <c r="K81" s="58"/>
    </row>
    <row r="82" spans="1:11" ht="18" hidden="1" customHeight="1" x14ac:dyDescent="0.25">
      <c r="A82" s="59"/>
      <c r="B82" s="52"/>
      <c r="C82" s="38" t="s">
        <v>74</v>
      </c>
      <c r="D82" s="41"/>
      <c r="E82" s="60"/>
      <c r="F82" s="61"/>
      <c r="G82" s="62" t="s">
        <v>25</v>
      </c>
      <c r="H82" s="58"/>
      <c r="I82" s="58"/>
      <c r="J82" s="58"/>
      <c r="K82" s="58"/>
    </row>
    <row r="83" spans="1:11" ht="18" hidden="1" customHeight="1" x14ac:dyDescent="0.25">
      <c r="A83" s="37"/>
      <c r="B83" s="52"/>
      <c r="C83" s="63"/>
      <c r="D83" s="41"/>
      <c r="E83" s="60"/>
      <c r="F83" s="61"/>
      <c r="G83" s="62"/>
      <c r="H83" s="58"/>
      <c r="I83" s="58"/>
      <c r="J83" s="58"/>
      <c r="K83" s="58"/>
    </row>
    <row r="84" spans="1:11" ht="18" hidden="1" customHeight="1" x14ac:dyDescent="0.25">
      <c r="A84" s="37"/>
      <c r="B84" s="52"/>
      <c r="C84" s="38" t="s">
        <v>75</v>
      </c>
      <c r="D84" s="41"/>
      <c r="E84" s="60"/>
      <c r="F84" s="61"/>
      <c r="G84" s="62" t="s">
        <v>25</v>
      </c>
      <c r="H84" s="58"/>
      <c r="I84" s="58"/>
      <c r="J84" s="58"/>
      <c r="K84" s="58"/>
    </row>
    <row r="85" spans="1:11" ht="18" hidden="1" customHeight="1" x14ac:dyDescent="0.25">
      <c r="A85" s="37"/>
      <c r="B85" s="52"/>
      <c r="C85" s="38" t="s">
        <v>76</v>
      </c>
      <c r="D85" s="41"/>
      <c r="E85" s="60"/>
      <c r="F85" s="61"/>
      <c r="G85" s="62" t="s">
        <v>25</v>
      </c>
      <c r="H85" s="58"/>
      <c r="I85" s="58"/>
      <c r="J85" s="58"/>
      <c r="K85" s="58"/>
    </row>
    <row r="86" spans="1:11" ht="18" hidden="1" customHeight="1" x14ac:dyDescent="0.25">
      <c r="A86" s="37"/>
      <c r="B86" s="52"/>
      <c r="C86" s="38" t="s">
        <v>77</v>
      </c>
      <c r="D86" s="41"/>
      <c r="E86" s="60"/>
      <c r="F86" s="61"/>
      <c r="G86" s="62" t="s">
        <v>25</v>
      </c>
      <c r="H86" s="58"/>
      <c r="I86" s="58"/>
      <c r="J86" s="58"/>
      <c r="K86" s="58"/>
    </row>
    <row r="87" spans="1:11" ht="18" hidden="1" customHeight="1" x14ac:dyDescent="0.25">
      <c r="A87" s="37"/>
      <c r="B87" s="52"/>
      <c r="C87" s="38" t="s">
        <v>78</v>
      </c>
      <c r="D87" s="41"/>
      <c r="E87" s="60"/>
      <c r="F87" s="61"/>
      <c r="G87" s="62" t="s">
        <v>25</v>
      </c>
      <c r="H87" s="58"/>
      <c r="I87" s="58"/>
      <c r="J87" s="58"/>
      <c r="K87" s="58"/>
    </row>
    <row r="88" spans="1:11" ht="18" hidden="1" customHeight="1" x14ac:dyDescent="0.25">
      <c r="A88" s="37"/>
      <c r="B88" s="52"/>
      <c r="C88" s="38" t="s">
        <v>79</v>
      </c>
      <c r="D88" s="41"/>
      <c r="E88" s="60"/>
      <c r="F88" s="61"/>
      <c r="G88" s="62" t="s">
        <v>25</v>
      </c>
      <c r="H88" s="58"/>
      <c r="I88" s="58"/>
      <c r="J88" s="58"/>
      <c r="K88" s="58"/>
    </row>
    <row r="89" spans="1:11" ht="18" hidden="1" customHeight="1" x14ac:dyDescent="0.25">
      <c r="A89" s="37"/>
      <c r="B89" s="52"/>
      <c r="C89" s="38" t="s">
        <v>80</v>
      </c>
      <c r="D89" s="41"/>
      <c r="E89" s="60"/>
      <c r="F89" s="64"/>
      <c r="G89" s="62" t="s">
        <v>25</v>
      </c>
      <c r="H89" s="65"/>
      <c r="I89" s="65"/>
      <c r="J89" s="65"/>
      <c r="K89" s="65"/>
    </row>
    <row r="90" spans="1:11" ht="18" hidden="1" customHeight="1" x14ac:dyDescent="0.25">
      <c r="A90" s="37"/>
      <c r="B90" s="52"/>
      <c r="C90" s="38" t="s">
        <v>81</v>
      </c>
      <c r="D90" s="41"/>
      <c r="E90" s="60"/>
      <c r="F90" s="61"/>
      <c r="G90" s="62" t="s">
        <v>82</v>
      </c>
      <c r="H90" s="58"/>
      <c r="I90" s="58"/>
      <c r="J90" s="58"/>
      <c r="K90" s="58"/>
    </row>
    <row r="91" spans="1:11" ht="18" hidden="1" customHeight="1" x14ac:dyDescent="0.25">
      <c r="A91" s="37"/>
      <c r="B91" s="52"/>
      <c r="C91" s="36" t="s">
        <v>83</v>
      </c>
      <c r="D91" s="41"/>
      <c r="E91" s="66"/>
      <c r="F91" s="67"/>
      <c r="G91" s="62"/>
      <c r="H91" s="68"/>
      <c r="I91" s="68">
        <f>SUM(I17:I90)</f>
        <v>0</v>
      </c>
      <c r="J91" s="68">
        <f>SUM(J17:J90)</f>
        <v>0</v>
      </c>
      <c r="K91" s="68">
        <f>SUM(K17:K90)</f>
        <v>0</v>
      </c>
    </row>
    <row r="92" spans="1:11" ht="18" hidden="1" customHeight="1" x14ac:dyDescent="0.25">
      <c r="A92" s="59"/>
      <c r="B92" s="52"/>
      <c r="C92" s="1055" t="s">
        <v>84</v>
      </c>
      <c r="D92" s="41"/>
      <c r="E92" s="60"/>
      <c r="F92" s="67"/>
      <c r="G92" s="62"/>
      <c r="H92" s="68"/>
      <c r="I92" s="68"/>
      <c r="J92" s="68"/>
      <c r="K92" s="68"/>
    </row>
    <row r="93" spans="1:11" ht="18" hidden="1" customHeight="1" x14ac:dyDescent="0.25">
      <c r="A93" s="59"/>
      <c r="B93" s="52"/>
      <c r="C93" s="36" t="s">
        <v>85</v>
      </c>
      <c r="D93" s="41"/>
      <c r="E93" s="60"/>
      <c r="F93" s="67"/>
      <c r="G93" s="62"/>
      <c r="H93" s="68"/>
      <c r="I93" s="68"/>
      <c r="J93" s="68"/>
      <c r="K93" s="68"/>
    </row>
    <row r="94" spans="1:11" ht="18" hidden="1" customHeight="1" x14ac:dyDescent="0.25">
      <c r="A94" s="69"/>
      <c r="B94" s="252"/>
      <c r="C94" s="38" t="s">
        <v>86</v>
      </c>
      <c r="D94" s="41"/>
      <c r="E94" s="60"/>
      <c r="F94" s="61"/>
      <c r="G94" s="62" t="s">
        <v>25</v>
      </c>
      <c r="H94" s="58"/>
      <c r="I94" s="58"/>
      <c r="J94" s="58"/>
      <c r="K94" s="58"/>
    </row>
    <row r="95" spans="1:11" ht="18" hidden="1" customHeight="1" x14ac:dyDescent="0.25">
      <c r="A95" s="70"/>
      <c r="B95" s="603"/>
      <c r="C95" s="38" t="s">
        <v>87</v>
      </c>
      <c r="D95" s="41"/>
      <c r="E95" s="60"/>
      <c r="F95" s="61"/>
      <c r="G95" s="62" t="s">
        <v>25</v>
      </c>
      <c r="H95" s="58"/>
      <c r="I95" s="58"/>
      <c r="J95" s="58"/>
      <c r="K95" s="58"/>
    </row>
    <row r="96" spans="1:11" ht="18" hidden="1" customHeight="1" x14ac:dyDescent="0.25">
      <c r="A96" s="70"/>
      <c r="B96" s="603"/>
      <c r="C96" s="38" t="s">
        <v>88</v>
      </c>
      <c r="D96" s="41"/>
      <c r="E96" s="60"/>
      <c r="F96" s="61"/>
      <c r="G96" s="62"/>
      <c r="H96" s="58"/>
      <c r="I96" s="58"/>
      <c r="J96" s="58"/>
      <c r="K96" s="58"/>
    </row>
    <row r="97" spans="1:11" ht="18" hidden="1" customHeight="1" x14ac:dyDescent="0.25">
      <c r="A97" s="70"/>
      <c r="B97" s="603"/>
      <c r="C97" s="38" t="s">
        <v>89</v>
      </c>
      <c r="D97" s="41"/>
      <c r="E97" s="60"/>
      <c r="F97" s="61"/>
      <c r="G97" s="62"/>
      <c r="H97" s="58"/>
      <c r="I97" s="58"/>
      <c r="J97" s="58"/>
      <c r="K97" s="58"/>
    </row>
    <row r="98" spans="1:11" ht="18" hidden="1" customHeight="1" x14ac:dyDescent="0.25">
      <c r="A98" s="70"/>
      <c r="B98" s="603"/>
      <c r="C98" s="38" t="s">
        <v>90</v>
      </c>
      <c r="D98" s="41"/>
      <c r="E98" s="60"/>
      <c r="F98" s="64"/>
      <c r="G98" s="62" t="s">
        <v>82</v>
      </c>
      <c r="H98" s="65"/>
      <c r="I98" s="65"/>
      <c r="J98" s="65"/>
      <c r="K98" s="65"/>
    </row>
    <row r="99" spans="1:11" ht="18" hidden="1" customHeight="1" x14ac:dyDescent="0.25">
      <c r="A99" s="59" t="s">
        <v>91</v>
      </c>
      <c r="B99" s="52"/>
      <c r="C99" s="38"/>
      <c r="D99" s="41"/>
      <c r="E99" s="60"/>
      <c r="F99" s="61"/>
      <c r="G99" s="71"/>
      <c r="H99" s="58"/>
      <c r="I99" s="58">
        <f>SUM(I94:I98)</f>
        <v>0</v>
      </c>
      <c r="J99" s="58">
        <f>SUM(J94:J98)</f>
        <v>0</v>
      </c>
      <c r="K99" s="58">
        <f>SUM(K94:K98)</f>
        <v>0</v>
      </c>
    </row>
    <row r="100" spans="1:11" ht="18" hidden="1" customHeight="1" x14ac:dyDescent="0.25">
      <c r="A100" s="59" t="s">
        <v>92</v>
      </c>
      <c r="B100" s="52"/>
      <c r="C100" s="38"/>
      <c r="D100" s="41"/>
      <c r="E100" s="60"/>
      <c r="F100" s="61"/>
      <c r="G100" s="72"/>
      <c r="H100" s="58"/>
      <c r="I100" s="58">
        <f>SUM(I99+I91)</f>
        <v>0</v>
      </c>
      <c r="J100" s="58">
        <f>SUM(J99+J91)</f>
        <v>0</v>
      </c>
      <c r="K100" s="58">
        <f>SUM(K99+K91)</f>
        <v>0</v>
      </c>
    </row>
    <row r="101" spans="1:11" ht="18" hidden="1" customHeight="1" x14ac:dyDescent="0.25">
      <c r="A101" s="73" t="s">
        <v>93</v>
      </c>
      <c r="B101" s="604"/>
      <c r="C101" s="38"/>
      <c r="D101" s="41"/>
      <c r="E101" s="60"/>
      <c r="F101" s="61"/>
      <c r="G101" s="72"/>
      <c r="H101" s="58"/>
      <c r="I101" s="58">
        <f>SUM(I100+L15)</f>
        <v>0</v>
      </c>
      <c r="J101" s="58" t="e">
        <f>SUM(J100+#REF!)</f>
        <v>#REF!</v>
      </c>
      <c r="K101" s="58" t="e">
        <f>SUM(K100+#REF!)</f>
        <v>#REF!</v>
      </c>
    </row>
    <row r="102" spans="1:11" ht="18" hidden="1" customHeight="1" x14ac:dyDescent="0.25">
      <c r="A102" s="74"/>
      <c r="B102" s="75"/>
      <c r="C102" s="63"/>
      <c r="D102" s="41"/>
      <c r="E102" s="75"/>
      <c r="F102" s="76"/>
      <c r="G102" s="76"/>
      <c r="H102" s="77"/>
      <c r="I102" s="77"/>
      <c r="J102" s="77"/>
      <c r="K102" s="78"/>
    </row>
    <row r="103" spans="1:11" ht="18" hidden="1" customHeight="1" x14ac:dyDescent="0.25">
      <c r="A103" s="59"/>
      <c r="B103" s="52"/>
      <c r="C103" s="36" t="s">
        <v>94</v>
      </c>
      <c r="D103" s="41"/>
      <c r="E103" s="60"/>
      <c r="F103" s="67"/>
      <c r="G103" s="62"/>
      <c r="H103" s="68"/>
      <c r="I103" s="68"/>
      <c r="J103" s="68"/>
      <c r="K103" s="68"/>
    </row>
    <row r="104" spans="1:11" ht="18" hidden="1" customHeight="1" x14ac:dyDescent="0.25">
      <c r="A104" s="59"/>
      <c r="B104" s="52"/>
      <c r="C104" s="36"/>
      <c r="D104" s="41"/>
      <c r="E104" s="60"/>
      <c r="F104" s="67"/>
      <c r="G104" s="62"/>
      <c r="H104" s="68"/>
      <c r="I104" s="68"/>
      <c r="J104" s="68"/>
      <c r="K104" s="68"/>
    </row>
    <row r="105" spans="1:11" ht="18" hidden="1" customHeight="1" x14ac:dyDescent="0.25">
      <c r="A105" s="59"/>
      <c r="B105" s="52"/>
      <c r="C105" s="36" t="s">
        <v>95</v>
      </c>
      <c r="D105" s="41"/>
      <c r="E105" s="60"/>
      <c r="F105" s="67"/>
      <c r="G105" s="62"/>
      <c r="H105" s="68"/>
      <c r="I105" s="68"/>
      <c r="J105" s="68"/>
      <c r="K105" s="68"/>
    </row>
    <row r="106" spans="1:11" ht="18" hidden="1" customHeight="1" x14ac:dyDescent="0.25">
      <c r="A106" s="69"/>
      <c r="B106" s="252"/>
      <c r="C106" s="38" t="s">
        <v>96</v>
      </c>
      <c r="D106" s="41"/>
      <c r="E106" s="60"/>
      <c r="F106" s="61"/>
      <c r="G106" s="79" t="s">
        <v>25</v>
      </c>
      <c r="H106" s="58"/>
      <c r="I106" s="58"/>
      <c r="J106" s="58"/>
      <c r="K106" s="58"/>
    </row>
    <row r="107" spans="1:11" ht="18" hidden="1" customHeight="1" x14ac:dyDescent="0.25">
      <c r="A107" s="69"/>
      <c r="B107" s="252"/>
      <c r="C107" s="38" t="s">
        <v>97</v>
      </c>
      <c r="D107" s="41"/>
      <c r="E107" s="60"/>
      <c r="F107" s="61"/>
      <c r="G107" s="79" t="s">
        <v>25</v>
      </c>
      <c r="H107" s="58"/>
      <c r="I107" s="58"/>
      <c r="J107" s="58"/>
      <c r="K107" s="58"/>
    </row>
    <row r="108" spans="1:11" ht="18" hidden="1" customHeight="1" x14ac:dyDescent="0.25">
      <c r="A108" s="69"/>
      <c r="B108" s="252"/>
      <c r="C108" s="38" t="s">
        <v>98</v>
      </c>
      <c r="D108" s="41"/>
      <c r="E108" s="60"/>
      <c r="F108" s="61"/>
      <c r="G108" s="79"/>
      <c r="H108" s="58"/>
      <c r="I108" s="58"/>
      <c r="J108" s="58"/>
      <c r="K108" s="58"/>
    </row>
    <row r="109" spans="1:11" ht="18" hidden="1" customHeight="1" x14ac:dyDescent="0.25">
      <c r="A109" s="69"/>
      <c r="B109" s="252"/>
      <c r="C109" s="38" t="s">
        <v>99</v>
      </c>
      <c r="D109" s="41"/>
      <c r="E109" s="60"/>
      <c r="F109" s="61"/>
      <c r="G109" s="79" t="s">
        <v>25</v>
      </c>
      <c r="H109" s="58"/>
      <c r="I109" s="58"/>
      <c r="J109" s="58"/>
      <c r="K109" s="58"/>
    </row>
    <row r="110" spans="1:11" ht="18" hidden="1" customHeight="1" x14ac:dyDescent="0.25">
      <c r="A110" s="69"/>
      <c r="B110" s="252"/>
      <c r="C110" s="38" t="s">
        <v>100</v>
      </c>
      <c r="D110" s="41"/>
      <c r="E110" s="60"/>
      <c r="F110" s="61"/>
      <c r="G110" s="79" t="s">
        <v>25</v>
      </c>
      <c r="H110" s="58"/>
      <c r="I110" s="58"/>
      <c r="J110" s="58"/>
      <c r="K110" s="58"/>
    </row>
    <row r="111" spans="1:11" ht="18" hidden="1" customHeight="1" x14ac:dyDescent="0.25">
      <c r="A111" s="69"/>
      <c r="B111" s="252"/>
      <c r="C111" s="38" t="s">
        <v>101</v>
      </c>
      <c r="D111" s="41"/>
      <c r="E111" s="60"/>
      <c r="F111" s="61"/>
      <c r="G111" s="79" t="s">
        <v>25</v>
      </c>
      <c r="H111" s="58"/>
      <c r="I111" s="58"/>
      <c r="J111" s="58"/>
      <c r="K111" s="58"/>
    </row>
    <row r="112" spans="1:11" ht="18" hidden="1" customHeight="1" x14ac:dyDescent="0.25">
      <c r="A112" s="69"/>
      <c r="B112" s="252"/>
      <c r="C112" s="38" t="s">
        <v>102</v>
      </c>
      <c r="D112" s="41"/>
      <c r="E112" s="60"/>
      <c r="F112" s="61"/>
      <c r="G112" s="79"/>
      <c r="H112" s="58"/>
      <c r="I112" s="58"/>
      <c r="J112" s="58"/>
      <c r="K112" s="58"/>
    </row>
    <row r="113" spans="1:11" ht="18" hidden="1" customHeight="1" x14ac:dyDescent="0.25">
      <c r="A113" s="69"/>
      <c r="B113" s="252"/>
      <c r="C113" s="38"/>
      <c r="D113" s="41"/>
      <c r="E113" s="60"/>
      <c r="F113" s="67"/>
      <c r="G113" s="79"/>
      <c r="H113" s="68"/>
      <c r="I113" s="68">
        <f>SUM(I106:I111)</f>
        <v>0</v>
      </c>
      <c r="J113" s="68">
        <f>SUM(J106:J111)</f>
        <v>0</v>
      </c>
      <c r="K113" s="68">
        <f>SUM(K106:K111)</f>
        <v>0</v>
      </c>
    </row>
    <row r="114" spans="1:11" ht="18" hidden="1" customHeight="1" x14ac:dyDescent="0.25">
      <c r="A114" s="69"/>
      <c r="B114" s="252"/>
      <c r="C114" s="36" t="s">
        <v>103</v>
      </c>
      <c r="D114" s="41"/>
      <c r="E114" s="60"/>
      <c r="F114" s="67"/>
      <c r="G114" s="79"/>
      <c r="H114" s="68"/>
      <c r="I114" s="68"/>
      <c r="J114" s="68"/>
      <c r="K114" s="68"/>
    </row>
    <row r="115" spans="1:11" ht="18" hidden="1" customHeight="1" x14ac:dyDescent="0.25">
      <c r="A115" s="69"/>
      <c r="B115" s="252"/>
      <c r="C115" s="38" t="s">
        <v>104</v>
      </c>
      <c r="D115" s="41"/>
      <c r="E115" s="60"/>
      <c r="F115" s="61"/>
      <c r="G115" s="79" t="s">
        <v>25</v>
      </c>
      <c r="H115" s="58"/>
      <c r="I115" s="58"/>
      <c r="J115" s="58"/>
      <c r="K115" s="58"/>
    </row>
    <row r="116" spans="1:11" ht="18" hidden="1" customHeight="1" x14ac:dyDescent="0.25">
      <c r="A116" s="69"/>
      <c r="B116" s="252"/>
      <c r="C116" s="38" t="s">
        <v>105</v>
      </c>
      <c r="D116" s="41"/>
      <c r="E116" s="60"/>
      <c r="F116" s="61"/>
      <c r="G116" s="79" t="s">
        <v>25</v>
      </c>
      <c r="H116" s="58"/>
      <c r="I116" s="58"/>
      <c r="J116" s="58"/>
      <c r="K116" s="58"/>
    </row>
    <row r="117" spans="1:11" ht="18" hidden="1" customHeight="1" x14ac:dyDescent="0.25">
      <c r="A117" s="69"/>
      <c r="B117" s="252"/>
      <c r="C117" s="38" t="s">
        <v>106</v>
      </c>
      <c r="D117" s="41"/>
      <c r="E117" s="60"/>
      <c r="F117" s="61"/>
      <c r="G117" s="79" t="s">
        <v>25</v>
      </c>
      <c r="H117" s="58"/>
      <c r="I117" s="58"/>
      <c r="J117" s="58"/>
      <c r="K117" s="58"/>
    </row>
    <row r="118" spans="1:11" ht="18" hidden="1" customHeight="1" x14ac:dyDescent="0.25">
      <c r="A118" s="69"/>
      <c r="B118" s="252"/>
      <c r="C118" s="38" t="s">
        <v>107</v>
      </c>
      <c r="D118" s="41"/>
      <c r="E118" s="60"/>
      <c r="F118" s="61"/>
      <c r="G118" s="79" t="s">
        <v>25</v>
      </c>
      <c r="H118" s="58"/>
      <c r="I118" s="58"/>
      <c r="J118" s="58"/>
      <c r="K118" s="58"/>
    </row>
    <row r="119" spans="1:11" ht="18" hidden="1" customHeight="1" x14ac:dyDescent="0.25">
      <c r="A119" s="69"/>
      <c r="B119" s="252"/>
      <c r="C119" s="38" t="s">
        <v>108</v>
      </c>
      <c r="D119" s="41"/>
      <c r="E119" s="60"/>
      <c r="F119" s="61"/>
      <c r="G119" s="79" t="s">
        <v>25</v>
      </c>
      <c r="H119" s="58"/>
      <c r="I119" s="58"/>
      <c r="J119" s="58"/>
      <c r="K119" s="58"/>
    </row>
    <row r="120" spans="1:11" ht="18" hidden="1" customHeight="1" x14ac:dyDescent="0.25">
      <c r="A120" s="69"/>
      <c r="B120" s="252"/>
      <c r="C120" s="38" t="s">
        <v>109</v>
      </c>
      <c r="D120" s="41"/>
      <c r="E120" s="60"/>
      <c r="F120" s="61"/>
      <c r="G120" s="79" t="s">
        <v>25</v>
      </c>
      <c r="H120" s="58"/>
      <c r="I120" s="58"/>
      <c r="J120" s="58"/>
      <c r="K120" s="58"/>
    </row>
    <row r="121" spans="1:11" ht="18" hidden="1" customHeight="1" x14ac:dyDescent="0.25">
      <c r="A121" s="69"/>
      <c r="B121" s="252"/>
      <c r="C121" s="38" t="s">
        <v>110</v>
      </c>
      <c r="D121" s="41"/>
      <c r="E121" s="60"/>
      <c r="F121" s="61"/>
      <c r="G121" s="79" t="s">
        <v>25</v>
      </c>
      <c r="H121" s="58"/>
      <c r="I121" s="58"/>
      <c r="J121" s="58"/>
      <c r="K121" s="58"/>
    </row>
    <row r="122" spans="1:11" ht="18" hidden="1" customHeight="1" x14ac:dyDescent="0.25">
      <c r="A122" s="69"/>
      <c r="B122" s="252"/>
      <c r="C122" s="38"/>
      <c r="D122" s="41"/>
      <c r="E122" s="80"/>
      <c r="F122" s="81"/>
      <c r="G122" s="79"/>
      <c r="H122" s="83"/>
      <c r="I122" s="83">
        <f>SUM(I115:I121)</f>
        <v>0</v>
      </c>
      <c r="J122" s="83">
        <f>SUM(J115:J121)</f>
        <v>0</v>
      </c>
      <c r="K122" s="83">
        <f>SUM(K115:K121)</f>
        <v>0</v>
      </c>
    </row>
    <row r="123" spans="1:11" ht="18" hidden="1" customHeight="1" x14ac:dyDescent="0.25">
      <c r="A123" s="69"/>
      <c r="B123" s="252"/>
      <c r="C123" s="36" t="s">
        <v>111</v>
      </c>
      <c r="D123" s="41"/>
      <c r="E123" s="80"/>
      <c r="F123" s="84"/>
      <c r="G123" s="79"/>
      <c r="H123" s="82"/>
      <c r="I123" s="82">
        <f>SUM(I122+I113)</f>
        <v>0</v>
      </c>
      <c r="J123" s="82">
        <f>SUM(J122+J113)</f>
        <v>0</v>
      </c>
      <c r="K123" s="82">
        <f>SUM(K122+K113)</f>
        <v>0</v>
      </c>
    </row>
    <row r="124" spans="1:11" ht="18" hidden="1" customHeight="1" x14ac:dyDescent="0.25">
      <c r="A124" s="85"/>
      <c r="B124" s="605"/>
      <c r="C124" s="86" t="s">
        <v>93</v>
      </c>
      <c r="D124" s="41"/>
      <c r="E124" s="87"/>
      <c r="F124" s="88"/>
      <c r="G124" s="89"/>
      <c r="H124" s="90"/>
      <c r="I124" s="90">
        <f>SUM(I123+I101)</f>
        <v>0</v>
      </c>
      <c r="J124" s="90" t="e">
        <f>SUM(J123+J101)</f>
        <v>#REF!</v>
      </c>
      <c r="K124" s="90" t="e">
        <f>SUM(K123+K101)</f>
        <v>#REF!</v>
      </c>
    </row>
    <row r="125" spans="1:11" ht="15.75" hidden="1" customHeight="1" x14ac:dyDescent="0.25">
      <c r="E125" s="91"/>
      <c r="F125" s="92"/>
      <c r="G125" s="91"/>
    </row>
    <row r="126" spans="1:11" ht="15.75" hidden="1" customHeight="1" x14ac:dyDescent="0.25"/>
    <row r="127" spans="1:11" ht="15.75" hidden="1" customHeight="1" x14ac:dyDescent="0.25"/>
    <row r="128" spans="1:11" ht="15.75" hidden="1" customHeight="1" x14ac:dyDescent="0.25"/>
    <row r="129" ht="15.75" hidden="1" customHeight="1" x14ac:dyDescent="0.25"/>
    <row r="130" ht="15.75" hidden="1" customHeight="1" x14ac:dyDescent="0.25"/>
    <row r="131" ht="15.75" hidden="1" customHeight="1" x14ac:dyDescent="0.25"/>
    <row r="132" ht="15.75" hidden="1" customHeight="1" x14ac:dyDescent="0.25"/>
    <row r="133" ht="15.75" hidden="1" customHeight="1" x14ac:dyDescent="0.25"/>
    <row r="134" ht="15.75" hidden="1" customHeight="1" x14ac:dyDescent="0.25"/>
    <row r="135" ht="15.75" hidden="1" customHeight="1" x14ac:dyDescent="0.25"/>
    <row r="136" ht="15.75" hidden="1" customHeight="1" x14ac:dyDescent="0.25"/>
    <row r="137" ht="15.75" hidden="1" customHeight="1" x14ac:dyDescent="0.25"/>
    <row r="138" ht="15.75" hidden="1" customHeight="1" x14ac:dyDescent="0.25"/>
    <row r="139" ht="15.75" hidden="1" customHeight="1" x14ac:dyDescent="0.25"/>
    <row r="140" ht="15.75" hidden="1" customHeight="1" x14ac:dyDescent="0.25"/>
    <row r="141" ht="15.75" hidden="1" customHeight="1" x14ac:dyDescent="0.25"/>
    <row r="142" ht="15.75" hidden="1" customHeight="1" x14ac:dyDescent="0.25"/>
    <row r="143" ht="15.75" hidden="1" customHeight="1" x14ac:dyDescent="0.25"/>
    <row r="144" ht="15.75" hidden="1" customHeight="1" x14ac:dyDescent="0.25"/>
    <row r="145" spans="1:12" ht="15.75" hidden="1" customHeight="1" x14ac:dyDescent="0.25"/>
    <row r="146" spans="1:12" ht="15.75" hidden="1" customHeight="1" x14ac:dyDescent="0.25"/>
    <row r="147" spans="1:12" ht="18" customHeight="1" x14ac:dyDescent="0.25">
      <c r="A147" s="8" t="s">
        <v>112</v>
      </c>
    </row>
    <row r="148" spans="1:12" ht="18" customHeight="1" x14ac:dyDescent="0.25">
      <c r="A148" s="8" t="s">
        <v>1536</v>
      </c>
    </row>
    <row r="149" spans="1:12" ht="18" customHeight="1" x14ac:dyDescent="0.25">
      <c r="A149" s="1636" t="s">
        <v>113</v>
      </c>
      <c r="B149" s="1636"/>
      <c r="C149" s="1636"/>
      <c r="D149" s="1636"/>
      <c r="E149" s="1636"/>
      <c r="F149" s="1636"/>
      <c r="G149" s="1636"/>
      <c r="H149" s="1636"/>
      <c r="I149" s="1636"/>
      <c r="J149" s="1636"/>
      <c r="K149" s="1060"/>
    </row>
    <row r="150" spans="1:12" s="7" customFormat="1" ht="18" customHeight="1" x14ac:dyDescent="0.25">
      <c r="A150" s="1624" t="s">
        <v>114</v>
      </c>
      <c r="B150" s="1624"/>
      <c r="C150" s="1624"/>
      <c r="D150" s="1624"/>
      <c r="E150" s="1624"/>
      <c r="F150" s="1624"/>
      <c r="G150" s="1624"/>
      <c r="H150" s="1624"/>
      <c r="I150" s="1624"/>
      <c r="J150" s="1624"/>
      <c r="K150" s="159"/>
      <c r="L150" s="6"/>
    </row>
    <row r="151" spans="1:12" s="7" customFormat="1" ht="20.25" customHeight="1" x14ac:dyDescent="0.25">
      <c r="A151" s="3"/>
      <c r="B151" s="3"/>
      <c r="C151" s="2"/>
      <c r="D151" s="3"/>
      <c r="E151" s="3"/>
      <c r="F151" s="3"/>
      <c r="G151" s="3"/>
      <c r="H151" s="4"/>
      <c r="I151" s="4"/>
      <c r="J151" s="4"/>
      <c r="K151" s="5"/>
      <c r="L151" s="6"/>
    </row>
    <row r="152" spans="1:12" s="48" customFormat="1" ht="17.25" customHeight="1" thickBot="1" x14ac:dyDescent="0.3">
      <c r="A152" s="1" t="s">
        <v>1461</v>
      </c>
      <c r="B152" s="1"/>
      <c r="C152" s="2"/>
      <c r="D152" s="3"/>
      <c r="E152" s="3"/>
      <c r="F152" s="3"/>
      <c r="G152" s="3"/>
      <c r="H152" s="4"/>
      <c r="I152" s="4"/>
      <c r="J152" s="4"/>
      <c r="K152" s="5"/>
      <c r="L152" s="47"/>
    </row>
    <row r="153" spans="1:12" s="48" customFormat="1" ht="21.75" customHeight="1" thickBot="1" x14ac:dyDescent="0.3">
      <c r="A153" s="1655" t="s">
        <v>115</v>
      </c>
      <c r="B153" s="1655"/>
      <c r="C153" s="1655"/>
      <c r="D153" s="1655"/>
      <c r="E153" s="1655"/>
      <c r="F153" s="1655"/>
      <c r="G153" s="1151"/>
      <c r="H153" s="1708" t="s">
        <v>1537</v>
      </c>
      <c r="I153" s="1710" t="s">
        <v>1538</v>
      </c>
      <c r="J153" s="1710" t="s">
        <v>1539</v>
      </c>
      <c r="K153" s="1710" t="s">
        <v>1540</v>
      </c>
      <c r="L153" s="47"/>
    </row>
    <row r="154" spans="1:12" s="1153" customFormat="1" ht="31.5" customHeight="1" thickBot="1" x14ac:dyDescent="0.3">
      <c r="A154" s="1655"/>
      <c r="B154" s="1655"/>
      <c r="C154" s="1655"/>
      <c r="D154" s="1655"/>
      <c r="E154" s="1655"/>
      <c r="F154" s="1655"/>
      <c r="G154" s="1067" t="s">
        <v>116</v>
      </c>
      <c r="H154" s="1709"/>
      <c r="I154" s="1710"/>
      <c r="J154" s="1710"/>
      <c r="K154" s="1710"/>
      <c r="L154" s="1152"/>
    </row>
    <row r="155" spans="1:12" s="48" customFormat="1" ht="18" customHeight="1" x14ac:dyDescent="0.25">
      <c r="A155" s="1670" t="s">
        <v>121</v>
      </c>
      <c r="B155" s="1670"/>
      <c r="C155" s="1670"/>
      <c r="D155" s="1670"/>
      <c r="E155" s="1670"/>
      <c r="F155" s="1670"/>
      <c r="G155" s="94"/>
      <c r="H155" s="95"/>
      <c r="I155" s="95"/>
      <c r="J155" s="95"/>
      <c r="K155" s="96"/>
      <c r="L155" s="6"/>
    </row>
    <row r="156" spans="1:12" s="48" customFormat="1" ht="17.45" customHeight="1" x14ac:dyDescent="0.25">
      <c r="A156" s="1071"/>
      <c r="B156" s="1047"/>
      <c r="C156" s="1621" t="s">
        <v>122</v>
      </c>
      <c r="D156" s="1666"/>
      <c r="E156" s="1666"/>
      <c r="F156" s="1666"/>
      <c r="G156" s="97"/>
      <c r="H156" s="98"/>
      <c r="I156" s="98"/>
      <c r="J156" s="98"/>
      <c r="K156" s="99"/>
      <c r="L156" s="6"/>
    </row>
    <row r="157" spans="1:12" s="48" customFormat="1" ht="17.45" customHeight="1" x14ac:dyDescent="0.25">
      <c r="A157" s="1051" t="s">
        <v>123</v>
      </c>
      <c r="B157" s="1041" t="s">
        <v>1317</v>
      </c>
      <c r="C157" s="1602" t="s">
        <v>124</v>
      </c>
      <c r="D157" s="1603"/>
      <c r="E157" s="1603"/>
      <c r="F157" s="1603"/>
      <c r="G157" s="100" t="s">
        <v>125</v>
      </c>
      <c r="H157" s="101"/>
      <c r="I157" s="101">
        <v>3847512</v>
      </c>
      <c r="J157" s="101">
        <v>3847512</v>
      </c>
      <c r="K157" s="102">
        <f>3743148+6311.5</f>
        <v>3749459.5</v>
      </c>
      <c r="L157" s="6"/>
    </row>
    <row r="158" spans="1:12" s="48" customFormat="1" ht="17.45" customHeight="1" x14ac:dyDescent="0.25">
      <c r="A158" s="1051" t="s">
        <v>123</v>
      </c>
      <c r="B158" s="1041" t="s">
        <v>1317</v>
      </c>
      <c r="C158" s="1602" t="s">
        <v>126</v>
      </c>
      <c r="D158" s="1603"/>
      <c r="E158" s="1603"/>
      <c r="F158" s="1603"/>
      <c r="G158" s="100" t="s">
        <v>127</v>
      </c>
      <c r="H158" s="101"/>
      <c r="I158" s="101">
        <v>431436</v>
      </c>
      <c r="J158" s="101">
        <v>431436</v>
      </c>
      <c r="K158" s="102">
        <v>415128</v>
      </c>
      <c r="L158" s="6"/>
    </row>
    <row r="159" spans="1:12" s="48" customFormat="1" ht="17.45" customHeight="1" x14ac:dyDescent="0.25">
      <c r="A159" s="1051" t="s">
        <v>123</v>
      </c>
      <c r="B159" s="1041" t="s">
        <v>1317</v>
      </c>
      <c r="C159" s="1602" t="s">
        <v>129</v>
      </c>
      <c r="D159" s="1603"/>
      <c r="E159" s="1603"/>
      <c r="F159" s="1603"/>
      <c r="G159" s="103" t="s">
        <v>130</v>
      </c>
      <c r="H159" s="101"/>
      <c r="I159" s="101">
        <v>264000</v>
      </c>
      <c r="J159" s="101">
        <v>264000</v>
      </c>
      <c r="K159" s="102">
        <v>264000</v>
      </c>
      <c r="L159" s="6"/>
    </row>
    <row r="160" spans="1:12" s="48" customFormat="1" ht="17.45" customHeight="1" x14ac:dyDescent="0.25">
      <c r="A160" s="1051" t="s">
        <v>123</v>
      </c>
      <c r="B160" s="1041" t="s">
        <v>1317</v>
      </c>
      <c r="C160" s="1602" t="s">
        <v>131</v>
      </c>
      <c r="D160" s="1603"/>
      <c r="E160" s="1603"/>
      <c r="F160" s="1603"/>
      <c r="G160" s="100" t="s">
        <v>132</v>
      </c>
      <c r="H160" s="101"/>
      <c r="I160" s="101">
        <v>96000</v>
      </c>
      <c r="J160" s="101">
        <v>96000</v>
      </c>
      <c r="K160" s="102">
        <v>96000</v>
      </c>
      <c r="L160" s="6"/>
    </row>
    <row r="161" spans="1:12" s="48" customFormat="1" ht="17.45" customHeight="1" x14ac:dyDescent="0.25">
      <c r="A161" s="1051" t="s">
        <v>123</v>
      </c>
      <c r="B161" s="1041" t="s">
        <v>1317</v>
      </c>
      <c r="C161" s="1602" t="s">
        <v>135</v>
      </c>
      <c r="D161" s="1603"/>
      <c r="E161" s="1603"/>
      <c r="F161" s="1603"/>
      <c r="G161" s="100" t="s">
        <v>136</v>
      </c>
      <c r="H161" s="102"/>
      <c r="I161" s="1154">
        <v>449366.65</v>
      </c>
      <c r="J161" s="1154">
        <v>449366.65</v>
      </c>
      <c r="K161" s="102">
        <v>688125.6</v>
      </c>
      <c r="L161" s="6"/>
    </row>
    <row r="162" spans="1:12" s="48" customFormat="1" ht="17.45" customHeight="1" x14ac:dyDescent="0.25">
      <c r="A162" s="1051" t="s">
        <v>123</v>
      </c>
      <c r="B162" s="1041" t="s">
        <v>1317</v>
      </c>
      <c r="C162" s="1602" t="s">
        <v>137</v>
      </c>
      <c r="D162" s="1603"/>
      <c r="E162" s="1603"/>
      <c r="F162" s="1603"/>
      <c r="G162" s="100" t="s">
        <v>138</v>
      </c>
      <c r="H162" s="101"/>
      <c r="I162" s="101">
        <v>66000</v>
      </c>
      <c r="J162" s="101">
        <v>66000</v>
      </c>
      <c r="K162" s="102">
        <v>66000</v>
      </c>
      <c r="L162" s="6"/>
    </row>
    <row r="163" spans="1:12" s="48" customFormat="1" ht="17.45" customHeight="1" x14ac:dyDescent="0.25">
      <c r="A163" s="1051" t="s">
        <v>123</v>
      </c>
      <c r="B163" s="1041" t="s">
        <v>1317</v>
      </c>
      <c r="C163" s="1602" t="s">
        <v>1541</v>
      </c>
      <c r="D163" s="1603"/>
      <c r="E163" s="1603"/>
      <c r="F163" s="1603"/>
      <c r="G163" s="100" t="s">
        <v>140</v>
      </c>
      <c r="H163" s="101"/>
      <c r="I163" s="101">
        <v>356579</v>
      </c>
      <c r="J163" s="101">
        <v>356579</v>
      </c>
      <c r="K163" s="102">
        <v>346523</v>
      </c>
      <c r="L163" s="6"/>
    </row>
    <row r="164" spans="1:12" s="48" customFormat="1" ht="17.45" customHeight="1" x14ac:dyDescent="0.25">
      <c r="A164" s="1051" t="s">
        <v>123</v>
      </c>
      <c r="B164" s="1041" t="s">
        <v>1317</v>
      </c>
      <c r="C164" s="1602" t="s">
        <v>141</v>
      </c>
      <c r="D164" s="1603"/>
      <c r="E164" s="1603"/>
      <c r="F164" s="1603"/>
      <c r="G164" s="100" t="s">
        <v>142</v>
      </c>
      <c r="H164" s="101"/>
      <c r="I164" s="101">
        <v>356579</v>
      </c>
      <c r="J164" s="101">
        <v>356579</v>
      </c>
      <c r="K164" s="102">
        <v>347494</v>
      </c>
      <c r="L164" s="6"/>
    </row>
    <row r="165" spans="1:12" s="48" customFormat="1" ht="17.45" customHeight="1" x14ac:dyDescent="0.25">
      <c r="A165" s="1051" t="s">
        <v>123</v>
      </c>
      <c r="B165" s="1041" t="s">
        <v>1317</v>
      </c>
      <c r="C165" s="1611" t="s">
        <v>1542</v>
      </c>
      <c r="D165" s="1611"/>
      <c r="E165" s="1611"/>
      <c r="F165" s="1602"/>
      <c r="G165" s="100" t="s">
        <v>140</v>
      </c>
      <c r="H165" s="101"/>
      <c r="I165" s="101"/>
      <c r="J165" s="101"/>
      <c r="K165" s="102"/>
      <c r="L165" s="6"/>
    </row>
    <row r="166" spans="1:12" s="48" customFormat="1" ht="17.45" customHeight="1" x14ac:dyDescent="0.25">
      <c r="A166" s="1051" t="s">
        <v>123</v>
      </c>
      <c r="B166" s="1041" t="s">
        <v>1317</v>
      </c>
      <c r="C166" s="1602" t="s">
        <v>143</v>
      </c>
      <c r="D166" s="1603"/>
      <c r="E166" s="1603"/>
      <c r="F166" s="1603"/>
      <c r="G166" s="100" t="s">
        <v>144</v>
      </c>
      <c r="H166" s="101"/>
      <c r="I166" s="101">
        <v>55000</v>
      </c>
      <c r="J166" s="101">
        <v>55000</v>
      </c>
      <c r="K166" s="102">
        <v>55000</v>
      </c>
      <c r="L166" s="6"/>
    </row>
    <row r="167" spans="1:12" s="48" customFormat="1" ht="17.45" customHeight="1" x14ac:dyDescent="0.25">
      <c r="A167" s="1051" t="s">
        <v>123</v>
      </c>
      <c r="B167" s="1041" t="s">
        <v>1317</v>
      </c>
      <c r="C167" s="1602" t="s">
        <v>1543</v>
      </c>
      <c r="D167" s="1603"/>
      <c r="E167" s="1603"/>
      <c r="F167" s="1610"/>
      <c r="G167" s="100" t="s">
        <v>146</v>
      </c>
      <c r="H167" s="101"/>
      <c r="I167" s="101">
        <v>55000</v>
      </c>
      <c r="J167" s="101">
        <v>55000</v>
      </c>
      <c r="K167" s="102">
        <v>55000</v>
      </c>
      <c r="L167" s="6"/>
    </row>
    <row r="168" spans="1:12" s="48" customFormat="1" ht="17.45" customHeight="1" x14ac:dyDescent="0.25">
      <c r="A168" s="1051" t="s">
        <v>123</v>
      </c>
      <c r="B168" s="1041" t="s">
        <v>1317</v>
      </c>
      <c r="C168" s="1062" t="s">
        <v>147</v>
      </c>
      <c r="D168" s="1041"/>
      <c r="E168" s="1041"/>
      <c r="F168" s="1041"/>
      <c r="G168" s="100" t="s">
        <v>148</v>
      </c>
      <c r="H168" s="101"/>
      <c r="I168" s="101"/>
      <c r="J168" s="101"/>
      <c r="K168" s="102"/>
      <c r="L168" s="6"/>
    </row>
    <row r="169" spans="1:12" s="48" customFormat="1" ht="17.45" customHeight="1" x14ac:dyDescent="0.25">
      <c r="A169" s="1051" t="s">
        <v>123</v>
      </c>
      <c r="B169" s="1041" t="s">
        <v>1317</v>
      </c>
      <c r="C169" s="1045" t="s">
        <v>149</v>
      </c>
      <c r="D169" s="1041"/>
      <c r="E169" s="1041"/>
      <c r="F169" s="1041"/>
      <c r="G169" s="100" t="s">
        <v>150</v>
      </c>
      <c r="H169" s="101"/>
      <c r="I169" s="101"/>
      <c r="J169" s="101"/>
      <c r="K169" s="102"/>
      <c r="L169" s="6"/>
    </row>
    <row r="170" spans="1:12" s="48" customFormat="1" ht="17.45" customHeight="1" x14ac:dyDescent="0.25">
      <c r="A170" s="1051" t="s">
        <v>123</v>
      </c>
      <c r="B170" s="1041" t="s">
        <v>1317</v>
      </c>
      <c r="C170" s="1611" t="s">
        <v>1544</v>
      </c>
      <c r="D170" s="1611"/>
      <c r="E170" s="1611"/>
      <c r="F170" s="1611"/>
      <c r="G170" s="100" t="s">
        <v>148</v>
      </c>
      <c r="H170" s="101"/>
      <c r="I170" s="101"/>
      <c r="J170" s="101"/>
      <c r="K170" s="102"/>
      <c r="L170" s="6"/>
    </row>
    <row r="171" spans="1:12" s="48" customFormat="1" ht="17.45" customHeight="1" x14ac:dyDescent="0.25">
      <c r="A171" s="1051" t="s">
        <v>123</v>
      </c>
      <c r="B171" s="1041" t="s">
        <v>1317</v>
      </c>
      <c r="C171" s="1602" t="s">
        <v>1545</v>
      </c>
      <c r="D171" s="1603"/>
      <c r="E171" s="1603"/>
      <c r="F171" s="1603"/>
      <c r="G171" s="100" t="s">
        <v>154</v>
      </c>
      <c r="H171" s="101"/>
      <c r="I171" s="101">
        <v>513473.76</v>
      </c>
      <c r="J171" s="101">
        <v>513473.76</v>
      </c>
      <c r="K171" s="102">
        <v>499750.5</v>
      </c>
      <c r="L171" s="6"/>
    </row>
    <row r="172" spans="1:12" s="48" customFormat="1" ht="17.45" customHeight="1" x14ac:dyDescent="0.25">
      <c r="A172" s="1051" t="s">
        <v>123</v>
      </c>
      <c r="B172" s="1041" t="s">
        <v>1317</v>
      </c>
      <c r="C172" s="1602" t="s">
        <v>155</v>
      </c>
      <c r="D172" s="1603"/>
      <c r="E172" s="1603"/>
      <c r="F172" s="1603"/>
      <c r="G172" s="100" t="s">
        <v>156</v>
      </c>
      <c r="H172" s="101"/>
      <c r="I172" s="101">
        <v>13200</v>
      </c>
      <c r="J172" s="101">
        <v>13200</v>
      </c>
      <c r="K172" s="102">
        <v>13200</v>
      </c>
      <c r="L172" s="6"/>
    </row>
    <row r="173" spans="1:12" s="48" customFormat="1" ht="17.45" customHeight="1" x14ac:dyDescent="0.25">
      <c r="A173" s="1051" t="s">
        <v>123</v>
      </c>
      <c r="B173" s="1041" t="s">
        <v>1317</v>
      </c>
      <c r="C173" s="1602" t="s">
        <v>157</v>
      </c>
      <c r="D173" s="1603"/>
      <c r="E173" s="1603"/>
      <c r="F173" s="1603"/>
      <c r="G173" s="100" t="s">
        <v>158</v>
      </c>
      <c r="H173" s="101"/>
      <c r="I173" s="101">
        <v>78364.53</v>
      </c>
      <c r="J173" s="101">
        <v>78364.53</v>
      </c>
      <c r="K173" s="102">
        <v>76573.070000000007</v>
      </c>
      <c r="L173" s="6"/>
    </row>
    <row r="174" spans="1:12" s="48" customFormat="1" ht="17.45" customHeight="1" x14ac:dyDescent="0.25">
      <c r="A174" s="1051" t="s">
        <v>123</v>
      </c>
      <c r="B174" s="1041" t="s">
        <v>1317</v>
      </c>
      <c r="C174" s="1602" t="s">
        <v>1546</v>
      </c>
      <c r="D174" s="1603"/>
      <c r="E174" s="1603"/>
      <c r="F174" s="1610"/>
      <c r="G174" s="100" t="s">
        <v>160</v>
      </c>
      <c r="H174" s="105"/>
      <c r="I174" s="105">
        <v>13200</v>
      </c>
      <c r="J174" s="105">
        <v>13200</v>
      </c>
      <c r="K174" s="106">
        <v>13200</v>
      </c>
      <c r="L174" s="6"/>
    </row>
    <row r="175" spans="1:12" s="48" customFormat="1" ht="17.45" customHeight="1" x14ac:dyDescent="0.25">
      <c r="A175" s="1051"/>
      <c r="B175" s="1041"/>
      <c r="C175" s="1620" t="s">
        <v>161</v>
      </c>
      <c r="D175" s="1620"/>
      <c r="E175" s="1620"/>
      <c r="F175" s="1620"/>
      <c r="G175" s="97"/>
      <c r="H175" s="109">
        <f>SUM(H157:H174)</f>
        <v>0</v>
      </c>
      <c r="I175" s="109">
        <f>SUM(I157:I174)</f>
        <v>6595710.9400000004</v>
      </c>
      <c r="J175" s="109">
        <f>SUM(J157:J174)</f>
        <v>6595710.9400000004</v>
      </c>
      <c r="K175" s="110">
        <f>SUM(K157:K174)</f>
        <v>6685453.6699999999</v>
      </c>
      <c r="L175" s="6"/>
    </row>
    <row r="176" spans="1:12" s="48" customFormat="1" ht="9.75" customHeight="1" x14ac:dyDescent="0.25">
      <c r="A176" s="1051"/>
      <c r="B176" s="1041"/>
      <c r="C176" s="1047"/>
      <c r="D176" s="1047"/>
      <c r="E176" s="1047"/>
      <c r="F176" s="1047"/>
      <c r="G176" s="97"/>
      <c r="H176" s="155"/>
      <c r="I176" s="155"/>
      <c r="J176" s="155"/>
      <c r="K176" s="156"/>
      <c r="L176" s="6"/>
    </row>
    <row r="177" spans="1:12" s="48" customFormat="1" ht="17.45" customHeight="1" x14ac:dyDescent="0.25">
      <c r="A177" s="1071"/>
      <c r="B177" s="1047"/>
      <c r="C177" s="1620" t="s">
        <v>162</v>
      </c>
      <c r="D177" s="1620"/>
      <c r="E177" s="1620"/>
      <c r="F177" s="1620"/>
      <c r="G177" s="97"/>
      <c r="H177" s="101"/>
      <c r="I177" s="101"/>
      <c r="J177" s="101"/>
      <c r="K177" s="102"/>
      <c r="L177" s="6"/>
    </row>
    <row r="178" spans="1:12" s="48" customFormat="1" ht="17.45" customHeight="1" x14ac:dyDescent="0.25">
      <c r="A178" s="1051" t="s">
        <v>163</v>
      </c>
      <c r="B178" s="1041" t="s">
        <v>1317</v>
      </c>
      <c r="C178" s="44" t="s">
        <v>353</v>
      </c>
      <c r="D178" s="113"/>
      <c r="E178" s="113"/>
      <c r="F178" s="113"/>
      <c r="G178" s="100" t="s">
        <v>165</v>
      </c>
      <c r="H178" s="101"/>
      <c r="I178" s="101">
        <v>1000000</v>
      </c>
      <c r="J178" s="101">
        <v>1000000</v>
      </c>
      <c r="K178" s="102">
        <f>1000000+120000</f>
        <v>1120000</v>
      </c>
      <c r="L178" s="6"/>
    </row>
    <row r="179" spans="1:12" s="48" customFormat="1" ht="17.45" customHeight="1" x14ac:dyDescent="0.25">
      <c r="A179" s="1051" t="s">
        <v>163</v>
      </c>
      <c r="B179" s="1041" t="s">
        <v>1317</v>
      </c>
      <c r="C179" s="44" t="s">
        <v>166</v>
      </c>
      <c r="D179" s="113"/>
      <c r="E179" s="113"/>
      <c r="F179" s="113"/>
      <c r="G179" s="100" t="s">
        <v>167</v>
      </c>
      <c r="H179" s="101"/>
      <c r="I179" s="101">
        <v>1000000</v>
      </c>
      <c r="J179" s="101">
        <v>1000000</v>
      </c>
      <c r="K179" s="102">
        <f>1000000+120000</f>
        <v>1120000</v>
      </c>
      <c r="L179" s="6"/>
    </row>
    <row r="180" spans="1:12" s="48" customFormat="1" ht="17.45" customHeight="1" x14ac:dyDescent="0.25">
      <c r="A180" s="1051" t="s">
        <v>163</v>
      </c>
      <c r="B180" s="1041" t="s">
        <v>1317</v>
      </c>
      <c r="C180" s="44" t="s">
        <v>168</v>
      </c>
      <c r="D180" s="113"/>
      <c r="E180" s="113"/>
      <c r="F180" s="113"/>
      <c r="G180" s="100" t="s">
        <v>169</v>
      </c>
      <c r="H180" s="101"/>
      <c r="I180" s="101">
        <v>3287884</v>
      </c>
      <c r="J180" s="101">
        <v>3287884</v>
      </c>
      <c r="K180" s="102">
        <f>3287884+585000</f>
        <v>3872884</v>
      </c>
      <c r="L180" s="6"/>
    </row>
    <row r="181" spans="1:12" s="48" customFormat="1" ht="17.45" customHeight="1" x14ac:dyDescent="0.25">
      <c r="A181" s="1051" t="s">
        <v>163</v>
      </c>
      <c r="B181" s="1041" t="s">
        <v>1317</v>
      </c>
      <c r="C181" s="44" t="s">
        <v>170</v>
      </c>
      <c r="D181" s="113"/>
      <c r="E181" s="113"/>
      <c r="F181" s="114"/>
      <c r="G181" s="100" t="s">
        <v>171</v>
      </c>
      <c r="H181" s="102"/>
      <c r="I181" s="102">
        <v>2359396.5</v>
      </c>
      <c r="J181" s="102">
        <v>2359396.5</v>
      </c>
      <c r="K181" s="102">
        <f>2359396.5+900000</f>
        <v>3259396.5</v>
      </c>
      <c r="L181" s="6"/>
    </row>
    <row r="182" spans="1:12" s="48" customFormat="1" ht="17.45" customHeight="1" x14ac:dyDescent="0.25">
      <c r="A182" s="1051" t="s">
        <v>163</v>
      </c>
      <c r="B182" s="1041" t="s">
        <v>1317</v>
      </c>
      <c r="C182" s="44" t="s">
        <v>172</v>
      </c>
      <c r="D182" s="113"/>
      <c r="E182" s="113"/>
      <c r="F182" s="114"/>
      <c r="G182" s="100" t="s">
        <v>173</v>
      </c>
      <c r="H182" s="101"/>
      <c r="I182" s="101"/>
      <c r="J182" s="101"/>
      <c r="K182" s="102">
        <v>1000000</v>
      </c>
      <c r="L182" s="6"/>
    </row>
    <row r="183" spans="1:12" s="48" customFormat="1" ht="17.45" customHeight="1" x14ac:dyDescent="0.25">
      <c r="A183" s="1051" t="s">
        <v>163</v>
      </c>
      <c r="B183" s="1041" t="s">
        <v>1317</v>
      </c>
      <c r="C183" s="44" t="s">
        <v>178</v>
      </c>
      <c r="D183" s="113"/>
      <c r="E183" s="113"/>
      <c r="F183" s="114"/>
      <c r="G183" s="100" t="s">
        <v>179</v>
      </c>
      <c r="H183" s="101"/>
      <c r="I183" s="101">
        <v>1150000</v>
      </c>
      <c r="J183" s="101">
        <v>1150000</v>
      </c>
      <c r="K183" s="102">
        <v>350000</v>
      </c>
      <c r="L183" s="6"/>
    </row>
    <row r="184" spans="1:12" s="48" customFormat="1" ht="17.45" customHeight="1" x14ac:dyDescent="0.25">
      <c r="A184" s="1051" t="s">
        <v>163</v>
      </c>
      <c r="B184" s="1041" t="s">
        <v>1317</v>
      </c>
      <c r="C184" s="44" t="s">
        <v>182</v>
      </c>
      <c r="D184" s="113"/>
      <c r="E184" s="113"/>
      <c r="F184" s="113"/>
      <c r="G184" s="100"/>
      <c r="H184" s="101"/>
      <c r="I184" s="101"/>
      <c r="J184" s="101"/>
      <c r="K184" s="102">
        <v>48000</v>
      </c>
      <c r="L184" s="6"/>
    </row>
    <row r="185" spans="1:12" s="1155" customFormat="1" ht="18.75" customHeight="1" x14ac:dyDescent="0.25">
      <c r="A185" s="1051" t="s">
        <v>163</v>
      </c>
      <c r="B185" s="1041" t="s">
        <v>1317</v>
      </c>
      <c r="C185" s="1628" t="s">
        <v>1547</v>
      </c>
      <c r="D185" s="1628"/>
      <c r="E185" s="1628"/>
      <c r="F185" s="192"/>
      <c r="G185" s="423"/>
      <c r="H185" s="101"/>
      <c r="I185" s="101">
        <v>500000</v>
      </c>
      <c r="J185" s="101">
        <v>500000</v>
      </c>
      <c r="K185" s="102">
        <v>350000</v>
      </c>
      <c r="L185" s="193"/>
    </row>
    <row r="186" spans="1:12" s="415" customFormat="1" ht="15.75" customHeight="1" x14ac:dyDescent="0.25">
      <c r="A186" s="1051" t="s">
        <v>163</v>
      </c>
      <c r="B186" s="1041" t="s">
        <v>1317</v>
      </c>
      <c r="C186" s="38" t="s">
        <v>1548</v>
      </c>
      <c r="D186" s="125"/>
      <c r="E186" s="199"/>
      <c r="F186" s="184"/>
      <c r="G186" s="100"/>
      <c r="H186" s="101"/>
      <c r="I186" s="101">
        <v>15000000</v>
      </c>
      <c r="J186" s="101">
        <v>15000000</v>
      </c>
      <c r="K186" s="102">
        <v>15000000</v>
      </c>
      <c r="L186" s="10"/>
    </row>
    <row r="187" spans="1:12" s="48" customFormat="1" ht="17.45" customHeight="1" x14ac:dyDescent="0.25">
      <c r="A187" s="1051" t="s">
        <v>163</v>
      </c>
      <c r="B187" s="1041" t="s">
        <v>1317</v>
      </c>
      <c r="C187" s="44" t="s">
        <v>184</v>
      </c>
      <c r="D187" s="113"/>
      <c r="E187" s="113"/>
      <c r="F187" s="114"/>
      <c r="G187" s="100" t="s">
        <v>185</v>
      </c>
      <c r="H187" s="101"/>
      <c r="I187" s="102">
        <v>251928</v>
      </c>
      <c r="J187" s="102">
        <v>251928</v>
      </c>
      <c r="K187" s="102">
        <v>251928</v>
      </c>
      <c r="L187" s="6"/>
    </row>
    <row r="188" spans="1:12" s="48" customFormat="1" ht="17.45" customHeight="1" x14ac:dyDescent="0.25">
      <c r="A188" s="1051" t="s">
        <v>163</v>
      </c>
      <c r="B188" s="1041" t="s">
        <v>1317</v>
      </c>
      <c r="C188" s="44" t="s">
        <v>186</v>
      </c>
      <c r="D188" s="113"/>
      <c r="E188" s="113"/>
      <c r="F188" s="114"/>
      <c r="G188" s="100" t="s">
        <v>187</v>
      </c>
      <c r="H188" s="101"/>
      <c r="I188" s="101">
        <v>300000</v>
      </c>
      <c r="J188" s="101">
        <v>300000</v>
      </c>
      <c r="K188" s="102">
        <v>100000</v>
      </c>
      <c r="L188" s="6"/>
    </row>
    <row r="189" spans="1:12" s="48" customFormat="1" ht="17.45" customHeight="1" x14ac:dyDescent="0.25">
      <c r="A189" s="1051" t="s">
        <v>163</v>
      </c>
      <c r="B189" s="1041" t="s">
        <v>1317</v>
      </c>
      <c r="C189" s="44" t="s">
        <v>188</v>
      </c>
      <c r="D189" s="113"/>
      <c r="E189" s="113"/>
      <c r="F189" s="114"/>
      <c r="G189" s="100" t="s">
        <v>189</v>
      </c>
      <c r="H189" s="101"/>
      <c r="I189" s="101">
        <v>1000000</v>
      </c>
      <c r="J189" s="101">
        <v>1000000</v>
      </c>
      <c r="K189" s="102">
        <v>300000</v>
      </c>
      <c r="L189" s="6"/>
    </row>
    <row r="190" spans="1:12" s="48" customFormat="1" ht="17.45" customHeight="1" x14ac:dyDescent="0.25">
      <c r="A190" s="1051" t="s">
        <v>163</v>
      </c>
      <c r="B190" s="1041" t="s">
        <v>1317</v>
      </c>
      <c r="C190" s="44" t="s">
        <v>1549</v>
      </c>
      <c r="D190" s="113"/>
      <c r="E190" s="113"/>
      <c r="F190" s="114"/>
      <c r="G190" s="100"/>
      <c r="H190" s="101"/>
      <c r="I190" s="101"/>
      <c r="J190" s="101"/>
      <c r="K190" s="102">
        <v>20000</v>
      </c>
      <c r="L190" s="6"/>
    </row>
    <row r="191" spans="1:12" s="48" customFormat="1" ht="17.45" customHeight="1" x14ac:dyDescent="0.25">
      <c r="A191" s="1051" t="s">
        <v>163</v>
      </c>
      <c r="B191" s="1041" t="s">
        <v>1317</v>
      </c>
      <c r="C191" s="44" t="s">
        <v>190</v>
      </c>
      <c r="D191" s="113"/>
      <c r="E191" s="113"/>
      <c r="F191" s="114"/>
      <c r="G191" s="100" t="s">
        <v>191</v>
      </c>
      <c r="H191" s="101"/>
      <c r="I191" s="101">
        <v>250000</v>
      </c>
      <c r="J191" s="101">
        <v>250000</v>
      </c>
      <c r="K191" s="102">
        <v>120000</v>
      </c>
      <c r="L191" s="6"/>
    </row>
    <row r="192" spans="1:12" s="48" customFormat="1" ht="17.45" customHeight="1" x14ac:dyDescent="0.25">
      <c r="A192" s="1051" t="s">
        <v>163</v>
      </c>
      <c r="B192" s="1041" t="s">
        <v>1317</v>
      </c>
      <c r="C192" s="44" t="s">
        <v>192</v>
      </c>
      <c r="D192" s="113"/>
      <c r="E192" s="113"/>
      <c r="F192" s="114"/>
      <c r="G192" s="100" t="s">
        <v>193</v>
      </c>
      <c r="H192" s="101"/>
      <c r="I192" s="101">
        <v>3500000</v>
      </c>
      <c r="J192" s="101">
        <v>3500000</v>
      </c>
      <c r="K192" s="102">
        <v>2000000</v>
      </c>
      <c r="L192" s="6"/>
    </row>
    <row r="193" spans="1:12" s="48" customFormat="1" ht="17.45" customHeight="1" x14ac:dyDescent="0.25">
      <c r="A193" s="1051" t="s">
        <v>163</v>
      </c>
      <c r="B193" s="1041" t="s">
        <v>1317</v>
      </c>
      <c r="C193" s="44" t="s">
        <v>194</v>
      </c>
      <c r="D193" s="113"/>
      <c r="E193" s="113"/>
      <c r="F193" s="114"/>
      <c r="G193" s="100" t="s">
        <v>195</v>
      </c>
      <c r="H193" s="101"/>
      <c r="I193" s="101">
        <v>150000</v>
      </c>
      <c r="J193" s="101">
        <v>150000</v>
      </c>
      <c r="K193" s="102">
        <v>100000</v>
      </c>
      <c r="L193" s="6"/>
    </row>
    <row r="194" spans="1:12" s="48" customFormat="1" ht="17.45" customHeight="1" x14ac:dyDescent="0.25">
      <c r="A194" s="1051" t="s">
        <v>163</v>
      </c>
      <c r="B194" s="1041" t="s">
        <v>1317</v>
      </c>
      <c r="C194" s="44" t="s">
        <v>196</v>
      </c>
      <c r="D194" s="113"/>
      <c r="E194" s="113"/>
      <c r="F194" s="114"/>
      <c r="G194" s="100" t="s">
        <v>197</v>
      </c>
      <c r="H194" s="101"/>
      <c r="I194" s="101">
        <v>400000</v>
      </c>
      <c r="J194" s="101">
        <v>400000</v>
      </c>
      <c r="K194" s="102">
        <v>300000</v>
      </c>
      <c r="L194" s="6"/>
    </row>
    <row r="195" spans="1:12" s="48" customFormat="1" ht="17.45" customHeight="1" x14ac:dyDescent="0.25">
      <c r="A195" s="1051" t="s">
        <v>163</v>
      </c>
      <c r="B195" s="1041" t="s">
        <v>1317</v>
      </c>
      <c r="C195" s="44" t="s">
        <v>1550</v>
      </c>
      <c r="D195" s="113"/>
      <c r="E195" s="113"/>
      <c r="F195" s="114"/>
      <c r="G195" s="100"/>
      <c r="H195" s="101"/>
      <c r="I195" s="101">
        <v>1500000</v>
      </c>
      <c r="J195" s="101">
        <v>1500000</v>
      </c>
      <c r="K195" s="102">
        <v>1000000</v>
      </c>
      <c r="L195" s="6"/>
    </row>
    <row r="196" spans="1:12" s="48" customFormat="1" ht="17.45" customHeight="1" x14ac:dyDescent="0.25">
      <c r="A196" s="1051" t="s">
        <v>163</v>
      </c>
      <c r="B196" s="1041" t="s">
        <v>1317</v>
      </c>
      <c r="C196" s="44" t="s">
        <v>198</v>
      </c>
      <c r="D196" s="113"/>
      <c r="E196" s="113"/>
      <c r="F196" s="114"/>
      <c r="G196" s="100" t="s">
        <v>199</v>
      </c>
      <c r="H196" s="101"/>
      <c r="I196" s="101">
        <v>1505621.76</v>
      </c>
      <c r="J196" s="101">
        <v>1505621.76</v>
      </c>
      <c r="K196" s="102">
        <v>2609621.7599999998</v>
      </c>
      <c r="L196" s="6"/>
    </row>
    <row r="197" spans="1:12" s="48" customFormat="1" ht="17.45" customHeight="1" x14ac:dyDescent="0.25">
      <c r="A197" s="1051"/>
      <c r="B197" s="1041"/>
      <c r="C197" s="129" t="s">
        <v>1551</v>
      </c>
      <c r="D197" s="113"/>
      <c r="E197" s="113"/>
      <c r="F197" s="114"/>
      <c r="G197" s="100"/>
      <c r="H197" s="101"/>
      <c r="I197" s="101"/>
      <c r="J197" s="101"/>
      <c r="K197" s="102"/>
      <c r="L197" s="6"/>
    </row>
    <row r="198" spans="1:12" s="48" customFormat="1" ht="17.45" customHeight="1" x14ac:dyDescent="0.25">
      <c r="A198" s="1051" t="s">
        <v>2019</v>
      </c>
      <c r="B198" s="1041" t="s">
        <v>1317</v>
      </c>
      <c r="C198" s="44" t="s">
        <v>1552</v>
      </c>
      <c r="D198" s="113"/>
      <c r="E198" s="113"/>
      <c r="F198" s="114"/>
      <c r="G198" s="100"/>
      <c r="H198" s="101"/>
      <c r="I198" s="101"/>
      <c r="J198" s="101"/>
      <c r="K198" s="102">
        <v>6000000</v>
      </c>
      <c r="L198" s="6"/>
    </row>
    <row r="199" spans="1:12" s="48" customFormat="1" ht="17.45" customHeight="1" x14ac:dyDescent="0.25">
      <c r="A199" s="1051" t="s">
        <v>2019</v>
      </c>
      <c r="B199" s="1041" t="s">
        <v>1317</v>
      </c>
      <c r="C199" s="44" t="s">
        <v>1553</v>
      </c>
      <c r="D199" s="113"/>
      <c r="E199" s="113"/>
      <c r="F199" s="114"/>
      <c r="G199" s="100"/>
      <c r="H199" s="101"/>
      <c r="I199" s="102">
        <v>900000</v>
      </c>
      <c r="J199" s="102">
        <v>900000</v>
      </c>
      <c r="K199" s="102">
        <v>900000</v>
      </c>
      <c r="L199" s="6"/>
    </row>
    <row r="200" spans="1:12" s="48" customFormat="1" ht="17.45" customHeight="1" x14ac:dyDescent="0.25">
      <c r="A200" s="1051" t="s">
        <v>2019</v>
      </c>
      <c r="B200" s="1041" t="s">
        <v>1317</v>
      </c>
      <c r="C200" s="44" t="s">
        <v>1554</v>
      </c>
      <c r="D200" s="113"/>
      <c r="E200" s="113"/>
      <c r="F200" s="114"/>
      <c r="G200" s="100"/>
      <c r="H200" s="101"/>
      <c r="I200" s="102">
        <v>250000</v>
      </c>
      <c r="J200" s="102">
        <v>250000</v>
      </c>
      <c r="K200" s="102">
        <v>250000</v>
      </c>
      <c r="L200" s="6"/>
    </row>
    <row r="201" spans="1:12" s="48" customFormat="1" ht="17.45" customHeight="1" x14ac:dyDescent="0.25">
      <c r="A201" s="1051" t="s">
        <v>2019</v>
      </c>
      <c r="B201" s="1041" t="s">
        <v>1317</v>
      </c>
      <c r="C201" s="44" t="s">
        <v>1555</v>
      </c>
      <c r="D201" s="113"/>
      <c r="E201" s="113"/>
      <c r="F201" s="114"/>
      <c r="G201" s="100"/>
      <c r="H201" s="101"/>
      <c r="I201" s="102">
        <v>15000000</v>
      </c>
      <c r="J201" s="102">
        <v>15000000</v>
      </c>
      <c r="K201" s="102">
        <v>15000000</v>
      </c>
      <c r="L201" s="6"/>
    </row>
    <row r="202" spans="1:12" s="203" customFormat="1" ht="18" x14ac:dyDescent="0.25">
      <c r="A202" s="1051" t="s">
        <v>2019</v>
      </c>
      <c r="B202" s="1041" t="s">
        <v>1317</v>
      </c>
      <c r="C202" s="180" t="s">
        <v>1556</v>
      </c>
      <c r="D202" s="427"/>
      <c r="E202" s="1044"/>
      <c r="F202" s="1039"/>
      <c r="G202" s="100"/>
      <c r="H202" s="101"/>
      <c r="I202" s="101">
        <v>800000</v>
      </c>
      <c r="J202" s="101">
        <v>800000</v>
      </c>
      <c r="K202" s="102">
        <v>800000</v>
      </c>
      <c r="L202" s="10"/>
    </row>
    <row r="203" spans="1:12" ht="51.75" customHeight="1" x14ac:dyDescent="0.25">
      <c r="A203" s="1051" t="s">
        <v>2019</v>
      </c>
      <c r="B203" s="1041" t="s">
        <v>1317</v>
      </c>
      <c r="C203" s="1712" t="s">
        <v>1557</v>
      </c>
      <c r="D203" s="1712"/>
      <c r="E203" s="1712"/>
      <c r="F203" s="184"/>
      <c r="G203" s="100"/>
      <c r="H203" s="101"/>
      <c r="I203" s="101">
        <v>500000</v>
      </c>
      <c r="J203" s="101">
        <v>500000</v>
      </c>
      <c r="K203" s="102">
        <v>100000</v>
      </c>
    </row>
    <row r="204" spans="1:12" ht="21.75" customHeight="1" x14ac:dyDescent="0.25">
      <c r="A204" s="1051" t="s">
        <v>2019</v>
      </c>
      <c r="B204" s="1041" t="s">
        <v>1317</v>
      </c>
      <c r="C204" s="180" t="s">
        <v>1558</v>
      </c>
      <c r="D204" s="225"/>
      <c r="E204" s="427"/>
      <c r="F204" s="184"/>
      <c r="G204" s="100"/>
      <c r="H204" s="101"/>
      <c r="I204" s="101"/>
      <c r="J204" s="101"/>
      <c r="K204" s="102">
        <v>50000</v>
      </c>
    </row>
    <row r="205" spans="1:12" ht="70.5" customHeight="1" x14ac:dyDescent="0.25">
      <c r="A205" s="1051" t="s">
        <v>2019</v>
      </c>
      <c r="B205" s="1041" t="s">
        <v>1317</v>
      </c>
      <c r="C205" s="1651" t="s">
        <v>1559</v>
      </c>
      <c r="D205" s="1651"/>
      <c r="E205" s="1651"/>
      <c r="F205" s="1711"/>
      <c r="G205" s="100"/>
      <c r="H205" s="101"/>
      <c r="I205" s="101">
        <v>500000</v>
      </c>
      <c r="J205" s="101">
        <v>500000</v>
      </c>
      <c r="K205" s="102">
        <v>500000</v>
      </c>
    </row>
    <row r="206" spans="1:12" ht="36" customHeight="1" x14ac:dyDescent="0.25">
      <c r="A206" s="1051" t="s">
        <v>2019</v>
      </c>
      <c r="B206" s="1041" t="s">
        <v>1317</v>
      </c>
      <c r="C206" s="1651" t="s">
        <v>1560</v>
      </c>
      <c r="D206" s="1651"/>
      <c r="E206" s="1651"/>
      <c r="F206" s="1711"/>
      <c r="G206" s="100"/>
      <c r="H206" s="101"/>
      <c r="I206" s="101">
        <v>15000000</v>
      </c>
      <c r="J206" s="101">
        <v>15000000</v>
      </c>
      <c r="K206" s="102">
        <v>15000000</v>
      </c>
    </row>
    <row r="207" spans="1:12" s="48" customFormat="1" ht="18" customHeight="1" x14ac:dyDescent="0.25">
      <c r="A207" s="1051" t="s">
        <v>123</v>
      </c>
      <c r="B207" s="1041" t="s">
        <v>1317</v>
      </c>
      <c r="C207" s="1602" t="s">
        <v>124</v>
      </c>
      <c r="D207" s="1603"/>
      <c r="E207" s="1603"/>
      <c r="F207" s="1603"/>
      <c r="G207" s="131" t="s">
        <v>125</v>
      </c>
      <c r="H207" s="101"/>
      <c r="I207" s="101">
        <v>2165892</v>
      </c>
      <c r="J207" s="101">
        <v>2165892</v>
      </c>
      <c r="K207" s="102">
        <v>2081280</v>
      </c>
      <c r="L207" s="6"/>
    </row>
    <row r="208" spans="1:12" s="48" customFormat="1" ht="18" customHeight="1" x14ac:dyDescent="0.25">
      <c r="A208" s="1051" t="s">
        <v>123</v>
      </c>
      <c r="B208" s="1041" t="s">
        <v>1317</v>
      </c>
      <c r="C208" s="1602" t="s">
        <v>126</v>
      </c>
      <c r="D208" s="1603"/>
      <c r="E208" s="1603"/>
      <c r="F208" s="1603"/>
      <c r="G208" s="131" t="s">
        <v>127</v>
      </c>
      <c r="H208" s="101"/>
      <c r="I208" s="101">
        <v>2606064</v>
      </c>
      <c r="J208" s="101">
        <v>2606064</v>
      </c>
      <c r="K208" s="102">
        <v>2507424</v>
      </c>
      <c r="L208" s="6"/>
    </row>
    <row r="209" spans="1:12" s="48" customFormat="1" ht="18" customHeight="1" x14ac:dyDescent="0.25">
      <c r="A209" s="1051" t="s">
        <v>123</v>
      </c>
      <c r="B209" s="1041" t="s">
        <v>1317</v>
      </c>
      <c r="C209" s="1602" t="s">
        <v>129</v>
      </c>
      <c r="D209" s="1603"/>
      <c r="E209" s="1603"/>
      <c r="F209" s="1603"/>
      <c r="G209" s="132" t="s">
        <v>130</v>
      </c>
      <c r="H209" s="101"/>
      <c r="I209" s="101">
        <v>720000</v>
      </c>
      <c r="J209" s="101">
        <v>720000</v>
      </c>
      <c r="K209" s="102">
        <v>720000</v>
      </c>
      <c r="L209" s="6"/>
    </row>
    <row r="210" spans="1:12" s="48" customFormat="1" ht="18" customHeight="1" x14ac:dyDescent="0.25">
      <c r="A210" s="1051" t="s">
        <v>123</v>
      </c>
      <c r="B210" s="1041" t="s">
        <v>1317</v>
      </c>
      <c r="C210" s="1602" t="s">
        <v>135</v>
      </c>
      <c r="D210" s="1603"/>
      <c r="E210" s="1603"/>
      <c r="F210" s="1603"/>
      <c r="G210" s="131" t="s">
        <v>136</v>
      </c>
      <c r="H210" s="101"/>
      <c r="I210" s="101">
        <v>641151.32999999996</v>
      </c>
      <c r="J210" s="101">
        <v>641151.32999999996</v>
      </c>
      <c r="K210" s="102">
        <v>641151.32999999996</v>
      </c>
      <c r="L210" s="6"/>
    </row>
    <row r="211" spans="1:12" s="48" customFormat="1" ht="18" customHeight="1" x14ac:dyDescent="0.25">
      <c r="A211" s="1051" t="s">
        <v>123</v>
      </c>
      <c r="B211" s="1041" t="s">
        <v>1317</v>
      </c>
      <c r="C211" s="1602" t="s">
        <v>137</v>
      </c>
      <c r="D211" s="1603"/>
      <c r="E211" s="1603"/>
      <c r="F211" s="1603"/>
      <c r="G211" s="131" t="s">
        <v>138</v>
      </c>
      <c r="H211" s="101"/>
      <c r="I211" s="101">
        <v>180000</v>
      </c>
      <c r="J211" s="101">
        <v>180000</v>
      </c>
      <c r="K211" s="102">
        <v>180000</v>
      </c>
      <c r="L211" s="6"/>
    </row>
    <row r="212" spans="1:12" s="48" customFormat="1" ht="18" customHeight="1" x14ac:dyDescent="0.25">
      <c r="A212" s="1051" t="s">
        <v>123</v>
      </c>
      <c r="B212" s="1041" t="s">
        <v>1317</v>
      </c>
      <c r="C212" s="1602" t="s">
        <v>1541</v>
      </c>
      <c r="D212" s="1603"/>
      <c r="E212" s="1603"/>
      <c r="F212" s="1603"/>
      <c r="G212" s="131" t="s">
        <v>140</v>
      </c>
      <c r="H212" s="101"/>
      <c r="I212" s="101">
        <v>397663</v>
      </c>
      <c r="J212" s="101">
        <v>397663</v>
      </c>
      <c r="K212" s="102">
        <v>382392</v>
      </c>
      <c r="L212" s="6"/>
    </row>
    <row r="213" spans="1:12" s="48" customFormat="1" ht="18" customHeight="1" x14ac:dyDescent="0.25">
      <c r="A213" s="1051" t="s">
        <v>123</v>
      </c>
      <c r="B213" s="1041" t="s">
        <v>1317</v>
      </c>
      <c r="C213" s="1602" t="s">
        <v>141</v>
      </c>
      <c r="D213" s="1603"/>
      <c r="E213" s="1603"/>
      <c r="F213" s="1603"/>
      <c r="G213" s="131" t="s">
        <v>142</v>
      </c>
      <c r="H213" s="101"/>
      <c r="I213" s="101">
        <v>397663</v>
      </c>
      <c r="J213" s="101">
        <v>397663</v>
      </c>
      <c r="K213" s="102">
        <v>382392</v>
      </c>
      <c r="L213" s="6"/>
    </row>
    <row r="214" spans="1:12" s="48" customFormat="1" ht="18" customHeight="1" x14ac:dyDescent="0.25">
      <c r="A214" s="1051" t="s">
        <v>123</v>
      </c>
      <c r="B214" s="1041" t="s">
        <v>1317</v>
      </c>
      <c r="C214" s="1602" t="s">
        <v>1542</v>
      </c>
      <c r="D214" s="1603"/>
      <c r="E214" s="1603"/>
      <c r="F214" s="1603"/>
      <c r="G214" s="131" t="s">
        <v>140</v>
      </c>
      <c r="H214" s="101"/>
      <c r="I214" s="101"/>
      <c r="J214" s="101"/>
      <c r="K214" s="102"/>
      <c r="L214" s="6"/>
    </row>
    <row r="215" spans="1:12" s="48" customFormat="1" ht="18" customHeight="1" x14ac:dyDescent="0.25">
      <c r="A215" s="1051" t="s">
        <v>123</v>
      </c>
      <c r="B215" s="1041" t="s">
        <v>1317</v>
      </c>
      <c r="C215" s="1602" t="s">
        <v>143</v>
      </c>
      <c r="D215" s="1603"/>
      <c r="E215" s="1603"/>
      <c r="F215" s="1603"/>
      <c r="G215" s="131" t="s">
        <v>144</v>
      </c>
      <c r="H215" s="101"/>
      <c r="I215" s="101">
        <v>150000</v>
      </c>
      <c r="J215" s="101">
        <v>150000</v>
      </c>
      <c r="K215" s="102">
        <v>150000</v>
      </c>
      <c r="L215" s="6"/>
    </row>
    <row r="216" spans="1:12" s="48" customFormat="1" ht="18" customHeight="1" x14ac:dyDescent="0.25">
      <c r="A216" s="1051" t="s">
        <v>123</v>
      </c>
      <c r="B216" s="1041" t="s">
        <v>1317</v>
      </c>
      <c r="C216" s="1602" t="s">
        <v>1543</v>
      </c>
      <c r="D216" s="1603"/>
      <c r="E216" s="1603"/>
      <c r="F216" s="1603"/>
      <c r="G216" s="131" t="s">
        <v>146</v>
      </c>
      <c r="H216" s="101"/>
      <c r="I216" s="101">
        <v>150000</v>
      </c>
      <c r="J216" s="101">
        <v>150000</v>
      </c>
      <c r="K216" s="102">
        <v>150000</v>
      </c>
      <c r="L216" s="6"/>
    </row>
    <row r="217" spans="1:12" s="48" customFormat="1" ht="18" customHeight="1" x14ac:dyDescent="0.25">
      <c r="A217" s="1051" t="s">
        <v>123</v>
      </c>
      <c r="B217" s="1041" t="s">
        <v>1317</v>
      </c>
      <c r="C217" s="1062" t="s">
        <v>147</v>
      </c>
      <c r="D217" s="1041"/>
      <c r="E217" s="1041"/>
      <c r="F217" s="1039"/>
      <c r="G217" s="131" t="s">
        <v>148</v>
      </c>
      <c r="H217" s="101"/>
      <c r="I217" s="101"/>
      <c r="J217" s="101"/>
      <c r="K217" s="102"/>
      <c r="L217" s="6"/>
    </row>
    <row r="218" spans="1:12" s="48" customFormat="1" ht="18" customHeight="1" x14ac:dyDescent="0.25">
      <c r="A218" s="1051" t="s">
        <v>123</v>
      </c>
      <c r="B218" s="1041" t="s">
        <v>1317</v>
      </c>
      <c r="C218" s="1062" t="s">
        <v>210</v>
      </c>
      <c r="D218" s="1041"/>
      <c r="E218" s="1041"/>
      <c r="F218" s="1039"/>
      <c r="G218" s="131" t="s">
        <v>148</v>
      </c>
      <c r="H218" s="101"/>
      <c r="I218" s="101"/>
      <c r="J218" s="101"/>
      <c r="K218" s="102"/>
      <c r="L218" s="6"/>
    </row>
    <row r="219" spans="1:12" s="48" customFormat="1" ht="18" customHeight="1" x14ac:dyDescent="0.25">
      <c r="A219" s="1051" t="s">
        <v>123</v>
      </c>
      <c r="B219" s="1041" t="s">
        <v>1317</v>
      </c>
      <c r="C219" s="1062" t="s">
        <v>211</v>
      </c>
      <c r="D219" s="1041"/>
      <c r="E219" s="1041"/>
      <c r="F219" s="1039"/>
      <c r="G219" s="131" t="s">
        <v>212</v>
      </c>
      <c r="H219" s="101"/>
      <c r="I219" s="101"/>
      <c r="J219" s="101"/>
      <c r="K219" s="102"/>
      <c r="L219" s="6"/>
    </row>
    <row r="220" spans="1:12" s="48" customFormat="1" ht="18" customHeight="1" x14ac:dyDescent="0.25">
      <c r="A220" s="1051" t="s">
        <v>123</v>
      </c>
      <c r="B220" s="1041" t="s">
        <v>1317</v>
      </c>
      <c r="C220" s="1611" t="s">
        <v>149</v>
      </c>
      <c r="D220" s="1611"/>
      <c r="E220" s="1611"/>
      <c r="F220" s="1602"/>
      <c r="G220" s="131" t="s">
        <v>150</v>
      </c>
      <c r="H220" s="101"/>
      <c r="I220" s="101"/>
      <c r="J220" s="101"/>
      <c r="K220" s="102"/>
      <c r="L220" s="6"/>
    </row>
    <row r="221" spans="1:12" s="48" customFormat="1" ht="18" customHeight="1" x14ac:dyDescent="0.25">
      <c r="A221" s="1051" t="s">
        <v>123</v>
      </c>
      <c r="B221" s="1041" t="s">
        <v>1317</v>
      </c>
      <c r="C221" s="1062" t="s">
        <v>1544</v>
      </c>
      <c r="D221" s="1041"/>
      <c r="E221" s="1041"/>
      <c r="F221" s="1039"/>
      <c r="G221" s="131" t="s">
        <v>148</v>
      </c>
      <c r="H221" s="101"/>
      <c r="I221" s="101"/>
      <c r="J221" s="101"/>
      <c r="K221" s="102"/>
      <c r="L221" s="6"/>
    </row>
    <row r="222" spans="1:12" s="48" customFormat="1" ht="18" customHeight="1" x14ac:dyDescent="0.25">
      <c r="A222" s="1051" t="s">
        <v>123</v>
      </c>
      <c r="B222" s="1041" t="s">
        <v>1317</v>
      </c>
      <c r="C222" s="1611" t="s">
        <v>1545</v>
      </c>
      <c r="D222" s="1611"/>
      <c r="E222" s="1611"/>
      <c r="F222" s="1602"/>
      <c r="G222" s="131" t="s">
        <v>154</v>
      </c>
      <c r="H222" s="101"/>
      <c r="I222" s="101">
        <v>572634.72</v>
      </c>
      <c r="J222" s="101">
        <v>572634.72</v>
      </c>
      <c r="K222" s="102">
        <v>550644.47999999998</v>
      </c>
      <c r="L222" s="6"/>
    </row>
    <row r="223" spans="1:12" s="48" customFormat="1" ht="18" customHeight="1" x14ac:dyDescent="0.25">
      <c r="A223" s="1051" t="s">
        <v>123</v>
      </c>
      <c r="B223" s="1041" t="s">
        <v>1317</v>
      </c>
      <c r="C223" s="1602" t="s">
        <v>155</v>
      </c>
      <c r="D223" s="1603"/>
      <c r="E223" s="1603"/>
      <c r="F223" s="1603"/>
      <c r="G223" s="131" t="s">
        <v>156</v>
      </c>
      <c r="H223" s="101"/>
      <c r="I223" s="101">
        <v>36000</v>
      </c>
      <c r="J223" s="101">
        <v>36000</v>
      </c>
      <c r="K223" s="102">
        <v>36000</v>
      </c>
      <c r="L223" s="6"/>
    </row>
    <row r="224" spans="1:12" s="48" customFormat="1" ht="18" customHeight="1" x14ac:dyDescent="0.25">
      <c r="A224" s="1051" t="s">
        <v>123</v>
      </c>
      <c r="B224" s="1041" t="s">
        <v>1317</v>
      </c>
      <c r="C224" s="1602" t="s">
        <v>157</v>
      </c>
      <c r="D224" s="1603"/>
      <c r="E224" s="1603"/>
      <c r="F224" s="1603"/>
      <c r="G224" s="131" t="s">
        <v>158</v>
      </c>
      <c r="H224" s="101"/>
      <c r="I224" s="101">
        <v>107369.01</v>
      </c>
      <c r="J224" s="101">
        <v>107369.01</v>
      </c>
      <c r="K224" s="102">
        <v>103245.84</v>
      </c>
      <c r="L224" s="6"/>
    </row>
    <row r="225" spans="1:12" s="48" customFormat="1" ht="18" customHeight="1" x14ac:dyDescent="0.25">
      <c r="A225" s="1051" t="s">
        <v>123</v>
      </c>
      <c r="B225" s="1041" t="s">
        <v>1317</v>
      </c>
      <c r="C225" s="1611" t="s">
        <v>1546</v>
      </c>
      <c r="D225" s="1611"/>
      <c r="E225" s="1611"/>
      <c r="F225" s="1602"/>
      <c r="G225" s="133" t="s">
        <v>160</v>
      </c>
      <c r="H225" s="105"/>
      <c r="I225" s="105">
        <v>36000</v>
      </c>
      <c r="J225" s="105">
        <v>36000</v>
      </c>
      <c r="K225" s="106">
        <v>36000</v>
      </c>
      <c r="L225" s="6"/>
    </row>
    <row r="226" spans="1:12" s="48" customFormat="1" ht="16.5" customHeight="1" x14ac:dyDescent="0.25">
      <c r="A226" s="1051"/>
      <c r="B226" s="1041"/>
      <c r="C226" s="1620" t="s">
        <v>161</v>
      </c>
      <c r="D226" s="1620"/>
      <c r="E226" s="1620"/>
      <c r="F226" s="1621"/>
      <c r="G226" s="108"/>
      <c r="H226" s="109">
        <f>SUM(H207:H225)</f>
        <v>0</v>
      </c>
      <c r="I226" s="109">
        <f>SUM(I207:I225)</f>
        <v>8160437.0599999996</v>
      </c>
      <c r="J226" s="109">
        <f>SUM(J207:J225)</f>
        <v>8160437.0599999996</v>
      </c>
      <c r="K226" s="110">
        <f>SUM(K207:K225)</f>
        <v>7920529.6500000004</v>
      </c>
      <c r="L226" s="6"/>
    </row>
    <row r="227" spans="1:12" s="48" customFormat="1" ht="16.5" customHeight="1" x14ac:dyDescent="0.25">
      <c r="A227" s="1051"/>
      <c r="B227" s="1041"/>
      <c r="C227" s="1047"/>
      <c r="D227" s="1047"/>
      <c r="E227" s="1047"/>
      <c r="F227" s="1048"/>
      <c r="G227" s="97"/>
      <c r="H227" s="155"/>
      <c r="I227" s="155"/>
      <c r="J227" s="155"/>
      <c r="K227" s="156"/>
      <c r="L227" s="6"/>
    </row>
    <row r="228" spans="1:12" s="48" customFormat="1" ht="18" customHeight="1" x14ac:dyDescent="0.25">
      <c r="A228" s="1071"/>
      <c r="B228" s="1047"/>
      <c r="C228" s="1621" t="s">
        <v>1561</v>
      </c>
      <c r="D228" s="1666"/>
      <c r="E228" s="1666"/>
      <c r="F228" s="1666"/>
      <c r="G228" s="97"/>
      <c r="H228" s="101"/>
      <c r="I228" s="101"/>
      <c r="J228" s="101"/>
      <c r="K228" s="102"/>
      <c r="L228" s="6"/>
    </row>
    <row r="229" spans="1:12" s="136" customFormat="1" ht="18" customHeight="1" x14ac:dyDescent="0.25">
      <c r="A229" s="154" t="s">
        <v>163</v>
      </c>
      <c r="B229" s="1041" t="s">
        <v>1317</v>
      </c>
      <c r="C229" s="1042" t="s">
        <v>353</v>
      </c>
      <c r="D229" s="1042"/>
      <c r="E229" s="1042"/>
      <c r="F229" s="1043"/>
      <c r="G229" s="97"/>
      <c r="H229" s="101"/>
      <c r="I229" s="101"/>
      <c r="J229" s="101"/>
      <c r="K229" s="102">
        <v>50000</v>
      </c>
      <c r="L229" s="6"/>
    </row>
    <row r="230" spans="1:12" s="136" customFormat="1" ht="18" customHeight="1" x14ac:dyDescent="0.25">
      <c r="A230" s="154" t="s">
        <v>163</v>
      </c>
      <c r="B230" s="1041" t="s">
        <v>1317</v>
      </c>
      <c r="C230" s="1042" t="s">
        <v>166</v>
      </c>
      <c r="D230" s="1042"/>
      <c r="E230" s="1042"/>
      <c r="F230" s="1043"/>
      <c r="G230" s="97"/>
      <c r="H230" s="101"/>
      <c r="I230" s="101"/>
      <c r="J230" s="101"/>
      <c r="K230" s="102">
        <v>50000</v>
      </c>
      <c r="L230" s="6"/>
    </row>
    <row r="231" spans="1:12" s="48" customFormat="1" ht="18" customHeight="1" x14ac:dyDescent="0.25">
      <c r="A231" s="154" t="s">
        <v>163</v>
      </c>
      <c r="B231" s="1041" t="s">
        <v>1317</v>
      </c>
      <c r="C231" s="44" t="s">
        <v>168</v>
      </c>
      <c r="D231" s="125"/>
      <c r="E231" s="125"/>
      <c r="F231" s="134"/>
      <c r="G231" s="131" t="s">
        <v>169</v>
      </c>
      <c r="H231" s="101"/>
      <c r="I231" s="101">
        <v>63091</v>
      </c>
      <c r="J231" s="101">
        <v>63091</v>
      </c>
      <c r="K231" s="102">
        <v>63091</v>
      </c>
      <c r="L231" s="6"/>
    </row>
    <row r="232" spans="1:12" s="48" customFormat="1" ht="18" customHeight="1" x14ac:dyDescent="0.25">
      <c r="A232" s="154" t="s">
        <v>163</v>
      </c>
      <c r="B232" s="1041" t="s">
        <v>1317</v>
      </c>
      <c r="C232" s="44" t="s">
        <v>213</v>
      </c>
      <c r="D232" s="125"/>
      <c r="E232" s="125"/>
      <c r="F232" s="134"/>
      <c r="G232" s="131" t="s">
        <v>171</v>
      </c>
      <c r="H232" s="101"/>
      <c r="I232" s="101">
        <f>548881.5+8000+5000</f>
        <v>561881.5</v>
      </c>
      <c r="J232" s="101">
        <f>548881.5+8000+5000</f>
        <v>561881.5</v>
      </c>
      <c r="K232" s="102">
        <f>548881.5+8000+5000</f>
        <v>561881.5</v>
      </c>
      <c r="L232" s="6"/>
    </row>
    <row r="233" spans="1:12" s="48" customFormat="1" ht="18" customHeight="1" x14ac:dyDescent="0.25">
      <c r="A233" s="154" t="s">
        <v>163</v>
      </c>
      <c r="B233" s="1041" t="s">
        <v>1317</v>
      </c>
      <c r="C233" s="1062" t="s">
        <v>178</v>
      </c>
      <c r="D233" s="1041"/>
      <c r="E233" s="1041"/>
      <c r="F233" s="135"/>
      <c r="G233" s="131" t="s">
        <v>179</v>
      </c>
      <c r="H233" s="101"/>
      <c r="I233" s="101">
        <v>60000</v>
      </c>
      <c r="J233" s="101">
        <v>60000</v>
      </c>
      <c r="K233" s="102">
        <v>60000</v>
      </c>
      <c r="L233" s="6"/>
    </row>
    <row r="234" spans="1:12" s="48" customFormat="1" ht="18" customHeight="1" x14ac:dyDescent="0.25">
      <c r="A234" s="154" t="s">
        <v>163</v>
      </c>
      <c r="B234" s="1041" t="s">
        <v>1317</v>
      </c>
      <c r="C234" s="44" t="s">
        <v>186</v>
      </c>
      <c r="D234" s="125"/>
      <c r="E234" s="125"/>
      <c r="F234" s="125"/>
      <c r="G234" s="143"/>
      <c r="H234" s="101"/>
      <c r="I234" s="101"/>
      <c r="J234" s="101"/>
      <c r="K234" s="102">
        <v>25000</v>
      </c>
      <c r="L234" s="6"/>
    </row>
    <row r="235" spans="1:12" s="48" customFormat="1" ht="18" customHeight="1" x14ac:dyDescent="0.25">
      <c r="A235" s="154" t="s">
        <v>163</v>
      </c>
      <c r="B235" s="1041" t="s">
        <v>1317</v>
      </c>
      <c r="C235" s="44" t="s">
        <v>1562</v>
      </c>
      <c r="D235" s="125"/>
      <c r="E235" s="125"/>
      <c r="F235" s="125"/>
      <c r="G235" s="143" t="s">
        <v>218</v>
      </c>
      <c r="H235" s="101"/>
      <c r="I235" s="101"/>
      <c r="J235" s="101"/>
      <c r="K235" s="102"/>
      <c r="L235" s="6"/>
    </row>
    <row r="236" spans="1:12" s="48" customFormat="1" ht="18" customHeight="1" x14ac:dyDescent="0.25">
      <c r="A236" s="154" t="s">
        <v>163</v>
      </c>
      <c r="B236" s="1041" t="s">
        <v>1317</v>
      </c>
      <c r="C236" s="44" t="s">
        <v>198</v>
      </c>
      <c r="D236" s="125"/>
      <c r="E236" s="125"/>
      <c r="F236" s="125"/>
      <c r="G236" s="143" t="s">
        <v>199</v>
      </c>
      <c r="H236" s="105"/>
      <c r="I236" s="105">
        <v>3174824.64</v>
      </c>
      <c r="J236" s="105">
        <v>3174824.64</v>
      </c>
      <c r="K236" s="106">
        <v>3174824.64</v>
      </c>
      <c r="L236" s="6"/>
    </row>
    <row r="240" spans="1:12" s="48" customFormat="1" ht="18" customHeight="1" x14ac:dyDescent="0.25">
      <c r="A240" s="1051" t="s">
        <v>123</v>
      </c>
      <c r="B240" s="1041" t="s">
        <v>2025</v>
      </c>
      <c r="C240" s="1602" t="s">
        <v>124</v>
      </c>
      <c r="D240" s="1603"/>
      <c r="E240" s="1603"/>
      <c r="F240" s="1610"/>
      <c r="G240" s="131" t="s">
        <v>125</v>
      </c>
      <c r="H240" s="101"/>
      <c r="I240" s="101">
        <v>300672</v>
      </c>
      <c r="J240" s="101">
        <v>300672</v>
      </c>
      <c r="K240" s="102">
        <v>286056</v>
      </c>
      <c r="L240" s="6"/>
    </row>
    <row r="241" spans="1:12" s="48" customFormat="1" ht="18" customHeight="1" x14ac:dyDescent="0.25">
      <c r="A241" s="1051" t="s">
        <v>123</v>
      </c>
      <c r="B241" s="1106" t="s">
        <v>2025</v>
      </c>
      <c r="C241" s="1062" t="s">
        <v>126</v>
      </c>
      <c r="D241" s="1041"/>
      <c r="E241" s="1041"/>
      <c r="F241" s="1041"/>
      <c r="G241" s="131" t="s">
        <v>132</v>
      </c>
      <c r="H241" s="101"/>
      <c r="I241" s="101">
        <v>149628</v>
      </c>
      <c r="J241" s="101">
        <v>149628</v>
      </c>
      <c r="K241" s="102">
        <v>143928</v>
      </c>
      <c r="L241" s="6"/>
    </row>
    <row r="242" spans="1:12" s="48" customFormat="1" ht="18" customHeight="1" x14ac:dyDescent="0.25">
      <c r="A242" s="1051" t="s">
        <v>123</v>
      </c>
      <c r="B242" s="1106" t="s">
        <v>2025</v>
      </c>
      <c r="C242" s="1611" t="s">
        <v>129</v>
      </c>
      <c r="D242" s="1611"/>
      <c r="E242" s="1611"/>
      <c r="F242" s="1611"/>
      <c r="G242" s="132" t="s">
        <v>130</v>
      </c>
      <c r="H242" s="101"/>
      <c r="I242" s="101">
        <v>48000</v>
      </c>
      <c r="J242" s="101">
        <v>48000</v>
      </c>
      <c r="K242" s="102">
        <v>48000</v>
      </c>
      <c r="L242" s="6"/>
    </row>
    <row r="243" spans="1:12" s="48" customFormat="1" ht="18" customHeight="1" x14ac:dyDescent="0.25">
      <c r="A243" s="1051" t="s">
        <v>123</v>
      </c>
      <c r="B243" s="1106" t="s">
        <v>2025</v>
      </c>
      <c r="C243" s="1611" t="s">
        <v>137</v>
      </c>
      <c r="D243" s="1611"/>
      <c r="E243" s="1611"/>
      <c r="F243" s="1611"/>
      <c r="G243" s="131" t="s">
        <v>138</v>
      </c>
      <c r="H243" s="101"/>
      <c r="I243" s="101">
        <v>12000</v>
      </c>
      <c r="J243" s="101">
        <v>12000</v>
      </c>
      <c r="K243" s="102">
        <v>12000</v>
      </c>
      <c r="L243" s="6"/>
    </row>
    <row r="244" spans="1:12" s="48" customFormat="1" ht="18" customHeight="1" x14ac:dyDescent="0.25">
      <c r="A244" s="1051" t="s">
        <v>123</v>
      </c>
      <c r="B244" s="1106" t="s">
        <v>2025</v>
      </c>
      <c r="C244" s="1041" t="s">
        <v>247</v>
      </c>
      <c r="D244" s="1041"/>
      <c r="E244" s="1041"/>
      <c r="F244" s="1041"/>
      <c r="G244" s="131" t="s">
        <v>150</v>
      </c>
      <c r="H244" s="101"/>
      <c r="I244" s="101"/>
      <c r="J244" s="101"/>
      <c r="K244" s="102"/>
      <c r="L244" s="6"/>
    </row>
    <row r="245" spans="1:12" s="48" customFormat="1" ht="18" customHeight="1" x14ac:dyDescent="0.25">
      <c r="A245" s="1051" t="s">
        <v>123</v>
      </c>
      <c r="B245" s="1106" t="s">
        <v>2025</v>
      </c>
      <c r="C245" s="1611" t="s">
        <v>1541</v>
      </c>
      <c r="D245" s="1611"/>
      <c r="E245" s="1611"/>
      <c r="F245" s="1611"/>
      <c r="G245" s="131" t="s">
        <v>140</v>
      </c>
      <c r="H245" s="101"/>
      <c r="I245" s="101">
        <v>37525</v>
      </c>
      <c r="J245" s="101">
        <v>37525</v>
      </c>
      <c r="K245" s="102">
        <v>35832</v>
      </c>
      <c r="L245" s="6"/>
    </row>
    <row r="246" spans="1:12" s="48" customFormat="1" ht="18" customHeight="1" x14ac:dyDescent="0.25">
      <c r="A246" s="1051" t="s">
        <v>123</v>
      </c>
      <c r="B246" s="1106" t="s">
        <v>2025</v>
      </c>
      <c r="C246" s="1041" t="s">
        <v>227</v>
      </c>
      <c r="D246" s="1041"/>
      <c r="E246" s="1041"/>
      <c r="F246" s="1041"/>
      <c r="G246" s="131" t="s">
        <v>228</v>
      </c>
      <c r="H246" s="101"/>
      <c r="I246" s="101"/>
      <c r="J246" s="101"/>
      <c r="K246" s="102"/>
      <c r="L246" s="6"/>
    </row>
    <row r="247" spans="1:12" s="48" customFormat="1" ht="18" customHeight="1" x14ac:dyDescent="0.25">
      <c r="A247" s="1051" t="s">
        <v>123</v>
      </c>
      <c r="B247" s="1106" t="s">
        <v>2025</v>
      </c>
      <c r="C247" s="1611" t="s">
        <v>141</v>
      </c>
      <c r="D247" s="1611"/>
      <c r="E247" s="1611"/>
      <c r="F247" s="1611"/>
      <c r="G247" s="131" t="s">
        <v>142</v>
      </c>
      <c r="H247" s="101"/>
      <c r="I247" s="101">
        <v>37525</v>
      </c>
      <c r="J247" s="101">
        <v>37525</v>
      </c>
      <c r="K247" s="102">
        <v>35832</v>
      </c>
      <c r="L247" s="6"/>
    </row>
    <row r="248" spans="1:12" s="48" customFormat="1" ht="18" customHeight="1" x14ac:dyDescent="0.25">
      <c r="A248" s="1051" t="s">
        <v>123</v>
      </c>
      <c r="B248" s="1106" t="s">
        <v>2025</v>
      </c>
      <c r="C248" s="1611" t="s">
        <v>1542</v>
      </c>
      <c r="D248" s="1611"/>
      <c r="E248" s="1611"/>
      <c r="F248" s="1611"/>
      <c r="G248" s="131" t="s">
        <v>140</v>
      </c>
      <c r="H248" s="101"/>
      <c r="I248" s="101"/>
      <c r="J248" s="101"/>
      <c r="K248" s="102"/>
      <c r="L248" s="6"/>
    </row>
    <row r="249" spans="1:12" s="48" customFormat="1" ht="18" customHeight="1" x14ac:dyDescent="0.25">
      <c r="A249" s="1051" t="s">
        <v>123</v>
      </c>
      <c r="B249" s="1106" t="s">
        <v>2025</v>
      </c>
      <c r="C249" s="1611" t="s">
        <v>143</v>
      </c>
      <c r="D249" s="1611"/>
      <c r="E249" s="1611"/>
      <c r="F249" s="1611"/>
      <c r="G249" s="131" t="s">
        <v>144</v>
      </c>
      <c r="H249" s="101"/>
      <c r="I249" s="101">
        <v>10000</v>
      </c>
      <c r="J249" s="101">
        <v>10000</v>
      </c>
      <c r="K249" s="102">
        <v>10000</v>
      </c>
      <c r="L249" s="6"/>
    </row>
    <row r="250" spans="1:12" s="48" customFormat="1" ht="18" customHeight="1" x14ac:dyDescent="0.25">
      <c r="A250" s="1051" t="s">
        <v>123</v>
      </c>
      <c r="B250" s="1106" t="s">
        <v>2025</v>
      </c>
      <c r="C250" s="1611" t="s">
        <v>1543</v>
      </c>
      <c r="D250" s="1611"/>
      <c r="E250" s="1611"/>
      <c r="F250" s="1611"/>
      <c r="G250" s="131" t="s">
        <v>146</v>
      </c>
      <c r="H250" s="101"/>
      <c r="I250" s="101">
        <v>10000</v>
      </c>
      <c r="J250" s="101">
        <v>10000</v>
      </c>
      <c r="K250" s="102">
        <v>10000</v>
      </c>
      <c r="L250" s="6"/>
    </row>
    <row r="251" spans="1:12" s="48" customFormat="1" ht="18" customHeight="1" x14ac:dyDescent="0.25">
      <c r="A251" s="1051" t="s">
        <v>123</v>
      </c>
      <c r="B251" s="1106" t="s">
        <v>2025</v>
      </c>
      <c r="C251" s="1042" t="s">
        <v>1544</v>
      </c>
      <c r="D251" s="1041"/>
      <c r="E251" s="1041"/>
      <c r="F251" s="1041"/>
      <c r="G251" s="131"/>
      <c r="H251" s="101"/>
      <c r="I251" s="101"/>
      <c r="J251" s="101"/>
      <c r="K251" s="102"/>
      <c r="L251" s="6"/>
    </row>
    <row r="252" spans="1:12" s="48" customFormat="1" ht="18" customHeight="1" x14ac:dyDescent="0.25">
      <c r="A252" s="1051" t="s">
        <v>123</v>
      </c>
      <c r="B252" s="1106" t="s">
        <v>2025</v>
      </c>
      <c r="C252" s="1062" t="s">
        <v>147</v>
      </c>
      <c r="D252" s="1041"/>
      <c r="E252" s="1041"/>
      <c r="F252" s="1041"/>
      <c r="G252" s="131" t="s">
        <v>148</v>
      </c>
      <c r="H252" s="101"/>
      <c r="I252" s="101"/>
      <c r="J252" s="101"/>
      <c r="K252" s="102"/>
      <c r="L252" s="6"/>
    </row>
    <row r="253" spans="1:12" s="48" customFormat="1" ht="18" customHeight="1" x14ac:dyDescent="0.25">
      <c r="A253" s="1051" t="s">
        <v>123</v>
      </c>
      <c r="B253" s="1106" t="s">
        <v>2025</v>
      </c>
      <c r="C253" s="1611" t="s">
        <v>1545</v>
      </c>
      <c r="D253" s="1611"/>
      <c r="E253" s="1611"/>
      <c r="F253" s="1611"/>
      <c r="G253" s="131" t="s">
        <v>154</v>
      </c>
      <c r="H253" s="101"/>
      <c r="I253" s="101">
        <v>54036</v>
      </c>
      <c r="J253" s="101">
        <v>54036</v>
      </c>
      <c r="K253" s="102">
        <v>51598.080000000002</v>
      </c>
      <c r="L253" s="6"/>
    </row>
    <row r="254" spans="1:12" s="48" customFormat="1" ht="18" customHeight="1" x14ac:dyDescent="0.25">
      <c r="A254" s="1051" t="s">
        <v>123</v>
      </c>
      <c r="B254" s="1106" t="s">
        <v>2025</v>
      </c>
      <c r="C254" s="1611" t="s">
        <v>155</v>
      </c>
      <c r="D254" s="1611"/>
      <c r="E254" s="1611"/>
      <c r="F254" s="1611"/>
      <c r="G254" s="131" t="s">
        <v>156</v>
      </c>
      <c r="H254" s="101"/>
      <c r="I254" s="101">
        <v>2400</v>
      </c>
      <c r="J254" s="101">
        <v>2400</v>
      </c>
      <c r="K254" s="102">
        <v>2400</v>
      </c>
      <c r="L254" s="6"/>
    </row>
    <row r="255" spans="1:12" s="48" customFormat="1" ht="18" customHeight="1" x14ac:dyDescent="0.25">
      <c r="A255" s="1051" t="s">
        <v>123</v>
      </c>
      <c r="B255" s="1106" t="s">
        <v>2025</v>
      </c>
      <c r="C255" s="1602" t="s">
        <v>157</v>
      </c>
      <c r="D255" s="1603"/>
      <c r="E255" s="1603"/>
      <c r="F255" s="1610"/>
      <c r="G255" s="131" t="s">
        <v>158</v>
      </c>
      <c r="H255" s="101"/>
      <c r="I255" s="101">
        <v>10131.75</v>
      </c>
      <c r="J255" s="101">
        <v>10131.75</v>
      </c>
      <c r="K255" s="102">
        <v>9674.64</v>
      </c>
      <c r="L255" s="6"/>
    </row>
    <row r="256" spans="1:12" s="48" customFormat="1" ht="18" customHeight="1" x14ac:dyDescent="0.25">
      <c r="A256" s="1051" t="s">
        <v>123</v>
      </c>
      <c r="B256" s="1106" t="s">
        <v>2025</v>
      </c>
      <c r="C256" s="1611" t="s">
        <v>1546</v>
      </c>
      <c r="D256" s="1611"/>
      <c r="E256" s="1611"/>
      <c r="F256" s="1602"/>
      <c r="G256" s="131" t="s">
        <v>160</v>
      </c>
      <c r="H256" s="105"/>
      <c r="I256" s="105">
        <v>2400</v>
      </c>
      <c r="J256" s="105">
        <v>2400</v>
      </c>
      <c r="K256" s="106">
        <v>2400</v>
      </c>
      <c r="L256" s="6"/>
    </row>
    <row r="257" spans="1:12" s="48" customFormat="1" ht="18" customHeight="1" x14ac:dyDescent="0.25">
      <c r="A257" s="1051"/>
      <c r="B257" s="1041"/>
      <c r="C257" s="1620" t="s">
        <v>161</v>
      </c>
      <c r="D257" s="1620"/>
      <c r="E257" s="1620"/>
      <c r="F257" s="1621"/>
      <c r="G257" s="97"/>
      <c r="H257" s="109">
        <f>SUM(H240:H256)</f>
        <v>0</v>
      </c>
      <c r="I257" s="109">
        <f>SUM(I240:I256)</f>
        <v>674317.75</v>
      </c>
      <c r="J257" s="109">
        <f>SUM(J240:J256)</f>
        <v>674317.75</v>
      </c>
      <c r="K257" s="110">
        <f>SUM(K240:K256)</f>
        <v>647720.72</v>
      </c>
      <c r="L257" s="6"/>
    </row>
    <row r="258" spans="1:12" s="48" customFormat="1" ht="18" customHeight="1" x14ac:dyDescent="0.25">
      <c r="A258" s="1051"/>
      <c r="B258" s="1041"/>
      <c r="C258" s="1047"/>
      <c r="D258" s="1047"/>
      <c r="E258" s="1047"/>
      <c r="F258" s="1048"/>
      <c r="G258" s="97"/>
      <c r="H258" s="1158"/>
      <c r="I258" s="1158"/>
      <c r="J258" s="1158"/>
      <c r="K258" s="1157"/>
      <c r="L258" s="6"/>
    </row>
    <row r="259" spans="1:12" s="48" customFormat="1" ht="18" customHeight="1" x14ac:dyDescent="0.25">
      <c r="A259" s="1071"/>
      <c r="B259" s="1047"/>
      <c r="C259" s="1620" t="s">
        <v>162</v>
      </c>
      <c r="D259" s="1620"/>
      <c r="E259" s="1620"/>
      <c r="F259" s="1621"/>
      <c r="G259" s="97"/>
      <c r="H259" s="101"/>
      <c r="I259" s="101"/>
      <c r="J259" s="101"/>
      <c r="K259" s="102"/>
      <c r="L259" s="6"/>
    </row>
    <row r="260" spans="1:12" s="48" customFormat="1" ht="18" customHeight="1" x14ac:dyDescent="0.25">
      <c r="A260" s="1051" t="s">
        <v>163</v>
      </c>
      <c r="B260" s="1106" t="s">
        <v>2025</v>
      </c>
      <c r="C260" s="44" t="s">
        <v>353</v>
      </c>
      <c r="D260" s="113"/>
      <c r="E260" s="113"/>
      <c r="F260" s="114"/>
      <c r="G260" s="131" t="s">
        <v>165</v>
      </c>
      <c r="H260" s="101"/>
      <c r="I260" s="101">
        <v>15000</v>
      </c>
      <c r="J260" s="101">
        <v>15000</v>
      </c>
      <c r="K260" s="102">
        <v>15000</v>
      </c>
      <c r="L260" s="6"/>
    </row>
    <row r="261" spans="1:12" s="48" customFormat="1" ht="18" customHeight="1" x14ac:dyDescent="0.25">
      <c r="A261" s="1051" t="s">
        <v>163</v>
      </c>
      <c r="B261" s="1106" t="s">
        <v>2025</v>
      </c>
      <c r="C261" s="44" t="s">
        <v>166</v>
      </c>
      <c r="D261" s="113"/>
      <c r="E261" s="113"/>
      <c r="F261" s="114"/>
      <c r="G261" s="131"/>
      <c r="H261" s="101"/>
      <c r="I261" s="101"/>
      <c r="J261" s="101"/>
      <c r="K261" s="102">
        <v>15000</v>
      </c>
      <c r="L261" s="6"/>
    </row>
    <row r="262" spans="1:12" s="48" customFormat="1" ht="18" customHeight="1" x14ac:dyDescent="0.25">
      <c r="A262" s="1051" t="s">
        <v>163</v>
      </c>
      <c r="B262" s="1106" t="s">
        <v>2025</v>
      </c>
      <c r="C262" s="44" t="s">
        <v>168</v>
      </c>
      <c r="D262" s="113"/>
      <c r="E262" s="113"/>
      <c r="F262" s="114"/>
      <c r="G262" s="131" t="s">
        <v>169</v>
      </c>
      <c r="H262" s="101"/>
      <c r="I262" s="101">
        <v>41483</v>
      </c>
      <c r="J262" s="101">
        <v>41483</v>
      </c>
      <c r="K262" s="102">
        <v>41483</v>
      </c>
      <c r="L262" s="6"/>
    </row>
    <row r="263" spans="1:12" s="48" customFormat="1" ht="18" customHeight="1" x14ac:dyDescent="0.25">
      <c r="A263" s="1051" t="s">
        <v>163</v>
      </c>
      <c r="B263" s="1106" t="s">
        <v>2025</v>
      </c>
      <c r="C263" s="44" t="s">
        <v>213</v>
      </c>
      <c r="D263" s="113"/>
      <c r="E263" s="113"/>
      <c r="F263" s="114"/>
      <c r="G263" s="131" t="s">
        <v>171</v>
      </c>
      <c r="H263" s="101"/>
      <c r="I263" s="101">
        <v>48758.3</v>
      </c>
      <c r="J263" s="101">
        <v>48758.3</v>
      </c>
      <c r="K263" s="102">
        <v>48758.3</v>
      </c>
      <c r="L263" s="6"/>
    </row>
    <row r="264" spans="1:12" s="48" customFormat="1" ht="18" customHeight="1" x14ac:dyDescent="0.25">
      <c r="A264" s="1051" t="s">
        <v>163</v>
      </c>
      <c r="B264" s="1106" t="s">
        <v>2025</v>
      </c>
      <c r="C264" s="44" t="s">
        <v>178</v>
      </c>
      <c r="D264" s="113"/>
      <c r="E264" s="113"/>
      <c r="F264" s="114"/>
      <c r="G264" s="131" t="s">
        <v>179</v>
      </c>
      <c r="H264" s="101"/>
      <c r="I264" s="101"/>
      <c r="J264" s="101"/>
      <c r="K264" s="102"/>
      <c r="L264" s="6"/>
    </row>
    <row r="265" spans="1:12" s="48" customFormat="1" ht="18" customHeight="1" x14ac:dyDescent="0.25">
      <c r="A265" s="1051" t="s">
        <v>163</v>
      </c>
      <c r="B265" s="1106" t="s">
        <v>2025</v>
      </c>
      <c r="C265" s="44" t="s">
        <v>182</v>
      </c>
      <c r="D265" s="113"/>
      <c r="E265" s="113"/>
      <c r="F265" s="114"/>
      <c r="G265" s="131" t="s">
        <v>183</v>
      </c>
      <c r="H265" s="101"/>
      <c r="I265" s="101">
        <v>48000</v>
      </c>
      <c r="J265" s="101">
        <v>48000</v>
      </c>
      <c r="K265" s="102">
        <v>48000</v>
      </c>
      <c r="L265" s="6"/>
    </row>
    <row r="266" spans="1:12" s="48" customFormat="1" ht="18" customHeight="1" x14ac:dyDescent="0.25">
      <c r="A266" s="1051" t="s">
        <v>163</v>
      </c>
      <c r="B266" s="1106" t="s">
        <v>2025</v>
      </c>
      <c r="C266" s="44" t="s">
        <v>186</v>
      </c>
      <c r="D266" s="113"/>
      <c r="E266" s="113"/>
      <c r="F266" s="114"/>
      <c r="G266" s="131" t="s">
        <v>187</v>
      </c>
      <c r="H266" s="101"/>
      <c r="I266" s="101">
        <v>20000</v>
      </c>
      <c r="J266" s="101">
        <v>20000</v>
      </c>
      <c r="K266" s="102">
        <v>20000</v>
      </c>
      <c r="L266" s="6"/>
    </row>
    <row r="267" spans="1:12" s="48" customFormat="1" ht="18" customHeight="1" x14ac:dyDescent="0.25">
      <c r="A267" s="1051" t="s">
        <v>163</v>
      </c>
      <c r="B267" s="1106" t="s">
        <v>2025</v>
      </c>
      <c r="C267" s="44" t="s">
        <v>198</v>
      </c>
      <c r="D267" s="113"/>
      <c r="E267" s="113"/>
      <c r="F267" s="114"/>
      <c r="G267" s="131" t="s">
        <v>199</v>
      </c>
      <c r="H267" s="101"/>
      <c r="I267" s="101">
        <v>168504</v>
      </c>
      <c r="J267" s="101">
        <v>168504</v>
      </c>
      <c r="K267" s="102">
        <v>168504</v>
      </c>
      <c r="L267" s="6"/>
    </row>
    <row r="268" spans="1:12" s="48" customFormat="1" ht="18" customHeight="1" x14ac:dyDescent="0.25">
      <c r="A268" s="1051"/>
      <c r="B268" s="1041"/>
      <c r="C268" s="129" t="s">
        <v>1551</v>
      </c>
      <c r="D268" s="113"/>
      <c r="E268" s="113"/>
      <c r="F268" s="113"/>
      <c r="G268" s="131"/>
      <c r="H268" s="101"/>
      <c r="I268" s="101"/>
      <c r="J268" s="101"/>
      <c r="K268" s="102"/>
      <c r="L268" s="6"/>
    </row>
    <row r="269" spans="1:12" ht="18" x14ac:dyDescent="0.25">
      <c r="A269" s="1051" t="s">
        <v>2024</v>
      </c>
      <c r="B269" s="1106" t="s">
        <v>2025</v>
      </c>
      <c r="C269" s="38" t="s">
        <v>1563</v>
      </c>
      <c r="D269" s="157"/>
      <c r="E269" s="199"/>
      <c r="F269" s="184"/>
      <c r="G269" s="100"/>
      <c r="H269" s="101"/>
      <c r="I269" s="101">
        <v>2127240</v>
      </c>
      <c r="J269" s="101">
        <v>2127240</v>
      </c>
      <c r="K269" s="102">
        <v>1228986</v>
      </c>
    </row>
    <row r="270" spans="1:12" ht="18" x14ac:dyDescent="0.25">
      <c r="A270" s="1051" t="s">
        <v>2024</v>
      </c>
      <c r="B270" s="1106" t="s">
        <v>2025</v>
      </c>
      <c r="C270" s="1088" t="s">
        <v>1564</v>
      </c>
      <c r="D270" s="157"/>
      <c r="E270" s="157"/>
      <c r="F270" s="393"/>
      <c r="G270" s="100"/>
      <c r="H270" s="101"/>
      <c r="I270" s="101">
        <v>75000</v>
      </c>
      <c r="J270" s="101">
        <v>75000</v>
      </c>
      <c r="K270" s="102">
        <v>100000</v>
      </c>
    </row>
    <row r="271" spans="1:12" ht="18" x14ac:dyDescent="0.25">
      <c r="A271" s="1051" t="s">
        <v>2024</v>
      </c>
      <c r="B271" s="1106" t="s">
        <v>2025</v>
      </c>
      <c r="C271" s="38" t="s">
        <v>1565</v>
      </c>
      <c r="D271" s="157"/>
      <c r="E271" s="157"/>
      <c r="F271" s="393"/>
      <c r="G271" s="100"/>
      <c r="H271" s="101"/>
      <c r="I271" s="101">
        <v>50000</v>
      </c>
      <c r="J271" s="101">
        <v>50000</v>
      </c>
      <c r="K271" s="102">
        <v>100000</v>
      </c>
    </row>
    <row r="272" spans="1:12" ht="18" x14ac:dyDescent="0.25">
      <c r="A272" s="1051" t="s">
        <v>2024</v>
      </c>
      <c r="B272" s="1106" t="s">
        <v>2025</v>
      </c>
      <c r="C272" s="38" t="s">
        <v>1566</v>
      </c>
      <c r="D272" s="303"/>
      <c r="E272" s="303"/>
      <c r="F272" s="393"/>
      <c r="G272" s="100"/>
      <c r="H272" s="101"/>
      <c r="I272" s="101">
        <v>792000</v>
      </c>
      <c r="J272" s="101">
        <v>792000</v>
      </c>
      <c r="K272" s="102">
        <v>792000</v>
      </c>
    </row>
    <row r="273" spans="1:12" s="48" customFormat="1" ht="18" customHeight="1" x14ac:dyDescent="0.25">
      <c r="A273" s="1051" t="s">
        <v>123</v>
      </c>
      <c r="B273" s="1041" t="s">
        <v>1388</v>
      </c>
      <c r="C273" s="1611" t="s">
        <v>124</v>
      </c>
      <c r="D273" s="1611"/>
      <c r="E273" s="1611"/>
      <c r="F273" s="1602"/>
      <c r="G273" s="131" t="s">
        <v>125</v>
      </c>
      <c r="H273" s="101"/>
      <c r="I273" s="101">
        <v>1043484</v>
      </c>
      <c r="J273" s="101">
        <v>1043484</v>
      </c>
      <c r="K273" s="102">
        <v>1001196</v>
      </c>
      <c r="L273" s="6"/>
    </row>
    <row r="274" spans="1:12" s="48" customFormat="1" ht="18" customHeight="1" x14ac:dyDescent="0.25">
      <c r="A274" s="1051" t="s">
        <v>123</v>
      </c>
      <c r="B274" s="1041" t="s">
        <v>1388</v>
      </c>
      <c r="C274" s="1611" t="s">
        <v>126</v>
      </c>
      <c r="D274" s="1611"/>
      <c r="E274" s="1611"/>
      <c r="F274" s="1602"/>
      <c r="G274" s="131" t="s">
        <v>127</v>
      </c>
      <c r="H274" s="101"/>
      <c r="I274" s="101">
        <v>149628</v>
      </c>
      <c r="J274" s="101">
        <v>149628</v>
      </c>
      <c r="K274" s="102">
        <v>143928</v>
      </c>
      <c r="L274" s="6"/>
    </row>
    <row r="275" spans="1:12" s="48" customFormat="1" ht="18" customHeight="1" x14ac:dyDescent="0.25">
      <c r="A275" s="1051" t="s">
        <v>123</v>
      </c>
      <c r="B275" s="1041" t="s">
        <v>1388</v>
      </c>
      <c r="C275" s="1611" t="s">
        <v>129</v>
      </c>
      <c r="D275" s="1611"/>
      <c r="E275" s="1611"/>
      <c r="F275" s="1602"/>
      <c r="G275" s="132" t="s">
        <v>130</v>
      </c>
      <c r="H275" s="101"/>
      <c r="I275" s="101">
        <v>120000</v>
      </c>
      <c r="J275" s="101">
        <v>120000</v>
      </c>
      <c r="K275" s="102">
        <v>120000</v>
      </c>
      <c r="L275" s="6"/>
    </row>
    <row r="276" spans="1:12" s="48" customFormat="1" ht="18" customHeight="1" x14ac:dyDescent="0.25">
      <c r="A276" s="1051" t="s">
        <v>123</v>
      </c>
      <c r="B276" s="1041" t="s">
        <v>1388</v>
      </c>
      <c r="C276" s="1611" t="s">
        <v>135</v>
      </c>
      <c r="D276" s="1611"/>
      <c r="E276" s="1611"/>
      <c r="F276" s="1602"/>
      <c r="G276" s="131" t="s">
        <v>136</v>
      </c>
      <c r="H276" s="101"/>
      <c r="I276" s="101">
        <v>116000</v>
      </c>
      <c r="J276" s="101">
        <v>116000</v>
      </c>
      <c r="K276" s="102">
        <v>116000</v>
      </c>
      <c r="L276" s="6"/>
    </row>
    <row r="277" spans="1:12" s="48" customFormat="1" ht="18" customHeight="1" x14ac:dyDescent="0.25">
      <c r="A277" s="1051" t="s">
        <v>123</v>
      </c>
      <c r="B277" s="1041" t="s">
        <v>1388</v>
      </c>
      <c r="C277" s="1602" t="s">
        <v>137</v>
      </c>
      <c r="D277" s="1603"/>
      <c r="E277" s="1603"/>
      <c r="F277" s="1603"/>
      <c r="G277" s="131" t="s">
        <v>138</v>
      </c>
      <c r="H277" s="101"/>
      <c r="I277" s="101">
        <v>30000</v>
      </c>
      <c r="J277" s="101">
        <v>30000</v>
      </c>
      <c r="K277" s="102">
        <v>30000</v>
      </c>
      <c r="L277" s="6"/>
    </row>
    <row r="278" spans="1:12" s="48" customFormat="1" ht="18" customHeight="1" x14ac:dyDescent="0.25">
      <c r="A278" s="1051" t="s">
        <v>123</v>
      </c>
      <c r="B278" s="1041" t="s">
        <v>1388</v>
      </c>
      <c r="C278" s="1602" t="s">
        <v>1567</v>
      </c>
      <c r="D278" s="1603"/>
      <c r="E278" s="1603"/>
      <c r="F278" s="1603"/>
      <c r="G278" s="131"/>
      <c r="H278" s="101"/>
      <c r="I278" s="101"/>
      <c r="J278" s="101"/>
      <c r="K278" s="102">
        <v>658221.56000000006</v>
      </c>
      <c r="L278" s="6"/>
    </row>
    <row r="279" spans="1:12" s="48" customFormat="1" ht="18" customHeight="1" x14ac:dyDescent="0.25">
      <c r="A279" s="1051" t="s">
        <v>123</v>
      </c>
      <c r="B279" s="1041" t="s">
        <v>1388</v>
      </c>
      <c r="C279" s="1602" t="s">
        <v>1541</v>
      </c>
      <c r="D279" s="1603"/>
      <c r="E279" s="1603"/>
      <c r="F279" s="1603"/>
      <c r="G279" s="131" t="s">
        <v>140</v>
      </c>
      <c r="H279" s="101"/>
      <c r="I279" s="101">
        <v>99426</v>
      </c>
      <c r="J279" s="101">
        <v>99426</v>
      </c>
      <c r="K279" s="102">
        <v>95427</v>
      </c>
      <c r="L279" s="6"/>
    </row>
    <row r="280" spans="1:12" s="48" customFormat="1" ht="18" customHeight="1" x14ac:dyDescent="0.25">
      <c r="A280" s="1051" t="s">
        <v>123</v>
      </c>
      <c r="B280" s="1041" t="s">
        <v>1388</v>
      </c>
      <c r="C280" s="1602" t="s">
        <v>141</v>
      </c>
      <c r="D280" s="1603"/>
      <c r="E280" s="1603"/>
      <c r="F280" s="1603"/>
      <c r="G280" s="131" t="s">
        <v>142</v>
      </c>
      <c r="H280" s="101"/>
      <c r="I280" s="101">
        <v>99426</v>
      </c>
      <c r="J280" s="101">
        <v>99426</v>
      </c>
      <c r="K280" s="102">
        <v>95427</v>
      </c>
      <c r="L280" s="6"/>
    </row>
    <row r="281" spans="1:12" s="48" customFormat="1" ht="18" customHeight="1" x14ac:dyDescent="0.25">
      <c r="A281" s="1051" t="s">
        <v>123</v>
      </c>
      <c r="B281" s="1041" t="s">
        <v>1388</v>
      </c>
      <c r="C281" s="1602" t="s">
        <v>1542</v>
      </c>
      <c r="D281" s="1603"/>
      <c r="E281" s="1603"/>
      <c r="F281" s="1603"/>
      <c r="G281" s="131" t="s">
        <v>140</v>
      </c>
      <c r="H281" s="101"/>
      <c r="I281" s="101"/>
      <c r="J281" s="101"/>
      <c r="K281" s="102"/>
      <c r="L281" s="6"/>
    </row>
    <row r="282" spans="1:12" s="48" customFormat="1" ht="18" customHeight="1" x14ac:dyDescent="0.25">
      <c r="A282" s="1051" t="s">
        <v>123</v>
      </c>
      <c r="B282" s="1041" t="s">
        <v>1388</v>
      </c>
      <c r="C282" s="1602" t="s">
        <v>143</v>
      </c>
      <c r="D282" s="1603"/>
      <c r="E282" s="1603"/>
      <c r="F282" s="1603"/>
      <c r="G282" s="131" t="s">
        <v>144</v>
      </c>
      <c r="H282" s="101"/>
      <c r="I282" s="101">
        <v>25000</v>
      </c>
      <c r="J282" s="101">
        <v>25000</v>
      </c>
      <c r="K282" s="102">
        <v>25000</v>
      </c>
      <c r="L282" s="6"/>
    </row>
    <row r="283" spans="1:12" s="48" customFormat="1" ht="18" customHeight="1" x14ac:dyDescent="0.25">
      <c r="A283" s="1051" t="s">
        <v>123</v>
      </c>
      <c r="B283" s="1041" t="s">
        <v>1388</v>
      </c>
      <c r="C283" s="1602" t="s">
        <v>1543</v>
      </c>
      <c r="D283" s="1603"/>
      <c r="E283" s="1603"/>
      <c r="F283" s="1610"/>
      <c r="G283" s="131" t="s">
        <v>146</v>
      </c>
      <c r="H283" s="101"/>
      <c r="I283" s="101">
        <v>25000</v>
      </c>
      <c r="J283" s="101">
        <v>25000</v>
      </c>
      <c r="K283" s="102">
        <v>25000</v>
      </c>
      <c r="L283" s="6"/>
    </row>
    <row r="284" spans="1:12" s="48" customFormat="1" ht="18" customHeight="1" x14ac:dyDescent="0.25">
      <c r="A284" s="1051" t="s">
        <v>123</v>
      </c>
      <c r="B284" s="1041" t="s">
        <v>1388</v>
      </c>
      <c r="C284" s="1045" t="s">
        <v>1568</v>
      </c>
      <c r="D284" s="1041"/>
      <c r="E284" s="1041"/>
      <c r="F284" s="1041"/>
      <c r="G284" s="131" t="s">
        <v>232</v>
      </c>
      <c r="H284" s="101"/>
      <c r="I284" s="101"/>
      <c r="J284" s="101"/>
      <c r="K284" s="102"/>
      <c r="L284" s="6"/>
    </row>
    <row r="285" spans="1:12" s="48" customFormat="1" ht="18" customHeight="1" x14ac:dyDescent="0.25">
      <c r="A285" s="1051" t="s">
        <v>123</v>
      </c>
      <c r="B285" s="1041" t="s">
        <v>1388</v>
      </c>
      <c r="C285" s="1062" t="s">
        <v>147</v>
      </c>
      <c r="D285" s="1041"/>
      <c r="E285" s="1041"/>
      <c r="F285" s="1041"/>
      <c r="G285" s="131" t="s">
        <v>148</v>
      </c>
      <c r="H285" s="101"/>
      <c r="I285" s="101"/>
      <c r="J285" s="101"/>
      <c r="K285" s="102"/>
      <c r="L285" s="6"/>
    </row>
    <row r="286" spans="1:12" s="48" customFormat="1" ht="18" customHeight="1" x14ac:dyDescent="0.25">
      <c r="A286" s="1051" t="s">
        <v>123</v>
      </c>
      <c r="B286" s="1041" t="s">
        <v>1388</v>
      </c>
      <c r="C286" s="1045" t="s">
        <v>149</v>
      </c>
      <c r="D286" s="1041"/>
      <c r="E286" s="1041"/>
      <c r="F286" s="1041"/>
      <c r="G286" s="131" t="s">
        <v>150</v>
      </c>
      <c r="H286" s="101"/>
      <c r="I286" s="101"/>
      <c r="J286" s="101"/>
      <c r="K286" s="102"/>
      <c r="L286" s="6"/>
    </row>
    <row r="287" spans="1:12" s="48" customFormat="1" ht="18" customHeight="1" x14ac:dyDescent="0.25">
      <c r="A287" s="1051" t="s">
        <v>123</v>
      </c>
      <c r="B287" s="1041" t="s">
        <v>1388</v>
      </c>
      <c r="C287" s="1611" t="s">
        <v>1544</v>
      </c>
      <c r="D287" s="1611"/>
      <c r="E287" s="1611"/>
      <c r="F287" s="1602"/>
      <c r="G287" s="131" t="s">
        <v>148</v>
      </c>
      <c r="H287" s="101"/>
      <c r="I287" s="101"/>
      <c r="J287" s="101"/>
      <c r="K287" s="102"/>
      <c r="L287" s="6"/>
    </row>
    <row r="288" spans="1:12" s="48" customFormat="1" ht="18" customHeight="1" x14ac:dyDescent="0.25">
      <c r="A288" s="1051" t="s">
        <v>123</v>
      </c>
      <c r="B288" s="1041" t="s">
        <v>1388</v>
      </c>
      <c r="C288" s="1602" t="s">
        <v>1545</v>
      </c>
      <c r="D288" s="1603"/>
      <c r="E288" s="1603"/>
      <c r="F288" s="1603"/>
      <c r="G288" s="131" t="s">
        <v>154</v>
      </c>
      <c r="H288" s="101"/>
      <c r="I288" s="101">
        <v>143173.44</v>
      </c>
      <c r="J288" s="101">
        <v>143173.44</v>
      </c>
      <c r="K288" s="102">
        <v>137414.88</v>
      </c>
      <c r="L288" s="6"/>
    </row>
    <row r="289" spans="1:12" s="48" customFormat="1" ht="18" customHeight="1" x14ac:dyDescent="0.25">
      <c r="A289" s="1051" t="s">
        <v>123</v>
      </c>
      <c r="B289" s="1041" t="s">
        <v>1388</v>
      </c>
      <c r="C289" s="1602" t="s">
        <v>155</v>
      </c>
      <c r="D289" s="1603"/>
      <c r="E289" s="1603"/>
      <c r="F289" s="1603"/>
      <c r="G289" s="131" t="s">
        <v>156</v>
      </c>
      <c r="H289" s="101"/>
      <c r="I289" s="101">
        <v>6000</v>
      </c>
      <c r="J289" s="101">
        <v>6000</v>
      </c>
      <c r="K289" s="102">
        <v>6000</v>
      </c>
      <c r="L289" s="6"/>
    </row>
    <row r="290" spans="1:12" s="48" customFormat="1" ht="18" customHeight="1" x14ac:dyDescent="0.25">
      <c r="A290" s="1051" t="s">
        <v>123</v>
      </c>
      <c r="B290" s="1041" t="s">
        <v>1388</v>
      </c>
      <c r="C290" s="1602" t="s">
        <v>157</v>
      </c>
      <c r="D290" s="1603"/>
      <c r="E290" s="1603"/>
      <c r="F290" s="1603"/>
      <c r="G290" s="131" t="s">
        <v>158</v>
      </c>
      <c r="H290" s="101"/>
      <c r="I290" s="101">
        <v>26845.02</v>
      </c>
      <c r="J290" s="101">
        <v>26845.02</v>
      </c>
      <c r="K290" s="102">
        <v>25765.29</v>
      </c>
      <c r="L290" s="6"/>
    </row>
    <row r="291" spans="1:12" s="48" customFormat="1" ht="18" customHeight="1" x14ac:dyDescent="0.25">
      <c r="A291" s="1051" t="s">
        <v>123</v>
      </c>
      <c r="B291" s="1041" t="s">
        <v>1388</v>
      </c>
      <c r="C291" s="1611" t="s">
        <v>1546</v>
      </c>
      <c r="D291" s="1611"/>
      <c r="E291" s="1611"/>
      <c r="F291" s="1602"/>
      <c r="G291" s="131" t="s">
        <v>160</v>
      </c>
      <c r="H291" s="101"/>
      <c r="I291" s="101">
        <v>6000</v>
      </c>
      <c r="J291" s="101">
        <v>6000</v>
      </c>
      <c r="K291" s="106">
        <v>6000</v>
      </c>
      <c r="L291" s="6"/>
    </row>
    <row r="292" spans="1:12" s="48" customFormat="1" ht="18" customHeight="1" x14ac:dyDescent="0.25">
      <c r="A292" s="1051"/>
      <c r="B292" s="1041"/>
      <c r="C292" s="1620" t="s">
        <v>161</v>
      </c>
      <c r="D292" s="1620"/>
      <c r="E292" s="1620"/>
      <c r="F292" s="1621"/>
      <c r="G292" s="97"/>
      <c r="H292" s="119">
        <f>SUM(H273:H291)</f>
        <v>0</v>
      </c>
      <c r="I292" s="119">
        <f>SUM(I273:I291)</f>
        <v>1889982.46</v>
      </c>
      <c r="J292" s="119">
        <f>SUM(J273:J291)</f>
        <v>1889982.46</v>
      </c>
      <c r="K292" s="110">
        <f>SUM(K273:K291)</f>
        <v>2485379.73</v>
      </c>
      <c r="L292" s="6"/>
    </row>
    <row r="293" spans="1:12" s="48" customFormat="1" ht="18" customHeight="1" x14ac:dyDescent="0.25">
      <c r="A293" s="1051"/>
      <c r="B293" s="1041"/>
      <c r="C293" s="1047"/>
      <c r="D293" s="1047"/>
      <c r="E293" s="1047"/>
      <c r="F293" s="1048"/>
      <c r="G293" s="97"/>
      <c r="H293" s="155"/>
      <c r="I293" s="155"/>
      <c r="J293" s="155"/>
      <c r="K293" s="156"/>
      <c r="L293" s="6"/>
    </row>
    <row r="294" spans="1:12" s="48" customFormat="1" ht="18" customHeight="1" x14ac:dyDescent="0.25">
      <c r="A294" s="1071"/>
      <c r="B294" s="1047"/>
      <c r="C294" s="1621" t="s">
        <v>162</v>
      </c>
      <c r="D294" s="1666"/>
      <c r="E294" s="1666"/>
      <c r="F294" s="1666"/>
      <c r="G294" s="97"/>
      <c r="H294" s="101"/>
      <c r="I294" s="101"/>
      <c r="J294" s="101"/>
      <c r="K294" s="102"/>
      <c r="L294" s="6"/>
    </row>
    <row r="295" spans="1:12" s="48" customFormat="1" ht="18" customHeight="1" x14ac:dyDescent="0.25">
      <c r="A295" s="1051" t="s">
        <v>163</v>
      </c>
      <c r="B295" s="1041" t="s">
        <v>1388</v>
      </c>
      <c r="C295" s="44" t="s">
        <v>353</v>
      </c>
      <c r="D295" s="113"/>
      <c r="E295" s="113"/>
      <c r="F295" s="114"/>
      <c r="G295" s="131" t="s">
        <v>165</v>
      </c>
      <c r="H295" s="101"/>
      <c r="I295" s="101">
        <v>200000</v>
      </c>
      <c r="J295" s="101">
        <v>200000</v>
      </c>
      <c r="K295" s="102">
        <v>200000</v>
      </c>
      <c r="L295" s="6"/>
    </row>
    <row r="296" spans="1:12" s="48" customFormat="1" ht="18" customHeight="1" x14ac:dyDescent="0.25">
      <c r="A296" s="1051" t="s">
        <v>163</v>
      </c>
      <c r="B296" s="1041" t="s">
        <v>1388</v>
      </c>
      <c r="C296" s="44" t="s">
        <v>166</v>
      </c>
      <c r="D296" s="113"/>
      <c r="E296" s="113"/>
      <c r="F296" s="114"/>
      <c r="G296" s="131"/>
      <c r="H296" s="101"/>
      <c r="I296" s="101"/>
      <c r="J296" s="101"/>
      <c r="K296" s="102">
        <v>50000</v>
      </c>
      <c r="L296" s="6"/>
    </row>
    <row r="297" spans="1:12" s="48" customFormat="1" ht="18" customHeight="1" x14ac:dyDescent="0.25">
      <c r="A297" s="1051" t="s">
        <v>163</v>
      </c>
      <c r="B297" s="1041" t="s">
        <v>1388</v>
      </c>
      <c r="C297" s="44" t="s">
        <v>168</v>
      </c>
      <c r="D297" s="113"/>
      <c r="E297" s="113"/>
      <c r="F297" s="114"/>
      <c r="G297" s="131" t="s">
        <v>169</v>
      </c>
      <c r="H297" s="101"/>
      <c r="I297" s="101">
        <v>103538</v>
      </c>
      <c r="J297" s="101">
        <v>103538</v>
      </c>
      <c r="K297" s="102">
        <v>70000</v>
      </c>
      <c r="L297" s="6"/>
    </row>
    <row r="298" spans="1:12" s="48" customFormat="1" ht="17.100000000000001" customHeight="1" x14ac:dyDescent="0.25">
      <c r="A298" s="1051" t="s">
        <v>163</v>
      </c>
      <c r="B298" s="1041" t="s">
        <v>1388</v>
      </c>
      <c r="C298" s="44" t="s">
        <v>233</v>
      </c>
      <c r="D298" s="113"/>
      <c r="E298" s="113"/>
      <c r="F298" s="114"/>
      <c r="G298" s="131" t="s">
        <v>171</v>
      </c>
      <c r="H298" s="101"/>
      <c r="I298" s="101">
        <f>89000+26722.5</f>
        <v>115722.5</v>
      </c>
      <c r="J298" s="101">
        <f>89000+26722.5</f>
        <v>115722.5</v>
      </c>
      <c r="K298" s="102">
        <v>100000</v>
      </c>
      <c r="L298" s="6"/>
    </row>
    <row r="299" spans="1:12" s="48" customFormat="1" ht="18" customHeight="1" x14ac:dyDescent="0.25">
      <c r="A299" s="1051" t="s">
        <v>163</v>
      </c>
      <c r="B299" s="1041" t="s">
        <v>1388</v>
      </c>
      <c r="C299" s="44" t="s">
        <v>178</v>
      </c>
      <c r="D299" s="113"/>
      <c r="E299" s="113"/>
      <c r="F299" s="114"/>
      <c r="G299" s="131" t="s">
        <v>179</v>
      </c>
      <c r="H299" s="101"/>
      <c r="I299" s="101">
        <v>30000</v>
      </c>
      <c r="J299" s="101">
        <v>30000</v>
      </c>
      <c r="K299" s="102">
        <v>30000</v>
      </c>
      <c r="L299" s="6"/>
    </row>
    <row r="300" spans="1:12" s="48" customFormat="1" ht="18" customHeight="1" x14ac:dyDescent="0.25">
      <c r="A300" s="1051" t="s">
        <v>163</v>
      </c>
      <c r="B300" s="1041" t="s">
        <v>1388</v>
      </c>
      <c r="C300" s="44" t="s">
        <v>182</v>
      </c>
      <c r="D300" s="113"/>
      <c r="E300" s="113"/>
      <c r="F300" s="114"/>
      <c r="G300" s="131" t="s">
        <v>183</v>
      </c>
      <c r="H300" s="101"/>
      <c r="I300" s="101">
        <v>30000</v>
      </c>
      <c r="J300" s="101">
        <v>30000</v>
      </c>
      <c r="K300" s="102">
        <v>30000</v>
      </c>
      <c r="L300" s="6"/>
    </row>
    <row r="301" spans="1:12" s="48" customFormat="1" ht="18" customHeight="1" x14ac:dyDescent="0.25">
      <c r="A301" s="1051" t="s">
        <v>163</v>
      </c>
      <c r="B301" s="1041" t="s">
        <v>1388</v>
      </c>
      <c r="C301" s="1062" t="s">
        <v>235</v>
      </c>
      <c r="D301" s="1041"/>
      <c r="E301" s="1041"/>
      <c r="F301" s="1039"/>
      <c r="G301" s="131" t="s">
        <v>187</v>
      </c>
      <c r="H301" s="101"/>
      <c r="I301" s="101">
        <v>40000</v>
      </c>
      <c r="J301" s="101">
        <v>40000</v>
      </c>
      <c r="K301" s="102">
        <v>40000</v>
      </c>
      <c r="L301" s="6"/>
    </row>
    <row r="302" spans="1:12" s="48" customFormat="1" ht="18" customHeight="1" x14ac:dyDescent="0.25">
      <c r="A302" s="1051" t="s">
        <v>163</v>
      </c>
      <c r="B302" s="1041" t="s">
        <v>1388</v>
      </c>
      <c r="C302" s="44" t="s">
        <v>236</v>
      </c>
      <c r="D302" s="113"/>
      <c r="E302" s="113"/>
      <c r="F302" s="114"/>
      <c r="G302" s="131" t="s">
        <v>237</v>
      </c>
      <c r="H302" s="101"/>
      <c r="I302" s="101">
        <v>5000</v>
      </c>
      <c r="J302" s="101">
        <v>5000</v>
      </c>
      <c r="K302" s="102"/>
      <c r="L302" s="6"/>
    </row>
    <row r="303" spans="1:12" s="48" customFormat="1" ht="18" customHeight="1" x14ac:dyDescent="0.25">
      <c r="A303" s="1051" t="s">
        <v>163</v>
      </c>
      <c r="B303" s="1041" t="s">
        <v>1388</v>
      </c>
      <c r="C303" s="44" t="s">
        <v>1569</v>
      </c>
      <c r="D303" s="113"/>
      <c r="E303" s="113"/>
      <c r="F303" s="114"/>
      <c r="G303" s="131" t="s">
        <v>199</v>
      </c>
      <c r="H303" s="102"/>
      <c r="I303" s="102">
        <v>420000</v>
      </c>
      <c r="J303" s="102">
        <v>420000</v>
      </c>
      <c r="K303" s="102">
        <v>420000</v>
      </c>
      <c r="L303" s="6"/>
    </row>
    <row r="304" spans="1:12" s="48" customFormat="1" ht="18" customHeight="1" x14ac:dyDescent="0.25">
      <c r="A304" s="1051"/>
      <c r="B304" s="1041"/>
      <c r="C304" s="129" t="s">
        <v>1551</v>
      </c>
      <c r="D304" s="113"/>
      <c r="E304" s="113"/>
      <c r="F304" s="114"/>
      <c r="G304" s="131"/>
      <c r="H304" s="101"/>
      <c r="I304" s="101"/>
      <c r="J304" s="101"/>
      <c r="K304" s="102"/>
      <c r="L304" s="6"/>
    </row>
    <row r="305" spans="1:12" s="146" customFormat="1" ht="15.75" customHeight="1" x14ac:dyDescent="0.25">
      <c r="A305" s="1051" t="s">
        <v>2019</v>
      </c>
      <c r="B305" s="1041" t="s">
        <v>1388</v>
      </c>
      <c r="C305" s="38" t="s">
        <v>1570</v>
      </c>
      <c r="D305" s="157"/>
      <c r="E305" s="199"/>
      <c r="F305" s="38"/>
      <c r="G305" s="100"/>
      <c r="H305" s="101"/>
      <c r="I305" s="101">
        <v>3000000</v>
      </c>
      <c r="J305" s="101">
        <v>3000000</v>
      </c>
      <c r="K305" s="102">
        <v>3000000</v>
      </c>
      <c r="L305" s="10"/>
    </row>
    <row r="306" spans="1:12" s="146" customFormat="1" ht="18" x14ac:dyDescent="0.25">
      <c r="A306" s="1051" t="s">
        <v>2019</v>
      </c>
      <c r="B306" s="1041" t="s">
        <v>1388</v>
      </c>
      <c r="C306" s="38" t="s">
        <v>1571</v>
      </c>
      <c r="D306" s="184"/>
      <c r="E306" s="184"/>
      <c r="F306" s="184"/>
      <c r="G306" s="100"/>
      <c r="H306" s="101"/>
      <c r="I306" s="101">
        <v>300000</v>
      </c>
      <c r="J306" s="101">
        <v>300000</v>
      </c>
      <c r="K306" s="102">
        <v>200000</v>
      </c>
      <c r="L306" s="10"/>
    </row>
    <row r="307" spans="1:12" s="146" customFormat="1" ht="18" x14ac:dyDescent="0.25">
      <c r="A307" s="1051" t="s">
        <v>2019</v>
      </c>
      <c r="B307" s="1041" t="s">
        <v>1388</v>
      </c>
      <c r="C307" s="38" t="s">
        <v>1572</v>
      </c>
      <c r="D307" s="421"/>
      <c r="E307" s="184"/>
      <c r="F307" s="421"/>
      <c r="G307" s="100"/>
      <c r="H307" s="101"/>
      <c r="I307" s="101">
        <v>240000</v>
      </c>
      <c r="J307" s="101">
        <v>240000</v>
      </c>
      <c r="K307" s="102">
        <v>150000</v>
      </c>
      <c r="L307" s="10"/>
    </row>
    <row r="308" spans="1:12" s="146" customFormat="1" ht="18" x14ac:dyDescent="0.25">
      <c r="A308" s="1051" t="s">
        <v>2019</v>
      </c>
      <c r="B308" s="1041" t="s">
        <v>1388</v>
      </c>
      <c r="C308" s="38" t="s">
        <v>1573</v>
      </c>
      <c r="D308" s="421"/>
      <c r="E308" s="184"/>
      <c r="F308" s="421"/>
      <c r="G308" s="100"/>
      <c r="H308" s="101"/>
      <c r="I308" s="101">
        <v>42000</v>
      </c>
      <c r="J308" s="101">
        <v>42000</v>
      </c>
      <c r="K308" s="102">
        <v>42000</v>
      </c>
      <c r="L308" s="10"/>
    </row>
    <row r="309" spans="1:12" s="146" customFormat="1" ht="18" x14ac:dyDescent="0.25">
      <c r="A309" s="1051" t="s">
        <v>2019</v>
      </c>
      <c r="B309" s="1041" t="s">
        <v>1388</v>
      </c>
      <c r="C309" s="38" t="s">
        <v>1574</v>
      </c>
      <c r="D309" s="421"/>
      <c r="E309" s="184"/>
      <c r="F309" s="421"/>
      <c r="G309" s="100"/>
      <c r="H309" s="101"/>
      <c r="I309" s="101">
        <v>213000</v>
      </c>
      <c r="J309" s="101">
        <v>213000</v>
      </c>
      <c r="K309" s="102">
        <v>213000</v>
      </c>
      <c r="L309" s="10"/>
    </row>
    <row r="310" spans="1:12" s="146" customFormat="1" ht="18" x14ac:dyDescent="0.25">
      <c r="A310" s="1051" t="s">
        <v>2019</v>
      </c>
      <c r="B310" s="1041" t="s">
        <v>1388</v>
      </c>
      <c r="C310" s="38" t="s">
        <v>1575</v>
      </c>
      <c r="D310" s="421"/>
      <c r="E310" s="184"/>
      <c r="F310" s="421"/>
      <c r="G310" s="100"/>
      <c r="H310" s="101"/>
      <c r="I310" s="101">
        <v>45000</v>
      </c>
      <c r="J310" s="101">
        <v>45000</v>
      </c>
      <c r="K310" s="102">
        <v>45000</v>
      </c>
      <c r="L310" s="10"/>
    </row>
    <row r="311" spans="1:12" s="146" customFormat="1" ht="18" x14ac:dyDescent="0.25">
      <c r="A311" s="1051" t="s">
        <v>2019</v>
      </c>
      <c r="B311" s="1041" t="s">
        <v>1388</v>
      </c>
      <c r="C311" s="38" t="s">
        <v>1576</v>
      </c>
      <c r="D311" s="421"/>
      <c r="E311" s="184"/>
      <c r="F311" s="421"/>
      <c r="G311" s="100"/>
      <c r="H311" s="101"/>
      <c r="I311" s="101">
        <v>67000</v>
      </c>
      <c r="J311" s="101">
        <v>67000</v>
      </c>
      <c r="K311" s="102">
        <v>67000</v>
      </c>
      <c r="L311" s="10"/>
    </row>
    <row r="312" spans="1:12" s="146" customFormat="1" ht="18" x14ac:dyDescent="0.25">
      <c r="A312" s="1051" t="s">
        <v>2019</v>
      </c>
      <c r="B312" s="1041" t="s">
        <v>1388</v>
      </c>
      <c r="C312" s="38" t="s">
        <v>1577</v>
      </c>
      <c r="D312" s="421"/>
      <c r="E312" s="184"/>
      <c r="F312" s="421"/>
      <c r="G312" s="100"/>
      <c r="H312" s="101"/>
      <c r="I312" s="101">
        <v>45000</v>
      </c>
      <c r="J312" s="101">
        <v>45000</v>
      </c>
      <c r="K312" s="102">
        <v>45000</v>
      </c>
      <c r="L312" s="10"/>
    </row>
    <row r="313" spans="1:12" s="146" customFormat="1" ht="18" x14ac:dyDescent="0.25">
      <c r="A313" s="1051" t="s">
        <v>2019</v>
      </c>
      <c r="B313" s="1041" t="s">
        <v>1388</v>
      </c>
      <c r="C313" s="38" t="s">
        <v>1578</v>
      </c>
      <c r="D313" s="421"/>
      <c r="E313" s="184"/>
      <c r="F313" s="421"/>
      <c r="G313" s="100"/>
      <c r="H313" s="101"/>
      <c r="I313" s="101">
        <v>59000</v>
      </c>
      <c r="J313" s="101">
        <v>59000</v>
      </c>
      <c r="K313" s="102">
        <v>59000</v>
      </c>
      <c r="L313" s="10"/>
    </row>
    <row r="314" spans="1:12" s="146" customFormat="1" ht="18" x14ac:dyDescent="0.25">
      <c r="A314" s="1051" t="s">
        <v>2019</v>
      </c>
      <c r="B314" s="1041" t="s">
        <v>1388</v>
      </c>
      <c r="C314" s="38" t="s">
        <v>1579</v>
      </c>
      <c r="D314" s="421"/>
      <c r="E314" s="184"/>
      <c r="F314" s="421"/>
      <c r="G314" s="100"/>
      <c r="H314" s="101"/>
      <c r="I314" s="101">
        <v>250000</v>
      </c>
      <c r="J314" s="101">
        <v>250000</v>
      </c>
      <c r="K314" s="102">
        <v>250000</v>
      </c>
      <c r="L314" s="10"/>
    </row>
    <row r="315" spans="1:12" s="146" customFormat="1" ht="18" x14ac:dyDescent="0.25">
      <c r="A315" s="1051" t="s">
        <v>2019</v>
      </c>
      <c r="B315" s="1041" t="s">
        <v>1388</v>
      </c>
      <c r="C315" s="38" t="s">
        <v>1580</v>
      </c>
      <c r="D315" s="421"/>
      <c r="E315" s="184"/>
      <c r="F315" s="421"/>
      <c r="G315" s="100"/>
      <c r="H315" s="101"/>
      <c r="I315" s="101">
        <v>460000</v>
      </c>
      <c r="J315" s="101">
        <v>460000</v>
      </c>
      <c r="K315" s="102">
        <v>460000</v>
      </c>
      <c r="L315" s="10"/>
    </row>
    <row r="316" spans="1:12" s="146" customFormat="1" ht="18" x14ac:dyDescent="0.25">
      <c r="A316" s="1051" t="s">
        <v>2019</v>
      </c>
      <c r="B316" s="1041" t="s">
        <v>1388</v>
      </c>
      <c r="C316" s="38" t="s">
        <v>1581</v>
      </c>
      <c r="D316" s="421"/>
      <c r="E316" s="184"/>
      <c r="F316" s="421"/>
      <c r="G316" s="100"/>
      <c r="H316" s="101"/>
      <c r="I316" s="101">
        <v>2479500</v>
      </c>
      <c r="J316" s="101">
        <v>2479500</v>
      </c>
      <c r="K316" s="102">
        <v>2000000</v>
      </c>
      <c r="L316" s="10"/>
    </row>
    <row r="317" spans="1:12" s="146" customFormat="1" ht="18" x14ac:dyDescent="0.25">
      <c r="A317" s="1051" t="s">
        <v>2019</v>
      </c>
      <c r="B317" s="1041" t="s">
        <v>1388</v>
      </c>
      <c r="C317" s="38" t="s">
        <v>1582</v>
      </c>
      <c r="D317" s="204"/>
      <c r="E317" s="184"/>
      <c r="F317" s="204"/>
      <c r="G317" s="100"/>
      <c r="H317" s="101"/>
      <c r="I317" s="101">
        <v>1670000</v>
      </c>
      <c r="J317" s="101">
        <v>1670000</v>
      </c>
      <c r="K317" s="102">
        <v>1670000</v>
      </c>
      <c r="L317" s="10"/>
    </row>
    <row r="318" spans="1:12" s="146" customFormat="1" ht="18" x14ac:dyDescent="0.25">
      <c r="A318" s="1051" t="s">
        <v>2019</v>
      </c>
      <c r="B318" s="1041" t="s">
        <v>1388</v>
      </c>
      <c r="C318" s="1088" t="s">
        <v>1583</v>
      </c>
      <c r="D318" s="204"/>
      <c r="E318" s="422"/>
      <c r="F318" s="204"/>
      <c r="G318" s="100"/>
      <c r="H318" s="101"/>
      <c r="I318" s="101">
        <v>4821000</v>
      </c>
      <c r="J318" s="101">
        <v>4821000</v>
      </c>
      <c r="K318" s="102">
        <v>4821000</v>
      </c>
      <c r="L318" s="10"/>
    </row>
    <row r="319" spans="1:12" s="146" customFormat="1" ht="18" x14ac:dyDescent="0.25">
      <c r="A319" s="1051" t="s">
        <v>2019</v>
      </c>
      <c r="B319" s="1041" t="s">
        <v>1388</v>
      </c>
      <c r="C319" s="1088" t="s">
        <v>1584</v>
      </c>
      <c r="D319" s="204"/>
      <c r="E319" s="422"/>
      <c r="F319" s="204"/>
      <c r="G319" s="100"/>
      <c r="H319" s="101"/>
      <c r="I319" s="101">
        <v>400000</v>
      </c>
      <c r="J319" s="101">
        <v>400000</v>
      </c>
      <c r="K319" s="102">
        <v>400000</v>
      </c>
      <c r="L319" s="10"/>
    </row>
    <row r="320" spans="1:12" s="146" customFormat="1" ht="18" x14ac:dyDescent="0.25">
      <c r="A320" s="1051" t="s">
        <v>2019</v>
      </c>
      <c r="B320" s="1041" t="s">
        <v>1388</v>
      </c>
      <c r="C320" s="38" t="s">
        <v>1585</v>
      </c>
      <c r="D320" s="184"/>
      <c r="E320" s="184"/>
      <c r="F320" s="184"/>
      <c r="G320" s="100"/>
      <c r="H320" s="101"/>
      <c r="I320" s="101">
        <v>120000</v>
      </c>
      <c r="J320" s="101">
        <v>120000</v>
      </c>
      <c r="K320" s="102">
        <v>120000</v>
      </c>
      <c r="L320" s="10"/>
    </row>
    <row r="321" spans="1:12" s="146" customFormat="1" ht="18" x14ac:dyDescent="0.25">
      <c r="A321" s="1051" t="s">
        <v>2019</v>
      </c>
      <c r="B321" s="1041" t="s">
        <v>1388</v>
      </c>
      <c r="C321" s="38" t="s">
        <v>1586</v>
      </c>
      <c r="D321" s="204"/>
      <c r="E321" s="184"/>
      <c r="F321" s="204"/>
      <c r="G321" s="100"/>
      <c r="H321" s="101"/>
      <c r="I321" s="101">
        <v>170000</v>
      </c>
      <c r="J321" s="101">
        <v>170000</v>
      </c>
      <c r="K321" s="102">
        <v>170000</v>
      </c>
      <c r="L321" s="10"/>
    </row>
    <row r="322" spans="1:12" s="146" customFormat="1" ht="18" x14ac:dyDescent="0.25">
      <c r="A322" s="1051" t="s">
        <v>2019</v>
      </c>
      <c r="B322" s="1041" t="s">
        <v>1388</v>
      </c>
      <c r="C322" s="38" t="s">
        <v>1587</v>
      </c>
      <c r="D322" s="204"/>
      <c r="E322" s="184"/>
      <c r="F322" s="204"/>
      <c r="G322" s="100"/>
      <c r="H322" s="101"/>
      <c r="I322" s="101">
        <v>1160000</v>
      </c>
      <c r="J322" s="101">
        <v>1160000</v>
      </c>
      <c r="K322" s="102">
        <v>1000000</v>
      </c>
      <c r="L322" s="10"/>
    </row>
    <row r="323" spans="1:12" s="146" customFormat="1" ht="18" x14ac:dyDescent="0.25">
      <c r="A323" s="1051" t="s">
        <v>2019</v>
      </c>
      <c r="B323" s="1041" t="s">
        <v>1388</v>
      </c>
      <c r="C323" s="38" t="s">
        <v>1588</v>
      </c>
      <c r="D323" s="393"/>
      <c r="E323" s="184"/>
      <c r="F323" s="393"/>
      <c r="G323" s="100"/>
      <c r="H323" s="101"/>
      <c r="I323" s="101">
        <v>80000</v>
      </c>
      <c r="J323" s="101">
        <v>80000</v>
      </c>
      <c r="K323" s="102">
        <v>80000</v>
      </c>
      <c r="L323" s="10"/>
    </row>
    <row r="324" spans="1:12" s="48" customFormat="1" ht="18" customHeight="1" x14ac:dyDescent="0.25">
      <c r="A324" s="1051" t="s">
        <v>123</v>
      </c>
      <c r="B324" s="1041" t="s">
        <v>1317</v>
      </c>
      <c r="C324" s="1602" t="s">
        <v>124</v>
      </c>
      <c r="D324" s="1603"/>
      <c r="E324" s="1603"/>
      <c r="F324" s="1603"/>
      <c r="G324" s="100" t="s">
        <v>125</v>
      </c>
      <c r="H324" s="101"/>
      <c r="I324" s="101">
        <v>748884</v>
      </c>
      <c r="J324" s="101">
        <v>748884</v>
      </c>
      <c r="K324" s="102">
        <v>717420</v>
      </c>
      <c r="L324" s="6"/>
    </row>
    <row r="325" spans="1:12" s="48" customFormat="1" ht="18" customHeight="1" x14ac:dyDescent="0.25">
      <c r="A325" s="1051" t="s">
        <v>123</v>
      </c>
      <c r="B325" s="1041" t="s">
        <v>1317</v>
      </c>
      <c r="C325" s="1602" t="s">
        <v>126</v>
      </c>
      <c r="D325" s="1603"/>
      <c r="E325" s="1603"/>
      <c r="F325" s="1603"/>
      <c r="G325" s="100" t="s">
        <v>127</v>
      </c>
      <c r="H325" s="101"/>
      <c r="I325" s="101">
        <v>149628</v>
      </c>
      <c r="J325" s="101">
        <v>149628</v>
      </c>
      <c r="K325" s="102">
        <v>143928</v>
      </c>
      <c r="L325" s="6"/>
    </row>
    <row r="326" spans="1:12" s="48" customFormat="1" ht="18" customHeight="1" x14ac:dyDescent="0.25">
      <c r="A326" s="1051" t="s">
        <v>123</v>
      </c>
      <c r="B326" s="1041" t="s">
        <v>1317</v>
      </c>
      <c r="C326" s="1602" t="s">
        <v>129</v>
      </c>
      <c r="D326" s="1603"/>
      <c r="E326" s="1603"/>
      <c r="F326" s="1603"/>
      <c r="G326" s="103" t="s">
        <v>130</v>
      </c>
      <c r="H326" s="101"/>
      <c r="I326" s="101">
        <v>96000</v>
      </c>
      <c r="J326" s="101">
        <v>96000</v>
      </c>
      <c r="K326" s="102">
        <v>96000</v>
      </c>
      <c r="L326" s="6"/>
    </row>
    <row r="327" spans="1:12" s="48" customFormat="1" ht="18" customHeight="1" x14ac:dyDescent="0.25">
      <c r="A327" s="1051" t="s">
        <v>123</v>
      </c>
      <c r="B327" s="1041" t="s">
        <v>1317</v>
      </c>
      <c r="C327" s="1062" t="s">
        <v>135</v>
      </c>
      <c r="D327" s="1041"/>
      <c r="E327" s="1041"/>
      <c r="F327" s="1039"/>
      <c r="G327" s="100" t="s">
        <v>136</v>
      </c>
      <c r="H327" s="102"/>
      <c r="I327" s="1154">
        <v>62788.800000000003</v>
      </c>
      <c r="J327" s="1154">
        <v>62788.800000000003</v>
      </c>
      <c r="K327" s="102">
        <v>62788.800000000003</v>
      </c>
      <c r="L327" s="6"/>
    </row>
    <row r="328" spans="1:12" s="48" customFormat="1" ht="18" customHeight="1" x14ac:dyDescent="0.25">
      <c r="A328" s="1051" t="s">
        <v>123</v>
      </c>
      <c r="B328" s="1041" t="s">
        <v>1317</v>
      </c>
      <c r="C328" s="1602" t="s">
        <v>137</v>
      </c>
      <c r="D328" s="1603"/>
      <c r="E328" s="1603"/>
      <c r="F328" s="1603"/>
      <c r="G328" s="100" t="s">
        <v>138</v>
      </c>
      <c r="H328" s="101"/>
      <c r="I328" s="101">
        <v>24000</v>
      </c>
      <c r="J328" s="101">
        <v>24000</v>
      </c>
      <c r="K328" s="102">
        <v>24000</v>
      </c>
      <c r="L328" s="6"/>
    </row>
    <row r="329" spans="1:12" s="48" customFormat="1" ht="18" customHeight="1" x14ac:dyDescent="0.25">
      <c r="A329" s="1051" t="s">
        <v>123</v>
      </c>
      <c r="B329" s="1041" t="s">
        <v>1317</v>
      </c>
      <c r="C329" s="1602" t="s">
        <v>1541</v>
      </c>
      <c r="D329" s="1603"/>
      <c r="E329" s="1603"/>
      <c r="F329" s="1603"/>
      <c r="G329" s="100" t="s">
        <v>140</v>
      </c>
      <c r="H329" s="101"/>
      <c r="I329" s="101">
        <v>74876</v>
      </c>
      <c r="J329" s="101">
        <v>74876</v>
      </c>
      <c r="K329" s="102">
        <v>71779</v>
      </c>
      <c r="L329" s="6"/>
    </row>
    <row r="330" spans="1:12" s="48" customFormat="1" ht="18" customHeight="1" x14ac:dyDescent="0.25">
      <c r="A330" s="1051" t="s">
        <v>123</v>
      </c>
      <c r="B330" s="1041" t="s">
        <v>1317</v>
      </c>
      <c r="C330" s="1602" t="s">
        <v>141</v>
      </c>
      <c r="D330" s="1603"/>
      <c r="E330" s="1603"/>
      <c r="F330" s="1603"/>
      <c r="G330" s="100" t="s">
        <v>142</v>
      </c>
      <c r="H330" s="101"/>
      <c r="I330" s="101">
        <v>74876</v>
      </c>
      <c r="J330" s="101">
        <v>74876</v>
      </c>
      <c r="K330" s="102">
        <v>71779</v>
      </c>
      <c r="L330" s="6"/>
    </row>
    <row r="331" spans="1:12" s="48" customFormat="1" ht="18" customHeight="1" x14ac:dyDescent="0.25">
      <c r="A331" s="1051" t="s">
        <v>123</v>
      </c>
      <c r="B331" s="1041" t="s">
        <v>1317</v>
      </c>
      <c r="C331" s="1602" t="s">
        <v>1542</v>
      </c>
      <c r="D331" s="1603"/>
      <c r="E331" s="1603"/>
      <c r="F331" s="1603"/>
      <c r="G331" s="100"/>
      <c r="H331" s="101"/>
      <c r="I331" s="101"/>
      <c r="J331" s="101"/>
      <c r="K331" s="102"/>
      <c r="L331" s="6"/>
    </row>
    <row r="332" spans="1:12" s="48" customFormat="1" ht="18" customHeight="1" x14ac:dyDescent="0.25">
      <c r="A332" s="1051" t="s">
        <v>123</v>
      </c>
      <c r="B332" s="1041" t="s">
        <v>1317</v>
      </c>
      <c r="C332" s="1602" t="s">
        <v>143</v>
      </c>
      <c r="D332" s="1603"/>
      <c r="E332" s="1603"/>
      <c r="F332" s="1603"/>
      <c r="G332" s="100" t="s">
        <v>144</v>
      </c>
      <c r="H332" s="101"/>
      <c r="I332" s="101">
        <v>20000</v>
      </c>
      <c r="J332" s="101">
        <v>20000</v>
      </c>
      <c r="K332" s="102">
        <v>20000</v>
      </c>
      <c r="L332" s="6"/>
    </row>
    <row r="333" spans="1:12" s="48" customFormat="1" ht="18" customHeight="1" x14ac:dyDescent="0.25">
      <c r="A333" s="1051" t="s">
        <v>123</v>
      </c>
      <c r="B333" s="1041" t="s">
        <v>1317</v>
      </c>
      <c r="C333" s="1602" t="s">
        <v>1543</v>
      </c>
      <c r="D333" s="1603"/>
      <c r="E333" s="1603"/>
      <c r="F333" s="1603"/>
      <c r="G333" s="100" t="s">
        <v>146</v>
      </c>
      <c r="H333" s="101"/>
      <c r="I333" s="101">
        <v>20000</v>
      </c>
      <c r="J333" s="101">
        <v>20000</v>
      </c>
      <c r="K333" s="102">
        <v>20000</v>
      </c>
      <c r="L333" s="6"/>
    </row>
    <row r="334" spans="1:12" s="48" customFormat="1" ht="18" customHeight="1" x14ac:dyDescent="0.25">
      <c r="A334" s="1051" t="s">
        <v>123</v>
      </c>
      <c r="B334" s="1041" t="s">
        <v>1317</v>
      </c>
      <c r="C334" s="1062" t="s">
        <v>147</v>
      </c>
      <c r="D334" s="1041"/>
      <c r="E334" s="1041"/>
      <c r="F334" s="1039"/>
      <c r="G334" s="100" t="s">
        <v>148</v>
      </c>
      <c r="H334" s="101"/>
      <c r="I334" s="101"/>
      <c r="J334" s="101"/>
      <c r="K334" s="102"/>
      <c r="L334" s="6"/>
    </row>
    <row r="335" spans="1:12" s="48" customFormat="1" ht="18" customHeight="1" x14ac:dyDescent="0.25">
      <c r="A335" s="1051" t="s">
        <v>123</v>
      </c>
      <c r="B335" s="1041" t="s">
        <v>1317</v>
      </c>
      <c r="C335" s="1045" t="s">
        <v>149</v>
      </c>
      <c r="D335" s="1041"/>
      <c r="E335" s="1041"/>
      <c r="F335" s="1039"/>
      <c r="G335" s="100" t="s">
        <v>150</v>
      </c>
      <c r="H335" s="101"/>
      <c r="I335" s="101"/>
      <c r="J335" s="101"/>
      <c r="K335" s="102"/>
      <c r="L335" s="6"/>
    </row>
    <row r="336" spans="1:12" s="48" customFormat="1" ht="18" customHeight="1" x14ac:dyDescent="0.25">
      <c r="A336" s="1051" t="s">
        <v>123</v>
      </c>
      <c r="B336" s="1041" t="s">
        <v>1317</v>
      </c>
      <c r="C336" s="1611" t="s">
        <v>1544</v>
      </c>
      <c r="D336" s="1611"/>
      <c r="E336" s="1611"/>
      <c r="F336" s="1602"/>
      <c r="G336" s="100" t="s">
        <v>148</v>
      </c>
      <c r="H336" s="101"/>
      <c r="I336" s="101"/>
      <c r="J336" s="101"/>
      <c r="K336" s="102"/>
      <c r="L336" s="6"/>
    </row>
    <row r="337" spans="1:12" s="48" customFormat="1" ht="18" customHeight="1" x14ac:dyDescent="0.25">
      <c r="A337" s="1051" t="s">
        <v>123</v>
      </c>
      <c r="B337" s="1041" t="s">
        <v>1317</v>
      </c>
      <c r="C337" s="1602" t="s">
        <v>1545</v>
      </c>
      <c r="D337" s="1603"/>
      <c r="E337" s="1603"/>
      <c r="F337" s="1603"/>
      <c r="G337" s="100" t="s">
        <v>154</v>
      </c>
      <c r="H337" s="101"/>
      <c r="I337" s="101">
        <v>107821.44</v>
      </c>
      <c r="J337" s="101">
        <v>107821.44</v>
      </c>
      <c r="K337" s="102">
        <v>103361.76</v>
      </c>
      <c r="L337" s="6"/>
    </row>
    <row r="338" spans="1:12" s="48" customFormat="1" ht="18" customHeight="1" x14ac:dyDescent="0.25">
      <c r="A338" s="1051" t="s">
        <v>123</v>
      </c>
      <c r="B338" s="1041" t="s">
        <v>1317</v>
      </c>
      <c r="C338" s="1602" t="s">
        <v>155</v>
      </c>
      <c r="D338" s="1603"/>
      <c r="E338" s="1603"/>
      <c r="F338" s="1603"/>
      <c r="G338" s="100" t="s">
        <v>156</v>
      </c>
      <c r="H338" s="101"/>
      <c r="I338" s="101">
        <v>4800</v>
      </c>
      <c r="J338" s="101">
        <v>4800</v>
      </c>
      <c r="K338" s="102">
        <v>4800</v>
      </c>
      <c r="L338" s="6"/>
    </row>
    <row r="339" spans="1:12" s="48" customFormat="1" ht="18" customHeight="1" x14ac:dyDescent="0.25">
      <c r="A339" s="1051" t="s">
        <v>123</v>
      </c>
      <c r="B339" s="1041" t="s">
        <v>1317</v>
      </c>
      <c r="C339" s="1602" t="s">
        <v>157</v>
      </c>
      <c r="D339" s="1603"/>
      <c r="E339" s="1603"/>
      <c r="F339" s="1603"/>
      <c r="G339" s="100" t="s">
        <v>158</v>
      </c>
      <c r="H339" s="101"/>
      <c r="I339" s="101">
        <v>20216.52</v>
      </c>
      <c r="J339" s="101">
        <v>20216.52</v>
      </c>
      <c r="K339" s="102">
        <v>19380.330000000002</v>
      </c>
      <c r="L339" s="6"/>
    </row>
    <row r="340" spans="1:12" s="48" customFormat="1" ht="18" customHeight="1" x14ac:dyDescent="0.25">
      <c r="A340" s="1051" t="s">
        <v>123</v>
      </c>
      <c r="B340" s="1041" t="s">
        <v>1317</v>
      </c>
      <c r="C340" s="1602" t="s">
        <v>1546</v>
      </c>
      <c r="D340" s="1603"/>
      <c r="E340" s="1603"/>
      <c r="F340" s="1603"/>
      <c r="G340" s="100" t="s">
        <v>160</v>
      </c>
      <c r="H340" s="105"/>
      <c r="I340" s="105">
        <v>4800</v>
      </c>
      <c r="J340" s="105">
        <v>4800</v>
      </c>
      <c r="K340" s="106">
        <v>4800</v>
      </c>
      <c r="L340" s="6"/>
    </row>
    <row r="341" spans="1:12" s="48" customFormat="1" ht="18" customHeight="1" x14ac:dyDescent="0.25">
      <c r="A341" s="1051" t="s">
        <v>163</v>
      </c>
      <c r="B341" s="1041" t="s">
        <v>1317</v>
      </c>
      <c r="C341" s="44" t="s">
        <v>353</v>
      </c>
      <c r="D341" s="113"/>
      <c r="E341" s="113"/>
      <c r="F341" s="114"/>
      <c r="G341" s="100" t="s">
        <v>165</v>
      </c>
      <c r="H341" s="101"/>
      <c r="I341" s="101">
        <v>30000</v>
      </c>
      <c r="J341" s="101">
        <v>30000</v>
      </c>
      <c r="K341" s="102">
        <v>20000</v>
      </c>
      <c r="L341" s="6"/>
    </row>
    <row r="342" spans="1:12" s="48" customFormat="1" ht="18" customHeight="1" x14ac:dyDescent="0.25">
      <c r="A342" s="1051" t="s">
        <v>163</v>
      </c>
      <c r="B342" s="1041" t="s">
        <v>1317</v>
      </c>
      <c r="C342" s="44" t="s">
        <v>166</v>
      </c>
      <c r="D342" s="113"/>
      <c r="E342" s="113"/>
      <c r="F342" s="114"/>
      <c r="G342" s="100"/>
      <c r="H342" s="101"/>
      <c r="I342" s="101"/>
      <c r="J342" s="101"/>
      <c r="K342" s="102">
        <v>50000</v>
      </c>
      <c r="L342" s="6"/>
    </row>
    <row r="343" spans="1:12" s="48" customFormat="1" ht="18" customHeight="1" x14ac:dyDescent="0.25">
      <c r="A343" s="1051" t="s">
        <v>163</v>
      </c>
      <c r="B343" s="1041" t="s">
        <v>1317</v>
      </c>
      <c r="C343" s="44" t="s">
        <v>168</v>
      </c>
      <c r="D343" s="113"/>
      <c r="E343" s="113"/>
      <c r="F343" s="114"/>
      <c r="G343" s="100" t="s">
        <v>169</v>
      </c>
      <c r="H343" s="101"/>
      <c r="I343" s="101">
        <v>93941.5</v>
      </c>
      <c r="J343" s="101">
        <v>93941.5</v>
      </c>
      <c r="K343" s="102">
        <v>93941.5</v>
      </c>
      <c r="L343" s="6"/>
    </row>
    <row r="344" spans="1:12" s="48" customFormat="1" ht="18" customHeight="1" x14ac:dyDescent="0.25">
      <c r="A344" s="1051" t="s">
        <v>163</v>
      </c>
      <c r="B344" s="1041" t="s">
        <v>1317</v>
      </c>
      <c r="C344" s="44" t="s">
        <v>213</v>
      </c>
      <c r="D344" s="113"/>
      <c r="E344" s="113"/>
      <c r="F344" s="114"/>
      <c r="G344" s="100" t="s">
        <v>171</v>
      </c>
      <c r="H344" s="101"/>
      <c r="I344" s="102">
        <v>34078</v>
      </c>
      <c r="J344" s="102">
        <v>34078</v>
      </c>
      <c r="K344" s="102">
        <v>11616</v>
      </c>
      <c r="L344" s="6"/>
    </row>
    <row r="345" spans="1:12" s="48" customFormat="1" ht="18" customHeight="1" x14ac:dyDescent="0.25">
      <c r="A345" s="1051" t="s">
        <v>163</v>
      </c>
      <c r="B345" s="1041" t="s">
        <v>1317</v>
      </c>
      <c r="C345" s="44" t="s">
        <v>178</v>
      </c>
      <c r="D345" s="157"/>
      <c r="E345" s="113"/>
      <c r="F345" s="114"/>
      <c r="G345" s="100" t="s">
        <v>179</v>
      </c>
      <c r="H345" s="102"/>
      <c r="I345" s="102">
        <v>24000</v>
      </c>
      <c r="J345" s="102">
        <v>24000</v>
      </c>
      <c r="K345" s="102">
        <v>24000</v>
      </c>
      <c r="L345" s="6"/>
    </row>
    <row r="346" spans="1:12" s="48" customFormat="1" ht="18" customHeight="1" x14ac:dyDescent="0.25">
      <c r="A346" s="1051" t="s">
        <v>163</v>
      </c>
      <c r="B346" s="1041" t="s">
        <v>1317</v>
      </c>
      <c r="C346" s="44" t="s">
        <v>186</v>
      </c>
      <c r="D346" s="113"/>
      <c r="E346" s="113"/>
      <c r="F346" s="114"/>
      <c r="G346" s="100" t="s">
        <v>187</v>
      </c>
      <c r="H346" s="101"/>
      <c r="I346" s="101">
        <v>10000</v>
      </c>
      <c r="J346" s="101">
        <v>10000</v>
      </c>
      <c r="K346" s="102">
        <v>10000</v>
      </c>
      <c r="L346" s="6"/>
    </row>
    <row r="347" spans="1:12" s="48" customFormat="1" ht="18" customHeight="1" x14ac:dyDescent="0.25">
      <c r="A347" s="1051" t="s">
        <v>163</v>
      </c>
      <c r="B347" s="1041" t="s">
        <v>1317</v>
      </c>
      <c r="C347" s="44" t="s">
        <v>198</v>
      </c>
      <c r="D347" s="113"/>
      <c r="E347" s="113"/>
      <c r="F347" s="114"/>
      <c r="G347" s="100" t="s">
        <v>199</v>
      </c>
      <c r="H347" s="105"/>
      <c r="I347" s="105">
        <v>5000</v>
      </c>
      <c r="J347" s="105">
        <v>5000</v>
      </c>
      <c r="K347" s="106">
        <v>5000</v>
      </c>
      <c r="L347" s="6"/>
    </row>
    <row r="348" spans="1:12" s="48" customFormat="1" ht="17.100000000000001" customHeight="1" x14ac:dyDescent="0.25">
      <c r="A348" s="1051" t="s">
        <v>123</v>
      </c>
      <c r="B348" s="1041" t="s">
        <v>1317</v>
      </c>
      <c r="C348" s="1611" t="s">
        <v>124</v>
      </c>
      <c r="D348" s="1611"/>
      <c r="E348" s="1611"/>
      <c r="F348" s="1602"/>
      <c r="G348" s="100" t="s">
        <v>125</v>
      </c>
      <c r="H348" s="101"/>
      <c r="I348" s="101">
        <v>952224</v>
      </c>
      <c r="J348" s="101">
        <v>952224</v>
      </c>
      <c r="K348" s="102">
        <v>909672</v>
      </c>
      <c r="L348" s="6"/>
    </row>
    <row r="349" spans="1:12" s="48" customFormat="1" ht="17.100000000000001" customHeight="1" x14ac:dyDescent="0.25">
      <c r="A349" s="1051" t="s">
        <v>123</v>
      </c>
      <c r="B349" s="1041" t="s">
        <v>1317</v>
      </c>
      <c r="C349" s="1611" t="s">
        <v>129</v>
      </c>
      <c r="D349" s="1611"/>
      <c r="E349" s="1611"/>
      <c r="F349" s="1602"/>
      <c r="G349" s="103" t="s">
        <v>130</v>
      </c>
      <c r="H349" s="101"/>
      <c r="I349" s="101">
        <v>96000</v>
      </c>
      <c r="J349" s="101">
        <v>96000</v>
      </c>
      <c r="K349" s="102">
        <v>96000</v>
      </c>
      <c r="L349" s="6"/>
    </row>
    <row r="350" spans="1:12" s="48" customFormat="1" ht="17.100000000000001" customHeight="1" x14ac:dyDescent="0.25">
      <c r="A350" s="1051" t="s">
        <v>123</v>
      </c>
      <c r="B350" s="1041" t="s">
        <v>1317</v>
      </c>
      <c r="C350" s="1611" t="s">
        <v>135</v>
      </c>
      <c r="D350" s="1611"/>
      <c r="E350" s="1611"/>
      <c r="F350" s="1602"/>
      <c r="G350" s="100" t="s">
        <v>136</v>
      </c>
      <c r="H350" s="101"/>
      <c r="I350" s="101">
        <v>60730.94</v>
      </c>
      <c r="J350" s="101">
        <v>60730.94</v>
      </c>
      <c r="K350" s="102">
        <v>60730.94</v>
      </c>
      <c r="L350" s="6"/>
    </row>
    <row r="351" spans="1:12" s="48" customFormat="1" ht="17.100000000000001" customHeight="1" x14ac:dyDescent="0.25">
      <c r="A351" s="1051" t="s">
        <v>123</v>
      </c>
      <c r="B351" s="1041" t="s">
        <v>1317</v>
      </c>
      <c r="C351" s="1611" t="s">
        <v>137</v>
      </c>
      <c r="D351" s="1611"/>
      <c r="E351" s="1611"/>
      <c r="F351" s="1602"/>
      <c r="G351" s="100" t="s">
        <v>138</v>
      </c>
      <c r="H351" s="101"/>
      <c r="I351" s="101">
        <v>24000</v>
      </c>
      <c r="J351" s="101">
        <v>24000</v>
      </c>
      <c r="K351" s="102">
        <v>24000</v>
      </c>
      <c r="L351" s="6"/>
    </row>
    <row r="352" spans="1:12" s="48" customFormat="1" ht="17.100000000000001" customHeight="1" x14ac:dyDescent="0.25">
      <c r="A352" s="1051" t="s">
        <v>123</v>
      </c>
      <c r="B352" s="1041" t="s">
        <v>1317</v>
      </c>
      <c r="C352" s="1611" t="s">
        <v>1541</v>
      </c>
      <c r="D352" s="1611"/>
      <c r="E352" s="1611"/>
      <c r="F352" s="1602"/>
      <c r="G352" s="100" t="s">
        <v>140</v>
      </c>
      <c r="H352" s="101"/>
      <c r="I352" s="101">
        <v>79352</v>
      </c>
      <c r="J352" s="101">
        <v>79352</v>
      </c>
      <c r="K352" s="102">
        <v>75806</v>
      </c>
      <c r="L352" s="6"/>
    </row>
    <row r="353" spans="1:12" s="48" customFormat="1" ht="17.100000000000001" customHeight="1" x14ac:dyDescent="0.25">
      <c r="A353" s="1051" t="s">
        <v>123</v>
      </c>
      <c r="B353" s="1041" t="s">
        <v>1317</v>
      </c>
      <c r="C353" s="1611" t="s">
        <v>141</v>
      </c>
      <c r="D353" s="1611"/>
      <c r="E353" s="1611"/>
      <c r="F353" s="1602"/>
      <c r="G353" s="100" t="s">
        <v>142</v>
      </c>
      <c r="H353" s="101"/>
      <c r="I353" s="101">
        <v>79352</v>
      </c>
      <c r="J353" s="101">
        <v>79352</v>
      </c>
      <c r="K353" s="102">
        <v>75806</v>
      </c>
      <c r="L353" s="6"/>
    </row>
    <row r="354" spans="1:12" s="48" customFormat="1" ht="17.100000000000001" customHeight="1" x14ac:dyDescent="0.25">
      <c r="A354" s="1051" t="s">
        <v>123</v>
      </c>
      <c r="B354" s="1041" t="s">
        <v>1317</v>
      </c>
      <c r="C354" s="1611" t="s">
        <v>1542</v>
      </c>
      <c r="D354" s="1611"/>
      <c r="E354" s="1611"/>
      <c r="F354" s="1602"/>
      <c r="G354" s="100"/>
      <c r="H354" s="101"/>
      <c r="I354" s="101"/>
      <c r="J354" s="101"/>
      <c r="K354" s="102"/>
      <c r="L354" s="6"/>
    </row>
    <row r="355" spans="1:12" s="48" customFormat="1" ht="17.100000000000001" customHeight="1" x14ac:dyDescent="0.25">
      <c r="A355" s="1051" t="s">
        <v>123</v>
      </c>
      <c r="B355" s="1041" t="s">
        <v>1317</v>
      </c>
      <c r="C355" s="1611" t="s">
        <v>143</v>
      </c>
      <c r="D355" s="1611"/>
      <c r="E355" s="1611"/>
      <c r="F355" s="1602"/>
      <c r="G355" s="100" t="s">
        <v>144</v>
      </c>
      <c r="H355" s="101"/>
      <c r="I355" s="101">
        <v>20000</v>
      </c>
      <c r="J355" s="101">
        <v>20000</v>
      </c>
      <c r="K355" s="102">
        <v>20000</v>
      </c>
      <c r="L355" s="6"/>
    </row>
    <row r="356" spans="1:12" s="48" customFormat="1" ht="17.100000000000001" customHeight="1" x14ac:dyDescent="0.25">
      <c r="A356" s="1051" t="s">
        <v>123</v>
      </c>
      <c r="B356" s="1041" t="s">
        <v>1317</v>
      </c>
      <c r="C356" s="1611" t="s">
        <v>1543</v>
      </c>
      <c r="D356" s="1611"/>
      <c r="E356" s="1611"/>
      <c r="F356" s="1602"/>
      <c r="G356" s="100" t="s">
        <v>146</v>
      </c>
      <c r="H356" s="101"/>
      <c r="I356" s="101">
        <v>20000</v>
      </c>
      <c r="J356" s="101">
        <v>20000</v>
      </c>
      <c r="K356" s="102">
        <v>20000</v>
      </c>
      <c r="L356" s="6"/>
    </row>
    <row r="357" spans="1:12" s="48" customFormat="1" ht="17.100000000000001" customHeight="1" x14ac:dyDescent="0.25">
      <c r="A357" s="1051" t="s">
        <v>123</v>
      </c>
      <c r="B357" s="1041" t="s">
        <v>1317</v>
      </c>
      <c r="C357" s="1041" t="s">
        <v>1568</v>
      </c>
      <c r="D357" s="1041"/>
      <c r="E357" s="1041"/>
      <c r="F357" s="1039"/>
      <c r="G357" s="100"/>
      <c r="H357" s="101"/>
      <c r="I357" s="101"/>
      <c r="J357" s="101"/>
      <c r="K357" s="102">
        <v>10000</v>
      </c>
      <c r="L357" s="6"/>
    </row>
    <row r="358" spans="1:12" s="48" customFormat="1" ht="17.100000000000001" customHeight="1" x14ac:dyDescent="0.25">
      <c r="A358" s="1051" t="s">
        <v>123</v>
      </c>
      <c r="B358" s="1041" t="s">
        <v>1317</v>
      </c>
      <c r="C358" s="1062" t="s">
        <v>147</v>
      </c>
      <c r="D358" s="1041"/>
      <c r="E358" s="1041"/>
      <c r="F358" s="1039"/>
      <c r="G358" s="100" t="s">
        <v>148</v>
      </c>
      <c r="H358" s="101"/>
      <c r="I358" s="101"/>
      <c r="J358" s="101"/>
      <c r="K358" s="102"/>
      <c r="L358" s="6"/>
    </row>
    <row r="359" spans="1:12" s="48" customFormat="1" ht="17.100000000000001" customHeight="1" x14ac:dyDescent="0.25">
      <c r="A359" s="1051" t="s">
        <v>123</v>
      </c>
      <c r="B359" s="1041" t="s">
        <v>1317</v>
      </c>
      <c r="C359" s="1045" t="s">
        <v>247</v>
      </c>
      <c r="D359" s="1675"/>
      <c r="E359" s="1675"/>
      <c r="F359" s="1676"/>
      <c r="G359" s="100" t="s">
        <v>150</v>
      </c>
      <c r="H359" s="101"/>
      <c r="I359" s="101"/>
      <c r="J359" s="101"/>
      <c r="K359" s="102"/>
      <c r="L359" s="6"/>
    </row>
    <row r="360" spans="1:12" s="48" customFormat="1" ht="17.100000000000001" customHeight="1" x14ac:dyDescent="0.25">
      <c r="A360" s="1051" t="s">
        <v>123</v>
      </c>
      <c r="B360" s="1041" t="s">
        <v>1317</v>
      </c>
      <c r="C360" s="1611" t="s">
        <v>1544</v>
      </c>
      <c r="D360" s="1611"/>
      <c r="E360" s="1611"/>
      <c r="F360" s="1602"/>
      <c r="G360" s="100" t="s">
        <v>148</v>
      </c>
      <c r="H360" s="101"/>
      <c r="I360" s="101"/>
      <c r="J360" s="101"/>
      <c r="K360" s="102"/>
      <c r="L360" s="6"/>
    </row>
    <row r="361" spans="1:12" s="48" customFormat="1" ht="17.100000000000001" customHeight="1" x14ac:dyDescent="0.25">
      <c r="A361" s="1051" t="s">
        <v>123</v>
      </c>
      <c r="B361" s="1041" t="s">
        <v>1317</v>
      </c>
      <c r="C361" s="1611" t="s">
        <v>1545</v>
      </c>
      <c r="D361" s="1611"/>
      <c r="E361" s="1611"/>
      <c r="F361" s="1602"/>
      <c r="G361" s="100" t="s">
        <v>154</v>
      </c>
      <c r="H361" s="101"/>
      <c r="I361" s="101">
        <v>114266.88</v>
      </c>
      <c r="J361" s="101">
        <v>114266.88</v>
      </c>
      <c r="K361" s="102">
        <v>109160.64</v>
      </c>
      <c r="L361" s="6"/>
    </row>
    <row r="362" spans="1:12" s="48" customFormat="1" ht="17.100000000000001" customHeight="1" x14ac:dyDescent="0.25">
      <c r="A362" s="1051" t="s">
        <v>123</v>
      </c>
      <c r="B362" s="1041" t="s">
        <v>1317</v>
      </c>
      <c r="C362" s="1611" t="s">
        <v>155</v>
      </c>
      <c r="D362" s="1611"/>
      <c r="E362" s="1611"/>
      <c r="F362" s="1602"/>
      <c r="G362" s="100" t="s">
        <v>156</v>
      </c>
      <c r="H362" s="101"/>
      <c r="I362" s="101">
        <v>4800</v>
      </c>
      <c r="J362" s="101">
        <v>4800</v>
      </c>
      <c r="K362" s="102">
        <v>4800</v>
      </c>
      <c r="L362" s="6"/>
    </row>
    <row r="363" spans="1:12" s="48" customFormat="1" ht="17.100000000000001" customHeight="1" x14ac:dyDescent="0.25">
      <c r="A363" s="1051" t="s">
        <v>123</v>
      </c>
      <c r="B363" s="1041" t="s">
        <v>1317</v>
      </c>
      <c r="C363" s="1611" t="s">
        <v>157</v>
      </c>
      <c r="D363" s="1611"/>
      <c r="E363" s="1611"/>
      <c r="F363" s="1602"/>
      <c r="G363" s="100" t="s">
        <v>158</v>
      </c>
      <c r="H363" s="101"/>
      <c r="I363" s="101">
        <v>21425.040000000001</v>
      </c>
      <c r="J363" s="101">
        <v>21425.040000000001</v>
      </c>
      <c r="K363" s="102">
        <v>20467.62</v>
      </c>
      <c r="L363" s="6"/>
    </row>
    <row r="364" spans="1:12" s="48" customFormat="1" ht="17.100000000000001" customHeight="1" x14ac:dyDescent="0.25">
      <c r="A364" s="1051" t="s">
        <v>123</v>
      </c>
      <c r="B364" s="1041" t="s">
        <v>1317</v>
      </c>
      <c r="C364" s="1611" t="s">
        <v>1546</v>
      </c>
      <c r="D364" s="1611"/>
      <c r="E364" s="1611"/>
      <c r="F364" s="1602"/>
      <c r="G364" s="100" t="s">
        <v>160</v>
      </c>
      <c r="H364" s="105"/>
      <c r="I364" s="105">
        <v>4800</v>
      </c>
      <c r="J364" s="105">
        <v>4800</v>
      </c>
      <c r="K364" s="106">
        <v>4800</v>
      </c>
      <c r="L364" s="6"/>
    </row>
    <row r="365" spans="1:12" s="48" customFormat="1" ht="17.100000000000001" customHeight="1" x14ac:dyDescent="0.25">
      <c r="A365" s="1051" t="s">
        <v>163</v>
      </c>
      <c r="B365" s="1041" t="s">
        <v>1317</v>
      </c>
      <c r="C365" s="44" t="s">
        <v>353</v>
      </c>
      <c r="D365" s="113"/>
      <c r="E365" s="113"/>
      <c r="F365" s="114"/>
      <c r="G365" s="100" t="s">
        <v>165</v>
      </c>
      <c r="H365" s="101"/>
      <c r="I365" s="101">
        <v>25000</v>
      </c>
      <c r="J365" s="101">
        <v>25000</v>
      </c>
      <c r="K365" s="102">
        <v>25000</v>
      </c>
      <c r="L365" s="6"/>
    </row>
    <row r="366" spans="1:12" s="48" customFormat="1" ht="17.100000000000001" customHeight="1" x14ac:dyDescent="0.25">
      <c r="A366" s="1051" t="s">
        <v>163</v>
      </c>
      <c r="B366" s="1041" t="s">
        <v>1317</v>
      </c>
      <c r="C366" s="44" t="s">
        <v>166</v>
      </c>
      <c r="D366" s="113"/>
      <c r="E366" s="113"/>
      <c r="F366" s="114"/>
      <c r="G366" s="100"/>
      <c r="H366" s="101"/>
      <c r="I366" s="101"/>
      <c r="J366" s="101"/>
      <c r="K366" s="102">
        <v>50000</v>
      </c>
      <c r="L366" s="6"/>
    </row>
    <row r="367" spans="1:12" s="48" customFormat="1" ht="17.100000000000001" customHeight="1" x14ac:dyDescent="0.25">
      <c r="A367" s="1051" t="s">
        <v>163</v>
      </c>
      <c r="B367" s="1041" t="s">
        <v>1317</v>
      </c>
      <c r="C367" s="44" t="s">
        <v>168</v>
      </c>
      <c r="D367" s="113"/>
      <c r="E367" s="113"/>
      <c r="F367" s="114"/>
      <c r="G367" s="100" t="s">
        <v>169</v>
      </c>
      <c r="H367" s="101"/>
      <c r="I367" s="101">
        <v>110762.5</v>
      </c>
      <c r="J367" s="101">
        <v>110762.5</v>
      </c>
      <c r="K367" s="102">
        <v>110762.5</v>
      </c>
      <c r="L367" s="6"/>
    </row>
    <row r="368" spans="1:12" s="48" customFormat="1" ht="17.100000000000001" customHeight="1" x14ac:dyDescent="0.25">
      <c r="A368" s="1051" t="s">
        <v>163</v>
      </c>
      <c r="B368" s="1041" t="s">
        <v>1317</v>
      </c>
      <c r="C368" s="1062" t="s">
        <v>248</v>
      </c>
      <c r="D368" s="1041"/>
      <c r="E368" s="1041"/>
      <c r="F368" s="1039"/>
      <c r="G368" s="100" t="s">
        <v>171</v>
      </c>
      <c r="H368" s="101"/>
      <c r="I368" s="101">
        <v>79960</v>
      </c>
      <c r="J368" s="101">
        <v>79960</v>
      </c>
      <c r="K368" s="102">
        <v>79960</v>
      </c>
      <c r="L368" s="6"/>
    </row>
    <row r="369" spans="1:12" s="48" customFormat="1" ht="17.100000000000001" customHeight="1" x14ac:dyDescent="0.25">
      <c r="A369" s="1051" t="s">
        <v>163</v>
      </c>
      <c r="B369" s="1041" t="s">
        <v>1317</v>
      </c>
      <c r="C369" s="44" t="s">
        <v>176</v>
      </c>
      <c r="D369" s="113"/>
      <c r="E369" s="113"/>
      <c r="F369" s="114"/>
      <c r="G369" s="100" t="s">
        <v>177</v>
      </c>
      <c r="H369" s="101"/>
      <c r="I369" s="101">
        <v>5000</v>
      </c>
      <c r="J369" s="101">
        <v>5000</v>
      </c>
      <c r="K369" s="102">
        <v>5000</v>
      </c>
      <c r="L369" s="6"/>
    </row>
    <row r="370" spans="1:12" s="48" customFormat="1" ht="17.100000000000001" customHeight="1" x14ac:dyDescent="0.25">
      <c r="A370" s="1051" t="s">
        <v>163</v>
      </c>
      <c r="B370" s="1041" t="s">
        <v>1317</v>
      </c>
      <c r="C370" s="44" t="s">
        <v>178</v>
      </c>
      <c r="D370" s="113"/>
      <c r="E370" s="113"/>
      <c r="F370" s="114"/>
      <c r="G370" s="100" t="s">
        <v>179</v>
      </c>
      <c r="H370" s="101"/>
      <c r="I370" s="101">
        <v>24000</v>
      </c>
      <c r="J370" s="101">
        <v>24000</v>
      </c>
      <c r="K370" s="102">
        <v>24000</v>
      </c>
      <c r="L370" s="6"/>
    </row>
    <row r="371" spans="1:12" s="48" customFormat="1" ht="17.100000000000001" customHeight="1" x14ac:dyDescent="0.25">
      <c r="A371" s="1051" t="s">
        <v>163</v>
      </c>
      <c r="B371" s="1041" t="s">
        <v>1317</v>
      </c>
      <c r="C371" s="44" t="s">
        <v>182</v>
      </c>
      <c r="D371" s="113"/>
      <c r="E371" s="113"/>
      <c r="F371" s="114"/>
      <c r="G371" s="100" t="s">
        <v>183</v>
      </c>
      <c r="H371" s="101"/>
      <c r="I371" s="101">
        <v>48000</v>
      </c>
      <c r="J371" s="101">
        <v>48000</v>
      </c>
      <c r="K371" s="102">
        <v>48000</v>
      </c>
      <c r="L371" s="6"/>
    </row>
    <row r="372" spans="1:12" s="48" customFormat="1" ht="17.100000000000001" customHeight="1" x14ac:dyDescent="0.25">
      <c r="A372" s="1051" t="s">
        <v>163</v>
      </c>
      <c r="B372" s="1041" t="s">
        <v>1317</v>
      </c>
      <c r="C372" s="44" t="s">
        <v>186</v>
      </c>
      <c r="D372" s="113"/>
      <c r="E372" s="113"/>
      <c r="F372" s="114"/>
      <c r="G372" s="100" t="s">
        <v>187</v>
      </c>
      <c r="H372" s="101"/>
      <c r="I372" s="101">
        <v>15000</v>
      </c>
      <c r="J372" s="101">
        <v>15000</v>
      </c>
      <c r="K372" s="102">
        <v>15000</v>
      </c>
      <c r="L372" s="6"/>
    </row>
    <row r="373" spans="1:12" s="48" customFormat="1" ht="17.100000000000001" customHeight="1" x14ac:dyDescent="0.25">
      <c r="A373" s="1051" t="s">
        <v>163</v>
      </c>
      <c r="B373" s="1041" t="s">
        <v>1317</v>
      </c>
      <c r="C373" s="44" t="s">
        <v>198</v>
      </c>
      <c r="D373" s="113"/>
      <c r="E373" s="113"/>
      <c r="F373" s="114"/>
      <c r="G373" s="100" t="s">
        <v>199</v>
      </c>
      <c r="H373" s="101"/>
      <c r="I373" s="101">
        <v>489757.68</v>
      </c>
      <c r="J373" s="101">
        <v>489757.68</v>
      </c>
      <c r="K373" s="102">
        <v>489757.68</v>
      </c>
      <c r="L373" s="6"/>
    </row>
    <row r="374" spans="1:12" ht="39" customHeight="1" x14ac:dyDescent="0.25">
      <c r="A374" s="1051" t="s">
        <v>2019</v>
      </c>
      <c r="B374" s="1041" t="s">
        <v>1317</v>
      </c>
      <c r="C374" s="1611" t="s">
        <v>1589</v>
      </c>
      <c r="D374" s="1611"/>
      <c r="E374" s="1611"/>
      <c r="F374" s="1602"/>
      <c r="G374" s="100"/>
      <c r="H374" s="101"/>
      <c r="I374" s="101">
        <v>103400</v>
      </c>
      <c r="J374" s="101">
        <v>103400</v>
      </c>
      <c r="K374" s="102">
        <v>103400</v>
      </c>
    </row>
    <row r="375" spans="1:12" s="48" customFormat="1" ht="17.100000000000001" customHeight="1" x14ac:dyDescent="0.25">
      <c r="A375" s="1051" t="s">
        <v>123</v>
      </c>
      <c r="B375" s="1041" t="s">
        <v>1317</v>
      </c>
      <c r="C375" s="1602" t="s">
        <v>124</v>
      </c>
      <c r="D375" s="1603"/>
      <c r="E375" s="1603"/>
      <c r="F375" s="1603"/>
      <c r="G375" s="131" t="s">
        <v>125</v>
      </c>
      <c r="H375" s="101"/>
      <c r="I375" s="101">
        <v>761520</v>
      </c>
      <c r="J375" s="101">
        <v>761520</v>
      </c>
      <c r="K375" s="102">
        <v>726192</v>
      </c>
      <c r="L375" s="6"/>
    </row>
    <row r="376" spans="1:12" s="48" customFormat="1" ht="17.100000000000001" customHeight="1" x14ac:dyDescent="0.25">
      <c r="A376" s="1051" t="s">
        <v>123</v>
      </c>
      <c r="B376" s="1041" t="s">
        <v>1317</v>
      </c>
      <c r="C376" s="1602" t="s">
        <v>129</v>
      </c>
      <c r="D376" s="1603"/>
      <c r="E376" s="1603"/>
      <c r="F376" s="1603"/>
      <c r="G376" s="132" t="s">
        <v>130</v>
      </c>
      <c r="H376" s="101"/>
      <c r="I376" s="101">
        <v>72000</v>
      </c>
      <c r="J376" s="101">
        <v>72000</v>
      </c>
      <c r="K376" s="102">
        <v>72000</v>
      </c>
      <c r="L376" s="6"/>
    </row>
    <row r="377" spans="1:12" s="48" customFormat="1" ht="17.100000000000001" customHeight="1" x14ac:dyDescent="0.25">
      <c r="A377" s="1051" t="s">
        <v>123</v>
      </c>
      <c r="B377" s="1041" t="s">
        <v>1317</v>
      </c>
      <c r="C377" s="1602" t="s">
        <v>135</v>
      </c>
      <c r="D377" s="1603"/>
      <c r="E377" s="1603"/>
      <c r="F377" s="1603"/>
      <c r="G377" s="131" t="s">
        <v>136</v>
      </c>
      <c r="H377" s="102"/>
      <c r="I377" s="1154">
        <v>73027.27</v>
      </c>
      <c r="J377" s="1154">
        <v>73027.27</v>
      </c>
      <c r="K377" s="102">
        <v>73027.27</v>
      </c>
      <c r="L377" s="6"/>
    </row>
    <row r="378" spans="1:12" s="48" customFormat="1" ht="17.100000000000001" customHeight="1" x14ac:dyDescent="0.25">
      <c r="A378" s="1051" t="s">
        <v>123</v>
      </c>
      <c r="B378" s="1041" t="s">
        <v>1317</v>
      </c>
      <c r="C378" s="1602" t="s">
        <v>137</v>
      </c>
      <c r="D378" s="1603"/>
      <c r="E378" s="1603"/>
      <c r="F378" s="1603"/>
      <c r="G378" s="131" t="s">
        <v>138</v>
      </c>
      <c r="H378" s="101"/>
      <c r="I378" s="101">
        <v>18000</v>
      </c>
      <c r="J378" s="101">
        <v>18000</v>
      </c>
      <c r="K378" s="102">
        <v>18000</v>
      </c>
      <c r="L378" s="6"/>
    </row>
    <row r="379" spans="1:12" s="48" customFormat="1" ht="17.100000000000001" customHeight="1" x14ac:dyDescent="0.25">
      <c r="A379" s="1051" t="s">
        <v>123</v>
      </c>
      <c r="B379" s="1041" t="s">
        <v>1317</v>
      </c>
      <c r="C379" s="1602" t="s">
        <v>1541</v>
      </c>
      <c r="D379" s="1603"/>
      <c r="E379" s="1603"/>
      <c r="F379" s="1603"/>
      <c r="G379" s="131" t="s">
        <v>140</v>
      </c>
      <c r="H379" s="101"/>
      <c r="I379" s="101">
        <v>63460</v>
      </c>
      <c r="J379" s="101">
        <v>63460</v>
      </c>
      <c r="K379" s="102">
        <v>60516</v>
      </c>
      <c r="L379" s="6"/>
    </row>
    <row r="380" spans="1:12" s="48" customFormat="1" ht="17.100000000000001" customHeight="1" x14ac:dyDescent="0.25">
      <c r="A380" s="1051" t="s">
        <v>123</v>
      </c>
      <c r="B380" s="1041" t="s">
        <v>1317</v>
      </c>
      <c r="C380" s="1602" t="s">
        <v>141</v>
      </c>
      <c r="D380" s="1603"/>
      <c r="E380" s="1603"/>
      <c r="F380" s="1603"/>
      <c r="G380" s="131" t="s">
        <v>142</v>
      </c>
      <c r="H380" s="101"/>
      <c r="I380" s="101">
        <v>63460</v>
      </c>
      <c r="J380" s="101">
        <v>63460</v>
      </c>
      <c r="K380" s="102">
        <v>60516</v>
      </c>
      <c r="L380" s="6"/>
    </row>
    <row r="381" spans="1:12" s="48" customFormat="1" ht="17.100000000000001" customHeight="1" x14ac:dyDescent="0.25">
      <c r="A381" s="1051" t="s">
        <v>123</v>
      </c>
      <c r="B381" s="1041" t="s">
        <v>1317</v>
      </c>
      <c r="C381" s="1602" t="s">
        <v>1590</v>
      </c>
      <c r="D381" s="1603"/>
      <c r="E381" s="1603"/>
      <c r="F381" s="1603"/>
      <c r="G381" s="131"/>
      <c r="H381" s="101"/>
      <c r="I381" s="101"/>
      <c r="J381" s="101"/>
      <c r="K381" s="102"/>
      <c r="L381" s="6"/>
    </row>
    <row r="382" spans="1:12" s="48" customFormat="1" ht="17.100000000000001" customHeight="1" x14ac:dyDescent="0.25">
      <c r="A382" s="1051" t="s">
        <v>123</v>
      </c>
      <c r="B382" s="1041" t="s">
        <v>1317</v>
      </c>
      <c r="C382" s="1602" t="s">
        <v>143</v>
      </c>
      <c r="D382" s="1603"/>
      <c r="E382" s="1603"/>
      <c r="F382" s="1603"/>
      <c r="G382" s="131" t="s">
        <v>144</v>
      </c>
      <c r="H382" s="101"/>
      <c r="I382" s="101">
        <v>15000</v>
      </c>
      <c r="J382" s="101">
        <v>15000</v>
      </c>
      <c r="K382" s="102">
        <v>15000</v>
      </c>
      <c r="L382" s="6"/>
    </row>
    <row r="383" spans="1:12" s="48" customFormat="1" ht="17.100000000000001" customHeight="1" x14ac:dyDescent="0.25">
      <c r="A383" s="1051" t="s">
        <v>123</v>
      </c>
      <c r="B383" s="1041" t="s">
        <v>1317</v>
      </c>
      <c r="C383" s="1602" t="s">
        <v>1543</v>
      </c>
      <c r="D383" s="1603"/>
      <c r="E383" s="1603"/>
      <c r="F383" s="1603"/>
      <c r="G383" s="131" t="s">
        <v>146</v>
      </c>
      <c r="H383" s="101"/>
      <c r="I383" s="101">
        <v>15000</v>
      </c>
      <c r="J383" s="101">
        <v>15000</v>
      </c>
      <c r="K383" s="102">
        <v>15000</v>
      </c>
      <c r="L383" s="6"/>
    </row>
    <row r="384" spans="1:12" s="48" customFormat="1" ht="17.100000000000001" customHeight="1" x14ac:dyDescent="0.25">
      <c r="A384" s="1051" t="s">
        <v>123</v>
      </c>
      <c r="B384" s="1041" t="s">
        <v>1317</v>
      </c>
      <c r="C384" s="1062" t="s">
        <v>147</v>
      </c>
      <c r="D384" s="1041"/>
      <c r="E384" s="1041"/>
      <c r="F384" s="1039"/>
      <c r="G384" s="131" t="s">
        <v>148</v>
      </c>
      <c r="H384" s="101"/>
      <c r="I384" s="101"/>
      <c r="J384" s="101"/>
      <c r="K384" s="102"/>
      <c r="L384" s="6"/>
    </row>
    <row r="385" spans="1:12" s="48" customFormat="1" ht="17.100000000000001" customHeight="1" x14ac:dyDescent="0.25">
      <c r="A385" s="1051" t="s">
        <v>123</v>
      </c>
      <c r="B385" s="1041" t="s">
        <v>1317</v>
      </c>
      <c r="C385" s="1045" t="s">
        <v>149</v>
      </c>
      <c r="D385" s="1675"/>
      <c r="E385" s="1675"/>
      <c r="F385" s="1676"/>
      <c r="G385" s="131" t="s">
        <v>150</v>
      </c>
      <c r="H385" s="101"/>
      <c r="I385" s="101"/>
      <c r="J385" s="101"/>
      <c r="K385" s="102"/>
      <c r="L385" s="6"/>
    </row>
    <row r="386" spans="1:12" s="48" customFormat="1" ht="17.100000000000001" customHeight="1" x14ac:dyDescent="0.25">
      <c r="A386" s="1051" t="s">
        <v>123</v>
      </c>
      <c r="B386" s="1041" t="s">
        <v>1317</v>
      </c>
      <c r="C386" s="1611" t="s">
        <v>1544</v>
      </c>
      <c r="D386" s="1611"/>
      <c r="E386" s="1611"/>
      <c r="F386" s="1602"/>
      <c r="G386" s="131" t="s">
        <v>150</v>
      </c>
      <c r="H386" s="101"/>
      <c r="I386" s="101"/>
      <c r="J386" s="101"/>
      <c r="K386" s="102"/>
      <c r="L386" s="6"/>
    </row>
    <row r="387" spans="1:12" s="48" customFormat="1" ht="17.100000000000001" customHeight="1" x14ac:dyDescent="0.25">
      <c r="A387" s="1051" t="s">
        <v>123</v>
      </c>
      <c r="B387" s="1041" t="s">
        <v>1317</v>
      </c>
      <c r="C387" s="1045" t="s">
        <v>1568</v>
      </c>
      <c r="D387" s="1041"/>
      <c r="E387" s="1041"/>
      <c r="F387" s="1039"/>
      <c r="G387" s="131" t="s">
        <v>232</v>
      </c>
      <c r="H387" s="101"/>
      <c r="I387" s="101"/>
      <c r="J387" s="101"/>
      <c r="K387" s="102"/>
      <c r="L387" s="6"/>
    </row>
    <row r="388" spans="1:12" s="48" customFormat="1" ht="17.100000000000001" customHeight="1" x14ac:dyDescent="0.25">
      <c r="A388" s="1051" t="s">
        <v>123</v>
      </c>
      <c r="B388" s="1041" t="s">
        <v>1317</v>
      </c>
      <c r="C388" s="1602" t="s">
        <v>1545</v>
      </c>
      <c r="D388" s="1603"/>
      <c r="E388" s="1603"/>
      <c r="F388" s="1603"/>
      <c r="G388" s="131" t="s">
        <v>154</v>
      </c>
      <c r="H388" s="101"/>
      <c r="I388" s="101">
        <v>91382.399999999994</v>
      </c>
      <c r="J388" s="101">
        <v>91382.399999999994</v>
      </c>
      <c r="K388" s="102">
        <v>87143.039999999994</v>
      </c>
      <c r="L388" s="6"/>
    </row>
    <row r="389" spans="1:12" s="48" customFormat="1" ht="17.100000000000001" customHeight="1" x14ac:dyDescent="0.25">
      <c r="A389" s="1051" t="s">
        <v>123</v>
      </c>
      <c r="B389" s="1041" t="s">
        <v>1317</v>
      </c>
      <c r="C389" s="1602" t="s">
        <v>155</v>
      </c>
      <c r="D389" s="1603"/>
      <c r="E389" s="1603"/>
      <c r="F389" s="1603"/>
      <c r="G389" s="131" t="s">
        <v>156</v>
      </c>
      <c r="H389" s="101"/>
      <c r="I389" s="101">
        <v>3600</v>
      </c>
      <c r="J389" s="101">
        <v>3600</v>
      </c>
      <c r="K389" s="102">
        <v>3600</v>
      </c>
      <c r="L389" s="6"/>
    </row>
    <row r="390" spans="1:12" s="48" customFormat="1" ht="17.100000000000001" customHeight="1" x14ac:dyDescent="0.25">
      <c r="A390" s="1051" t="s">
        <v>123</v>
      </c>
      <c r="B390" s="1041" t="s">
        <v>1317</v>
      </c>
      <c r="C390" s="1602" t="s">
        <v>157</v>
      </c>
      <c r="D390" s="1603"/>
      <c r="E390" s="1603"/>
      <c r="F390" s="1603"/>
      <c r="G390" s="131" t="s">
        <v>158</v>
      </c>
      <c r="H390" s="101"/>
      <c r="I390" s="101">
        <v>17134.2</v>
      </c>
      <c r="J390" s="101">
        <v>17134.2</v>
      </c>
      <c r="K390" s="102">
        <v>16339.32</v>
      </c>
      <c r="L390" s="6"/>
    </row>
    <row r="391" spans="1:12" s="48" customFormat="1" ht="17.100000000000001" customHeight="1" x14ac:dyDescent="0.25">
      <c r="A391" s="1051" t="s">
        <v>123</v>
      </c>
      <c r="B391" s="1041" t="s">
        <v>1317</v>
      </c>
      <c r="C391" s="1602" t="s">
        <v>1546</v>
      </c>
      <c r="D391" s="1603"/>
      <c r="E391" s="1603"/>
      <c r="F391" s="1603"/>
      <c r="G391" s="133" t="s">
        <v>160</v>
      </c>
      <c r="H391" s="101"/>
      <c r="I391" s="101">
        <v>3600</v>
      </c>
      <c r="J391" s="101">
        <v>3600</v>
      </c>
      <c r="K391" s="102">
        <v>3600</v>
      </c>
      <c r="L391" s="6"/>
    </row>
    <row r="392" spans="1:12" s="48" customFormat="1" ht="17.100000000000001" customHeight="1" x14ac:dyDescent="0.25">
      <c r="A392" s="1051" t="s">
        <v>163</v>
      </c>
      <c r="B392" s="1041" t="s">
        <v>1317</v>
      </c>
      <c r="C392" s="44" t="s">
        <v>353</v>
      </c>
      <c r="D392" s="113"/>
      <c r="E392" s="113"/>
      <c r="F392" s="114"/>
      <c r="G392" s="131" t="s">
        <v>165</v>
      </c>
      <c r="H392" s="101"/>
      <c r="I392" s="101">
        <v>40000</v>
      </c>
      <c r="J392" s="101">
        <v>40000</v>
      </c>
      <c r="K392" s="102">
        <v>40000</v>
      </c>
      <c r="L392" s="6"/>
    </row>
    <row r="393" spans="1:12" s="48" customFormat="1" ht="17.100000000000001" customHeight="1" x14ac:dyDescent="0.25">
      <c r="A393" s="1051" t="s">
        <v>163</v>
      </c>
      <c r="B393" s="1041" t="s">
        <v>1317</v>
      </c>
      <c r="C393" s="44" t="s">
        <v>312</v>
      </c>
      <c r="D393" s="113"/>
      <c r="E393" s="113"/>
      <c r="F393" s="114"/>
      <c r="G393" s="131"/>
      <c r="H393" s="101"/>
      <c r="I393" s="101"/>
      <c r="J393" s="101"/>
      <c r="K393" s="102">
        <v>50000</v>
      </c>
      <c r="L393" s="6"/>
    </row>
    <row r="394" spans="1:12" s="48" customFormat="1" ht="17.100000000000001" customHeight="1" x14ac:dyDescent="0.25">
      <c r="A394" s="1051" t="s">
        <v>163</v>
      </c>
      <c r="B394" s="1041" t="s">
        <v>1317</v>
      </c>
      <c r="C394" s="44" t="s">
        <v>168</v>
      </c>
      <c r="D394" s="113"/>
      <c r="E394" s="113"/>
      <c r="F394" s="114"/>
      <c r="G394" s="131" t="s">
        <v>169</v>
      </c>
      <c r="H394" s="101"/>
      <c r="I394" s="101">
        <v>770608.9</v>
      </c>
      <c r="J394" s="101">
        <v>770608.9</v>
      </c>
      <c r="K394" s="102">
        <v>770608.9</v>
      </c>
      <c r="L394" s="6"/>
    </row>
    <row r="395" spans="1:12" s="48" customFormat="1" ht="17.100000000000001" customHeight="1" x14ac:dyDescent="0.25">
      <c r="A395" s="1051" t="s">
        <v>163</v>
      </c>
      <c r="B395" s="1041" t="s">
        <v>1317</v>
      </c>
      <c r="C395" s="44" t="s">
        <v>213</v>
      </c>
      <c r="D395" s="113"/>
      <c r="E395" s="113"/>
      <c r="F395" s="114"/>
      <c r="G395" s="131" t="s">
        <v>171</v>
      </c>
      <c r="H395" s="101"/>
      <c r="I395" s="101">
        <f>9935+50000+25000+50000</f>
        <v>134935</v>
      </c>
      <c r="J395" s="101">
        <f>9935+50000+25000+50000</f>
        <v>134935</v>
      </c>
      <c r="K395" s="102">
        <f>9935+50000+25000+50000</f>
        <v>134935</v>
      </c>
      <c r="L395" s="6"/>
    </row>
    <row r="396" spans="1:12" s="48" customFormat="1" ht="17.100000000000001" customHeight="1" x14ac:dyDescent="0.25">
      <c r="A396" s="1051" t="s">
        <v>163</v>
      </c>
      <c r="B396" s="1041" t="s">
        <v>1317</v>
      </c>
      <c r="C396" s="44" t="s">
        <v>178</v>
      </c>
      <c r="D396" s="113"/>
      <c r="E396" s="113"/>
      <c r="F396" s="114"/>
      <c r="G396" s="131" t="s">
        <v>179</v>
      </c>
      <c r="H396" s="102"/>
      <c r="I396" s="102">
        <v>18000</v>
      </c>
      <c r="J396" s="102">
        <v>18000</v>
      </c>
      <c r="K396" s="102">
        <v>18000</v>
      </c>
      <c r="L396" s="6"/>
    </row>
    <row r="397" spans="1:12" s="48" customFormat="1" ht="17.100000000000001" customHeight="1" x14ac:dyDescent="0.25">
      <c r="A397" s="1051" t="s">
        <v>163</v>
      </c>
      <c r="B397" s="1041" t="s">
        <v>1317</v>
      </c>
      <c r="C397" s="44" t="s">
        <v>182</v>
      </c>
      <c r="D397" s="113"/>
      <c r="E397" s="113"/>
      <c r="F397" s="114"/>
      <c r="G397" s="131" t="s">
        <v>183</v>
      </c>
      <c r="H397" s="102"/>
      <c r="I397" s="102">
        <v>48000</v>
      </c>
      <c r="J397" s="102">
        <v>48000</v>
      </c>
      <c r="K397" s="102">
        <v>48000</v>
      </c>
      <c r="L397" s="6"/>
    </row>
    <row r="398" spans="1:12" s="48" customFormat="1" ht="17.100000000000001" customHeight="1" x14ac:dyDescent="0.25">
      <c r="A398" s="1051" t="s">
        <v>163</v>
      </c>
      <c r="B398" s="1041" t="s">
        <v>1317</v>
      </c>
      <c r="C398" s="44" t="s">
        <v>186</v>
      </c>
      <c r="D398" s="113"/>
      <c r="E398" s="113"/>
      <c r="F398" s="114"/>
      <c r="G398" s="131" t="s">
        <v>187</v>
      </c>
      <c r="H398" s="101"/>
      <c r="I398" s="101">
        <v>150000</v>
      </c>
      <c r="J398" s="101">
        <v>150000</v>
      </c>
      <c r="K398" s="102">
        <v>150000</v>
      </c>
      <c r="L398" s="6"/>
    </row>
    <row r="399" spans="1:12" s="48" customFormat="1" ht="17.100000000000001" customHeight="1" x14ac:dyDescent="0.25">
      <c r="A399" s="1051" t="s">
        <v>163</v>
      </c>
      <c r="B399" s="1041" t="s">
        <v>1317</v>
      </c>
      <c r="C399" s="1165" t="s">
        <v>198</v>
      </c>
      <c r="D399" s="1166"/>
      <c r="E399" s="1166"/>
      <c r="F399" s="1167"/>
      <c r="G399" s="131" t="s">
        <v>199</v>
      </c>
      <c r="H399" s="105"/>
      <c r="I399" s="105">
        <v>672000</v>
      </c>
      <c r="J399" s="105">
        <v>672000</v>
      </c>
      <c r="K399" s="106">
        <v>672000</v>
      </c>
      <c r="L399" s="6"/>
    </row>
    <row r="400" spans="1:12" s="48" customFormat="1" ht="18" customHeight="1" x14ac:dyDescent="0.25">
      <c r="A400" s="1051" t="s">
        <v>123</v>
      </c>
      <c r="B400" s="1041" t="s">
        <v>1388</v>
      </c>
      <c r="C400" s="1602" t="s">
        <v>124</v>
      </c>
      <c r="D400" s="1603"/>
      <c r="E400" s="1603"/>
      <c r="F400" s="1603"/>
      <c r="G400" s="131" t="s">
        <v>125</v>
      </c>
      <c r="H400" s="101"/>
      <c r="I400" s="101">
        <v>763092</v>
      </c>
      <c r="J400" s="101">
        <v>763092</v>
      </c>
      <c r="K400" s="102">
        <v>727800</v>
      </c>
      <c r="L400" s="6"/>
    </row>
    <row r="401" spans="1:12" s="48" customFormat="1" ht="18" customHeight="1" x14ac:dyDescent="0.25">
      <c r="A401" s="1051" t="s">
        <v>123</v>
      </c>
      <c r="B401" s="1041" t="s">
        <v>1388</v>
      </c>
      <c r="C401" s="1602" t="s">
        <v>129</v>
      </c>
      <c r="D401" s="1603"/>
      <c r="E401" s="1603"/>
      <c r="F401" s="1603"/>
      <c r="G401" s="132" t="s">
        <v>130</v>
      </c>
      <c r="H401" s="101"/>
      <c r="I401" s="101">
        <v>72000</v>
      </c>
      <c r="J401" s="101">
        <v>72000</v>
      </c>
      <c r="K401" s="102">
        <v>72000</v>
      </c>
      <c r="L401" s="6"/>
    </row>
    <row r="402" spans="1:12" s="48" customFormat="1" ht="18" customHeight="1" x14ac:dyDescent="0.25">
      <c r="A402" s="1051" t="s">
        <v>123</v>
      </c>
      <c r="B402" s="1041" t="s">
        <v>1388</v>
      </c>
      <c r="C402" s="1045" t="s">
        <v>135</v>
      </c>
      <c r="D402" s="1041"/>
      <c r="E402" s="1041"/>
      <c r="F402" s="1039"/>
      <c r="G402" s="131" t="s">
        <v>136</v>
      </c>
      <c r="H402" s="102"/>
      <c r="I402" s="1154">
        <v>20000</v>
      </c>
      <c r="J402" s="1154">
        <v>20000</v>
      </c>
      <c r="K402" s="102">
        <v>20000</v>
      </c>
      <c r="L402" s="6"/>
    </row>
    <row r="403" spans="1:12" s="48" customFormat="1" ht="18" customHeight="1" x14ac:dyDescent="0.25">
      <c r="A403" s="1051" t="s">
        <v>123</v>
      </c>
      <c r="B403" s="1041" t="s">
        <v>1388</v>
      </c>
      <c r="C403" s="1602" t="s">
        <v>137</v>
      </c>
      <c r="D403" s="1603"/>
      <c r="E403" s="1603"/>
      <c r="F403" s="1603"/>
      <c r="G403" s="131" t="s">
        <v>138</v>
      </c>
      <c r="H403" s="101"/>
      <c r="I403" s="101">
        <v>18000</v>
      </c>
      <c r="J403" s="101">
        <v>18000</v>
      </c>
      <c r="K403" s="102">
        <v>18000</v>
      </c>
      <c r="L403" s="6"/>
    </row>
    <row r="404" spans="1:12" s="48" customFormat="1" ht="18" customHeight="1" x14ac:dyDescent="0.25">
      <c r="A404" s="1051" t="s">
        <v>123</v>
      </c>
      <c r="B404" s="1041" t="s">
        <v>1388</v>
      </c>
      <c r="C404" s="1602" t="s">
        <v>1541</v>
      </c>
      <c r="D404" s="1603"/>
      <c r="E404" s="1603"/>
      <c r="F404" s="1603"/>
      <c r="G404" s="131" t="s">
        <v>140</v>
      </c>
      <c r="H404" s="101"/>
      <c r="I404" s="101">
        <v>63591</v>
      </c>
      <c r="J404" s="101">
        <v>63591</v>
      </c>
      <c r="K404" s="102">
        <v>60650</v>
      </c>
      <c r="L404" s="6"/>
    </row>
    <row r="405" spans="1:12" s="48" customFormat="1" ht="18" customHeight="1" x14ac:dyDescent="0.25">
      <c r="A405" s="1051" t="s">
        <v>123</v>
      </c>
      <c r="B405" s="1041" t="s">
        <v>1388</v>
      </c>
      <c r="C405" s="1602" t="s">
        <v>141</v>
      </c>
      <c r="D405" s="1603"/>
      <c r="E405" s="1603"/>
      <c r="F405" s="1603"/>
      <c r="G405" s="131" t="s">
        <v>142</v>
      </c>
      <c r="H405" s="101"/>
      <c r="I405" s="101">
        <v>63591</v>
      </c>
      <c r="J405" s="101">
        <v>63591</v>
      </c>
      <c r="K405" s="102">
        <v>60650</v>
      </c>
      <c r="L405" s="6"/>
    </row>
    <row r="406" spans="1:12" s="48" customFormat="1" ht="18" customHeight="1" x14ac:dyDescent="0.25">
      <c r="A406" s="1051" t="s">
        <v>123</v>
      </c>
      <c r="B406" s="1041" t="s">
        <v>1388</v>
      </c>
      <c r="C406" s="1602" t="s">
        <v>1542</v>
      </c>
      <c r="D406" s="1603"/>
      <c r="E406" s="1603"/>
      <c r="F406" s="1603"/>
      <c r="G406" s="131"/>
      <c r="H406" s="101"/>
      <c r="I406" s="101"/>
      <c r="J406" s="101"/>
      <c r="K406" s="102"/>
      <c r="L406" s="6"/>
    </row>
    <row r="407" spans="1:12" s="48" customFormat="1" ht="18" customHeight="1" x14ac:dyDescent="0.25">
      <c r="A407" s="1051" t="s">
        <v>123</v>
      </c>
      <c r="B407" s="1041" t="s">
        <v>1388</v>
      </c>
      <c r="C407" s="1602" t="s">
        <v>143</v>
      </c>
      <c r="D407" s="1603"/>
      <c r="E407" s="1603"/>
      <c r="F407" s="1603"/>
      <c r="G407" s="131" t="s">
        <v>144</v>
      </c>
      <c r="H407" s="101"/>
      <c r="I407" s="101">
        <v>15000</v>
      </c>
      <c r="J407" s="101">
        <v>15000</v>
      </c>
      <c r="K407" s="102">
        <v>15000</v>
      </c>
      <c r="L407" s="6"/>
    </row>
    <row r="408" spans="1:12" s="48" customFormat="1" ht="18" customHeight="1" x14ac:dyDescent="0.25">
      <c r="A408" s="1051" t="s">
        <v>123</v>
      </c>
      <c r="B408" s="1041" t="s">
        <v>1388</v>
      </c>
      <c r="C408" s="1602" t="s">
        <v>1543</v>
      </c>
      <c r="D408" s="1603"/>
      <c r="E408" s="1603"/>
      <c r="F408" s="1603"/>
      <c r="G408" s="131" t="s">
        <v>146</v>
      </c>
      <c r="H408" s="101"/>
      <c r="I408" s="101">
        <v>15000</v>
      </c>
      <c r="J408" s="101">
        <v>15000</v>
      </c>
      <c r="K408" s="102">
        <v>15000</v>
      </c>
      <c r="L408" s="6"/>
    </row>
    <row r="409" spans="1:12" s="48" customFormat="1" ht="18" customHeight="1" x14ac:dyDescent="0.25">
      <c r="A409" s="1051" t="s">
        <v>123</v>
      </c>
      <c r="B409" s="1041" t="s">
        <v>1388</v>
      </c>
      <c r="C409" s="1062" t="s">
        <v>147</v>
      </c>
      <c r="D409" s="1041"/>
      <c r="E409" s="1041"/>
      <c r="F409" s="1039"/>
      <c r="G409" s="131" t="s">
        <v>148</v>
      </c>
      <c r="H409" s="101"/>
      <c r="I409" s="101"/>
      <c r="J409" s="101"/>
      <c r="K409" s="102"/>
      <c r="L409" s="6"/>
    </row>
    <row r="410" spans="1:12" s="48" customFormat="1" ht="18" customHeight="1" x14ac:dyDescent="0.25">
      <c r="A410" s="1051" t="s">
        <v>123</v>
      </c>
      <c r="B410" s="1041" t="s">
        <v>1388</v>
      </c>
      <c r="C410" s="1045" t="s">
        <v>149</v>
      </c>
      <c r="D410" s="1041"/>
      <c r="E410" s="1041"/>
      <c r="F410" s="1039"/>
      <c r="G410" s="131" t="s">
        <v>150</v>
      </c>
      <c r="H410" s="101"/>
      <c r="I410" s="101"/>
      <c r="J410" s="101"/>
      <c r="K410" s="102"/>
      <c r="L410" s="6"/>
    </row>
    <row r="411" spans="1:12" s="48" customFormat="1" ht="18" customHeight="1" x14ac:dyDescent="0.25">
      <c r="A411" s="1051" t="s">
        <v>123</v>
      </c>
      <c r="B411" s="1041" t="s">
        <v>1388</v>
      </c>
      <c r="C411" s="1611" t="s">
        <v>274</v>
      </c>
      <c r="D411" s="1611"/>
      <c r="E411" s="1611"/>
      <c r="F411" s="1602"/>
      <c r="G411" s="131" t="s">
        <v>148</v>
      </c>
      <c r="H411" s="101"/>
      <c r="I411" s="101"/>
      <c r="J411" s="101"/>
      <c r="K411" s="102"/>
      <c r="L411" s="6"/>
    </row>
    <row r="412" spans="1:12" s="48" customFormat="1" ht="18" customHeight="1" x14ac:dyDescent="0.25">
      <c r="A412" s="1051" t="s">
        <v>123</v>
      </c>
      <c r="B412" s="1041" t="s">
        <v>1388</v>
      </c>
      <c r="C412" s="1602" t="s">
        <v>1545</v>
      </c>
      <c r="D412" s="1603"/>
      <c r="E412" s="1603"/>
      <c r="F412" s="1603"/>
      <c r="G412" s="131" t="s">
        <v>154</v>
      </c>
      <c r="H412" s="101"/>
      <c r="I412" s="101">
        <v>91571.04</v>
      </c>
      <c r="J412" s="101">
        <v>91571.04</v>
      </c>
      <c r="K412" s="102">
        <v>87336</v>
      </c>
      <c r="L412" s="6"/>
    </row>
    <row r="413" spans="1:12" s="48" customFormat="1" ht="18" customHeight="1" x14ac:dyDescent="0.25">
      <c r="A413" s="1051" t="s">
        <v>123</v>
      </c>
      <c r="B413" s="1041" t="s">
        <v>1388</v>
      </c>
      <c r="C413" s="1602" t="s">
        <v>155</v>
      </c>
      <c r="D413" s="1603"/>
      <c r="E413" s="1603"/>
      <c r="F413" s="1603"/>
      <c r="G413" s="131" t="s">
        <v>156</v>
      </c>
      <c r="H413" s="101"/>
      <c r="I413" s="101">
        <v>3600</v>
      </c>
      <c r="J413" s="101">
        <v>3600</v>
      </c>
      <c r="K413" s="102">
        <v>3600</v>
      </c>
      <c r="L413" s="6"/>
    </row>
    <row r="414" spans="1:12" s="48" customFormat="1" ht="18" customHeight="1" x14ac:dyDescent="0.25">
      <c r="A414" s="1051" t="s">
        <v>123</v>
      </c>
      <c r="B414" s="1041" t="s">
        <v>1388</v>
      </c>
      <c r="C414" s="1602" t="s">
        <v>157</v>
      </c>
      <c r="D414" s="1603"/>
      <c r="E414" s="1603"/>
      <c r="F414" s="1603"/>
      <c r="G414" s="131" t="s">
        <v>158</v>
      </c>
      <c r="H414" s="101"/>
      <c r="I414" s="101">
        <v>17169.57</v>
      </c>
      <c r="J414" s="101">
        <v>17169.57</v>
      </c>
      <c r="K414" s="102">
        <v>16375.5</v>
      </c>
      <c r="L414" s="6"/>
    </row>
    <row r="415" spans="1:12" s="48" customFormat="1" ht="18" customHeight="1" x14ac:dyDescent="0.25">
      <c r="A415" s="1051" t="s">
        <v>123</v>
      </c>
      <c r="B415" s="1041" t="s">
        <v>1388</v>
      </c>
      <c r="C415" s="1602" t="s">
        <v>1546</v>
      </c>
      <c r="D415" s="1603"/>
      <c r="E415" s="1603"/>
      <c r="F415" s="1603"/>
      <c r="G415" s="131" t="s">
        <v>160</v>
      </c>
      <c r="H415" s="105"/>
      <c r="I415" s="105">
        <v>3600</v>
      </c>
      <c r="J415" s="105">
        <v>3600</v>
      </c>
      <c r="K415" s="106">
        <v>3600</v>
      </c>
      <c r="L415" s="6"/>
    </row>
    <row r="416" spans="1:12" s="48" customFormat="1" ht="18" customHeight="1" x14ac:dyDescent="0.25">
      <c r="A416" s="107"/>
      <c r="B416" s="1182"/>
      <c r="C416" s="1713" t="s">
        <v>161</v>
      </c>
      <c r="D416" s="1714"/>
      <c r="E416" s="1714"/>
      <c r="F416" s="1714"/>
      <c r="G416" s="97"/>
      <c r="H416" s="109">
        <f>SUM(H400:H415)</f>
        <v>0</v>
      </c>
      <c r="I416" s="109">
        <f>SUM(I400:I415)</f>
        <v>1146214.6100000001</v>
      </c>
      <c r="J416" s="109">
        <f>SUM(J400:J415)</f>
        <v>1146214.6100000001</v>
      </c>
      <c r="K416" s="110">
        <f>SUM(K400:K415)</f>
        <v>1100011.5</v>
      </c>
      <c r="L416" s="6"/>
    </row>
    <row r="417" spans="1:12" s="48" customFormat="1" ht="18" customHeight="1" x14ac:dyDescent="0.25">
      <c r="A417" s="1051"/>
      <c r="B417" s="1041"/>
      <c r="C417" s="1047"/>
      <c r="D417" s="1047"/>
      <c r="E417" s="1047"/>
      <c r="F417" s="1048"/>
      <c r="G417" s="97"/>
      <c r="H417" s="155"/>
      <c r="I417" s="155"/>
      <c r="J417" s="155"/>
      <c r="K417" s="156"/>
      <c r="L417" s="6"/>
    </row>
    <row r="418" spans="1:12" s="48" customFormat="1" ht="18" customHeight="1" x14ac:dyDescent="0.25">
      <c r="A418" s="1071"/>
      <c r="B418" s="1047"/>
      <c r="C418" s="1621" t="s">
        <v>162</v>
      </c>
      <c r="D418" s="1666"/>
      <c r="E418" s="1666"/>
      <c r="F418" s="1666"/>
      <c r="G418" s="97"/>
      <c r="H418" s="101"/>
      <c r="I418" s="101"/>
      <c r="J418" s="101"/>
      <c r="K418" s="102"/>
      <c r="L418" s="6"/>
    </row>
    <row r="419" spans="1:12" s="48" customFormat="1" ht="18" customHeight="1" x14ac:dyDescent="0.25">
      <c r="A419" s="1051" t="s">
        <v>163</v>
      </c>
      <c r="B419" s="1041" t="s">
        <v>1388</v>
      </c>
      <c r="C419" s="44" t="s">
        <v>353</v>
      </c>
      <c r="D419" s="113"/>
      <c r="E419" s="113"/>
      <c r="F419" s="114"/>
      <c r="G419" s="131" t="s">
        <v>165</v>
      </c>
      <c r="H419" s="101"/>
      <c r="I419" s="101">
        <v>20000</v>
      </c>
      <c r="J419" s="101">
        <v>20000</v>
      </c>
      <c r="K419" s="102">
        <v>20000</v>
      </c>
      <c r="L419" s="6"/>
    </row>
    <row r="420" spans="1:12" s="48" customFormat="1" ht="18" customHeight="1" x14ac:dyDescent="0.25">
      <c r="A420" s="1051" t="s">
        <v>163</v>
      </c>
      <c r="B420" s="1041" t="s">
        <v>1388</v>
      </c>
      <c r="C420" s="44" t="s">
        <v>166</v>
      </c>
      <c r="D420" s="113"/>
      <c r="E420" s="113"/>
      <c r="F420" s="114"/>
      <c r="G420" s="131"/>
      <c r="H420" s="101"/>
      <c r="I420" s="101"/>
      <c r="J420" s="101"/>
      <c r="K420" s="102">
        <v>20000</v>
      </c>
      <c r="L420" s="6"/>
    </row>
    <row r="421" spans="1:12" s="48" customFormat="1" ht="18" customHeight="1" x14ac:dyDescent="0.25">
      <c r="A421" s="1051" t="s">
        <v>163</v>
      </c>
      <c r="B421" s="1041" t="s">
        <v>1388</v>
      </c>
      <c r="C421" s="44" t="s">
        <v>178</v>
      </c>
      <c r="D421" s="170"/>
      <c r="E421" s="170"/>
      <c r="F421" s="171"/>
      <c r="G421" s="172" t="s">
        <v>167</v>
      </c>
      <c r="H421" s="102"/>
      <c r="I421" s="102">
        <v>30000</v>
      </c>
      <c r="J421" s="102">
        <v>30000</v>
      </c>
      <c r="K421" s="102">
        <v>30000</v>
      </c>
      <c r="L421" s="6"/>
    </row>
    <row r="422" spans="1:12" s="48" customFormat="1" ht="18" customHeight="1" x14ac:dyDescent="0.25">
      <c r="A422" s="1051" t="s">
        <v>163</v>
      </c>
      <c r="B422" s="1041" t="s">
        <v>1388</v>
      </c>
      <c r="C422" s="44" t="s">
        <v>168</v>
      </c>
      <c r="D422" s="113"/>
      <c r="E422" s="113"/>
      <c r="F422" s="114"/>
      <c r="G422" s="131" t="s">
        <v>169</v>
      </c>
      <c r="H422" s="101"/>
      <c r="I422" s="101">
        <v>28090.5</v>
      </c>
      <c r="J422" s="101">
        <v>28090.5</v>
      </c>
      <c r="K422" s="102">
        <v>28090.5</v>
      </c>
      <c r="L422" s="6"/>
    </row>
    <row r="423" spans="1:12" s="48" customFormat="1" ht="18" customHeight="1" x14ac:dyDescent="0.25">
      <c r="A423" s="1051" t="s">
        <v>163</v>
      </c>
      <c r="B423" s="1041" t="s">
        <v>1388</v>
      </c>
      <c r="C423" s="44" t="s">
        <v>213</v>
      </c>
      <c r="D423" s="113"/>
      <c r="E423" s="113"/>
      <c r="F423" s="114"/>
      <c r="G423" s="131" t="s">
        <v>171</v>
      </c>
      <c r="H423" s="101"/>
      <c r="I423" s="101">
        <f>3500+20405+64200</f>
        <v>88105</v>
      </c>
      <c r="J423" s="101">
        <f>3500+20405+64200</f>
        <v>88105</v>
      </c>
      <c r="K423" s="102">
        <f>3500+20405+64200</f>
        <v>88105</v>
      </c>
      <c r="L423" s="6"/>
    </row>
    <row r="424" spans="1:12" s="179" customFormat="1" ht="21.75" customHeight="1" x14ac:dyDescent="0.25">
      <c r="A424" s="1051" t="s">
        <v>163</v>
      </c>
      <c r="B424" s="1041" t="s">
        <v>1388</v>
      </c>
      <c r="C424" s="180" t="s">
        <v>281</v>
      </c>
      <c r="D424" s="174"/>
      <c r="E424" s="174"/>
      <c r="F424" s="175"/>
      <c r="G424" s="176" t="s">
        <v>282</v>
      </c>
      <c r="H424" s="101"/>
      <c r="I424" s="101">
        <v>15000</v>
      </c>
      <c r="J424" s="101">
        <v>15000</v>
      </c>
      <c r="K424" s="102">
        <v>15000</v>
      </c>
      <c r="L424" s="177"/>
    </row>
    <row r="425" spans="1:12" s="179" customFormat="1" ht="21.75" customHeight="1" x14ac:dyDescent="0.25">
      <c r="A425" s="1051" t="s">
        <v>163</v>
      </c>
      <c r="B425" s="1041" t="s">
        <v>1388</v>
      </c>
      <c r="C425" s="180" t="s">
        <v>1591</v>
      </c>
      <c r="D425" s="174"/>
      <c r="E425" s="174"/>
      <c r="F425" s="175"/>
      <c r="G425" s="176"/>
      <c r="H425" s="101"/>
      <c r="I425" s="101"/>
      <c r="J425" s="101"/>
      <c r="K425" s="102">
        <v>300000</v>
      </c>
      <c r="L425" s="177"/>
    </row>
    <row r="426" spans="1:12" s="388" customFormat="1" ht="18" x14ac:dyDescent="0.25">
      <c r="A426" s="1051" t="s">
        <v>163</v>
      </c>
      <c r="B426" s="1041" t="s">
        <v>1388</v>
      </c>
      <c r="C426" s="180" t="s">
        <v>1592</v>
      </c>
      <c r="D426" s="125"/>
      <c r="E426" s="125"/>
      <c r="F426" s="125"/>
      <c r="G426" s="100"/>
      <c r="H426" s="101"/>
      <c r="I426" s="101">
        <v>300000</v>
      </c>
      <c r="J426" s="101">
        <v>300000</v>
      </c>
      <c r="K426" s="102">
        <v>300000</v>
      </c>
      <c r="L426" s="1088"/>
    </row>
    <row r="427" spans="1:12" s="313" customFormat="1" ht="35.25" customHeight="1" x14ac:dyDescent="0.25">
      <c r="A427" s="1051" t="s">
        <v>163</v>
      </c>
      <c r="B427" s="1041" t="s">
        <v>1388</v>
      </c>
      <c r="C427" s="1628" t="s">
        <v>1593</v>
      </c>
      <c r="D427" s="1628"/>
      <c r="E427" s="174"/>
      <c r="F427" s="175"/>
      <c r="G427" s="423"/>
      <c r="H427" s="102"/>
      <c r="I427" s="102">
        <v>200000</v>
      </c>
      <c r="J427" s="102">
        <v>200000</v>
      </c>
      <c r="K427" s="102">
        <v>200000</v>
      </c>
      <c r="L427" s="193"/>
    </row>
    <row r="428" spans="1:12" s="179" customFormat="1" ht="18" customHeight="1" x14ac:dyDescent="0.25">
      <c r="A428" s="1051" t="s">
        <v>163</v>
      </c>
      <c r="B428" s="1041" t="s">
        <v>1388</v>
      </c>
      <c r="C428" s="180" t="s">
        <v>1569</v>
      </c>
      <c r="D428" s="174"/>
      <c r="E428" s="174"/>
      <c r="F428" s="175"/>
      <c r="G428" s="176" t="s">
        <v>199</v>
      </c>
      <c r="H428" s="101"/>
      <c r="I428" s="101">
        <v>1493678.16</v>
      </c>
      <c r="J428" s="101">
        <v>1493678.16</v>
      </c>
      <c r="K428" s="102">
        <v>1493678.16</v>
      </c>
      <c r="L428" s="177"/>
    </row>
    <row r="429" spans="1:12" s="388" customFormat="1" ht="18" x14ac:dyDescent="0.25">
      <c r="A429" s="1051" t="s">
        <v>2019</v>
      </c>
      <c r="B429" s="1041" t="s">
        <v>1388</v>
      </c>
      <c r="C429" s="44" t="s">
        <v>1594</v>
      </c>
      <c r="D429" s="402"/>
      <c r="E429" s="125"/>
      <c r="F429" s="134"/>
      <c r="G429" s="100"/>
      <c r="H429" s="101"/>
      <c r="I429" s="101">
        <v>100000</v>
      </c>
      <c r="J429" s="101">
        <v>100000</v>
      </c>
      <c r="K429" s="102">
        <v>100000</v>
      </c>
      <c r="L429" s="207"/>
    </row>
    <row r="430" spans="1:12" s="388" customFormat="1" ht="18" x14ac:dyDescent="0.25">
      <c r="A430" s="1051" t="s">
        <v>2019</v>
      </c>
      <c r="B430" s="1041" t="s">
        <v>1388</v>
      </c>
      <c r="C430" s="44" t="s">
        <v>1595</v>
      </c>
      <c r="D430" s="402"/>
      <c r="E430" s="125"/>
      <c r="F430" s="134"/>
      <c r="G430" s="100"/>
      <c r="H430" s="101"/>
      <c r="I430" s="101"/>
      <c r="J430" s="101"/>
      <c r="K430" s="102"/>
      <c r="L430" s="207"/>
    </row>
    <row r="431" spans="1:12" s="388" customFormat="1" ht="18" x14ac:dyDescent="0.25">
      <c r="A431" s="1051" t="s">
        <v>2019</v>
      </c>
      <c r="B431" s="1041" t="s">
        <v>1388</v>
      </c>
      <c r="C431" s="44" t="s">
        <v>1596</v>
      </c>
      <c r="D431" s="402"/>
      <c r="E431" s="125"/>
      <c r="F431" s="134"/>
      <c r="G431" s="100"/>
      <c r="H431" s="101"/>
      <c r="I431" s="101">
        <v>20000</v>
      </c>
      <c r="J431" s="101">
        <v>20000</v>
      </c>
      <c r="K431" s="102">
        <v>20000</v>
      </c>
      <c r="L431" s="207"/>
    </row>
    <row r="432" spans="1:12" s="388" customFormat="1" ht="36" customHeight="1" x14ac:dyDescent="0.25">
      <c r="A432" s="1051" t="s">
        <v>2019</v>
      </c>
      <c r="B432" s="1041" t="s">
        <v>1388</v>
      </c>
      <c r="C432" s="1574" t="s">
        <v>1597</v>
      </c>
      <c r="D432" s="1574"/>
      <c r="E432" s="125"/>
      <c r="F432" s="134"/>
      <c r="G432" s="100"/>
      <c r="H432" s="101"/>
      <c r="I432" s="101">
        <v>500000</v>
      </c>
      <c r="J432" s="101">
        <v>500000</v>
      </c>
      <c r="K432" s="102">
        <v>500000</v>
      </c>
      <c r="L432" s="207"/>
    </row>
    <row r="433" spans="1:12" s="388" customFormat="1" ht="35.25" customHeight="1" x14ac:dyDescent="0.25">
      <c r="A433" s="1051" t="s">
        <v>2019</v>
      </c>
      <c r="B433" s="1041" t="s">
        <v>1388</v>
      </c>
      <c r="C433" s="1574" t="s">
        <v>1598</v>
      </c>
      <c r="D433" s="1574"/>
      <c r="E433" s="125"/>
      <c r="F433" s="134"/>
      <c r="G433" s="100"/>
      <c r="H433" s="101"/>
      <c r="I433" s="101">
        <v>860000</v>
      </c>
      <c r="J433" s="101">
        <v>860000</v>
      </c>
      <c r="K433" s="102">
        <v>860000</v>
      </c>
      <c r="L433" s="207"/>
    </row>
    <row r="434" spans="1:12" s="388" customFormat="1" ht="18" x14ac:dyDescent="0.25">
      <c r="A434" s="1051" t="s">
        <v>2019</v>
      </c>
      <c r="B434" s="1041" t="s">
        <v>1388</v>
      </c>
      <c r="C434" s="44" t="s">
        <v>1599</v>
      </c>
      <c r="D434" s="402"/>
      <c r="E434" s="125"/>
      <c r="F434" s="134"/>
      <c r="G434" s="100"/>
      <c r="H434" s="101"/>
      <c r="I434" s="101">
        <v>20000</v>
      </c>
      <c r="J434" s="101">
        <v>20000</v>
      </c>
      <c r="K434" s="102">
        <v>20000</v>
      </c>
      <c r="L434" s="207"/>
    </row>
    <row r="435" spans="1:12" s="388" customFormat="1" ht="18" x14ac:dyDescent="0.25">
      <c r="A435" s="1051" t="s">
        <v>2019</v>
      </c>
      <c r="B435" s="1041" t="s">
        <v>1388</v>
      </c>
      <c r="C435" s="44" t="s">
        <v>1600</v>
      </c>
      <c r="D435" s="402"/>
      <c r="E435" s="125"/>
      <c r="F435" s="134"/>
      <c r="G435" s="195"/>
      <c r="H435" s="101"/>
      <c r="I435" s="101">
        <v>10000</v>
      </c>
      <c r="J435" s="101">
        <v>10000</v>
      </c>
      <c r="K435" s="102">
        <v>10000</v>
      </c>
      <c r="L435" s="207"/>
    </row>
    <row r="436" spans="1:12" s="388" customFormat="1" ht="18" x14ac:dyDescent="0.25">
      <c r="A436" s="1051" t="s">
        <v>2019</v>
      </c>
      <c r="B436" s="1041" t="s">
        <v>1388</v>
      </c>
      <c r="C436" s="44" t="s">
        <v>1601</v>
      </c>
      <c r="D436" s="402"/>
      <c r="E436" s="125"/>
      <c r="F436" s="134"/>
      <c r="G436" s="100"/>
      <c r="H436" s="101"/>
      <c r="I436" s="101">
        <v>100000</v>
      </c>
      <c r="J436" s="101">
        <v>100000</v>
      </c>
      <c r="K436" s="102">
        <v>100000</v>
      </c>
      <c r="L436" s="207"/>
    </row>
    <row r="437" spans="1:12" s="388" customFormat="1" ht="35.25" customHeight="1" x14ac:dyDescent="0.25">
      <c r="A437" s="1051" t="s">
        <v>2019</v>
      </c>
      <c r="B437" s="1041" t="s">
        <v>1388</v>
      </c>
      <c r="C437" s="1574" t="s">
        <v>1602</v>
      </c>
      <c r="D437" s="1574"/>
      <c r="E437" s="125"/>
      <c r="F437" s="134"/>
      <c r="G437" s="100"/>
      <c r="H437" s="101"/>
      <c r="I437" s="101">
        <v>30000</v>
      </c>
      <c r="J437" s="101">
        <v>30000</v>
      </c>
      <c r="K437" s="102">
        <v>30000</v>
      </c>
      <c r="L437" s="207"/>
    </row>
    <row r="438" spans="1:12" s="388" customFormat="1" ht="18" x14ac:dyDescent="0.25">
      <c r="A438" s="1051" t="s">
        <v>2019</v>
      </c>
      <c r="B438" s="1041" t="s">
        <v>1388</v>
      </c>
      <c r="C438" s="44" t="s">
        <v>1603</v>
      </c>
      <c r="D438" s="402"/>
      <c r="E438" s="125"/>
      <c r="F438" s="134"/>
      <c r="G438" s="100"/>
      <c r="H438" s="101"/>
      <c r="I438" s="101">
        <v>100000</v>
      </c>
      <c r="J438" s="101">
        <v>100000</v>
      </c>
      <c r="K438" s="102">
        <v>100000</v>
      </c>
      <c r="L438" s="207"/>
    </row>
    <row r="439" spans="1:12" s="388" customFormat="1" ht="18" x14ac:dyDescent="0.25">
      <c r="A439" s="1051" t="s">
        <v>2019</v>
      </c>
      <c r="B439" s="1041" t="s">
        <v>1388</v>
      </c>
      <c r="C439" s="44" t="s">
        <v>1604</v>
      </c>
      <c r="D439" s="402"/>
      <c r="E439" s="125"/>
      <c r="F439" s="134"/>
      <c r="G439" s="100"/>
      <c r="H439" s="101"/>
      <c r="I439" s="101">
        <v>20000</v>
      </c>
      <c r="J439" s="101">
        <v>20000</v>
      </c>
      <c r="K439" s="102">
        <v>20000</v>
      </c>
      <c r="L439" s="207"/>
    </row>
    <row r="440" spans="1:12" s="1168" customFormat="1" ht="23.25" customHeight="1" x14ac:dyDescent="0.25">
      <c r="A440" s="1051" t="s">
        <v>2019</v>
      </c>
      <c r="B440" s="1041" t="s">
        <v>1388</v>
      </c>
      <c r="C440" s="652" t="s">
        <v>1605</v>
      </c>
      <c r="D440" s="652"/>
      <c r="E440" s="192"/>
      <c r="F440" s="192"/>
      <c r="G440" s="423"/>
      <c r="H440" s="102"/>
      <c r="I440" s="102">
        <v>50000</v>
      </c>
      <c r="J440" s="102">
        <v>50000</v>
      </c>
      <c r="K440" s="102">
        <v>50000</v>
      </c>
      <c r="L440" s="193"/>
    </row>
    <row r="441" spans="1:12" s="1168" customFormat="1" ht="23.25" customHeight="1" x14ac:dyDescent="0.25">
      <c r="A441" s="1051" t="s">
        <v>2019</v>
      </c>
      <c r="B441" s="1041" t="s">
        <v>1388</v>
      </c>
      <c r="C441" s="652" t="s">
        <v>1606</v>
      </c>
      <c r="D441" s="652"/>
      <c r="E441" s="192"/>
      <c r="F441" s="192"/>
      <c r="G441" s="423"/>
      <c r="H441" s="102"/>
      <c r="I441" s="102">
        <v>205000</v>
      </c>
      <c r="J441" s="102">
        <v>205000</v>
      </c>
      <c r="K441" s="102">
        <v>205000</v>
      </c>
      <c r="L441" s="193"/>
    </row>
    <row r="442" spans="1:12" s="1168" customFormat="1" ht="18" customHeight="1" x14ac:dyDescent="0.25">
      <c r="A442" s="224" t="s">
        <v>201</v>
      </c>
      <c r="B442" s="1041" t="s">
        <v>1388</v>
      </c>
      <c r="C442" s="225" t="s">
        <v>1607</v>
      </c>
      <c r="D442" s="652"/>
      <c r="E442" s="192"/>
      <c r="F442" s="192"/>
      <c r="G442" s="423"/>
      <c r="H442" s="102"/>
      <c r="I442" s="102">
        <v>777600</v>
      </c>
      <c r="J442" s="102">
        <v>777600</v>
      </c>
      <c r="K442" s="102">
        <v>777600</v>
      </c>
      <c r="L442" s="193"/>
    </row>
    <row r="443" spans="1:12" s="388" customFormat="1" ht="18" x14ac:dyDescent="0.25">
      <c r="A443" s="154" t="s">
        <v>201</v>
      </c>
      <c r="B443" s="1041" t="s">
        <v>1388</v>
      </c>
      <c r="C443" s="1088" t="s">
        <v>1608</v>
      </c>
      <c r="D443" s="125"/>
      <c r="E443" s="125"/>
      <c r="F443" s="125"/>
      <c r="G443" s="100"/>
      <c r="H443" s="101"/>
      <c r="I443" s="101">
        <v>600000</v>
      </c>
      <c r="J443" s="101">
        <v>600000</v>
      </c>
      <c r="K443" s="102">
        <v>600000</v>
      </c>
      <c r="L443" s="207"/>
    </row>
    <row r="444" spans="1:12" s="48" customFormat="1" ht="17.100000000000001" customHeight="1" x14ac:dyDescent="0.25">
      <c r="A444" s="1051" t="s">
        <v>123</v>
      </c>
      <c r="B444" s="1041" t="s">
        <v>2025</v>
      </c>
      <c r="C444" s="1602" t="s">
        <v>124</v>
      </c>
      <c r="D444" s="1603"/>
      <c r="E444" s="1603"/>
      <c r="F444" s="1603"/>
      <c r="G444" s="131" t="s">
        <v>125</v>
      </c>
      <c r="H444" s="101"/>
      <c r="I444" s="101">
        <v>493392</v>
      </c>
      <c r="J444" s="101">
        <v>493392</v>
      </c>
      <c r="K444" s="102">
        <v>472308</v>
      </c>
      <c r="L444" s="6"/>
    </row>
    <row r="445" spans="1:12" s="48" customFormat="1" ht="17.100000000000001" customHeight="1" x14ac:dyDescent="0.25">
      <c r="A445" s="1051" t="s">
        <v>123</v>
      </c>
      <c r="B445" s="1106" t="s">
        <v>2025</v>
      </c>
      <c r="C445" s="1602" t="s">
        <v>129</v>
      </c>
      <c r="D445" s="1603"/>
      <c r="E445" s="1603"/>
      <c r="F445" s="1603"/>
      <c r="G445" s="132" t="s">
        <v>130</v>
      </c>
      <c r="H445" s="101"/>
      <c r="I445" s="101">
        <v>48000</v>
      </c>
      <c r="J445" s="101">
        <v>48000</v>
      </c>
      <c r="K445" s="102">
        <v>48000</v>
      </c>
      <c r="L445" s="6"/>
    </row>
    <row r="446" spans="1:12" s="48" customFormat="1" ht="17.100000000000001" customHeight="1" x14ac:dyDescent="0.25">
      <c r="A446" s="1051" t="s">
        <v>123</v>
      </c>
      <c r="B446" s="1106" t="s">
        <v>2025</v>
      </c>
      <c r="C446" s="1602" t="s">
        <v>137</v>
      </c>
      <c r="D446" s="1603"/>
      <c r="E446" s="1603"/>
      <c r="F446" s="1603"/>
      <c r="G446" s="131" t="s">
        <v>138</v>
      </c>
      <c r="H446" s="101"/>
      <c r="I446" s="101">
        <v>12000</v>
      </c>
      <c r="J446" s="101">
        <v>12000</v>
      </c>
      <c r="K446" s="102">
        <v>12000</v>
      </c>
      <c r="L446" s="6"/>
    </row>
    <row r="447" spans="1:12" s="48" customFormat="1" ht="17.100000000000001" customHeight="1" x14ac:dyDescent="0.25">
      <c r="A447" s="1051" t="s">
        <v>123</v>
      </c>
      <c r="B447" s="1106" t="s">
        <v>2025</v>
      </c>
      <c r="C447" s="1602" t="s">
        <v>1541</v>
      </c>
      <c r="D447" s="1603"/>
      <c r="E447" s="1603"/>
      <c r="F447" s="1603"/>
      <c r="G447" s="131" t="s">
        <v>140</v>
      </c>
      <c r="H447" s="101"/>
      <c r="I447" s="101">
        <v>37599</v>
      </c>
      <c r="J447" s="101">
        <v>37599</v>
      </c>
      <c r="K447" s="102">
        <v>39359</v>
      </c>
      <c r="L447" s="6"/>
    </row>
    <row r="448" spans="1:12" s="48" customFormat="1" ht="17.100000000000001" customHeight="1" x14ac:dyDescent="0.25">
      <c r="A448" s="1051" t="s">
        <v>123</v>
      </c>
      <c r="B448" s="1106" t="s">
        <v>2025</v>
      </c>
      <c r="C448" s="1602" t="s">
        <v>141</v>
      </c>
      <c r="D448" s="1603"/>
      <c r="E448" s="1603"/>
      <c r="F448" s="1603"/>
      <c r="G448" s="131" t="s">
        <v>142</v>
      </c>
      <c r="H448" s="101"/>
      <c r="I448" s="101">
        <v>37599</v>
      </c>
      <c r="J448" s="101">
        <v>37599</v>
      </c>
      <c r="K448" s="102">
        <v>39359</v>
      </c>
      <c r="L448" s="6"/>
    </row>
    <row r="449" spans="1:12" s="48" customFormat="1" ht="17.100000000000001" customHeight="1" x14ac:dyDescent="0.25">
      <c r="A449" s="1051" t="s">
        <v>123</v>
      </c>
      <c r="B449" s="1106" t="s">
        <v>2025</v>
      </c>
      <c r="C449" s="1602" t="s">
        <v>143</v>
      </c>
      <c r="D449" s="1603"/>
      <c r="E449" s="1603"/>
      <c r="F449" s="1603"/>
      <c r="G449" s="131" t="s">
        <v>144</v>
      </c>
      <c r="H449" s="101"/>
      <c r="I449" s="101">
        <v>10000</v>
      </c>
      <c r="J449" s="101">
        <v>10000</v>
      </c>
      <c r="K449" s="102">
        <v>10000</v>
      </c>
      <c r="L449" s="6"/>
    </row>
    <row r="450" spans="1:12" s="48" customFormat="1" ht="17.100000000000001" customHeight="1" x14ac:dyDescent="0.25">
      <c r="A450" s="1051" t="s">
        <v>123</v>
      </c>
      <c r="B450" s="1106" t="s">
        <v>2025</v>
      </c>
      <c r="C450" s="1602" t="s">
        <v>1543</v>
      </c>
      <c r="D450" s="1603"/>
      <c r="E450" s="1603"/>
      <c r="F450" s="1603"/>
      <c r="G450" s="131" t="s">
        <v>146</v>
      </c>
      <c r="H450" s="101"/>
      <c r="I450" s="101">
        <v>10000</v>
      </c>
      <c r="J450" s="101">
        <v>10000</v>
      </c>
      <c r="K450" s="102">
        <v>10000</v>
      </c>
      <c r="L450" s="6"/>
    </row>
    <row r="451" spans="1:12" s="48" customFormat="1" ht="17.100000000000001" customHeight="1" x14ac:dyDescent="0.25">
      <c r="A451" s="1051" t="s">
        <v>123</v>
      </c>
      <c r="B451" s="1106" t="s">
        <v>2025</v>
      </c>
      <c r="C451" s="1062" t="s">
        <v>147</v>
      </c>
      <c r="D451" s="1041"/>
      <c r="E451" s="1041"/>
      <c r="F451" s="1039"/>
      <c r="G451" s="131" t="s">
        <v>148</v>
      </c>
      <c r="H451" s="101"/>
      <c r="I451" s="101"/>
      <c r="J451" s="101"/>
      <c r="K451" s="102"/>
      <c r="L451" s="6"/>
    </row>
    <row r="452" spans="1:12" s="48" customFormat="1" ht="17.100000000000001" customHeight="1" x14ac:dyDescent="0.25">
      <c r="A452" s="1051" t="s">
        <v>123</v>
      </c>
      <c r="B452" s="1106" t="s">
        <v>2025</v>
      </c>
      <c r="C452" s="1602" t="s">
        <v>1545</v>
      </c>
      <c r="D452" s="1603"/>
      <c r="E452" s="1603"/>
      <c r="F452" s="1603"/>
      <c r="G452" s="131" t="s">
        <v>154</v>
      </c>
      <c r="H452" s="101"/>
      <c r="I452" s="101">
        <v>59207.040000000001</v>
      </c>
      <c r="J452" s="101">
        <v>59207.040000000001</v>
      </c>
      <c r="K452" s="102">
        <v>56676.959999999999</v>
      </c>
      <c r="L452" s="6"/>
    </row>
    <row r="453" spans="1:12" s="48" customFormat="1" ht="17.100000000000001" customHeight="1" x14ac:dyDescent="0.25">
      <c r="A453" s="1051" t="s">
        <v>123</v>
      </c>
      <c r="B453" s="1106" t="s">
        <v>2025</v>
      </c>
      <c r="C453" s="1602" t="s">
        <v>155</v>
      </c>
      <c r="D453" s="1603"/>
      <c r="E453" s="1603"/>
      <c r="F453" s="1603"/>
      <c r="G453" s="131" t="s">
        <v>156</v>
      </c>
      <c r="H453" s="101"/>
      <c r="I453" s="101">
        <v>2400</v>
      </c>
      <c r="J453" s="101">
        <v>2400</v>
      </c>
      <c r="K453" s="102">
        <v>2400</v>
      </c>
      <c r="L453" s="6"/>
    </row>
    <row r="454" spans="1:12" s="48" customFormat="1" ht="17.100000000000001" customHeight="1" x14ac:dyDescent="0.25">
      <c r="A454" s="1051" t="s">
        <v>123</v>
      </c>
      <c r="B454" s="1106" t="s">
        <v>2025</v>
      </c>
      <c r="C454" s="1602" t="s">
        <v>157</v>
      </c>
      <c r="D454" s="1603"/>
      <c r="E454" s="1603"/>
      <c r="F454" s="1603"/>
      <c r="G454" s="131" t="s">
        <v>158</v>
      </c>
      <c r="H454" s="101"/>
      <c r="I454" s="101">
        <v>11101.32</v>
      </c>
      <c r="J454" s="101">
        <v>11101.32</v>
      </c>
      <c r="K454" s="102">
        <v>10626.93</v>
      </c>
      <c r="L454" s="6"/>
    </row>
    <row r="455" spans="1:12" s="48" customFormat="1" ht="17.100000000000001" customHeight="1" x14ac:dyDescent="0.25">
      <c r="A455" s="1051" t="s">
        <v>123</v>
      </c>
      <c r="B455" s="1106" t="s">
        <v>2025</v>
      </c>
      <c r="C455" s="1611" t="s">
        <v>1546</v>
      </c>
      <c r="D455" s="1611"/>
      <c r="E455" s="1611"/>
      <c r="F455" s="1602"/>
      <c r="G455" s="131" t="s">
        <v>160</v>
      </c>
      <c r="H455" s="105"/>
      <c r="I455" s="105">
        <v>2400</v>
      </c>
      <c r="J455" s="105">
        <v>2400</v>
      </c>
      <c r="K455" s="106">
        <v>2400</v>
      </c>
      <c r="L455" s="6"/>
    </row>
    <row r="456" spans="1:12" s="48" customFormat="1" ht="17.100000000000001" customHeight="1" x14ac:dyDescent="0.25">
      <c r="A456" s="1051" t="s">
        <v>163</v>
      </c>
      <c r="B456" s="1106" t="s">
        <v>2025</v>
      </c>
      <c r="C456" s="44" t="s">
        <v>353</v>
      </c>
      <c r="D456" s="113"/>
      <c r="E456" s="113"/>
      <c r="F456" s="114"/>
      <c r="G456" s="131" t="s">
        <v>165</v>
      </c>
      <c r="H456" s="162"/>
      <c r="I456" s="1169">
        <v>15000</v>
      </c>
      <c r="J456" s="1169">
        <v>15000</v>
      </c>
      <c r="K456" s="162">
        <v>15000</v>
      </c>
      <c r="L456" s="6"/>
    </row>
    <row r="457" spans="1:12" s="48" customFormat="1" ht="17.100000000000001" customHeight="1" x14ac:dyDescent="0.25">
      <c r="A457" s="1051" t="s">
        <v>163</v>
      </c>
      <c r="B457" s="1106" t="s">
        <v>2025</v>
      </c>
      <c r="C457" s="44" t="s">
        <v>166</v>
      </c>
      <c r="D457" s="113"/>
      <c r="E457" s="113"/>
      <c r="F457" s="114"/>
      <c r="G457" s="131"/>
      <c r="H457" s="162"/>
      <c r="I457" s="1169"/>
      <c r="J457" s="1169"/>
      <c r="K457" s="162">
        <v>15000</v>
      </c>
      <c r="L457" s="6"/>
    </row>
    <row r="458" spans="1:12" s="48" customFormat="1" ht="17.100000000000001" customHeight="1" x14ac:dyDescent="0.25">
      <c r="A458" s="1051" t="s">
        <v>163</v>
      </c>
      <c r="B458" s="1106" t="s">
        <v>2025</v>
      </c>
      <c r="C458" s="44" t="s">
        <v>168</v>
      </c>
      <c r="D458" s="113"/>
      <c r="E458" s="113"/>
      <c r="F458" s="114"/>
      <c r="G458" s="131" t="s">
        <v>169</v>
      </c>
      <c r="H458" s="162"/>
      <c r="I458" s="1169">
        <v>49952</v>
      </c>
      <c r="J458" s="1169">
        <v>49952</v>
      </c>
      <c r="K458" s="162">
        <v>49952</v>
      </c>
      <c r="L458" s="6"/>
    </row>
    <row r="459" spans="1:12" s="48" customFormat="1" ht="17.100000000000001" customHeight="1" x14ac:dyDescent="0.25">
      <c r="A459" s="1051" t="s">
        <v>163</v>
      </c>
      <c r="B459" s="1106" t="s">
        <v>2025</v>
      </c>
      <c r="C459" s="44" t="s">
        <v>288</v>
      </c>
      <c r="D459" s="113"/>
      <c r="E459" s="113"/>
      <c r="F459" s="114"/>
      <c r="G459" s="131" t="s">
        <v>171</v>
      </c>
      <c r="H459" s="162"/>
      <c r="I459" s="1169">
        <v>33960</v>
      </c>
      <c r="J459" s="1169">
        <v>33960</v>
      </c>
      <c r="K459" s="162">
        <v>33960</v>
      </c>
      <c r="L459" s="6"/>
    </row>
    <row r="460" spans="1:12" s="48" customFormat="1" ht="17.100000000000001" customHeight="1" x14ac:dyDescent="0.25">
      <c r="A460" s="1051" t="s">
        <v>163</v>
      </c>
      <c r="B460" s="1106" t="s">
        <v>2025</v>
      </c>
      <c r="C460" s="44" t="s">
        <v>176</v>
      </c>
      <c r="D460" s="113"/>
      <c r="E460" s="113"/>
      <c r="F460" s="114"/>
      <c r="G460" s="131" t="s">
        <v>177</v>
      </c>
      <c r="H460" s="162"/>
      <c r="I460" s="1169">
        <v>5000</v>
      </c>
      <c r="J460" s="1169">
        <v>5000</v>
      </c>
      <c r="K460" s="162">
        <v>5000</v>
      </c>
      <c r="L460" s="6"/>
    </row>
    <row r="461" spans="1:12" s="48" customFormat="1" ht="17.100000000000001" customHeight="1" x14ac:dyDescent="0.25">
      <c r="A461" s="1051" t="s">
        <v>163</v>
      </c>
      <c r="B461" s="1106" t="s">
        <v>2025</v>
      </c>
      <c r="C461" s="44" t="s">
        <v>178</v>
      </c>
      <c r="D461" s="113"/>
      <c r="E461" s="113"/>
      <c r="F461" s="114"/>
      <c r="G461" s="131" t="s">
        <v>179</v>
      </c>
      <c r="H461" s="162"/>
      <c r="I461" s="1169">
        <v>30000</v>
      </c>
      <c r="J461" s="1169">
        <v>30000</v>
      </c>
      <c r="K461" s="162">
        <v>30000</v>
      </c>
      <c r="L461" s="6"/>
    </row>
    <row r="462" spans="1:12" s="48" customFormat="1" ht="17.100000000000001" customHeight="1" x14ac:dyDescent="0.25">
      <c r="A462" s="1051" t="s">
        <v>163</v>
      </c>
      <c r="B462" s="1106" t="s">
        <v>2025</v>
      </c>
      <c r="C462" s="44" t="s">
        <v>186</v>
      </c>
      <c r="D462" s="113"/>
      <c r="E462" s="113"/>
      <c r="F462" s="114"/>
      <c r="G462" s="131" t="s">
        <v>187</v>
      </c>
      <c r="H462" s="162"/>
      <c r="I462" s="1169">
        <v>5000</v>
      </c>
      <c r="J462" s="1169">
        <v>5000</v>
      </c>
      <c r="K462" s="162">
        <v>5000</v>
      </c>
      <c r="L462" s="6"/>
    </row>
    <row r="463" spans="1:12" s="48" customFormat="1" ht="17.100000000000001" customHeight="1" x14ac:dyDescent="0.25">
      <c r="A463" s="1051" t="s">
        <v>163</v>
      </c>
      <c r="B463" s="1106" t="s">
        <v>2025</v>
      </c>
      <c r="C463" s="44" t="s">
        <v>198</v>
      </c>
      <c r="D463" s="113"/>
      <c r="E463" s="113"/>
      <c r="F463" s="114"/>
      <c r="G463" s="131" t="s">
        <v>199</v>
      </c>
      <c r="H463" s="162"/>
      <c r="I463" s="1169">
        <v>5000</v>
      </c>
      <c r="J463" s="1169">
        <v>5000</v>
      </c>
      <c r="K463" s="162">
        <v>5000</v>
      </c>
      <c r="L463" s="6"/>
    </row>
    <row r="464" spans="1:12" ht="17.25" customHeight="1" x14ac:dyDescent="0.25">
      <c r="A464" s="1051" t="s">
        <v>2019</v>
      </c>
      <c r="B464" s="1106" t="s">
        <v>2025</v>
      </c>
      <c r="C464" s="1715" t="s">
        <v>1609</v>
      </c>
      <c r="D464" s="1715"/>
      <c r="E464" s="1715"/>
      <c r="F464" s="1716"/>
      <c r="G464" s="100"/>
      <c r="H464" s="101"/>
      <c r="I464" s="1156">
        <v>500000</v>
      </c>
      <c r="J464" s="1156">
        <v>500000</v>
      </c>
      <c r="K464" s="102">
        <v>100000</v>
      </c>
    </row>
    <row r="465" spans="1:12" s="146" customFormat="1" ht="18" customHeight="1" x14ac:dyDescent="0.25">
      <c r="A465" s="1051" t="s">
        <v>2019</v>
      </c>
      <c r="B465" s="1106" t="s">
        <v>2025</v>
      </c>
      <c r="C465" s="1088" t="s">
        <v>1610</v>
      </c>
      <c r="D465" s="1086"/>
      <c r="E465" s="422"/>
      <c r="F465" s="422"/>
      <c r="G465" s="100"/>
      <c r="H465" s="102"/>
      <c r="I465" s="102">
        <v>700000</v>
      </c>
      <c r="J465" s="102">
        <v>700000</v>
      </c>
      <c r="K465" s="102">
        <v>700000</v>
      </c>
      <c r="L465" s="10"/>
    </row>
    <row r="466" spans="1:12" s="146" customFormat="1" ht="18" customHeight="1" x14ac:dyDescent="0.25">
      <c r="A466" s="1051" t="s">
        <v>2019</v>
      </c>
      <c r="B466" s="1106" t="s">
        <v>2025</v>
      </c>
      <c r="C466" s="1088" t="s">
        <v>1611</v>
      </c>
      <c r="D466" s="199"/>
      <c r="E466" s="184"/>
      <c r="F466" s="184"/>
      <c r="G466" s="100"/>
      <c r="H466" s="102"/>
      <c r="I466" s="102">
        <v>500000</v>
      </c>
      <c r="J466" s="102">
        <v>500000</v>
      </c>
      <c r="K466" s="102">
        <v>500000</v>
      </c>
      <c r="L466" s="10"/>
    </row>
    <row r="467" spans="1:12" s="146" customFormat="1" ht="18" customHeight="1" x14ac:dyDescent="0.25">
      <c r="A467" s="1051" t="s">
        <v>2019</v>
      </c>
      <c r="B467" s="1106" t="s">
        <v>2025</v>
      </c>
      <c r="C467" s="1088" t="s">
        <v>1612</v>
      </c>
      <c r="D467" s="1086"/>
      <c r="E467" s="422"/>
      <c r="F467" s="422"/>
      <c r="G467" s="100"/>
      <c r="H467" s="102"/>
      <c r="I467" s="102">
        <v>800000</v>
      </c>
      <c r="J467" s="102">
        <v>800000</v>
      </c>
      <c r="K467" s="102">
        <v>800000</v>
      </c>
      <c r="L467" s="10"/>
    </row>
    <row r="468" spans="1:12" s="146" customFormat="1" ht="18" customHeight="1" x14ac:dyDescent="0.25">
      <c r="A468" s="1051" t="s">
        <v>2019</v>
      </c>
      <c r="B468" s="1106" t="s">
        <v>2025</v>
      </c>
      <c r="C468" s="1088" t="s">
        <v>1613</v>
      </c>
      <c r="D468" s="1086"/>
      <c r="E468" s="422"/>
      <c r="F468" s="422"/>
      <c r="G468" s="100"/>
      <c r="H468" s="102"/>
      <c r="I468" s="102">
        <v>200000</v>
      </c>
      <c r="J468" s="102">
        <v>200000</v>
      </c>
      <c r="K468" s="102">
        <v>200000</v>
      </c>
      <c r="L468" s="10"/>
    </row>
    <row r="469" spans="1:12" s="146" customFormat="1" ht="18" customHeight="1" x14ac:dyDescent="0.25">
      <c r="A469" s="1051" t="s">
        <v>2019</v>
      </c>
      <c r="B469" s="1106" t="s">
        <v>2025</v>
      </c>
      <c r="C469" s="1088" t="s">
        <v>1614</v>
      </c>
      <c r="D469" s="199"/>
      <c r="E469" s="184"/>
      <c r="F469" s="184"/>
      <c r="G469" s="100"/>
      <c r="H469" s="102"/>
      <c r="I469" s="102">
        <v>50000</v>
      </c>
      <c r="J469" s="102">
        <v>50000</v>
      </c>
      <c r="K469" s="102">
        <v>50000</v>
      </c>
      <c r="L469" s="10"/>
    </row>
    <row r="470" spans="1:12" s="48" customFormat="1" ht="17.100000000000001" customHeight="1" x14ac:dyDescent="0.25">
      <c r="A470" s="1051" t="s">
        <v>123</v>
      </c>
      <c r="B470" s="1041" t="s">
        <v>1317</v>
      </c>
      <c r="C470" s="1602" t="s">
        <v>124</v>
      </c>
      <c r="D470" s="1603"/>
      <c r="E470" s="1603"/>
      <c r="F470" s="1603"/>
      <c r="G470" s="131" t="s">
        <v>125</v>
      </c>
      <c r="H470" s="101"/>
      <c r="I470" s="101">
        <v>1279224</v>
      </c>
      <c r="J470" s="101">
        <v>1279224</v>
      </c>
      <c r="K470" s="102">
        <v>1242720</v>
      </c>
      <c r="L470" s="6"/>
    </row>
    <row r="471" spans="1:12" s="48" customFormat="1" ht="17.100000000000001" customHeight="1" x14ac:dyDescent="0.25">
      <c r="A471" s="1051" t="s">
        <v>123</v>
      </c>
      <c r="B471" s="1106" t="s">
        <v>1317</v>
      </c>
      <c r="C471" s="1602" t="s">
        <v>129</v>
      </c>
      <c r="D471" s="1603"/>
      <c r="E471" s="1603"/>
      <c r="F471" s="1603"/>
      <c r="G471" s="132" t="s">
        <v>130</v>
      </c>
      <c r="H471" s="101"/>
      <c r="I471" s="101">
        <v>96000</v>
      </c>
      <c r="J471" s="101">
        <v>96000</v>
      </c>
      <c r="K471" s="102">
        <v>96000</v>
      </c>
      <c r="L471" s="6"/>
    </row>
    <row r="472" spans="1:12" s="48" customFormat="1" ht="17.100000000000001" customHeight="1" x14ac:dyDescent="0.25">
      <c r="A472" s="1051" t="s">
        <v>123</v>
      </c>
      <c r="B472" s="1106" t="s">
        <v>1317</v>
      </c>
      <c r="C472" s="1611" t="s">
        <v>135</v>
      </c>
      <c r="D472" s="1611"/>
      <c r="E472" s="1611"/>
      <c r="F472" s="1602"/>
      <c r="G472" s="131" t="s">
        <v>136</v>
      </c>
      <c r="H472" s="101"/>
      <c r="I472" s="101">
        <v>434249.1</v>
      </c>
      <c r="J472" s="101">
        <v>434249.1</v>
      </c>
      <c r="K472" s="102">
        <v>434249.1</v>
      </c>
      <c r="L472" s="6"/>
    </row>
    <row r="473" spans="1:12" s="48" customFormat="1" ht="17.100000000000001" customHeight="1" x14ac:dyDescent="0.25">
      <c r="A473" s="1051" t="s">
        <v>123</v>
      </c>
      <c r="B473" s="1106" t="s">
        <v>1317</v>
      </c>
      <c r="C473" s="1611" t="s">
        <v>137</v>
      </c>
      <c r="D473" s="1611"/>
      <c r="E473" s="1611"/>
      <c r="F473" s="1602"/>
      <c r="G473" s="131" t="s">
        <v>138</v>
      </c>
      <c r="H473" s="101"/>
      <c r="I473" s="101">
        <v>24000</v>
      </c>
      <c r="J473" s="101">
        <v>24000</v>
      </c>
      <c r="K473" s="102">
        <v>24000</v>
      </c>
      <c r="L473" s="6"/>
    </row>
    <row r="474" spans="1:12" s="48" customFormat="1" ht="17.100000000000001" customHeight="1" x14ac:dyDescent="0.25">
      <c r="A474" s="1051" t="s">
        <v>123</v>
      </c>
      <c r="B474" s="1106" t="s">
        <v>1317</v>
      </c>
      <c r="C474" s="1042" t="s">
        <v>1567</v>
      </c>
      <c r="D474" s="1041"/>
      <c r="E474" s="1041"/>
      <c r="F474" s="1039"/>
      <c r="G474" s="131"/>
      <c r="H474" s="101"/>
      <c r="I474" s="101">
        <v>41784.83</v>
      </c>
      <c r="J474" s="101">
        <v>41784.83</v>
      </c>
      <c r="K474" s="102"/>
      <c r="L474" s="6"/>
    </row>
    <row r="475" spans="1:12" s="48" customFormat="1" ht="17.100000000000001" customHeight="1" x14ac:dyDescent="0.25">
      <c r="A475" s="1051" t="s">
        <v>123</v>
      </c>
      <c r="B475" s="1106" t="s">
        <v>1317</v>
      </c>
      <c r="C475" s="1611" t="s">
        <v>1541</v>
      </c>
      <c r="D475" s="1611"/>
      <c r="E475" s="1611"/>
      <c r="F475" s="1602"/>
      <c r="G475" s="131" t="s">
        <v>140</v>
      </c>
      <c r="H475" s="101"/>
      <c r="I475" s="101">
        <v>106602</v>
      </c>
      <c r="J475" s="101">
        <v>106602</v>
      </c>
      <c r="K475" s="102">
        <v>103560</v>
      </c>
      <c r="L475" s="6"/>
    </row>
    <row r="476" spans="1:12" s="48" customFormat="1" ht="17.100000000000001" customHeight="1" x14ac:dyDescent="0.25">
      <c r="A476" s="1051" t="s">
        <v>123</v>
      </c>
      <c r="B476" s="1106" t="s">
        <v>1317</v>
      </c>
      <c r="C476" s="1611" t="s">
        <v>141</v>
      </c>
      <c r="D476" s="1611"/>
      <c r="E476" s="1611"/>
      <c r="F476" s="1602"/>
      <c r="G476" s="131" t="s">
        <v>142</v>
      </c>
      <c r="H476" s="101"/>
      <c r="I476" s="101">
        <v>106602</v>
      </c>
      <c r="J476" s="101">
        <v>106602</v>
      </c>
      <c r="K476" s="102">
        <v>103560</v>
      </c>
      <c r="L476" s="6"/>
    </row>
    <row r="477" spans="1:12" s="48" customFormat="1" ht="17.100000000000001" customHeight="1" x14ac:dyDescent="0.25">
      <c r="A477" s="1051" t="s">
        <v>123</v>
      </c>
      <c r="B477" s="1106" t="s">
        <v>1317</v>
      </c>
      <c r="C477" s="1611" t="s">
        <v>1542</v>
      </c>
      <c r="D477" s="1611"/>
      <c r="E477" s="1611"/>
      <c r="F477" s="1602"/>
      <c r="G477" s="131"/>
      <c r="H477" s="101"/>
      <c r="I477" s="101"/>
      <c r="J477" s="101"/>
      <c r="K477" s="102"/>
      <c r="L477" s="6"/>
    </row>
    <row r="478" spans="1:12" s="48" customFormat="1" ht="17.100000000000001" customHeight="1" x14ac:dyDescent="0.25">
      <c r="A478" s="1051" t="s">
        <v>123</v>
      </c>
      <c r="B478" s="1106" t="s">
        <v>1317</v>
      </c>
      <c r="C478" s="1611" t="s">
        <v>143</v>
      </c>
      <c r="D478" s="1611"/>
      <c r="E478" s="1611"/>
      <c r="F478" s="1602"/>
      <c r="G478" s="131" t="s">
        <v>144</v>
      </c>
      <c r="H478" s="101"/>
      <c r="I478" s="101">
        <v>20000</v>
      </c>
      <c r="J478" s="101">
        <v>20000</v>
      </c>
      <c r="K478" s="102">
        <v>20000</v>
      </c>
      <c r="L478" s="6"/>
    </row>
    <row r="479" spans="1:12" s="48" customFormat="1" ht="17.100000000000001" customHeight="1" x14ac:dyDescent="0.25">
      <c r="A479" s="1051" t="s">
        <v>123</v>
      </c>
      <c r="B479" s="1106" t="s">
        <v>1317</v>
      </c>
      <c r="C479" s="1611" t="s">
        <v>1543</v>
      </c>
      <c r="D479" s="1611"/>
      <c r="E479" s="1611"/>
      <c r="F479" s="1602"/>
      <c r="G479" s="131" t="s">
        <v>146</v>
      </c>
      <c r="H479" s="101"/>
      <c r="I479" s="101">
        <v>20000</v>
      </c>
      <c r="J479" s="101">
        <v>20000</v>
      </c>
      <c r="K479" s="102">
        <v>20000</v>
      </c>
      <c r="L479" s="6"/>
    </row>
    <row r="480" spans="1:12" s="48" customFormat="1" ht="17.100000000000001" customHeight="1" x14ac:dyDescent="0.25">
      <c r="A480" s="1051" t="s">
        <v>123</v>
      </c>
      <c r="B480" s="1106" t="s">
        <v>1317</v>
      </c>
      <c r="C480" s="1041" t="s">
        <v>1568</v>
      </c>
      <c r="D480" s="1041"/>
      <c r="E480" s="1041"/>
      <c r="F480" s="1039"/>
      <c r="G480" s="131"/>
      <c r="H480" s="101"/>
      <c r="I480" s="101"/>
      <c r="J480" s="101"/>
      <c r="K480" s="102">
        <v>5000</v>
      </c>
      <c r="L480" s="6"/>
    </row>
    <row r="481" spans="1:12" s="48" customFormat="1" ht="17.100000000000001" customHeight="1" x14ac:dyDescent="0.25">
      <c r="A481" s="1051" t="s">
        <v>123</v>
      </c>
      <c r="B481" s="1106" t="s">
        <v>1317</v>
      </c>
      <c r="C481" s="1062" t="s">
        <v>147</v>
      </c>
      <c r="D481" s="1041"/>
      <c r="E481" s="1041"/>
      <c r="F481" s="1039"/>
      <c r="G481" s="131" t="s">
        <v>148</v>
      </c>
      <c r="H481" s="101"/>
      <c r="I481" s="101"/>
      <c r="J481" s="101"/>
      <c r="K481" s="102"/>
      <c r="L481" s="6"/>
    </row>
    <row r="482" spans="1:12" s="48" customFormat="1" ht="17.100000000000001" customHeight="1" x14ac:dyDescent="0.25">
      <c r="A482" s="1051" t="s">
        <v>123</v>
      </c>
      <c r="B482" s="1106" t="s">
        <v>1317</v>
      </c>
      <c r="C482" s="1045" t="s">
        <v>149</v>
      </c>
      <c r="D482" s="1675"/>
      <c r="E482" s="1675"/>
      <c r="F482" s="1676"/>
      <c r="G482" s="131" t="s">
        <v>150</v>
      </c>
      <c r="H482" s="101"/>
      <c r="I482" s="101"/>
      <c r="J482" s="101"/>
      <c r="K482" s="102"/>
      <c r="L482" s="6"/>
    </row>
    <row r="483" spans="1:12" s="48" customFormat="1" ht="17.100000000000001" customHeight="1" x14ac:dyDescent="0.25">
      <c r="A483" s="1051" t="s">
        <v>123</v>
      </c>
      <c r="B483" s="1106" t="s">
        <v>1317</v>
      </c>
      <c r="C483" s="1611" t="s">
        <v>1544</v>
      </c>
      <c r="D483" s="1611"/>
      <c r="E483" s="1611"/>
      <c r="F483" s="1602"/>
      <c r="G483" s="131" t="s">
        <v>148</v>
      </c>
      <c r="H483" s="101"/>
      <c r="I483" s="101"/>
      <c r="J483" s="101"/>
      <c r="K483" s="102"/>
      <c r="L483" s="6"/>
    </row>
    <row r="484" spans="1:12" s="48" customFormat="1" ht="17.100000000000001" customHeight="1" x14ac:dyDescent="0.25">
      <c r="A484" s="1051" t="s">
        <v>123</v>
      </c>
      <c r="B484" s="1106" t="s">
        <v>1317</v>
      </c>
      <c r="C484" s="1611" t="s">
        <v>1545</v>
      </c>
      <c r="D484" s="1611"/>
      <c r="E484" s="1611"/>
      <c r="F484" s="1602"/>
      <c r="G484" s="131" t="s">
        <v>154</v>
      </c>
      <c r="H484" s="101"/>
      <c r="I484" s="101">
        <v>153506.88</v>
      </c>
      <c r="J484" s="101">
        <v>153506.88</v>
      </c>
      <c r="K484" s="102">
        <v>149126.39999999999</v>
      </c>
      <c r="L484" s="6"/>
    </row>
    <row r="485" spans="1:12" s="48" customFormat="1" ht="17.100000000000001" customHeight="1" x14ac:dyDescent="0.25">
      <c r="A485" s="1051" t="s">
        <v>123</v>
      </c>
      <c r="B485" s="1106" t="s">
        <v>1317</v>
      </c>
      <c r="C485" s="1611" t="s">
        <v>155</v>
      </c>
      <c r="D485" s="1611"/>
      <c r="E485" s="1611"/>
      <c r="F485" s="1602"/>
      <c r="G485" s="131" t="s">
        <v>156</v>
      </c>
      <c r="H485" s="101"/>
      <c r="I485" s="101">
        <v>4800</v>
      </c>
      <c r="J485" s="101">
        <v>4800</v>
      </c>
      <c r="K485" s="102">
        <v>4800</v>
      </c>
      <c r="L485" s="6"/>
    </row>
    <row r="486" spans="1:12" s="48" customFormat="1" ht="17.100000000000001" customHeight="1" x14ac:dyDescent="0.25">
      <c r="A486" s="1051" t="s">
        <v>123</v>
      </c>
      <c r="B486" s="1106" t="s">
        <v>1317</v>
      </c>
      <c r="C486" s="1611" t="s">
        <v>157</v>
      </c>
      <c r="D486" s="1611"/>
      <c r="E486" s="1611"/>
      <c r="F486" s="1602"/>
      <c r="G486" s="131" t="s">
        <v>158</v>
      </c>
      <c r="H486" s="101"/>
      <c r="I486" s="101">
        <v>28782.54</v>
      </c>
      <c r="J486" s="101">
        <v>28782.54</v>
      </c>
      <c r="K486" s="102">
        <v>27961.200000000001</v>
      </c>
      <c r="L486" s="6"/>
    </row>
    <row r="487" spans="1:12" s="48" customFormat="1" ht="17.100000000000001" customHeight="1" x14ac:dyDescent="0.25">
      <c r="A487" s="1051" t="s">
        <v>123</v>
      </c>
      <c r="B487" s="1106" t="s">
        <v>1317</v>
      </c>
      <c r="C487" s="1611" t="s">
        <v>1546</v>
      </c>
      <c r="D487" s="1611"/>
      <c r="E487" s="1611"/>
      <c r="F487" s="1602"/>
      <c r="G487" s="133" t="s">
        <v>160</v>
      </c>
      <c r="H487" s="105"/>
      <c r="I487" s="105">
        <v>4800</v>
      </c>
      <c r="J487" s="105">
        <v>4800</v>
      </c>
      <c r="K487" s="106">
        <v>4800</v>
      </c>
      <c r="L487" s="6"/>
    </row>
    <row r="488" spans="1:12" s="48" customFormat="1" ht="17.100000000000001" customHeight="1" x14ac:dyDescent="0.25">
      <c r="A488" s="1051" t="s">
        <v>163</v>
      </c>
      <c r="B488" s="1106" t="s">
        <v>1317</v>
      </c>
      <c r="C488" s="44" t="s">
        <v>353</v>
      </c>
      <c r="D488" s="113"/>
      <c r="E488" s="113"/>
      <c r="F488" s="114"/>
      <c r="G488" s="131" t="s">
        <v>165</v>
      </c>
      <c r="H488" s="101"/>
      <c r="I488" s="101">
        <v>30000</v>
      </c>
      <c r="J488" s="101">
        <v>30000</v>
      </c>
      <c r="K488" s="102">
        <v>30000</v>
      </c>
      <c r="L488" s="6"/>
    </row>
    <row r="489" spans="1:12" s="48" customFormat="1" ht="17.100000000000001" customHeight="1" x14ac:dyDescent="0.25">
      <c r="A489" s="1051" t="s">
        <v>163</v>
      </c>
      <c r="B489" s="1106" t="s">
        <v>1317</v>
      </c>
      <c r="C489" s="44" t="s">
        <v>166</v>
      </c>
      <c r="D489" s="113"/>
      <c r="E489" s="113"/>
      <c r="F489" s="114"/>
      <c r="G489" s="131"/>
      <c r="H489" s="101"/>
      <c r="I489" s="101"/>
      <c r="J489" s="101"/>
      <c r="K489" s="102">
        <v>50000</v>
      </c>
      <c r="L489" s="6"/>
    </row>
    <row r="490" spans="1:12" s="48" customFormat="1" ht="17.100000000000001" customHeight="1" x14ac:dyDescent="0.25">
      <c r="A490" s="1051" t="s">
        <v>163</v>
      </c>
      <c r="B490" s="1106" t="s">
        <v>1317</v>
      </c>
      <c r="C490" s="44" t="s">
        <v>168</v>
      </c>
      <c r="D490" s="113"/>
      <c r="E490" s="113"/>
      <c r="F490" s="114"/>
      <c r="G490" s="131" t="s">
        <v>169</v>
      </c>
      <c r="H490" s="101"/>
      <c r="I490" s="101">
        <v>100011</v>
      </c>
      <c r="J490" s="101">
        <v>100011</v>
      </c>
      <c r="K490" s="102">
        <v>100011</v>
      </c>
      <c r="L490" s="6"/>
    </row>
    <row r="491" spans="1:12" s="48" customFormat="1" ht="17.100000000000001" customHeight="1" x14ac:dyDescent="0.25">
      <c r="A491" s="1051" t="s">
        <v>163</v>
      </c>
      <c r="B491" s="1106" t="s">
        <v>1317</v>
      </c>
      <c r="C491" s="44" t="s">
        <v>170</v>
      </c>
      <c r="D491" s="113"/>
      <c r="E491" s="113"/>
      <c r="F491" s="114"/>
      <c r="G491" s="131" t="s">
        <v>171</v>
      </c>
      <c r="H491" s="101"/>
      <c r="I491" s="101">
        <v>130335.2</v>
      </c>
      <c r="J491" s="101">
        <v>130335.2</v>
      </c>
      <c r="K491" s="102">
        <v>130335.2</v>
      </c>
      <c r="L491" s="6"/>
    </row>
    <row r="492" spans="1:12" s="48" customFormat="1" ht="17.100000000000001" customHeight="1" x14ac:dyDescent="0.25">
      <c r="A492" s="1051" t="s">
        <v>163</v>
      </c>
      <c r="B492" s="1106" t="s">
        <v>1317</v>
      </c>
      <c r="C492" s="44" t="s">
        <v>178</v>
      </c>
      <c r="D492" s="170"/>
      <c r="E492" s="170"/>
      <c r="F492" s="171"/>
      <c r="G492" s="172"/>
      <c r="H492" s="102"/>
      <c r="I492" s="102">
        <v>25000</v>
      </c>
      <c r="J492" s="102">
        <v>25000</v>
      </c>
      <c r="K492" s="102">
        <v>25000</v>
      </c>
      <c r="L492" s="6"/>
    </row>
    <row r="493" spans="1:12" s="48" customFormat="1" ht="18" customHeight="1" x14ac:dyDescent="0.25">
      <c r="A493" s="1051" t="s">
        <v>163</v>
      </c>
      <c r="B493" s="1106" t="s">
        <v>1317</v>
      </c>
      <c r="C493" s="44" t="s">
        <v>182</v>
      </c>
      <c r="D493" s="170"/>
      <c r="E493" s="170"/>
      <c r="F493" s="171"/>
      <c r="G493" s="172" t="s">
        <v>183</v>
      </c>
      <c r="H493" s="102"/>
      <c r="I493" s="102">
        <v>40000</v>
      </c>
      <c r="J493" s="102">
        <v>40000</v>
      </c>
      <c r="K493" s="102">
        <v>40000</v>
      </c>
      <c r="L493" s="6"/>
    </row>
    <row r="494" spans="1:12" s="48" customFormat="1" ht="18" customHeight="1" x14ac:dyDescent="0.25">
      <c r="A494" s="1051" t="s">
        <v>163</v>
      </c>
      <c r="B494" s="1106" t="s">
        <v>1317</v>
      </c>
      <c r="C494" s="44" t="s">
        <v>1615</v>
      </c>
      <c r="D494" s="170"/>
      <c r="E494" s="170"/>
      <c r="F494" s="171"/>
      <c r="G494" s="172"/>
      <c r="H494" s="102"/>
      <c r="I494" s="102"/>
      <c r="J494" s="102"/>
      <c r="K494" s="102">
        <v>600000</v>
      </c>
      <c r="L494" s="6"/>
    </row>
    <row r="495" spans="1:12" s="48" customFormat="1" ht="18" customHeight="1" x14ac:dyDescent="0.25">
      <c r="A495" s="1051" t="s">
        <v>163</v>
      </c>
      <c r="B495" s="1106" t="s">
        <v>1317</v>
      </c>
      <c r="C495" s="44" t="s">
        <v>1518</v>
      </c>
      <c r="D495" s="170"/>
      <c r="E495" s="170"/>
      <c r="F495" s="171"/>
      <c r="G495" s="172"/>
      <c r="H495" s="102"/>
      <c r="I495" s="102"/>
      <c r="J495" s="102"/>
      <c r="K495" s="102">
        <v>300000</v>
      </c>
      <c r="L495" s="6"/>
    </row>
    <row r="496" spans="1:12" s="48" customFormat="1" ht="18" customHeight="1" x14ac:dyDescent="0.25">
      <c r="A496" s="1051" t="s">
        <v>163</v>
      </c>
      <c r="B496" s="1106" t="s">
        <v>1317</v>
      </c>
      <c r="C496" s="44" t="s">
        <v>186</v>
      </c>
      <c r="D496" s="170"/>
      <c r="E496" s="170"/>
      <c r="F496" s="171"/>
      <c r="G496" s="172"/>
      <c r="H496" s="102"/>
      <c r="I496" s="102"/>
      <c r="J496" s="102"/>
      <c r="K496" s="102">
        <v>200000</v>
      </c>
      <c r="L496" s="6"/>
    </row>
    <row r="497" spans="1:12" s="48" customFormat="1" ht="18" customHeight="1" x14ac:dyDescent="0.25">
      <c r="A497" s="1051" t="s">
        <v>163</v>
      </c>
      <c r="B497" s="1106" t="s">
        <v>1317</v>
      </c>
      <c r="C497" s="44" t="s">
        <v>1616</v>
      </c>
      <c r="D497" s="170"/>
      <c r="E497" s="170"/>
      <c r="F497" s="171"/>
      <c r="G497" s="172"/>
      <c r="H497" s="102"/>
      <c r="I497" s="102"/>
      <c r="J497" s="102"/>
      <c r="K497" s="102">
        <v>260000</v>
      </c>
      <c r="L497" s="6"/>
    </row>
    <row r="498" spans="1:12" s="48" customFormat="1" ht="17.100000000000001" customHeight="1" x14ac:dyDescent="0.25">
      <c r="A498" s="1051" t="s">
        <v>163</v>
      </c>
      <c r="B498" s="1106" t="s">
        <v>1317</v>
      </c>
      <c r="C498" s="44" t="s">
        <v>198</v>
      </c>
      <c r="D498" s="113"/>
      <c r="E498" s="113"/>
      <c r="F498" s="114"/>
      <c r="G498" s="131" t="s">
        <v>199</v>
      </c>
      <c r="H498" s="105"/>
      <c r="I498" s="105">
        <v>1653880.32</v>
      </c>
      <c r="J498" s="105">
        <v>1653880.32</v>
      </c>
      <c r="K498" s="106">
        <v>1653880.32</v>
      </c>
      <c r="L498" s="6"/>
    </row>
    <row r="499" spans="1:12" s="48" customFormat="1" ht="18" customHeight="1" x14ac:dyDescent="0.25">
      <c r="A499" s="1051" t="s">
        <v>123</v>
      </c>
      <c r="B499" s="1106" t="s">
        <v>1317</v>
      </c>
      <c r="C499" s="1602" t="s">
        <v>124</v>
      </c>
      <c r="D499" s="1603"/>
      <c r="E499" s="1603"/>
      <c r="F499" s="1603"/>
      <c r="G499" s="131" t="s">
        <v>125</v>
      </c>
      <c r="H499" s="101"/>
      <c r="I499" s="101">
        <v>2198508</v>
      </c>
      <c r="J499" s="101">
        <v>2198508</v>
      </c>
      <c r="K499" s="102">
        <v>2135700</v>
      </c>
      <c r="L499" s="6"/>
    </row>
    <row r="500" spans="1:12" s="48" customFormat="1" ht="18" customHeight="1" x14ac:dyDescent="0.25">
      <c r="A500" s="1051" t="s">
        <v>123</v>
      </c>
      <c r="B500" s="1106" t="s">
        <v>1317</v>
      </c>
      <c r="C500" s="1602" t="s">
        <v>126</v>
      </c>
      <c r="D500" s="1603"/>
      <c r="E500" s="1603"/>
      <c r="F500" s="1603"/>
      <c r="G500" s="131" t="s">
        <v>127</v>
      </c>
      <c r="H500" s="101"/>
      <c r="I500" s="101">
        <v>337008</v>
      </c>
      <c r="J500" s="101">
        <v>337008</v>
      </c>
      <c r="K500" s="102">
        <v>324048</v>
      </c>
      <c r="L500" s="6"/>
    </row>
    <row r="501" spans="1:12" s="48" customFormat="1" ht="18" customHeight="1" x14ac:dyDescent="0.25">
      <c r="A501" s="1051" t="s">
        <v>123</v>
      </c>
      <c r="B501" s="1106" t="s">
        <v>1317</v>
      </c>
      <c r="C501" s="1602" t="s">
        <v>129</v>
      </c>
      <c r="D501" s="1603"/>
      <c r="E501" s="1603"/>
      <c r="F501" s="1603"/>
      <c r="G501" s="132" t="s">
        <v>130</v>
      </c>
      <c r="H501" s="101"/>
      <c r="I501" s="101">
        <v>168000</v>
      </c>
      <c r="J501" s="101">
        <v>168000</v>
      </c>
      <c r="K501" s="102">
        <v>168000</v>
      </c>
      <c r="L501" s="6"/>
    </row>
    <row r="502" spans="1:12" s="48" customFormat="1" ht="18" customHeight="1" x14ac:dyDescent="0.25">
      <c r="A502" s="1051" t="s">
        <v>123</v>
      </c>
      <c r="B502" s="1106" t="s">
        <v>1317</v>
      </c>
      <c r="C502" s="1602" t="s">
        <v>131</v>
      </c>
      <c r="D502" s="1603"/>
      <c r="E502" s="1603"/>
      <c r="F502" s="1603"/>
      <c r="G502" s="131" t="s">
        <v>132</v>
      </c>
      <c r="H502" s="101"/>
      <c r="I502" s="101">
        <v>86400</v>
      </c>
      <c r="J502" s="101">
        <v>86400</v>
      </c>
      <c r="K502" s="102">
        <v>86400</v>
      </c>
      <c r="L502" s="6"/>
    </row>
    <row r="503" spans="1:12" s="48" customFormat="1" ht="18" customHeight="1" x14ac:dyDescent="0.25">
      <c r="A503" s="1051" t="s">
        <v>123</v>
      </c>
      <c r="B503" s="1106" t="s">
        <v>1317</v>
      </c>
      <c r="C503" s="1602" t="s">
        <v>135</v>
      </c>
      <c r="D503" s="1603"/>
      <c r="E503" s="1603"/>
      <c r="F503" s="1603"/>
      <c r="G503" s="131" t="s">
        <v>136</v>
      </c>
      <c r="H503" s="101"/>
      <c r="I503" s="1156">
        <v>30000</v>
      </c>
      <c r="J503" s="1156">
        <v>30000</v>
      </c>
      <c r="K503" s="102">
        <v>30000</v>
      </c>
      <c r="L503" s="6"/>
    </row>
    <row r="504" spans="1:12" s="48" customFormat="1" ht="18" customHeight="1" x14ac:dyDescent="0.25">
      <c r="A504" s="1051" t="s">
        <v>123</v>
      </c>
      <c r="B504" s="1106" t="s">
        <v>1317</v>
      </c>
      <c r="C504" s="1602" t="s">
        <v>137</v>
      </c>
      <c r="D504" s="1603"/>
      <c r="E504" s="1603"/>
      <c r="F504" s="1603"/>
      <c r="G504" s="131" t="s">
        <v>138</v>
      </c>
      <c r="H504" s="101"/>
      <c r="I504" s="101">
        <v>42000</v>
      </c>
      <c r="J504" s="101">
        <v>42000</v>
      </c>
      <c r="K504" s="102">
        <v>42000</v>
      </c>
      <c r="L504" s="6"/>
    </row>
    <row r="505" spans="1:12" s="48" customFormat="1" ht="18" customHeight="1" x14ac:dyDescent="0.25">
      <c r="A505" s="1051" t="s">
        <v>123</v>
      </c>
      <c r="B505" s="1106" t="s">
        <v>1317</v>
      </c>
      <c r="C505" s="1602" t="s">
        <v>1541</v>
      </c>
      <c r="D505" s="1603"/>
      <c r="E505" s="1603"/>
      <c r="F505" s="1603"/>
      <c r="G505" s="131" t="s">
        <v>140</v>
      </c>
      <c r="H505" s="101"/>
      <c r="I505" s="101">
        <v>211293</v>
      </c>
      <c r="J505" s="101">
        <v>211293</v>
      </c>
      <c r="K505" s="102">
        <v>204979</v>
      </c>
      <c r="L505" s="6"/>
    </row>
    <row r="506" spans="1:12" s="48" customFormat="1" ht="18" customHeight="1" x14ac:dyDescent="0.25">
      <c r="A506" s="1051" t="s">
        <v>123</v>
      </c>
      <c r="B506" s="1106" t="s">
        <v>1317</v>
      </c>
      <c r="C506" s="1602" t="s">
        <v>141</v>
      </c>
      <c r="D506" s="1603"/>
      <c r="E506" s="1603"/>
      <c r="F506" s="1603"/>
      <c r="G506" s="131" t="s">
        <v>142</v>
      </c>
      <c r="H506" s="101"/>
      <c r="I506" s="101">
        <v>211293</v>
      </c>
      <c r="J506" s="101">
        <v>211293</v>
      </c>
      <c r="K506" s="102">
        <v>204979</v>
      </c>
      <c r="L506" s="6"/>
    </row>
    <row r="507" spans="1:12" s="48" customFormat="1" ht="18" customHeight="1" x14ac:dyDescent="0.25">
      <c r="A507" s="1051" t="s">
        <v>123</v>
      </c>
      <c r="B507" s="1106" t="s">
        <v>1317</v>
      </c>
      <c r="C507" s="1602" t="s">
        <v>1542</v>
      </c>
      <c r="D507" s="1603"/>
      <c r="E507" s="1603"/>
      <c r="F507" s="1603"/>
      <c r="G507" s="131"/>
      <c r="H507" s="101"/>
      <c r="I507" s="101"/>
      <c r="J507" s="101"/>
      <c r="K507" s="102"/>
      <c r="L507" s="6"/>
    </row>
    <row r="508" spans="1:12" s="48" customFormat="1" ht="18" customHeight="1" x14ac:dyDescent="0.25">
      <c r="A508" s="1051" t="s">
        <v>123</v>
      </c>
      <c r="B508" s="1106" t="s">
        <v>1317</v>
      </c>
      <c r="C508" s="1602" t="s">
        <v>143</v>
      </c>
      <c r="D508" s="1603"/>
      <c r="E508" s="1603"/>
      <c r="F508" s="1603"/>
      <c r="G508" s="131" t="s">
        <v>144</v>
      </c>
      <c r="H508" s="101"/>
      <c r="I508" s="101">
        <v>35000</v>
      </c>
      <c r="J508" s="101">
        <v>35000</v>
      </c>
      <c r="K508" s="102">
        <v>35000</v>
      </c>
      <c r="L508" s="6"/>
    </row>
    <row r="509" spans="1:12" s="48" customFormat="1" ht="18" customHeight="1" x14ac:dyDescent="0.25">
      <c r="A509" s="1051" t="s">
        <v>123</v>
      </c>
      <c r="B509" s="1106" t="s">
        <v>1317</v>
      </c>
      <c r="C509" s="1602" t="s">
        <v>1543</v>
      </c>
      <c r="D509" s="1603"/>
      <c r="E509" s="1603"/>
      <c r="F509" s="1603"/>
      <c r="G509" s="131" t="s">
        <v>146</v>
      </c>
      <c r="H509" s="101"/>
      <c r="I509" s="101">
        <v>35000</v>
      </c>
      <c r="J509" s="101">
        <v>35000</v>
      </c>
      <c r="K509" s="102">
        <v>35000</v>
      </c>
      <c r="L509" s="6"/>
    </row>
    <row r="510" spans="1:12" s="48" customFormat="1" ht="18" customHeight="1" x14ac:dyDescent="0.25">
      <c r="A510" s="1051" t="s">
        <v>123</v>
      </c>
      <c r="B510" s="1106" t="s">
        <v>1317</v>
      </c>
      <c r="C510" s="1062" t="s">
        <v>147</v>
      </c>
      <c r="D510" s="1041"/>
      <c r="E510" s="1041"/>
      <c r="F510" s="1039"/>
      <c r="G510" s="131" t="s">
        <v>148</v>
      </c>
      <c r="H510" s="101"/>
      <c r="I510" s="101"/>
      <c r="J510" s="101"/>
      <c r="K510" s="102"/>
      <c r="L510" s="6"/>
    </row>
    <row r="511" spans="1:12" s="48" customFormat="1" ht="18" customHeight="1" x14ac:dyDescent="0.25">
      <c r="A511" s="1051" t="s">
        <v>123</v>
      </c>
      <c r="B511" s="1106" t="s">
        <v>1317</v>
      </c>
      <c r="C511" s="1045" t="s">
        <v>149</v>
      </c>
      <c r="D511" s="1675"/>
      <c r="E511" s="1675"/>
      <c r="F511" s="1676"/>
      <c r="G511" s="131" t="s">
        <v>150</v>
      </c>
      <c r="H511" s="101"/>
      <c r="I511" s="101"/>
      <c r="J511" s="101"/>
      <c r="K511" s="102"/>
      <c r="L511" s="6"/>
    </row>
    <row r="512" spans="1:12" s="48" customFormat="1" ht="18" customHeight="1" x14ac:dyDescent="0.25">
      <c r="A512" s="1051" t="s">
        <v>123</v>
      </c>
      <c r="B512" s="1106" t="s">
        <v>1317</v>
      </c>
      <c r="C512" s="1611" t="s">
        <v>1544</v>
      </c>
      <c r="D512" s="1611"/>
      <c r="E512" s="1611"/>
      <c r="F512" s="1602"/>
      <c r="G512" s="131" t="s">
        <v>148</v>
      </c>
      <c r="H512" s="101"/>
      <c r="I512" s="101"/>
      <c r="J512" s="101"/>
      <c r="K512" s="102"/>
      <c r="L512" s="6"/>
    </row>
    <row r="513" spans="1:12" s="48" customFormat="1" ht="18" customHeight="1" x14ac:dyDescent="0.25">
      <c r="A513" s="1051" t="s">
        <v>123</v>
      </c>
      <c r="B513" s="1106" t="s">
        <v>1317</v>
      </c>
      <c r="C513" s="1602" t="s">
        <v>1545</v>
      </c>
      <c r="D513" s="1603"/>
      <c r="E513" s="1603"/>
      <c r="F513" s="1603"/>
      <c r="G513" s="131" t="s">
        <v>154</v>
      </c>
      <c r="H513" s="101"/>
      <c r="I513" s="101">
        <v>304261.92</v>
      </c>
      <c r="J513" s="101">
        <v>304261.92</v>
      </c>
      <c r="K513" s="102">
        <v>295169.76</v>
      </c>
      <c r="L513" s="6"/>
    </row>
    <row r="514" spans="1:12" s="48" customFormat="1" ht="18" customHeight="1" x14ac:dyDescent="0.25">
      <c r="A514" s="1051" t="s">
        <v>123</v>
      </c>
      <c r="B514" s="1106" t="s">
        <v>1317</v>
      </c>
      <c r="C514" s="1602" t="s">
        <v>155</v>
      </c>
      <c r="D514" s="1603"/>
      <c r="E514" s="1603"/>
      <c r="F514" s="1603"/>
      <c r="G514" s="131" t="s">
        <v>156</v>
      </c>
      <c r="H514" s="101"/>
      <c r="I514" s="101">
        <v>8400</v>
      </c>
      <c r="J514" s="101">
        <v>8400</v>
      </c>
      <c r="K514" s="102">
        <v>8400</v>
      </c>
      <c r="L514" s="6"/>
    </row>
    <row r="515" spans="1:12" s="48" customFormat="1" ht="18" customHeight="1" x14ac:dyDescent="0.25">
      <c r="A515" s="1051" t="s">
        <v>123</v>
      </c>
      <c r="B515" s="1106" t="s">
        <v>1317</v>
      </c>
      <c r="C515" s="1602" t="s">
        <v>157</v>
      </c>
      <c r="D515" s="1603"/>
      <c r="E515" s="1603"/>
      <c r="F515" s="1603"/>
      <c r="G515" s="131" t="s">
        <v>158</v>
      </c>
      <c r="H515" s="101"/>
      <c r="I515" s="101">
        <v>55875.69</v>
      </c>
      <c r="J515" s="101">
        <v>55875.69</v>
      </c>
      <c r="K515" s="102">
        <v>54642.6</v>
      </c>
      <c r="L515" s="6"/>
    </row>
    <row r="516" spans="1:12" s="48" customFormat="1" ht="18" customHeight="1" x14ac:dyDescent="0.25">
      <c r="A516" s="1051" t="s">
        <v>123</v>
      </c>
      <c r="B516" s="1106" t="s">
        <v>1317</v>
      </c>
      <c r="C516" s="1602" t="s">
        <v>1546</v>
      </c>
      <c r="D516" s="1603"/>
      <c r="E516" s="1603"/>
      <c r="F516" s="1603"/>
      <c r="G516" s="131" t="s">
        <v>160</v>
      </c>
      <c r="H516" s="101"/>
      <c r="I516" s="101">
        <v>8400</v>
      </c>
      <c r="J516" s="101">
        <v>8400</v>
      </c>
      <c r="K516" s="102">
        <v>8400</v>
      </c>
      <c r="L516" s="6"/>
    </row>
    <row r="517" spans="1:12" s="48" customFormat="1" ht="18" customHeight="1" x14ac:dyDescent="0.25">
      <c r="A517" s="1051" t="s">
        <v>163</v>
      </c>
      <c r="B517" s="1106" t="s">
        <v>1317</v>
      </c>
      <c r="C517" s="44" t="s">
        <v>353</v>
      </c>
      <c r="D517" s="113"/>
      <c r="E517" s="113"/>
      <c r="F517" s="114"/>
      <c r="G517" s="131" t="s">
        <v>292</v>
      </c>
      <c r="H517" s="101"/>
      <c r="I517" s="101">
        <v>350000</v>
      </c>
      <c r="J517" s="101">
        <v>350000</v>
      </c>
      <c r="K517" s="102">
        <f>350000+750000</f>
        <v>1100000</v>
      </c>
      <c r="L517" s="6"/>
    </row>
    <row r="518" spans="1:12" s="48" customFormat="1" ht="18" customHeight="1" x14ac:dyDescent="0.25">
      <c r="A518" s="1051" t="s">
        <v>163</v>
      </c>
      <c r="B518" s="1106" t="s">
        <v>1317</v>
      </c>
      <c r="C518" s="38" t="s">
        <v>166</v>
      </c>
      <c r="D518" s="184"/>
      <c r="E518" s="184"/>
      <c r="F518" s="184"/>
      <c r="G518" s="131" t="s">
        <v>293</v>
      </c>
      <c r="H518" s="101"/>
      <c r="I518" s="101">
        <v>750000</v>
      </c>
      <c r="J518" s="101">
        <v>750000</v>
      </c>
      <c r="K518" s="102">
        <v>750000</v>
      </c>
      <c r="L518" s="6"/>
    </row>
    <row r="519" spans="1:12" s="48" customFormat="1" ht="18" customHeight="1" x14ac:dyDescent="0.25">
      <c r="A519" s="1051" t="s">
        <v>163</v>
      </c>
      <c r="B519" s="1106" t="s">
        <v>1317</v>
      </c>
      <c r="C519" s="38" t="s">
        <v>294</v>
      </c>
      <c r="D519" s="184"/>
      <c r="E519" s="184"/>
      <c r="F519" s="184"/>
      <c r="G519" s="131" t="s">
        <v>169</v>
      </c>
      <c r="H519" s="101"/>
      <c r="I519" s="101">
        <v>350000</v>
      </c>
      <c r="J519" s="101">
        <v>350000</v>
      </c>
      <c r="K519" s="102">
        <v>350000</v>
      </c>
      <c r="L519" s="6"/>
    </row>
    <row r="520" spans="1:12" s="48" customFormat="1" ht="18" customHeight="1" x14ac:dyDescent="0.25">
      <c r="A520" s="1051" t="s">
        <v>163</v>
      </c>
      <c r="B520" s="1106" t="s">
        <v>1317</v>
      </c>
      <c r="C520" s="38" t="s">
        <v>295</v>
      </c>
      <c r="D520" s="184"/>
      <c r="E520" s="184"/>
      <c r="F520" s="185"/>
      <c r="G520" s="131" t="s">
        <v>173</v>
      </c>
      <c r="H520" s="101"/>
      <c r="I520" s="101">
        <v>250000</v>
      </c>
      <c r="J520" s="101">
        <v>250000</v>
      </c>
      <c r="K520" s="102">
        <v>250000</v>
      </c>
      <c r="L520" s="6"/>
    </row>
    <row r="521" spans="1:12" s="48" customFormat="1" ht="18" customHeight="1" x14ac:dyDescent="0.25">
      <c r="A521" s="1051" t="s">
        <v>163</v>
      </c>
      <c r="B521" s="1106" t="s">
        <v>1317</v>
      </c>
      <c r="C521" s="38" t="s">
        <v>213</v>
      </c>
      <c r="D521" s="184"/>
      <c r="E521" s="184"/>
      <c r="F521" s="184"/>
      <c r="G521" s="131" t="s">
        <v>171</v>
      </c>
      <c r="H521" s="101"/>
      <c r="I521" s="101">
        <f>630000+50000</f>
        <v>680000</v>
      </c>
      <c r="J521" s="101">
        <f>630000+50000</f>
        <v>680000</v>
      </c>
      <c r="K521" s="102">
        <f>630000+50000</f>
        <v>680000</v>
      </c>
      <c r="L521" s="6"/>
    </row>
    <row r="522" spans="1:12" s="48" customFormat="1" ht="18" customHeight="1" x14ac:dyDescent="0.25">
      <c r="A522" s="1051" t="s">
        <v>163</v>
      </c>
      <c r="B522" s="1106" t="s">
        <v>1317</v>
      </c>
      <c r="C522" s="38" t="s">
        <v>296</v>
      </c>
      <c r="D522" s="184"/>
      <c r="E522" s="184"/>
      <c r="F522" s="184"/>
      <c r="G522" s="131" t="s">
        <v>177</v>
      </c>
      <c r="H522" s="101"/>
      <c r="I522" s="101">
        <v>15000</v>
      </c>
      <c r="J522" s="101">
        <v>15000</v>
      </c>
      <c r="K522" s="102">
        <v>15000</v>
      </c>
      <c r="L522" s="6"/>
    </row>
    <row r="523" spans="1:12" s="48" customFormat="1" ht="18" customHeight="1" x14ac:dyDescent="0.25">
      <c r="A523" s="1051" t="s">
        <v>163</v>
      </c>
      <c r="B523" s="1106" t="s">
        <v>1317</v>
      </c>
      <c r="C523" s="38" t="s">
        <v>178</v>
      </c>
      <c r="D523" s="184"/>
      <c r="E523" s="184"/>
      <c r="F523" s="184"/>
      <c r="G523" s="131" t="s">
        <v>179</v>
      </c>
      <c r="H523" s="101"/>
      <c r="I523" s="101">
        <v>88800</v>
      </c>
      <c r="J523" s="101">
        <v>88800</v>
      </c>
      <c r="K523" s="102">
        <v>88800</v>
      </c>
      <c r="L523" s="6"/>
    </row>
    <row r="524" spans="1:12" s="48" customFormat="1" ht="18" customHeight="1" x14ac:dyDescent="0.25">
      <c r="A524" s="1051" t="s">
        <v>163</v>
      </c>
      <c r="B524" s="1106" t="s">
        <v>1317</v>
      </c>
      <c r="C524" s="44" t="s">
        <v>182</v>
      </c>
      <c r="D524" s="113"/>
      <c r="E524" s="113"/>
      <c r="F524" s="113"/>
      <c r="G524" s="131" t="s">
        <v>183</v>
      </c>
      <c r="H524" s="101"/>
      <c r="I524" s="101">
        <v>72000</v>
      </c>
      <c r="J524" s="101">
        <v>72000</v>
      </c>
      <c r="K524" s="102">
        <v>72000</v>
      </c>
      <c r="L524" s="6"/>
    </row>
    <row r="525" spans="1:12" s="48" customFormat="1" ht="18" customHeight="1" x14ac:dyDescent="0.25">
      <c r="A525" s="1051" t="s">
        <v>163</v>
      </c>
      <c r="B525" s="1106" t="s">
        <v>1317</v>
      </c>
      <c r="C525" s="38" t="s">
        <v>297</v>
      </c>
      <c r="D525" s="184"/>
      <c r="E525" s="184"/>
      <c r="F525" s="184"/>
      <c r="G525" s="131" t="s">
        <v>187</v>
      </c>
      <c r="H525" s="101"/>
      <c r="I525" s="101">
        <v>100000</v>
      </c>
      <c r="J525" s="101">
        <v>100000</v>
      </c>
      <c r="K525" s="102">
        <v>100000</v>
      </c>
      <c r="L525" s="6"/>
    </row>
    <row r="526" spans="1:12" s="48" customFormat="1" ht="18" customHeight="1" x14ac:dyDescent="0.25">
      <c r="A526" s="1051" t="s">
        <v>163</v>
      </c>
      <c r="B526" s="1106" t="s">
        <v>1317</v>
      </c>
      <c r="C526" s="38" t="s">
        <v>298</v>
      </c>
      <c r="D526" s="184"/>
      <c r="E526" s="184"/>
      <c r="F526" s="184"/>
      <c r="G526" s="131" t="s">
        <v>189</v>
      </c>
      <c r="H526" s="101"/>
      <c r="I526" s="101">
        <v>350000</v>
      </c>
      <c r="J526" s="101">
        <v>350000</v>
      </c>
      <c r="K526" s="102">
        <v>200000</v>
      </c>
      <c r="L526" s="6"/>
    </row>
    <row r="527" spans="1:12" s="48" customFormat="1" ht="18" customHeight="1" x14ac:dyDescent="0.25">
      <c r="A527" s="1051" t="s">
        <v>163</v>
      </c>
      <c r="B527" s="1106" t="s">
        <v>1317</v>
      </c>
      <c r="C527" s="38" t="s">
        <v>190</v>
      </c>
      <c r="D527" s="184"/>
      <c r="E527" s="184"/>
      <c r="F527" s="184"/>
      <c r="G527" s="131" t="s">
        <v>191</v>
      </c>
      <c r="H527" s="101"/>
      <c r="I527" s="101">
        <v>150000</v>
      </c>
      <c r="J527" s="101">
        <v>150000</v>
      </c>
      <c r="K527" s="102">
        <v>50000</v>
      </c>
      <c r="L527" s="6"/>
    </row>
    <row r="528" spans="1:12" s="48" customFormat="1" ht="18" customHeight="1" x14ac:dyDescent="0.25">
      <c r="A528" s="1051" t="s">
        <v>163</v>
      </c>
      <c r="B528" s="1106" t="s">
        <v>1317</v>
      </c>
      <c r="C528" s="38" t="s">
        <v>192</v>
      </c>
      <c r="D528" s="184"/>
      <c r="E528" s="184"/>
      <c r="F528" s="184"/>
      <c r="G528" s="131" t="s">
        <v>193</v>
      </c>
      <c r="H528" s="101"/>
      <c r="I528" s="101">
        <v>300000</v>
      </c>
      <c r="J528" s="101">
        <v>300000</v>
      </c>
      <c r="K528" s="102">
        <v>100000</v>
      </c>
      <c r="L528" s="6"/>
    </row>
    <row r="529" spans="1:12" s="48" customFormat="1" ht="18" customHeight="1" x14ac:dyDescent="0.25">
      <c r="A529" s="1051" t="s">
        <v>163</v>
      </c>
      <c r="B529" s="1106" t="s">
        <v>1317</v>
      </c>
      <c r="C529" s="38" t="s">
        <v>299</v>
      </c>
      <c r="D529" s="184"/>
      <c r="E529" s="184"/>
      <c r="F529" s="184"/>
      <c r="G529" s="131" t="s">
        <v>237</v>
      </c>
      <c r="H529" s="101"/>
      <c r="I529" s="101">
        <v>50000</v>
      </c>
      <c r="J529" s="101">
        <v>50000</v>
      </c>
      <c r="K529" s="102">
        <v>50000</v>
      </c>
      <c r="L529" s="6"/>
    </row>
    <row r="530" spans="1:12" s="48" customFormat="1" ht="18" customHeight="1" x14ac:dyDescent="0.25">
      <c r="A530" s="1051" t="s">
        <v>163</v>
      </c>
      <c r="B530" s="1106" t="s">
        <v>1317</v>
      </c>
      <c r="C530" s="38" t="s">
        <v>300</v>
      </c>
      <c r="D530" s="184"/>
      <c r="E530" s="184"/>
      <c r="F530" s="184"/>
      <c r="G530" s="131" t="s">
        <v>199</v>
      </c>
      <c r="H530" s="105"/>
      <c r="I530" s="105">
        <v>1000000</v>
      </c>
      <c r="J530" s="105">
        <v>1000000</v>
      </c>
      <c r="K530" s="106">
        <v>750000</v>
      </c>
      <c r="L530" s="6"/>
    </row>
    <row r="531" spans="1:12" s="48" customFormat="1" ht="18" customHeight="1" x14ac:dyDescent="0.25">
      <c r="A531" s="1071" t="s">
        <v>201</v>
      </c>
      <c r="B531" s="1106" t="s">
        <v>1317</v>
      </c>
      <c r="C531" s="1042" t="s">
        <v>1617</v>
      </c>
      <c r="D531" s="1047"/>
      <c r="E531" s="1047"/>
      <c r="F531" s="1047"/>
      <c r="G531" s="97"/>
      <c r="H531" s="101"/>
      <c r="I531" s="101"/>
      <c r="J531" s="101"/>
      <c r="K531" s="102">
        <v>1000000</v>
      </c>
      <c r="L531" s="6"/>
    </row>
    <row r="532" spans="1:12" s="146" customFormat="1" ht="18" customHeight="1" x14ac:dyDescent="0.25">
      <c r="A532" s="1051" t="s">
        <v>123</v>
      </c>
      <c r="B532" s="1106" t="s">
        <v>1317</v>
      </c>
      <c r="C532" s="1602" t="s">
        <v>124</v>
      </c>
      <c r="D532" s="1603"/>
      <c r="E532" s="1603"/>
      <c r="F532" s="1603"/>
      <c r="G532" s="131" t="s">
        <v>125</v>
      </c>
      <c r="H532" s="101"/>
      <c r="I532" s="101">
        <v>12170916</v>
      </c>
      <c r="J532" s="101">
        <v>12170916</v>
      </c>
      <c r="K532" s="102">
        <v>11881536</v>
      </c>
      <c r="L532" s="10"/>
    </row>
    <row r="533" spans="1:12" s="146" customFormat="1" ht="18" customHeight="1" x14ac:dyDescent="0.25">
      <c r="A533" s="1051" t="s">
        <v>123</v>
      </c>
      <c r="B533" s="1106" t="s">
        <v>1317</v>
      </c>
      <c r="C533" s="1602" t="s">
        <v>126</v>
      </c>
      <c r="D533" s="1603"/>
      <c r="E533" s="1603"/>
      <c r="F533" s="1603"/>
      <c r="G533" s="131" t="s">
        <v>127</v>
      </c>
      <c r="H533" s="101"/>
      <c r="I533" s="101">
        <v>3423672</v>
      </c>
      <c r="J533" s="101">
        <v>3423672</v>
      </c>
      <c r="K533" s="102">
        <v>3295536</v>
      </c>
      <c r="L533" s="10"/>
    </row>
    <row r="534" spans="1:12" s="146" customFormat="1" ht="18" customHeight="1" x14ac:dyDescent="0.25">
      <c r="A534" s="1051" t="s">
        <v>123</v>
      </c>
      <c r="B534" s="1106" t="s">
        <v>1317</v>
      </c>
      <c r="C534" s="1602" t="s">
        <v>129</v>
      </c>
      <c r="D534" s="1603"/>
      <c r="E534" s="1603"/>
      <c r="F534" s="1603"/>
      <c r="G534" s="132" t="s">
        <v>130</v>
      </c>
      <c r="H534" s="101"/>
      <c r="I534" s="101">
        <v>888000</v>
      </c>
      <c r="J534" s="101">
        <v>888000</v>
      </c>
      <c r="K534" s="102">
        <v>888000</v>
      </c>
      <c r="L534" s="10"/>
    </row>
    <row r="535" spans="1:12" s="146" customFormat="1" ht="18" customHeight="1" x14ac:dyDescent="0.25">
      <c r="A535" s="1051" t="s">
        <v>123</v>
      </c>
      <c r="B535" s="1106" t="s">
        <v>1317</v>
      </c>
      <c r="C535" s="1611" t="s">
        <v>131</v>
      </c>
      <c r="D535" s="1611"/>
      <c r="E535" s="1611"/>
      <c r="F535" s="1602"/>
      <c r="G535" s="131" t="s">
        <v>132</v>
      </c>
      <c r="H535" s="101"/>
      <c r="I535" s="101">
        <v>864000</v>
      </c>
      <c r="J535" s="101">
        <v>864000</v>
      </c>
      <c r="K535" s="102">
        <v>864000</v>
      </c>
      <c r="L535" s="10"/>
    </row>
    <row r="536" spans="1:12" s="146" customFormat="1" ht="18" customHeight="1" x14ac:dyDescent="0.25">
      <c r="A536" s="1051" t="s">
        <v>123</v>
      </c>
      <c r="B536" s="1106" t="s">
        <v>1317</v>
      </c>
      <c r="C536" s="1611" t="s">
        <v>133</v>
      </c>
      <c r="D536" s="1611"/>
      <c r="E536" s="1611"/>
      <c r="F536" s="1602"/>
      <c r="G536" s="131" t="s">
        <v>134</v>
      </c>
      <c r="H536" s="101"/>
      <c r="I536" s="101">
        <v>864000</v>
      </c>
      <c r="J536" s="101">
        <v>864000</v>
      </c>
      <c r="K536" s="102">
        <v>864000</v>
      </c>
      <c r="L536" s="10"/>
    </row>
    <row r="537" spans="1:12" s="146" customFormat="1" ht="18" customHeight="1" x14ac:dyDescent="0.25">
      <c r="A537" s="1051" t="s">
        <v>123</v>
      </c>
      <c r="B537" s="1106" t="s">
        <v>1317</v>
      </c>
      <c r="C537" s="1611" t="s">
        <v>135</v>
      </c>
      <c r="D537" s="1611"/>
      <c r="E537" s="1611"/>
      <c r="F537" s="1602"/>
      <c r="G537" s="131" t="s">
        <v>136</v>
      </c>
      <c r="H537" s="102"/>
      <c r="I537" s="1154">
        <v>50000</v>
      </c>
      <c r="J537" s="1154">
        <v>50000</v>
      </c>
      <c r="K537" s="102">
        <v>50000</v>
      </c>
      <c r="L537" s="10"/>
    </row>
    <row r="538" spans="1:12" s="146" customFormat="1" ht="18" x14ac:dyDescent="0.25">
      <c r="A538" s="1051" t="s">
        <v>123</v>
      </c>
      <c r="B538" s="1106" t="s">
        <v>1317</v>
      </c>
      <c r="C538" s="1611" t="s">
        <v>137</v>
      </c>
      <c r="D538" s="1611"/>
      <c r="E538" s="1611"/>
      <c r="F538" s="1602"/>
      <c r="G538" s="131" t="s">
        <v>138</v>
      </c>
      <c r="H538" s="101"/>
      <c r="I538" s="101">
        <v>222000</v>
      </c>
      <c r="J538" s="101">
        <v>222000</v>
      </c>
      <c r="K538" s="102">
        <v>222000</v>
      </c>
      <c r="L538" s="10"/>
    </row>
    <row r="539" spans="1:12" s="146" customFormat="1" ht="18" x14ac:dyDescent="0.25">
      <c r="A539" s="1051" t="s">
        <v>123</v>
      </c>
      <c r="B539" s="1106" t="s">
        <v>1317</v>
      </c>
      <c r="C539" s="1042" t="s">
        <v>1567</v>
      </c>
      <c r="D539" s="1041"/>
      <c r="E539" s="1041"/>
      <c r="F539" s="1039"/>
      <c r="G539" s="131"/>
      <c r="H539" s="101"/>
      <c r="I539" s="101"/>
      <c r="J539" s="101"/>
      <c r="K539" s="102"/>
      <c r="L539" s="10"/>
    </row>
    <row r="540" spans="1:12" s="146" customFormat="1" ht="18" customHeight="1" x14ac:dyDescent="0.25">
      <c r="A540" s="1051" t="s">
        <v>123</v>
      </c>
      <c r="B540" s="1106" t="s">
        <v>1317</v>
      </c>
      <c r="C540" s="1611" t="s">
        <v>1541</v>
      </c>
      <c r="D540" s="1611"/>
      <c r="E540" s="1611"/>
      <c r="F540" s="1602"/>
      <c r="G540" s="131" t="s">
        <v>140</v>
      </c>
      <c r="H540" s="101"/>
      <c r="I540" s="101">
        <v>1299549</v>
      </c>
      <c r="J540" s="101">
        <v>1299549</v>
      </c>
      <c r="K540" s="102">
        <v>1264756</v>
      </c>
      <c r="L540" s="10"/>
    </row>
    <row r="541" spans="1:12" s="146" customFormat="1" ht="18" x14ac:dyDescent="0.25">
      <c r="A541" s="1051" t="s">
        <v>123</v>
      </c>
      <c r="B541" s="1106" t="s">
        <v>1317</v>
      </c>
      <c r="C541" s="1602" t="s">
        <v>141</v>
      </c>
      <c r="D541" s="1603"/>
      <c r="E541" s="1603"/>
      <c r="F541" s="1603"/>
      <c r="G541" s="131" t="s">
        <v>142</v>
      </c>
      <c r="H541" s="101"/>
      <c r="I541" s="101">
        <v>1299549</v>
      </c>
      <c r="J541" s="101">
        <v>1299549</v>
      </c>
      <c r="K541" s="102">
        <v>1264756</v>
      </c>
      <c r="L541" s="10"/>
    </row>
    <row r="542" spans="1:12" s="146" customFormat="1" ht="18" customHeight="1" x14ac:dyDescent="0.25">
      <c r="A542" s="1051" t="s">
        <v>123</v>
      </c>
      <c r="B542" s="1106" t="s">
        <v>1317</v>
      </c>
      <c r="C542" s="1611" t="s">
        <v>1542</v>
      </c>
      <c r="D542" s="1611"/>
      <c r="E542" s="1611"/>
      <c r="F542" s="1602"/>
      <c r="G542" s="131"/>
      <c r="H542" s="101"/>
      <c r="I542" s="101"/>
      <c r="J542" s="101"/>
      <c r="K542" s="102"/>
      <c r="L542" s="10"/>
    </row>
    <row r="543" spans="1:12" s="146" customFormat="1" ht="18" x14ac:dyDescent="0.25">
      <c r="A543" s="1051" t="s">
        <v>123</v>
      </c>
      <c r="B543" s="1106" t="s">
        <v>1317</v>
      </c>
      <c r="C543" s="1602" t="s">
        <v>143</v>
      </c>
      <c r="D543" s="1603"/>
      <c r="E543" s="1603"/>
      <c r="F543" s="1603"/>
      <c r="G543" s="131" t="s">
        <v>144</v>
      </c>
      <c r="H543" s="101"/>
      <c r="I543" s="101">
        <v>185000</v>
      </c>
      <c r="J543" s="101">
        <v>185000</v>
      </c>
      <c r="K543" s="102">
        <v>185000</v>
      </c>
      <c r="L543" s="10"/>
    </row>
    <row r="544" spans="1:12" s="146" customFormat="1" ht="18" customHeight="1" x14ac:dyDescent="0.25">
      <c r="A544" s="1051" t="s">
        <v>123</v>
      </c>
      <c r="B544" s="1106" t="s">
        <v>1317</v>
      </c>
      <c r="C544" s="1602" t="s">
        <v>1543</v>
      </c>
      <c r="D544" s="1603"/>
      <c r="E544" s="1603"/>
      <c r="F544" s="1603"/>
      <c r="G544" s="131" t="s">
        <v>146</v>
      </c>
      <c r="H544" s="101"/>
      <c r="I544" s="101">
        <v>185000</v>
      </c>
      <c r="J544" s="101">
        <v>185000</v>
      </c>
      <c r="K544" s="102">
        <v>185000</v>
      </c>
      <c r="L544" s="10"/>
    </row>
    <row r="545" spans="1:12" s="146" customFormat="1" ht="18" customHeight="1" x14ac:dyDescent="0.25">
      <c r="A545" s="1051" t="s">
        <v>123</v>
      </c>
      <c r="B545" s="1106" t="s">
        <v>1317</v>
      </c>
      <c r="C545" s="1062" t="s">
        <v>147</v>
      </c>
      <c r="D545" s="1041"/>
      <c r="E545" s="1041"/>
      <c r="F545" s="1039"/>
      <c r="G545" s="131" t="s">
        <v>148</v>
      </c>
      <c r="H545" s="101"/>
      <c r="I545" s="101"/>
      <c r="J545" s="101"/>
      <c r="K545" s="102"/>
      <c r="L545" s="10"/>
    </row>
    <row r="546" spans="1:12" s="146" customFormat="1" ht="18" x14ac:dyDescent="0.25">
      <c r="A546" s="1051" t="s">
        <v>123</v>
      </c>
      <c r="B546" s="1106" t="s">
        <v>1317</v>
      </c>
      <c r="C546" s="1045" t="s">
        <v>149</v>
      </c>
      <c r="D546" s="1675"/>
      <c r="E546" s="1675"/>
      <c r="F546" s="1676"/>
      <c r="G546" s="131" t="s">
        <v>150</v>
      </c>
      <c r="H546" s="101"/>
      <c r="I546" s="101"/>
      <c r="J546" s="101"/>
      <c r="K546" s="102"/>
      <c r="L546" s="10"/>
    </row>
    <row r="547" spans="1:12" s="146" customFormat="1" ht="18" customHeight="1" x14ac:dyDescent="0.25">
      <c r="A547" s="1051" t="s">
        <v>123</v>
      </c>
      <c r="B547" s="1106" t="s">
        <v>1317</v>
      </c>
      <c r="C547" s="1611" t="s">
        <v>1544</v>
      </c>
      <c r="D547" s="1611"/>
      <c r="E547" s="1611"/>
      <c r="F547" s="1602"/>
      <c r="G547" s="131" t="s">
        <v>148</v>
      </c>
      <c r="H547" s="101"/>
      <c r="I547" s="101"/>
      <c r="J547" s="101"/>
      <c r="K547" s="102"/>
      <c r="L547" s="10"/>
    </row>
    <row r="548" spans="1:12" s="146" customFormat="1" ht="18" customHeight="1" x14ac:dyDescent="0.25">
      <c r="A548" s="1051" t="s">
        <v>123</v>
      </c>
      <c r="B548" s="1106" t="s">
        <v>1317</v>
      </c>
      <c r="C548" s="1602" t="s">
        <v>1545</v>
      </c>
      <c r="D548" s="1603"/>
      <c r="E548" s="1603"/>
      <c r="F548" s="1603"/>
      <c r="G548" s="131" t="s">
        <v>154</v>
      </c>
      <c r="H548" s="101"/>
      <c r="I548" s="101">
        <v>1871350.56</v>
      </c>
      <c r="J548" s="101">
        <v>1871350.56</v>
      </c>
      <c r="K548" s="102">
        <v>1821248.64</v>
      </c>
      <c r="L548" s="10"/>
    </row>
    <row r="549" spans="1:12" s="146" customFormat="1" ht="18" customHeight="1" x14ac:dyDescent="0.25">
      <c r="A549" s="1051" t="s">
        <v>123</v>
      </c>
      <c r="B549" s="1106" t="s">
        <v>1317</v>
      </c>
      <c r="C549" s="1602" t="s">
        <v>155</v>
      </c>
      <c r="D549" s="1603"/>
      <c r="E549" s="1603"/>
      <c r="F549" s="1603"/>
      <c r="G549" s="131" t="s">
        <v>156</v>
      </c>
      <c r="H549" s="101"/>
      <c r="I549" s="101">
        <v>44400</v>
      </c>
      <c r="J549" s="101">
        <v>44400</v>
      </c>
      <c r="K549" s="102">
        <v>44400</v>
      </c>
      <c r="L549" s="10"/>
    </row>
    <row r="550" spans="1:12" s="146" customFormat="1" ht="18" customHeight="1" x14ac:dyDescent="0.25">
      <c r="A550" s="1051" t="s">
        <v>123</v>
      </c>
      <c r="B550" s="1106" t="s">
        <v>1317</v>
      </c>
      <c r="C550" s="1602" t="s">
        <v>157</v>
      </c>
      <c r="D550" s="1603"/>
      <c r="E550" s="1603"/>
      <c r="F550" s="1603"/>
      <c r="G550" s="131" t="s">
        <v>158</v>
      </c>
      <c r="H550" s="101"/>
      <c r="I550" s="101">
        <v>350878.23</v>
      </c>
      <c r="J550" s="101">
        <v>350878.23</v>
      </c>
      <c r="K550" s="102">
        <v>341484.12</v>
      </c>
      <c r="L550" s="10"/>
    </row>
    <row r="551" spans="1:12" s="146" customFormat="1" ht="18" customHeight="1" x14ac:dyDescent="0.25">
      <c r="A551" s="1051" t="s">
        <v>123</v>
      </c>
      <c r="B551" s="1106" t="s">
        <v>1317</v>
      </c>
      <c r="C551" s="1602" t="s">
        <v>1546</v>
      </c>
      <c r="D551" s="1603"/>
      <c r="E551" s="1603"/>
      <c r="F551" s="1603"/>
      <c r="G551" s="131" t="s">
        <v>160</v>
      </c>
      <c r="H551" s="105"/>
      <c r="I551" s="105">
        <v>44400</v>
      </c>
      <c r="J551" s="105">
        <v>44400</v>
      </c>
      <c r="K551" s="106">
        <v>44400</v>
      </c>
      <c r="L551" s="10"/>
    </row>
    <row r="552" spans="1:12" s="146" customFormat="1" ht="18" customHeight="1" x14ac:dyDescent="0.25">
      <c r="A552" s="1051" t="s">
        <v>163</v>
      </c>
      <c r="B552" s="1106" t="s">
        <v>1317</v>
      </c>
      <c r="C552" s="44" t="s">
        <v>353</v>
      </c>
      <c r="D552" s="113"/>
      <c r="E552" s="113"/>
      <c r="F552" s="114"/>
      <c r="G552" s="131" t="s">
        <v>165</v>
      </c>
      <c r="H552" s="101"/>
      <c r="I552" s="101">
        <v>1200000</v>
      </c>
      <c r="J552" s="101">
        <v>1200000</v>
      </c>
      <c r="K552" s="102">
        <f>1200000+1000000</f>
        <v>2200000</v>
      </c>
      <c r="L552" s="10"/>
    </row>
    <row r="553" spans="1:12" s="146" customFormat="1" ht="18" x14ac:dyDescent="0.25">
      <c r="A553" s="1051" t="s">
        <v>163</v>
      </c>
      <c r="B553" s="1106" t="s">
        <v>1317</v>
      </c>
      <c r="C553" s="38" t="s">
        <v>166</v>
      </c>
      <c r="D553" s="184"/>
      <c r="E553" s="184"/>
      <c r="F553" s="184"/>
      <c r="G553" s="131" t="s">
        <v>293</v>
      </c>
      <c r="H553" s="101"/>
      <c r="I553" s="101">
        <v>1000000</v>
      </c>
      <c r="J553" s="101">
        <v>1000000</v>
      </c>
      <c r="K553" s="102">
        <v>1000000</v>
      </c>
      <c r="L553" s="10"/>
    </row>
    <row r="554" spans="1:12" s="146" customFormat="1" ht="18" x14ac:dyDescent="0.25">
      <c r="A554" s="1051" t="s">
        <v>163</v>
      </c>
      <c r="B554" s="1106" t="s">
        <v>1317</v>
      </c>
      <c r="C554" s="38" t="s">
        <v>294</v>
      </c>
      <c r="D554" s="184"/>
      <c r="E554" s="184"/>
      <c r="F554" s="184"/>
      <c r="G554" s="131" t="s">
        <v>169</v>
      </c>
      <c r="H554" s="101"/>
      <c r="I554" s="101">
        <v>2640000</v>
      </c>
      <c r="J554" s="101">
        <v>2640000</v>
      </c>
      <c r="K554" s="102">
        <v>2640000</v>
      </c>
      <c r="L554" s="10"/>
    </row>
    <row r="555" spans="1:12" s="146" customFormat="1" ht="18" customHeight="1" x14ac:dyDescent="0.25">
      <c r="A555" s="1051" t="s">
        <v>163</v>
      </c>
      <c r="B555" s="1106" t="s">
        <v>1317</v>
      </c>
      <c r="C555" s="38" t="s">
        <v>295</v>
      </c>
      <c r="D555" s="184"/>
      <c r="E555" s="184"/>
      <c r="F555" s="185"/>
      <c r="G555" s="131" t="s">
        <v>173</v>
      </c>
      <c r="H555" s="101"/>
      <c r="I555" s="101">
        <v>200000</v>
      </c>
      <c r="J555" s="101">
        <v>200000</v>
      </c>
      <c r="K555" s="102">
        <v>200000</v>
      </c>
      <c r="L555" s="10"/>
    </row>
    <row r="556" spans="1:12" s="146" customFormat="1" ht="18" x14ac:dyDescent="0.25">
      <c r="A556" s="1051" t="s">
        <v>163</v>
      </c>
      <c r="B556" s="1106" t="s">
        <v>1317</v>
      </c>
      <c r="C556" s="38" t="s">
        <v>213</v>
      </c>
      <c r="D556" s="184"/>
      <c r="E556" s="184"/>
      <c r="F556" s="184"/>
      <c r="G556" s="131" t="s">
        <v>171</v>
      </c>
      <c r="H556" s="101"/>
      <c r="I556" s="101">
        <v>755000</v>
      </c>
      <c r="J556" s="101">
        <v>755000</v>
      </c>
      <c r="K556" s="102">
        <v>755000</v>
      </c>
      <c r="L556" s="10"/>
    </row>
    <row r="557" spans="1:12" ht="18" x14ac:dyDescent="0.25">
      <c r="A557" s="1051" t="s">
        <v>163</v>
      </c>
      <c r="B557" s="1106" t="s">
        <v>1317</v>
      </c>
      <c r="C557" s="38" t="s">
        <v>296</v>
      </c>
      <c r="D557" s="184"/>
      <c r="E557" s="184"/>
      <c r="F557" s="184"/>
      <c r="G557" s="131" t="s">
        <v>177</v>
      </c>
      <c r="H557" s="101"/>
      <c r="I557" s="101">
        <v>15000</v>
      </c>
      <c r="J557" s="101">
        <v>15000</v>
      </c>
      <c r="K557" s="102">
        <v>15000</v>
      </c>
    </row>
    <row r="558" spans="1:12" ht="18" x14ac:dyDescent="0.25">
      <c r="A558" s="1051" t="s">
        <v>163</v>
      </c>
      <c r="B558" s="1106" t="s">
        <v>1317</v>
      </c>
      <c r="C558" s="38" t="s">
        <v>178</v>
      </c>
      <c r="D558" s="184"/>
      <c r="E558" s="184"/>
      <c r="F558" s="184"/>
      <c r="G558" s="131" t="s">
        <v>179</v>
      </c>
      <c r="H558" s="101"/>
      <c r="I558" s="101">
        <v>748800</v>
      </c>
      <c r="J558" s="101">
        <v>748800</v>
      </c>
      <c r="K558" s="102">
        <v>748800</v>
      </c>
    </row>
    <row r="559" spans="1:12" ht="18" x14ac:dyDescent="0.25">
      <c r="A559" s="1051" t="s">
        <v>163</v>
      </c>
      <c r="B559" s="1106" t="s">
        <v>1317</v>
      </c>
      <c r="C559" s="44" t="s">
        <v>182</v>
      </c>
      <c r="D559" s="113"/>
      <c r="E559" s="113"/>
      <c r="F559" s="113"/>
      <c r="G559" s="131" t="s">
        <v>183</v>
      </c>
      <c r="H559" s="101"/>
      <c r="I559" s="101">
        <v>72000</v>
      </c>
      <c r="J559" s="101">
        <v>72000</v>
      </c>
      <c r="K559" s="102">
        <v>72000</v>
      </c>
    </row>
    <row r="560" spans="1:12" ht="18" x14ac:dyDescent="0.25">
      <c r="A560" s="1051" t="s">
        <v>163</v>
      </c>
      <c r="B560" s="1106" t="s">
        <v>1317</v>
      </c>
      <c r="C560" s="38" t="s">
        <v>307</v>
      </c>
      <c r="D560" s="184"/>
      <c r="E560" s="184"/>
      <c r="F560" s="184"/>
      <c r="G560" s="131" t="s">
        <v>308</v>
      </c>
      <c r="H560" s="101"/>
      <c r="I560" s="101">
        <v>350000</v>
      </c>
      <c r="J560" s="101">
        <v>350000</v>
      </c>
      <c r="K560" s="102">
        <v>200000</v>
      </c>
    </row>
    <row r="561" spans="1:12" ht="18" x14ac:dyDescent="0.25">
      <c r="A561" s="1051" t="s">
        <v>163</v>
      </c>
      <c r="B561" s="1106" t="s">
        <v>1317</v>
      </c>
      <c r="C561" s="38" t="s">
        <v>297</v>
      </c>
      <c r="D561" s="184"/>
      <c r="E561" s="184"/>
      <c r="F561" s="184"/>
      <c r="G561" s="131" t="s">
        <v>187</v>
      </c>
      <c r="H561" s="101"/>
      <c r="I561" s="101">
        <v>200000</v>
      </c>
      <c r="J561" s="101">
        <v>200000</v>
      </c>
      <c r="K561" s="102">
        <v>100000</v>
      </c>
    </row>
    <row r="562" spans="1:12" ht="18" x14ac:dyDescent="0.25">
      <c r="A562" s="1051" t="s">
        <v>163</v>
      </c>
      <c r="B562" s="1106" t="s">
        <v>1317</v>
      </c>
      <c r="C562" s="38" t="s">
        <v>298</v>
      </c>
      <c r="D562" s="184"/>
      <c r="E562" s="184"/>
      <c r="F562" s="184"/>
      <c r="G562" s="131" t="s">
        <v>189</v>
      </c>
      <c r="H562" s="101"/>
      <c r="I562" s="101">
        <v>200000</v>
      </c>
      <c r="J562" s="101">
        <v>200000</v>
      </c>
      <c r="K562" s="102">
        <v>100000</v>
      </c>
    </row>
    <row r="563" spans="1:12" ht="18" x14ac:dyDescent="0.25">
      <c r="A563" s="1051" t="s">
        <v>163</v>
      </c>
      <c r="B563" s="1106" t="s">
        <v>1317</v>
      </c>
      <c r="C563" s="38" t="s">
        <v>309</v>
      </c>
      <c r="D563" s="184"/>
      <c r="E563" s="184"/>
      <c r="F563" s="184"/>
      <c r="G563" s="131" t="s">
        <v>282</v>
      </c>
      <c r="H563" s="101"/>
      <c r="I563" s="101">
        <v>500000</v>
      </c>
      <c r="J563" s="101">
        <v>500000</v>
      </c>
      <c r="K563" s="102">
        <v>300000</v>
      </c>
    </row>
    <row r="564" spans="1:12" ht="18" x14ac:dyDescent="0.25">
      <c r="A564" s="1051" t="s">
        <v>163</v>
      </c>
      <c r="B564" s="1106" t="s">
        <v>1317</v>
      </c>
      <c r="C564" s="38" t="s">
        <v>192</v>
      </c>
      <c r="D564" s="184"/>
      <c r="E564" s="184"/>
      <c r="F564" s="184"/>
      <c r="G564" s="131" t="s">
        <v>193</v>
      </c>
      <c r="H564" s="101"/>
      <c r="I564" s="101">
        <v>500000</v>
      </c>
      <c r="J564" s="101">
        <v>500000</v>
      </c>
      <c r="K564" s="102">
        <v>250000</v>
      </c>
    </row>
    <row r="565" spans="1:12" ht="18" x14ac:dyDescent="0.25">
      <c r="A565" s="1051" t="s">
        <v>163</v>
      </c>
      <c r="B565" s="1106" t="s">
        <v>1317</v>
      </c>
      <c r="C565" s="38" t="s">
        <v>299</v>
      </c>
      <c r="D565" s="184"/>
      <c r="E565" s="184"/>
      <c r="F565" s="184"/>
      <c r="G565" s="131" t="s">
        <v>237</v>
      </c>
      <c r="H565" s="101"/>
      <c r="I565" s="101">
        <v>150000</v>
      </c>
      <c r="J565" s="101">
        <v>150000</v>
      </c>
      <c r="K565" s="102">
        <v>150000</v>
      </c>
    </row>
    <row r="566" spans="1:12" ht="18" x14ac:dyDescent="0.25">
      <c r="A566" s="1051" t="s">
        <v>163</v>
      </c>
      <c r="B566" s="1106" t="s">
        <v>1317</v>
      </c>
      <c r="C566" s="38" t="s">
        <v>1618</v>
      </c>
      <c r="D566" s="184"/>
      <c r="E566" s="1171"/>
      <c r="F566" s="1171"/>
      <c r="G566" s="133"/>
      <c r="H566" s="105"/>
      <c r="I566" s="105"/>
      <c r="J566" s="105"/>
      <c r="K566" s="106">
        <v>500000</v>
      </c>
    </row>
    <row r="567" spans="1:12" s="146" customFormat="1" ht="18" x14ac:dyDescent="0.25">
      <c r="A567" s="1051" t="s">
        <v>123</v>
      </c>
      <c r="B567" s="1106" t="s">
        <v>1317</v>
      </c>
      <c r="C567" s="1602" t="s">
        <v>124</v>
      </c>
      <c r="D567" s="1603"/>
      <c r="E567" s="1603"/>
      <c r="F567" s="1603"/>
      <c r="G567" s="131" t="s">
        <v>125</v>
      </c>
      <c r="H567" s="101"/>
      <c r="I567" s="101">
        <v>4155708</v>
      </c>
      <c r="J567" s="101">
        <v>4155708</v>
      </c>
      <c r="K567" s="102">
        <f>4001436+525</f>
        <v>4001961</v>
      </c>
      <c r="L567" s="10"/>
    </row>
    <row r="568" spans="1:12" s="146" customFormat="1" ht="18" x14ac:dyDescent="0.25">
      <c r="A568" s="1051" t="s">
        <v>123</v>
      </c>
      <c r="B568" s="1106" t="s">
        <v>1317</v>
      </c>
      <c r="C568" s="1602" t="s">
        <v>126</v>
      </c>
      <c r="D568" s="1603"/>
      <c r="E568" s="1603"/>
      <c r="F568" s="1603"/>
      <c r="G568" s="131" t="s">
        <v>127</v>
      </c>
      <c r="H568" s="101"/>
      <c r="I568" s="101">
        <v>337008</v>
      </c>
      <c r="J568" s="101">
        <v>337008</v>
      </c>
      <c r="K568" s="102">
        <v>324048</v>
      </c>
      <c r="L568" s="10"/>
    </row>
    <row r="569" spans="1:12" s="146" customFormat="1" ht="18" x14ac:dyDescent="0.25">
      <c r="A569" s="1051" t="s">
        <v>123</v>
      </c>
      <c r="B569" s="1106" t="s">
        <v>1317</v>
      </c>
      <c r="C569" s="1602" t="s">
        <v>129</v>
      </c>
      <c r="D569" s="1603"/>
      <c r="E569" s="1603"/>
      <c r="F569" s="1603"/>
      <c r="G569" s="132" t="s">
        <v>130</v>
      </c>
      <c r="H569" s="101"/>
      <c r="I569" s="101">
        <v>432000</v>
      </c>
      <c r="J569" s="101">
        <v>432000</v>
      </c>
      <c r="K569" s="102">
        <v>432000</v>
      </c>
      <c r="L569" s="10"/>
    </row>
    <row r="570" spans="1:12" s="146" customFormat="1" ht="18" x14ac:dyDescent="0.25">
      <c r="A570" s="1051" t="s">
        <v>123</v>
      </c>
      <c r="B570" s="1106" t="s">
        <v>1317</v>
      </c>
      <c r="C570" s="1602" t="s">
        <v>131</v>
      </c>
      <c r="D570" s="1603"/>
      <c r="E570" s="1603"/>
      <c r="F570" s="1603"/>
      <c r="G570" s="131" t="s">
        <v>132</v>
      </c>
      <c r="H570" s="101"/>
      <c r="I570" s="101">
        <v>72000</v>
      </c>
      <c r="J570" s="101">
        <v>72000</v>
      </c>
      <c r="K570" s="102">
        <v>72000</v>
      </c>
      <c r="L570" s="10"/>
    </row>
    <row r="571" spans="1:12" s="146" customFormat="1" ht="18" x14ac:dyDescent="0.25">
      <c r="A571" s="1051" t="s">
        <v>123</v>
      </c>
      <c r="B571" s="1106" t="s">
        <v>1317</v>
      </c>
      <c r="C571" s="1602" t="s">
        <v>133</v>
      </c>
      <c r="D571" s="1603"/>
      <c r="E571" s="1603"/>
      <c r="F571" s="1603"/>
      <c r="G571" s="131" t="s">
        <v>134</v>
      </c>
      <c r="H571" s="101"/>
      <c r="I571" s="101">
        <v>72000</v>
      </c>
      <c r="J571" s="101">
        <v>72000</v>
      </c>
      <c r="K571" s="102">
        <v>72000</v>
      </c>
      <c r="L571" s="10"/>
    </row>
    <row r="572" spans="1:12" s="146" customFormat="1" ht="18" x14ac:dyDescent="0.25">
      <c r="A572" s="1051" t="s">
        <v>123</v>
      </c>
      <c r="B572" s="1106" t="s">
        <v>1317</v>
      </c>
      <c r="C572" s="1602" t="s">
        <v>135</v>
      </c>
      <c r="D572" s="1603"/>
      <c r="E572" s="1603"/>
      <c r="F572" s="1603"/>
      <c r="G572" s="131" t="s">
        <v>136</v>
      </c>
      <c r="H572" s="102"/>
      <c r="I572" s="1154">
        <v>100000</v>
      </c>
      <c r="J572" s="1154">
        <v>100000</v>
      </c>
      <c r="K572" s="102">
        <v>100000</v>
      </c>
      <c r="L572" s="10"/>
    </row>
    <row r="573" spans="1:12" s="146" customFormat="1" ht="18" x14ac:dyDescent="0.25">
      <c r="A573" s="1051" t="s">
        <v>123</v>
      </c>
      <c r="B573" s="1106" t="s">
        <v>1317</v>
      </c>
      <c r="C573" s="1602" t="s">
        <v>137</v>
      </c>
      <c r="D573" s="1603"/>
      <c r="E573" s="1603"/>
      <c r="F573" s="1603"/>
      <c r="G573" s="131" t="s">
        <v>138</v>
      </c>
      <c r="H573" s="101"/>
      <c r="I573" s="101">
        <v>108000</v>
      </c>
      <c r="J573" s="101">
        <v>108000</v>
      </c>
      <c r="K573" s="102">
        <v>108000</v>
      </c>
      <c r="L573" s="10"/>
    </row>
    <row r="574" spans="1:12" s="146" customFormat="1" ht="18" customHeight="1" x14ac:dyDescent="0.25">
      <c r="A574" s="1051" t="s">
        <v>123</v>
      </c>
      <c r="B574" s="1106" t="s">
        <v>1317</v>
      </c>
      <c r="C574" s="1602" t="s">
        <v>1541</v>
      </c>
      <c r="D574" s="1603"/>
      <c r="E574" s="1603"/>
      <c r="F574" s="1603"/>
      <c r="G574" s="131" t="s">
        <v>140</v>
      </c>
      <c r="H574" s="101"/>
      <c r="I574" s="101">
        <v>374393</v>
      </c>
      <c r="J574" s="101">
        <v>374393</v>
      </c>
      <c r="K574" s="102">
        <v>360457</v>
      </c>
      <c r="L574" s="10"/>
    </row>
    <row r="575" spans="1:12" s="146" customFormat="1" ht="18" x14ac:dyDescent="0.25">
      <c r="A575" s="1051" t="s">
        <v>123</v>
      </c>
      <c r="B575" s="1106" t="s">
        <v>1317</v>
      </c>
      <c r="C575" s="1602" t="s">
        <v>141</v>
      </c>
      <c r="D575" s="1603"/>
      <c r="E575" s="1603"/>
      <c r="F575" s="1603"/>
      <c r="G575" s="131" t="s">
        <v>142</v>
      </c>
      <c r="H575" s="101"/>
      <c r="I575" s="101">
        <v>374393</v>
      </c>
      <c r="J575" s="101">
        <v>374393</v>
      </c>
      <c r="K575" s="102">
        <v>360562</v>
      </c>
      <c r="L575" s="10"/>
    </row>
    <row r="576" spans="1:12" s="146" customFormat="1" ht="18" x14ac:dyDescent="0.25">
      <c r="A576" s="1051" t="s">
        <v>123</v>
      </c>
      <c r="B576" s="1106" t="s">
        <v>1317</v>
      </c>
      <c r="C576" s="1602" t="s">
        <v>1542</v>
      </c>
      <c r="D576" s="1603"/>
      <c r="E576" s="1603"/>
      <c r="F576" s="1603"/>
      <c r="G576" s="131"/>
      <c r="H576" s="101"/>
      <c r="I576" s="101"/>
      <c r="J576" s="101"/>
      <c r="K576" s="102"/>
      <c r="L576" s="10"/>
    </row>
    <row r="577" spans="1:12" s="146" customFormat="1" ht="18" x14ac:dyDescent="0.25">
      <c r="A577" s="1051" t="s">
        <v>123</v>
      </c>
      <c r="B577" s="1106" t="s">
        <v>1317</v>
      </c>
      <c r="C577" s="1602" t="s">
        <v>143</v>
      </c>
      <c r="D577" s="1603"/>
      <c r="E577" s="1603"/>
      <c r="F577" s="1603"/>
      <c r="G577" s="131" t="s">
        <v>144</v>
      </c>
      <c r="H577" s="101"/>
      <c r="I577" s="101">
        <v>90000</v>
      </c>
      <c r="J577" s="101">
        <v>90000</v>
      </c>
      <c r="K577" s="102">
        <v>90000</v>
      </c>
      <c r="L577" s="10"/>
    </row>
    <row r="578" spans="1:12" s="146" customFormat="1" ht="18" x14ac:dyDescent="0.25">
      <c r="A578" s="1051" t="s">
        <v>123</v>
      </c>
      <c r="B578" s="1106" t="s">
        <v>1317</v>
      </c>
      <c r="C578" s="1602" t="s">
        <v>1543</v>
      </c>
      <c r="D578" s="1603"/>
      <c r="E578" s="1603"/>
      <c r="F578" s="1603"/>
      <c r="G578" s="131" t="s">
        <v>146</v>
      </c>
      <c r="H578" s="101"/>
      <c r="I578" s="101">
        <v>90000</v>
      </c>
      <c r="J578" s="101">
        <v>90000</v>
      </c>
      <c r="K578" s="102">
        <v>90000</v>
      </c>
      <c r="L578" s="10"/>
    </row>
    <row r="579" spans="1:12" s="146" customFormat="1" ht="18" x14ac:dyDescent="0.25">
      <c r="A579" s="1051" t="s">
        <v>123</v>
      </c>
      <c r="B579" s="1106" t="s">
        <v>1317</v>
      </c>
      <c r="C579" s="1041" t="s">
        <v>1568</v>
      </c>
      <c r="D579" s="1041"/>
      <c r="E579" s="1041"/>
      <c r="F579" s="1039"/>
      <c r="G579" s="131"/>
      <c r="H579" s="101"/>
      <c r="I579" s="101"/>
      <c r="J579" s="101"/>
      <c r="K579" s="102">
        <v>5000</v>
      </c>
      <c r="L579" s="10"/>
    </row>
    <row r="580" spans="1:12" s="146" customFormat="1" ht="18" x14ac:dyDescent="0.25">
      <c r="A580" s="1051" t="s">
        <v>123</v>
      </c>
      <c r="B580" s="1106" t="s">
        <v>1317</v>
      </c>
      <c r="C580" s="1062" t="s">
        <v>147</v>
      </c>
      <c r="D580" s="1045"/>
      <c r="E580" s="1045"/>
      <c r="F580" s="1046"/>
      <c r="G580" s="172" t="s">
        <v>148</v>
      </c>
      <c r="H580" s="102"/>
      <c r="I580" s="102"/>
      <c r="J580" s="102"/>
      <c r="K580" s="102"/>
      <c r="L580" s="10"/>
    </row>
    <row r="581" spans="1:12" s="146" customFormat="1" ht="18" x14ac:dyDescent="0.25">
      <c r="A581" s="1051" t="s">
        <v>123</v>
      </c>
      <c r="B581" s="1106" t="s">
        <v>1317</v>
      </c>
      <c r="C581" s="1045" t="s">
        <v>247</v>
      </c>
      <c r="D581" s="1041"/>
      <c r="E581" s="1041"/>
      <c r="F581" s="1039"/>
      <c r="G581" s="131" t="s">
        <v>150</v>
      </c>
      <c r="H581" s="101"/>
      <c r="I581" s="101"/>
      <c r="J581" s="101"/>
      <c r="K581" s="102"/>
      <c r="L581" s="10"/>
    </row>
    <row r="582" spans="1:12" s="146" customFormat="1" ht="18" x14ac:dyDescent="0.25">
      <c r="A582" s="1051" t="s">
        <v>123</v>
      </c>
      <c r="B582" s="1106" t="s">
        <v>1317</v>
      </c>
      <c r="C582" s="1602" t="s">
        <v>1544</v>
      </c>
      <c r="D582" s="1603"/>
      <c r="E582" s="1603"/>
      <c r="F582" s="1603"/>
      <c r="G582" s="131" t="s">
        <v>148</v>
      </c>
      <c r="H582" s="101"/>
      <c r="I582" s="101"/>
      <c r="J582" s="101"/>
      <c r="K582" s="102"/>
      <c r="L582" s="10"/>
    </row>
    <row r="583" spans="1:12" s="146" customFormat="1" ht="18" x14ac:dyDescent="0.25">
      <c r="A583" s="1051" t="s">
        <v>123</v>
      </c>
      <c r="B583" s="1106" t="s">
        <v>1317</v>
      </c>
      <c r="C583" s="1602" t="s">
        <v>1545</v>
      </c>
      <c r="D583" s="1603"/>
      <c r="E583" s="1603"/>
      <c r="F583" s="1603"/>
      <c r="G583" s="131" t="s">
        <v>154</v>
      </c>
      <c r="H583" s="101"/>
      <c r="I583" s="101">
        <v>539125.92000000004</v>
      </c>
      <c r="J583" s="101">
        <v>539125.92000000004</v>
      </c>
      <c r="K583" s="102">
        <v>519121.08</v>
      </c>
      <c r="L583" s="10"/>
    </row>
    <row r="584" spans="1:12" s="146" customFormat="1" ht="18" x14ac:dyDescent="0.25">
      <c r="A584" s="1051" t="s">
        <v>123</v>
      </c>
      <c r="B584" s="1106" t="s">
        <v>1317</v>
      </c>
      <c r="C584" s="1602" t="s">
        <v>155</v>
      </c>
      <c r="D584" s="1603"/>
      <c r="E584" s="1603"/>
      <c r="F584" s="1603"/>
      <c r="G584" s="131" t="s">
        <v>156</v>
      </c>
      <c r="H584" s="101"/>
      <c r="I584" s="101">
        <v>21600</v>
      </c>
      <c r="J584" s="101">
        <v>21600</v>
      </c>
      <c r="K584" s="102">
        <v>21600</v>
      </c>
      <c r="L584" s="10"/>
    </row>
    <row r="585" spans="1:12" s="146" customFormat="1" ht="18" x14ac:dyDescent="0.25">
      <c r="A585" s="1051" t="s">
        <v>123</v>
      </c>
      <c r="B585" s="1106" t="s">
        <v>1317</v>
      </c>
      <c r="C585" s="1602" t="s">
        <v>157</v>
      </c>
      <c r="D585" s="1603"/>
      <c r="E585" s="1603"/>
      <c r="F585" s="1603"/>
      <c r="G585" s="131" t="s">
        <v>158</v>
      </c>
      <c r="H585" s="101"/>
      <c r="I585" s="101">
        <v>100543.41</v>
      </c>
      <c r="J585" s="101">
        <v>100543.41</v>
      </c>
      <c r="K585" s="102">
        <v>97252.58</v>
      </c>
      <c r="L585" s="10"/>
    </row>
    <row r="586" spans="1:12" s="146" customFormat="1" ht="18" x14ac:dyDescent="0.25">
      <c r="A586" s="1051" t="s">
        <v>123</v>
      </c>
      <c r="B586" s="1106" t="s">
        <v>1317</v>
      </c>
      <c r="C586" s="1717" t="s">
        <v>1546</v>
      </c>
      <c r="D586" s="1718"/>
      <c r="E586" s="1718"/>
      <c r="F586" s="1718"/>
      <c r="G586" s="131" t="s">
        <v>160</v>
      </c>
      <c r="H586" s="105"/>
      <c r="I586" s="105">
        <v>21600</v>
      </c>
      <c r="J586" s="105">
        <v>21600</v>
      </c>
      <c r="K586" s="106">
        <v>21600</v>
      </c>
      <c r="L586" s="10"/>
    </row>
    <row r="587" spans="1:12" s="146" customFormat="1" ht="18" customHeight="1" x14ac:dyDescent="0.25">
      <c r="A587" s="1051" t="s">
        <v>163</v>
      </c>
      <c r="B587" s="1106" t="s">
        <v>1317</v>
      </c>
      <c r="C587" s="44" t="s">
        <v>353</v>
      </c>
      <c r="D587" s="113"/>
      <c r="E587" s="113"/>
      <c r="F587" s="114"/>
      <c r="G587" s="131" t="s">
        <v>165</v>
      </c>
      <c r="H587" s="101"/>
      <c r="I587" s="101">
        <v>300000</v>
      </c>
      <c r="J587" s="101">
        <v>300000</v>
      </c>
      <c r="K587" s="102">
        <v>600000</v>
      </c>
      <c r="L587" s="10"/>
    </row>
    <row r="588" spans="1:12" s="146" customFormat="1" ht="18" x14ac:dyDescent="0.25">
      <c r="A588" s="1051" t="s">
        <v>163</v>
      </c>
      <c r="B588" s="1106" t="s">
        <v>1317</v>
      </c>
      <c r="C588" s="38" t="s">
        <v>312</v>
      </c>
      <c r="D588" s="184"/>
      <c r="E588" s="184"/>
      <c r="F588" s="184"/>
      <c r="G588" s="131" t="s">
        <v>293</v>
      </c>
      <c r="H588" s="101"/>
      <c r="I588" s="101">
        <v>200000</v>
      </c>
      <c r="J588" s="101">
        <v>200000</v>
      </c>
      <c r="K588" s="102">
        <v>200000</v>
      </c>
      <c r="L588" s="10"/>
    </row>
    <row r="589" spans="1:12" s="146" customFormat="1" ht="18" x14ac:dyDescent="0.25">
      <c r="A589" s="1051" t="s">
        <v>163</v>
      </c>
      <c r="B589" s="1106" t="s">
        <v>1317</v>
      </c>
      <c r="C589" s="38" t="s">
        <v>294</v>
      </c>
      <c r="D589" s="184"/>
      <c r="E589" s="184"/>
      <c r="F589" s="184"/>
      <c r="G589" s="131" t="s">
        <v>169</v>
      </c>
      <c r="H589" s="101"/>
      <c r="I589" s="101">
        <v>2000000</v>
      </c>
      <c r="J589" s="101">
        <v>2000000</v>
      </c>
      <c r="K589" s="102">
        <v>2000000</v>
      </c>
      <c r="L589" s="10"/>
    </row>
    <row r="590" spans="1:12" ht="18" x14ac:dyDescent="0.25">
      <c r="A590" s="1051" t="s">
        <v>163</v>
      </c>
      <c r="B590" s="1106" t="s">
        <v>1317</v>
      </c>
      <c r="C590" s="38" t="s">
        <v>295</v>
      </c>
      <c r="D590" s="184"/>
      <c r="E590" s="184"/>
      <c r="F590" s="184"/>
      <c r="G590" s="131" t="s">
        <v>173</v>
      </c>
      <c r="H590" s="101"/>
      <c r="I590" s="101">
        <v>100000</v>
      </c>
      <c r="J590" s="101">
        <v>100000</v>
      </c>
      <c r="K590" s="102">
        <v>100000</v>
      </c>
    </row>
    <row r="591" spans="1:12" ht="18" x14ac:dyDescent="0.25">
      <c r="A591" s="1051" t="s">
        <v>163</v>
      </c>
      <c r="B591" s="1106" t="s">
        <v>1317</v>
      </c>
      <c r="C591" s="38" t="s">
        <v>213</v>
      </c>
      <c r="D591" s="184"/>
      <c r="E591" s="184"/>
      <c r="F591" s="184"/>
      <c r="G591" s="131" t="s">
        <v>171</v>
      </c>
      <c r="H591" s="101"/>
      <c r="I591" s="101">
        <v>350000</v>
      </c>
      <c r="J591" s="101">
        <v>350000</v>
      </c>
      <c r="K591" s="102">
        <v>350000</v>
      </c>
    </row>
    <row r="592" spans="1:12" ht="18" x14ac:dyDescent="0.25">
      <c r="A592" s="1051" t="s">
        <v>163</v>
      </c>
      <c r="B592" s="1106" t="s">
        <v>1317</v>
      </c>
      <c r="C592" s="38" t="s">
        <v>296</v>
      </c>
      <c r="D592" s="184"/>
      <c r="E592" s="184"/>
      <c r="F592" s="184"/>
      <c r="G592" s="131" t="s">
        <v>177</v>
      </c>
      <c r="H592" s="101"/>
      <c r="I592" s="101">
        <v>15000</v>
      </c>
      <c r="J592" s="101">
        <v>15000</v>
      </c>
      <c r="K592" s="102">
        <v>15000</v>
      </c>
    </row>
    <row r="593" spans="1:12" ht="18" x14ac:dyDescent="0.25">
      <c r="A593" s="1051" t="s">
        <v>163</v>
      </c>
      <c r="B593" s="1106" t="s">
        <v>1317</v>
      </c>
      <c r="C593" s="180" t="s">
        <v>178</v>
      </c>
      <c r="D593" s="184"/>
      <c r="E593" s="184"/>
      <c r="F593" s="184"/>
      <c r="G593" s="131" t="s">
        <v>179</v>
      </c>
      <c r="H593" s="101"/>
      <c r="I593" s="101">
        <v>148800</v>
      </c>
      <c r="J593" s="101">
        <v>148800</v>
      </c>
      <c r="K593" s="102">
        <v>148800</v>
      </c>
    </row>
    <row r="594" spans="1:12" ht="18" x14ac:dyDescent="0.25">
      <c r="A594" s="1051" t="s">
        <v>163</v>
      </c>
      <c r="B594" s="1106" t="s">
        <v>1317</v>
      </c>
      <c r="C594" s="38" t="s">
        <v>314</v>
      </c>
      <c r="D594" s="184"/>
      <c r="E594" s="184"/>
      <c r="F594" s="184"/>
      <c r="G594" s="131" t="s">
        <v>183</v>
      </c>
      <c r="H594" s="101"/>
      <c r="I594" s="101">
        <v>72000</v>
      </c>
      <c r="J594" s="101">
        <v>72000</v>
      </c>
      <c r="K594" s="102">
        <v>72000</v>
      </c>
    </row>
    <row r="595" spans="1:12" ht="18" x14ac:dyDescent="0.25">
      <c r="A595" s="1051" t="s">
        <v>163</v>
      </c>
      <c r="B595" s="1106" t="s">
        <v>1317</v>
      </c>
      <c r="C595" s="38" t="s">
        <v>194</v>
      </c>
      <c r="D595" s="184"/>
      <c r="E595" s="184"/>
      <c r="F595" s="184"/>
      <c r="G595" s="131"/>
      <c r="H595" s="101"/>
      <c r="I595" s="101"/>
      <c r="J595" s="101"/>
      <c r="K595" s="102">
        <v>150000</v>
      </c>
    </row>
    <row r="596" spans="1:12" ht="18" x14ac:dyDescent="0.25">
      <c r="A596" s="1051" t="s">
        <v>163</v>
      </c>
      <c r="B596" s="1106" t="s">
        <v>1317</v>
      </c>
      <c r="C596" s="38" t="s">
        <v>297</v>
      </c>
      <c r="D596" s="184"/>
      <c r="E596" s="184"/>
      <c r="F596" s="184"/>
      <c r="G596" s="131" t="s">
        <v>187</v>
      </c>
      <c r="H596" s="101"/>
      <c r="I596" s="101">
        <v>100000</v>
      </c>
      <c r="J596" s="101">
        <v>100000</v>
      </c>
      <c r="K596" s="102">
        <v>100000</v>
      </c>
    </row>
    <row r="597" spans="1:12" ht="18" x14ac:dyDescent="0.25">
      <c r="A597" s="1051" t="s">
        <v>163</v>
      </c>
      <c r="B597" s="1106" t="s">
        <v>1317</v>
      </c>
      <c r="C597" s="38" t="s">
        <v>298</v>
      </c>
      <c r="D597" s="184"/>
      <c r="E597" s="184"/>
      <c r="F597" s="184"/>
      <c r="G597" s="131" t="s">
        <v>189</v>
      </c>
      <c r="H597" s="101"/>
      <c r="I597" s="101">
        <v>200000</v>
      </c>
      <c r="J597" s="101">
        <v>200000</v>
      </c>
      <c r="K597" s="102">
        <v>200000</v>
      </c>
    </row>
    <row r="598" spans="1:12" ht="18" x14ac:dyDescent="0.25">
      <c r="A598" s="1051" t="s">
        <v>163</v>
      </c>
      <c r="B598" s="1106" t="s">
        <v>1317</v>
      </c>
      <c r="C598" s="38" t="s">
        <v>300</v>
      </c>
      <c r="D598" s="184"/>
      <c r="E598" s="184"/>
      <c r="F598" s="184"/>
      <c r="G598" s="131" t="s">
        <v>199</v>
      </c>
      <c r="H598" s="101"/>
      <c r="I598" s="101">
        <v>200000</v>
      </c>
      <c r="J598" s="101">
        <v>200000</v>
      </c>
      <c r="K598" s="102">
        <v>200000</v>
      </c>
    </row>
    <row r="599" spans="1:12" s="146" customFormat="1" ht="18" x14ac:dyDescent="0.25">
      <c r="A599" s="1051" t="s">
        <v>123</v>
      </c>
      <c r="B599" s="1041" t="s">
        <v>2025</v>
      </c>
      <c r="C599" s="1602" t="s">
        <v>124</v>
      </c>
      <c r="D599" s="1603"/>
      <c r="E599" s="1603"/>
      <c r="F599" s="1603"/>
      <c r="G599" s="131" t="s">
        <v>125</v>
      </c>
      <c r="H599" s="101"/>
      <c r="I599" s="101">
        <v>279120</v>
      </c>
      <c r="J599" s="101">
        <v>279120</v>
      </c>
      <c r="K599" s="102">
        <v>264132</v>
      </c>
      <c r="L599" s="10"/>
    </row>
    <row r="600" spans="1:12" s="146" customFormat="1" ht="18" x14ac:dyDescent="0.25">
      <c r="A600" s="1051" t="s">
        <v>123</v>
      </c>
      <c r="B600" s="1106" t="s">
        <v>2025</v>
      </c>
      <c r="C600" s="1602" t="s">
        <v>129</v>
      </c>
      <c r="D600" s="1603"/>
      <c r="E600" s="1603"/>
      <c r="F600" s="1603"/>
      <c r="G600" s="132" t="s">
        <v>130</v>
      </c>
      <c r="H600" s="101"/>
      <c r="I600" s="101">
        <v>24000</v>
      </c>
      <c r="J600" s="101">
        <v>24000</v>
      </c>
      <c r="K600" s="102">
        <v>24000</v>
      </c>
      <c r="L600" s="10"/>
    </row>
    <row r="601" spans="1:12" s="146" customFormat="1" ht="18" x14ac:dyDescent="0.25">
      <c r="A601" s="1051" t="s">
        <v>123</v>
      </c>
      <c r="B601" s="1106" t="s">
        <v>2025</v>
      </c>
      <c r="C601" s="1602" t="s">
        <v>137</v>
      </c>
      <c r="D601" s="1603"/>
      <c r="E601" s="1603"/>
      <c r="F601" s="1603"/>
      <c r="G601" s="131" t="s">
        <v>138</v>
      </c>
      <c r="H601" s="101"/>
      <c r="I601" s="101">
        <v>6000</v>
      </c>
      <c r="J601" s="101">
        <v>6000</v>
      </c>
      <c r="K601" s="102">
        <v>6000</v>
      </c>
      <c r="L601" s="10"/>
    </row>
    <row r="602" spans="1:12" s="146" customFormat="1" ht="18" customHeight="1" x14ac:dyDescent="0.25">
      <c r="A602" s="1051" t="s">
        <v>123</v>
      </c>
      <c r="B602" s="1106" t="s">
        <v>2025</v>
      </c>
      <c r="C602" s="1602" t="s">
        <v>1541</v>
      </c>
      <c r="D602" s="1603"/>
      <c r="E602" s="1603"/>
      <c r="F602" s="1603"/>
      <c r="G602" s="131" t="s">
        <v>140</v>
      </c>
      <c r="H602" s="101"/>
      <c r="I602" s="101">
        <v>23260</v>
      </c>
      <c r="J602" s="101">
        <v>23260</v>
      </c>
      <c r="K602" s="102">
        <v>22011</v>
      </c>
      <c r="L602" s="10"/>
    </row>
    <row r="603" spans="1:12" s="146" customFormat="1" ht="18" x14ac:dyDescent="0.25">
      <c r="A603" s="1051" t="s">
        <v>123</v>
      </c>
      <c r="B603" s="1106" t="s">
        <v>2025</v>
      </c>
      <c r="C603" s="1602" t="s">
        <v>141</v>
      </c>
      <c r="D603" s="1603"/>
      <c r="E603" s="1603"/>
      <c r="F603" s="1603"/>
      <c r="G603" s="131" t="s">
        <v>142</v>
      </c>
      <c r="H603" s="101"/>
      <c r="I603" s="101">
        <v>23260</v>
      </c>
      <c r="J603" s="101">
        <v>23260</v>
      </c>
      <c r="K603" s="102">
        <v>22011</v>
      </c>
      <c r="L603" s="10"/>
    </row>
    <row r="604" spans="1:12" s="146" customFormat="1" ht="18" x14ac:dyDescent="0.25">
      <c r="A604" s="1051" t="s">
        <v>123</v>
      </c>
      <c r="B604" s="1106" t="s">
        <v>2025</v>
      </c>
      <c r="C604" s="1602" t="s">
        <v>1542</v>
      </c>
      <c r="D604" s="1603"/>
      <c r="E604" s="1603"/>
      <c r="F604" s="1603"/>
      <c r="G604" s="131"/>
      <c r="H604" s="101"/>
      <c r="I604" s="101"/>
      <c r="J604" s="101"/>
      <c r="K604" s="102"/>
      <c r="L604" s="10"/>
    </row>
    <row r="605" spans="1:12" s="146" customFormat="1" ht="18" x14ac:dyDescent="0.25">
      <c r="A605" s="1051" t="s">
        <v>123</v>
      </c>
      <c r="B605" s="1106" t="s">
        <v>2025</v>
      </c>
      <c r="C605" s="1602" t="s">
        <v>143</v>
      </c>
      <c r="D605" s="1603"/>
      <c r="E605" s="1603"/>
      <c r="F605" s="1603"/>
      <c r="G605" s="131" t="s">
        <v>144</v>
      </c>
      <c r="H605" s="101"/>
      <c r="I605" s="101">
        <v>5000</v>
      </c>
      <c r="J605" s="101">
        <v>5000</v>
      </c>
      <c r="K605" s="102">
        <v>5000</v>
      </c>
      <c r="L605" s="10"/>
    </row>
    <row r="606" spans="1:12" s="146" customFormat="1" ht="18" x14ac:dyDescent="0.25">
      <c r="A606" s="1051" t="s">
        <v>123</v>
      </c>
      <c r="B606" s="1106" t="s">
        <v>2025</v>
      </c>
      <c r="C606" s="1602" t="s">
        <v>1543</v>
      </c>
      <c r="D606" s="1603"/>
      <c r="E606" s="1603"/>
      <c r="F606" s="1603"/>
      <c r="G606" s="131" t="s">
        <v>146</v>
      </c>
      <c r="H606" s="101"/>
      <c r="I606" s="101">
        <v>5000</v>
      </c>
      <c r="J606" s="101">
        <v>5000</v>
      </c>
      <c r="K606" s="102">
        <v>5000</v>
      </c>
      <c r="L606" s="10"/>
    </row>
    <row r="607" spans="1:12" s="146" customFormat="1" ht="18" x14ac:dyDescent="0.25">
      <c r="A607" s="1051" t="s">
        <v>123</v>
      </c>
      <c r="B607" s="1106" t="s">
        <v>2025</v>
      </c>
      <c r="C607" s="1062" t="s">
        <v>318</v>
      </c>
      <c r="D607" s="1041"/>
      <c r="E607" s="1041"/>
      <c r="F607" s="1039"/>
      <c r="G607" s="131" t="s">
        <v>148</v>
      </c>
      <c r="H607" s="101"/>
      <c r="I607" s="101"/>
      <c r="J607" s="101"/>
      <c r="K607" s="102"/>
      <c r="L607" s="10"/>
    </row>
    <row r="608" spans="1:12" s="146" customFormat="1" ht="18" x14ac:dyDescent="0.25">
      <c r="A608" s="1051" t="s">
        <v>123</v>
      </c>
      <c r="B608" s="1106" t="s">
        <v>2025</v>
      </c>
      <c r="C608" s="1045" t="s">
        <v>149</v>
      </c>
      <c r="D608" s="1675"/>
      <c r="E608" s="1675"/>
      <c r="F608" s="1676"/>
      <c r="G608" s="131" t="s">
        <v>150</v>
      </c>
      <c r="H608" s="101"/>
      <c r="I608" s="101"/>
      <c r="J608" s="101"/>
      <c r="K608" s="102"/>
      <c r="L608" s="10"/>
    </row>
    <row r="609" spans="1:12" s="146" customFormat="1" ht="18" x14ac:dyDescent="0.25">
      <c r="A609" s="1051" t="s">
        <v>123</v>
      </c>
      <c r="B609" s="1106" t="s">
        <v>2025</v>
      </c>
      <c r="C609" s="1602" t="s">
        <v>1544</v>
      </c>
      <c r="D609" s="1603"/>
      <c r="E609" s="1603"/>
      <c r="F609" s="1603"/>
      <c r="G609" s="131" t="s">
        <v>148</v>
      </c>
      <c r="H609" s="101"/>
      <c r="I609" s="101"/>
      <c r="J609" s="101"/>
      <c r="K609" s="102"/>
      <c r="L609" s="10"/>
    </row>
    <row r="610" spans="1:12" s="146" customFormat="1" ht="18" x14ac:dyDescent="0.25">
      <c r="A610" s="1051" t="s">
        <v>123</v>
      </c>
      <c r="B610" s="1106" t="s">
        <v>2025</v>
      </c>
      <c r="C610" s="1602" t="s">
        <v>1545</v>
      </c>
      <c r="D610" s="1603"/>
      <c r="E610" s="1603"/>
      <c r="F610" s="1603"/>
      <c r="G610" s="131" t="s">
        <v>154</v>
      </c>
      <c r="H610" s="101"/>
      <c r="I610" s="101">
        <v>29897.279999999999</v>
      </c>
      <c r="J610" s="101">
        <v>29897.279999999999</v>
      </c>
      <c r="K610" s="102">
        <v>29897.279999999999</v>
      </c>
      <c r="L610" s="10"/>
    </row>
    <row r="611" spans="1:12" s="146" customFormat="1" ht="18" x14ac:dyDescent="0.25">
      <c r="A611" s="1051" t="s">
        <v>123</v>
      </c>
      <c r="B611" s="1106" t="s">
        <v>2025</v>
      </c>
      <c r="C611" s="1602" t="s">
        <v>155</v>
      </c>
      <c r="D611" s="1603"/>
      <c r="E611" s="1603"/>
      <c r="F611" s="1603"/>
      <c r="G611" s="131" t="s">
        <v>156</v>
      </c>
      <c r="H611" s="101"/>
      <c r="I611" s="101">
        <v>1200</v>
      </c>
      <c r="J611" s="101">
        <v>1200</v>
      </c>
      <c r="K611" s="102">
        <v>1200</v>
      </c>
      <c r="L611" s="10"/>
    </row>
    <row r="612" spans="1:12" s="146" customFormat="1" ht="18" x14ac:dyDescent="0.25">
      <c r="A612" s="1051" t="s">
        <v>123</v>
      </c>
      <c r="B612" s="1106" t="s">
        <v>2025</v>
      </c>
      <c r="C612" s="1602" t="s">
        <v>157</v>
      </c>
      <c r="D612" s="1603"/>
      <c r="E612" s="1603"/>
      <c r="F612" s="1603"/>
      <c r="G612" s="131" t="s">
        <v>158</v>
      </c>
      <c r="H612" s="101"/>
      <c r="I612" s="101">
        <v>6280.2</v>
      </c>
      <c r="J612" s="101">
        <v>6280.2</v>
      </c>
      <c r="K612" s="102">
        <v>5942.97</v>
      </c>
      <c r="L612" s="10"/>
    </row>
    <row r="613" spans="1:12" s="146" customFormat="1" ht="18" x14ac:dyDescent="0.25">
      <c r="A613" s="1051" t="s">
        <v>123</v>
      </c>
      <c r="B613" s="1106" t="s">
        <v>2025</v>
      </c>
      <c r="C613" s="1602" t="s">
        <v>1546</v>
      </c>
      <c r="D613" s="1603"/>
      <c r="E613" s="1603"/>
      <c r="F613" s="1603"/>
      <c r="G613" s="131" t="s">
        <v>160</v>
      </c>
      <c r="H613" s="101"/>
      <c r="I613" s="101">
        <v>1200</v>
      </c>
      <c r="J613" s="101">
        <v>1200</v>
      </c>
      <c r="K613" s="102">
        <v>1200</v>
      </c>
      <c r="L613" s="10"/>
    </row>
    <row r="614" spans="1:12" ht="18" customHeight="1" x14ac:dyDescent="0.25">
      <c r="A614" s="1051" t="s">
        <v>163</v>
      </c>
      <c r="B614" s="1106" t="s">
        <v>2025</v>
      </c>
      <c r="C614" s="44" t="s">
        <v>353</v>
      </c>
      <c r="D614" s="113"/>
      <c r="E614" s="113"/>
      <c r="F614" s="114"/>
      <c r="G614" s="131" t="s">
        <v>165</v>
      </c>
      <c r="H614" s="101"/>
      <c r="I614" s="101">
        <v>20000</v>
      </c>
      <c r="J614" s="101">
        <v>20000</v>
      </c>
      <c r="K614" s="102">
        <v>20000</v>
      </c>
    </row>
    <row r="615" spans="1:12" ht="18" customHeight="1" x14ac:dyDescent="0.25">
      <c r="A615" s="1051" t="s">
        <v>163</v>
      </c>
      <c r="B615" s="1106" t="s">
        <v>2025</v>
      </c>
      <c r="C615" s="44" t="s">
        <v>166</v>
      </c>
      <c r="D615" s="113"/>
      <c r="E615" s="113"/>
      <c r="F615" s="113"/>
      <c r="G615" s="131"/>
      <c r="H615" s="101"/>
      <c r="I615" s="101">
        <v>20000</v>
      </c>
      <c r="J615" s="101">
        <v>20000</v>
      </c>
      <c r="K615" s="102">
        <v>20000</v>
      </c>
    </row>
    <row r="616" spans="1:12" ht="18" x14ac:dyDescent="0.25">
      <c r="A616" s="1051" t="s">
        <v>163</v>
      </c>
      <c r="B616" s="1106" t="s">
        <v>2025</v>
      </c>
      <c r="C616" s="38" t="s">
        <v>294</v>
      </c>
      <c r="D616" s="184"/>
      <c r="E616" s="184"/>
      <c r="F616" s="184"/>
      <c r="G616" s="131" t="s">
        <v>169</v>
      </c>
      <c r="H616" s="101"/>
      <c r="I616" s="101">
        <v>50000</v>
      </c>
      <c r="J616" s="101">
        <v>50000</v>
      </c>
      <c r="K616" s="102">
        <v>50000</v>
      </c>
    </row>
    <row r="617" spans="1:12" ht="18" x14ac:dyDescent="0.25">
      <c r="A617" s="1051" t="s">
        <v>163</v>
      </c>
      <c r="B617" s="1106" t="s">
        <v>2025</v>
      </c>
      <c r="C617" s="38" t="s">
        <v>319</v>
      </c>
      <c r="D617" s="184"/>
      <c r="E617" s="184"/>
      <c r="F617" s="184"/>
      <c r="G617" s="131" t="s">
        <v>171</v>
      </c>
      <c r="H617" s="101"/>
      <c r="I617" s="101">
        <v>60000</v>
      </c>
      <c r="J617" s="101">
        <v>60000</v>
      </c>
      <c r="K617" s="102">
        <v>60000</v>
      </c>
    </row>
    <row r="618" spans="1:12" s="191" customFormat="1" ht="18" x14ac:dyDescent="0.25">
      <c r="A618" s="1051" t="s">
        <v>163</v>
      </c>
      <c r="B618" s="1106" t="s">
        <v>2025</v>
      </c>
      <c r="C618" s="38" t="s">
        <v>178</v>
      </c>
      <c r="D618" s="184"/>
      <c r="E618" s="184"/>
      <c r="F618" s="184"/>
      <c r="G618" s="131" t="s">
        <v>179</v>
      </c>
      <c r="H618" s="101"/>
      <c r="I618" s="101">
        <v>28800</v>
      </c>
      <c r="J618" s="101">
        <v>28800</v>
      </c>
      <c r="K618" s="102">
        <v>28800</v>
      </c>
      <c r="L618" s="10"/>
    </row>
    <row r="619" spans="1:12" s="191" customFormat="1" ht="18" x14ac:dyDescent="0.25">
      <c r="A619" s="1051" t="s">
        <v>163</v>
      </c>
      <c r="B619" s="1106" t="s">
        <v>2025</v>
      </c>
      <c r="C619" s="38" t="s">
        <v>182</v>
      </c>
      <c r="D619" s="184"/>
      <c r="E619" s="184"/>
      <c r="F619" s="184"/>
      <c r="G619" s="131" t="s">
        <v>183</v>
      </c>
      <c r="H619" s="101"/>
      <c r="I619" s="101">
        <v>67200</v>
      </c>
      <c r="J619" s="101">
        <v>67200</v>
      </c>
      <c r="K619" s="102">
        <v>67200</v>
      </c>
      <c r="L619" s="10"/>
    </row>
    <row r="620" spans="1:12" ht="18" x14ac:dyDescent="0.25">
      <c r="A620" s="1051" t="s">
        <v>163</v>
      </c>
      <c r="B620" s="1106" t="s">
        <v>2025</v>
      </c>
      <c r="C620" s="38" t="s">
        <v>297</v>
      </c>
      <c r="D620" s="184"/>
      <c r="E620" s="184"/>
      <c r="F620" s="184"/>
      <c r="G620" s="131" t="s">
        <v>187</v>
      </c>
      <c r="H620" s="101"/>
      <c r="I620" s="101">
        <v>30000</v>
      </c>
      <c r="J620" s="101">
        <v>30000</v>
      </c>
      <c r="K620" s="102">
        <v>30000</v>
      </c>
    </row>
    <row r="621" spans="1:12" ht="18" x14ac:dyDescent="0.25">
      <c r="A621" s="1051" t="s">
        <v>163</v>
      </c>
      <c r="B621" s="1106" t="s">
        <v>2025</v>
      </c>
      <c r="C621" s="38" t="s">
        <v>300</v>
      </c>
      <c r="D621" s="184"/>
      <c r="E621" s="184"/>
      <c r="F621" s="184"/>
      <c r="G621" s="131" t="s">
        <v>199</v>
      </c>
      <c r="H621" s="105"/>
      <c r="I621" s="105">
        <v>33000</v>
      </c>
      <c r="J621" s="105">
        <v>33000</v>
      </c>
      <c r="K621" s="106">
        <v>33000</v>
      </c>
    </row>
    <row r="622" spans="1:12" s="146" customFormat="1" ht="18" x14ac:dyDescent="0.25">
      <c r="A622" s="1051" t="s">
        <v>123</v>
      </c>
      <c r="B622" s="1041" t="s">
        <v>1317</v>
      </c>
      <c r="C622" s="1602" t="s">
        <v>124</v>
      </c>
      <c r="D622" s="1603"/>
      <c r="E622" s="1603"/>
      <c r="F622" s="1603"/>
      <c r="G622" s="131" t="s">
        <v>125</v>
      </c>
      <c r="H622" s="101"/>
      <c r="I622" s="101">
        <v>1154328</v>
      </c>
      <c r="J622" s="101">
        <v>1154328</v>
      </c>
      <c r="K622" s="102">
        <v>1129584</v>
      </c>
      <c r="L622" s="10"/>
    </row>
    <row r="623" spans="1:12" s="146" customFormat="1" ht="18" x14ac:dyDescent="0.25">
      <c r="A623" s="1051" t="s">
        <v>123</v>
      </c>
      <c r="B623" s="1106" t="s">
        <v>1317</v>
      </c>
      <c r="C623" s="1602" t="s">
        <v>126</v>
      </c>
      <c r="D623" s="1603"/>
      <c r="E623" s="1603"/>
      <c r="F623" s="1603"/>
      <c r="G623" s="131" t="s">
        <v>127</v>
      </c>
      <c r="H623" s="101"/>
      <c r="I623" s="101">
        <v>149628</v>
      </c>
      <c r="J623" s="101">
        <v>149628</v>
      </c>
      <c r="K623" s="102">
        <v>143928</v>
      </c>
      <c r="L623" s="10"/>
    </row>
    <row r="624" spans="1:12" s="146" customFormat="1" ht="18" x14ac:dyDescent="0.25">
      <c r="A624" s="1051" t="s">
        <v>123</v>
      </c>
      <c r="B624" s="1106" t="s">
        <v>1317</v>
      </c>
      <c r="C624" s="1602" t="s">
        <v>129</v>
      </c>
      <c r="D624" s="1603"/>
      <c r="E624" s="1603"/>
      <c r="F624" s="1603"/>
      <c r="G624" s="132" t="s">
        <v>130</v>
      </c>
      <c r="H624" s="101"/>
      <c r="I624" s="101">
        <v>72000</v>
      </c>
      <c r="J624" s="101">
        <v>72000</v>
      </c>
      <c r="K624" s="102">
        <v>72000</v>
      </c>
      <c r="L624" s="10"/>
    </row>
    <row r="625" spans="1:12" s="146" customFormat="1" ht="18" x14ac:dyDescent="0.25">
      <c r="A625" s="1051" t="s">
        <v>123</v>
      </c>
      <c r="B625" s="1106" t="s">
        <v>1317</v>
      </c>
      <c r="C625" s="1602" t="s">
        <v>131</v>
      </c>
      <c r="D625" s="1603"/>
      <c r="E625" s="1603"/>
      <c r="F625" s="1603"/>
      <c r="G625" s="131" t="s">
        <v>132</v>
      </c>
      <c r="H625" s="101"/>
      <c r="I625" s="101">
        <v>72000</v>
      </c>
      <c r="J625" s="101">
        <v>72000</v>
      </c>
      <c r="K625" s="102">
        <v>72000</v>
      </c>
      <c r="L625" s="10"/>
    </row>
    <row r="626" spans="1:12" s="146" customFormat="1" ht="18" x14ac:dyDescent="0.25">
      <c r="A626" s="1051" t="s">
        <v>123</v>
      </c>
      <c r="B626" s="1106" t="s">
        <v>1317</v>
      </c>
      <c r="C626" s="1602" t="s">
        <v>133</v>
      </c>
      <c r="D626" s="1603"/>
      <c r="E626" s="1603"/>
      <c r="F626" s="1603"/>
      <c r="G626" s="131" t="s">
        <v>134</v>
      </c>
      <c r="H626" s="101"/>
      <c r="I626" s="101">
        <v>72000</v>
      </c>
      <c r="J626" s="101">
        <v>72000</v>
      </c>
      <c r="K626" s="102">
        <v>72000</v>
      </c>
      <c r="L626" s="10"/>
    </row>
    <row r="627" spans="1:12" s="146" customFormat="1" ht="18" x14ac:dyDescent="0.25">
      <c r="A627" s="1051" t="s">
        <v>123</v>
      </c>
      <c r="B627" s="1106" t="s">
        <v>1317</v>
      </c>
      <c r="C627" s="1611" t="s">
        <v>137</v>
      </c>
      <c r="D627" s="1611"/>
      <c r="E627" s="1611"/>
      <c r="F627" s="1602"/>
      <c r="G627" s="131" t="s">
        <v>138</v>
      </c>
      <c r="H627" s="101"/>
      <c r="I627" s="101">
        <v>18000</v>
      </c>
      <c r="J627" s="101">
        <v>18000</v>
      </c>
      <c r="K627" s="102">
        <v>18000</v>
      </c>
      <c r="L627" s="10"/>
    </row>
    <row r="628" spans="1:12" s="146" customFormat="1" ht="18" customHeight="1" x14ac:dyDescent="0.25">
      <c r="A628" s="1051" t="s">
        <v>123</v>
      </c>
      <c r="B628" s="1106" t="s">
        <v>1317</v>
      </c>
      <c r="C628" s="1611" t="s">
        <v>1541</v>
      </c>
      <c r="D628" s="1611"/>
      <c r="E628" s="1611"/>
      <c r="F628" s="1602"/>
      <c r="G628" s="131" t="s">
        <v>140</v>
      </c>
      <c r="H628" s="101"/>
      <c r="I628" s="101">
        <v>108663</v>
      </c>
      <c r="J628" s="101">
        <v>108663</v>
      </c>
      <c r="K628" s="102">
        <v>106126</v>
      </c>
      <c r="L628" s="10"/>
    </row>
    <row r="629" spans="1:12" s="146" customFormat="1" ht="18" x14ac:dyDescent="0.25">
      <c r="A629" s="1051" t="s">
        <v>123</v>
      </c>
      <c r="B629" s="1106" t="s">
        <v>1317</v>
      </c>
      <c r="C629" s="1611" t="s">
        <v>141</v>
      </c>
      <c r="D629" s="1611"/>
      <c r="E629" s="1611"/>
      <c r="F629" s="1602"/>
      <c r="G629" s="131" t="s">
        <v>142</v>
      </c>
      <c r="H629" s="101"/>
      <c r="I629" s="101">
        <v>108663</v>
      </c>
      <c r="J629" s="101">
        <v>108663</v>
      </c>
      <c r="K629" s="102">
        <v>106126</v>
      </c>
      <c r="L629" s="10"/>
    </row>
    <row r="630" spans="1:12" s="146" customFormat="1" ht="18" x14ac:dyDescent="0.25">
      <c r="A630" s="1051" t="s">
        <v>123</v>
      </c>
      <c r="B630" s="1106" t="s">
        <v>1317</v>
      </c>
      <c r="C630" s="1611" t="s">
        <v>143</v>
      </c>
      <c r="D630" s="1611"/>
      <c r="E630" s="1611"/>
      <c r="F630" s="1602"/>
      <c r="G630" s="131" t="s">
        <v>144</v>
      </c>
      <c r="H630" s="101"/>
      <c r="I630" s="101">
        <v>15000</v>
      </c>
      <c r="J630" s="101">
        <v>15000</v>
      </c>
      <c r="K630" s="102">
        <v>15000</v>
      </c>
      <c r="L630" s="10"/>
    </row>
    <row r="631" spans="1:12" s="146" customFormat="1" ht="18" x14ac:dyDescent="0.25">
      <c r="A631" s="1051" t="s">
        <v>123</v>
      </c>
      <c r="B631" s="1106" t="s">
        <v>1317</v>
      </c>
      <c r="C631" s="1611" t="s">
        <v>1543</v>
      </c>
      <c r="D631" s="1611"/>
      <c r="E631" s="1611"/>
      <c r="F631" s="1602"/>
      <c r="G631" s="131" t="s">
        <v>146</v>
      </c>
      <c r="H631" s="101"/>
      <c r="I631" s="101">
        <v>15000</v>
      </c>
      <c r="J631" s="101">
        <v>15000</v>
      </c>
      <c r="K631" s="102">
        <v>15000</v>
      </c>
      <c r="L631" s="10"/>
    </row>
    <row r="632" spans="1:12" s="146" customFormat="1" ht="18" x14ac:dyDescent="0.25">
      <c r="A632" s="1051" t="s">
        <v>123</v>
      </c>
      <c r="B632" s="1106" t="s">
        <v>1317</v>
      </c>
      <c r="C632" s="1611" t="s">
        <v>147</v>
      </c>
      <c r="D632" s="1611"/>
      <c r="E632" s="1041"/>
      <c r="F632" s="1039"/>
      <c r="G632" s="131" t="s">
        <v>148</v>
      </c>
      <c r="H632" s="101"/>
      <c r="I632" s="101"/>
      <c r="J632" s="101"/>
      <c r="K632" s="102"/>
      <c r="L632" s="10"/>
    </row>
    <row r="633" spans="1:12" s="146" customFormat="1" ht="18" x14ac:dyDescent="0.25">
      <c r="A633" s="1051" t="s">
        <v>123</v>
      </c>
      <c r="B633" s="1106" t="s">
        <v>1317</v>
      </c>
      <c r="C633" s="1042" t="s">
        <v>1544</v>
      </c>
      <c r="D633" s="1041"/>
      <c r="E633" s="1041"/>
      <c r="F633" s="1039"/>
      <c r="G633" s="131"/>
      <c r="H633" s="101"/>
      <c r="I633" s="101"/>
      <c r="J633" s="101"/>
      <c r="K633" s="102"/>
      <c r="L633" s="10"/>
    </row>
    <row r="634" spans="1:12" s="146" customFormat="1" ht="18" x14ac:dyDescent="0.25">
      <c r="A634" s="1051" t="s">
        <v>123</v>
      </c>
      <c r="B634" s="1106" t="s">
        <v>1317</v>
      </c>
      <c r="C634" s="1611" t="s">
        <v>1545</v>
      </c>
      <c r="D634" s="1611"/>
      <c r="E634" s="1611"/>
      <c r="F634" s="1602"/>
      <c r="G634" s="131" t="s">
        <v>154</v>
      </c>
      <c r="H634" s="101"/>
      <c r="I634" s="101">
        <v>156474.72</v>
      </c>
      <c r="J634" s="101">
        <v>156474.72</v>
      </c>
      <c r="K634" s="102">
        <v>152821.44</v>
      </c>
      <c r="L634" s="10"/>
    </row>
    <row r="635" spans="1:12" s="146" customFormat="1" ht="18" x14ac:dyDescent="0.25">
      <c r="A635" s="1051" t="s">
        <v>123</v>
      </c>
      <c r="B635" s="1106" t="s">
        <v>1317</v>
      </c>
      <c r="C635" s="1611" t="s">
        <v>155</v>
      </c>
      <c r="D635" s="1611"/>
      <c r="E635" s="1611"/>
      <c r="F635" s="1602"/>
      <c r="G635" s="131" t="s">
        <v>156</v>
      </c>
      <c r="H635" s="101"/>
      <c r="I635" s="101">
        <v>3600</v>
      </c>
      <c r="J635" s="101">
        <v>3600</v>
      </c>
      <c r="K635" s="102">
        <v>3600</v>
      </c>
      <c r="L635" s="10"/>
    </row>
    <row r="636" spans="1:12" s="146" customFormat="1" ht="18" x14ac:dyDescent="0.25">
      <c r="A636" s="1051" t="s">
        <v>123</v>
      </c>
      <c r="B636" s="1106" t="s">
        <v>1317</v>
      </c>
      <c r="C636" s="1602" t="s">
        <v>157</v>
      </c>
      <c r="D636" s="1603"/>
      <c r="E636" s="1603"/>
      <c r="F636" s="1603"/>
      <c r="G636" s="131" t="s">
        <v>158</v>
      </c>
      <c r="H636" s="101"/>
      <c r="I636" s="101">
        <v>29339.01</v>
      </c>
      <c r="J636" s="101">
        <v>29339.01</v>
      </c>
      <c r="K636" s="102">
        <v>28654.02</v>
      </c>
      <c r="L636" s="10"/>
    </row>
    <row r="637" spans="1:12" s="146" customFormat="1" ht="18" x14ac:dyDescent="0.25">
      <c r="A637" s="1051" t="s">
        <v>123</v>
      </c>
      <c r="B637" s="1106" t="s">
        <v>1317</v>
      </c>
      <c r="C637" s="1602" t="s">
        <v>1546</v>
      </c>
      <c r="D637" s="1603"/>
      <c r="E637" s="1603"/>
      <c r="F637" s="1603"/>
      <c r="G637" s="131" t="s">
        <v>160</v>
      </c>
      <c r="H637" s="101"/>
      <c r="I637" s="101">
        <v>3600</v>
      </c>
      <c r="J637" s="101">
        <v>3600</v>
      </c>
      <c r="K637" s="102">
        <v>3600</v>
      </c>
      <c r="L637" s="10"/>
    </row>
    <row r="638" spans="1:12" s="146" customFormat="1" ht="18" x14ac:dyDescent="0.25">
      <c r="A638" s="1051" t="s">
        <v>163</v>
      </c>
      <c r="B638" s="1106" t="s">
        <v>1317</v>
      </c>
      <c r="C638" s="1042" t="s">
        <v>353</v>
      </c>
      <c r="D638" s="1047"/>
      <c r="E638" s="1047"/>
      <c r="F638" s="1047"/>
      <c r="G638" s="97"/>
      <c r="H638" s="101"/>
      <c r="I638" s="101"/>
      <c r="J638" s="101"/>
      <c r="K638" s="102">
        <v>50000</v>
      </c>
      <c r="L638" s="10"/>
    </row>
    <row r="639" spans="1:12" s="146" customFormat="1" ht="18" x14ac:dyDescent="0.25">
      <c r="A639" s="1051" t="s">
        <v>163</v>
      </c>
      <c r="B639" s="1106" t="s">
        <v>1317</v>
      </c>
      <c r="C639" s="1042" t="s">
        <v>166</v>
      </c>
      <c r="D639" s="1047"/>
      <c r="E639" s="1047"/>
      <c r="F639" s="1047"/>
      <c r="G639" s="97"/>
      <c r="H639" s="101"/>
      <c r="I639" s="101"/>
      <c r="J639" s="101"/>
      <c r="K639" s="102">
        <v>50000</v>
      </c>
      <c r="L639" s="10"/>
    </row>
    <row r="640" spans="1:12" s="146" customFormat="1" ht="18" x14ac:dyDescent="0.25">
      <c r="A640" s="1051" t="s">
        <v>163</v>
      </c>
      <c r="B640" s="1106" t="s">
        <v>1317</v>
      </c>
      <c r="C640" s="38" t="s">
        <v>294</v>
      </c>
      <c r="D640" s="184"/>
      <c r="E640" s="184"/>
      <c r="F640" s="184"/>
      <c r="G640" s="131" t="s">
        <v>169</v>
      </c>
      <c r="H640" s="102"/>
      <c r="I640" s="102">
        <v>68000</v>
      </c>
      <c r="J640" s="102">
        <v>68000</v>
      </c>
      <c r="K640" s="102">
        <v>68000</v>
      </c>
      <c r="L640" s="10"/>
    </row>
    <row r="641" spans="1:12" s="146" customFormat="1" ht="18" x14ac:dyDescent="0.25">
      <c r="A641" s="1051" t="s">
        <v>163</v>
      </c>
      <c r="B641" s="1106" t="s">
        <v>1317</v>
      </c>
      <c r="C641" s="38" t="s">
        <v>213</v>
      </c>
      <c r="D641" s="184"/>
      <c r="E641" s="184"/>
      <c r="F641" s="184"/>
      <c r="G641" s="131" t="s">
        <v>171</v>
      </c>
      <c r="H641" s="102"/>
      <c r="I641" s="102">
        <v>40000</v>
      </c>
      <c r="J641" s="102">
        <v>40000</v>
      </c>
      <c r="K641" s="102">
        <v>40000</v>
      </c>
      <c r="L641" s="10"/>
    </row>
    <row r="642" spans="1:12" s="146" customFormat="1" ht="18" x14ac:dyDescent="0.25">
      <c r="A642" s="1051" t="s">
        <v>163</v>
      </c>
      <c r="B642" s="1106" t="s">
        <v>1317</v>
      </c>
      <c r="C642" s="38" t="s">
        <v>296</v>
      </c>
      <c r="D642" s="184"/>
      <c r="E642" s="184"/>
      <c r="F642" s="184"/>
      <c r="G642" s="131" t="s">
        <v>177</v>
      </c>
      <c r="H642" s="102"/>
      <c r="I642" s="102">
        <v>10000</v>
      </c>
      <c r="J642" s="102">
        <v>10000</v>
      </c>
      <c r="K642" s="102">
        <v>10000</v>
      </c>
      <c r="L642" s="10"/>
    </row>
    <row r="643" spans="1:12" s="146" customFormat="1" ht="18" x14ac:dyDescent="0.25">
      <c r="A643" s="1051" t="s">
        <v>163</v>
      </c>
      <c r="B643" s="1106" t="s">
        <v>1317</v>
      </c>
      <c r="C643" s="38" t="s">
        <v>178</v>
      </c>
      <c r="D643" s="184"/>
      <c r="E643" s="184"/>
      <c r="F643" s="184"/>
      <c r="G643" s="131" t="s">
        <v>179</v>
      </c>
      <c r="H643" s="102"/>
      <c r="I643" s="102">
        <v>54000</v>
      </c>
      <c r="J643" s="102">
        <v>54000</v>
      </c>
      <c r="K643" s="102">
        <v>54000</v>
      </c>
      <c r="L643" s="10"/>
    </row>
    <row r="644" spans="1:12" s="146" customFormat="1" ht="18" x14ac:dyDescent="0.25">
      <c r="A644" s="1051" t="s">
        <v>163</v>
      </c>
      <c r="B644" s="1106" t="s">
        <v>1317</v>
      </c>
      <c r="C644" s="38" t="s">
        <v>297</v>
      </c>
      <c r="D644" s="184"/>
      <c r="E644" s="184"/>
      <c r="F644" s="184"/>
      <c r="G644" s="131" t="s">
        <v>187</v>
      </c>
      <c r="H644" s="102"/>
      <c r="I644" s="102">
        <v>10000</v>
      </c>
      <c r="J644" s="102">
        <v>10000</v>
      </c>
      <c r="K644" s="102">
        <v>10000</v>
      </c>
      <c r="L644" s="10"/>
    </row>
    <row r="645" spans="1:12" s="146" customFormat="1" ht="18" x14ac:dyDescent="0.25">
      <c r="A645" s="1051" t="s">
        <v>163</v>
      </c>
      <c r="B645" s="1106" t="s">
        <v>1317</v>
      </c>
      <c r="C645" s="38" t="s">
        <v>300</v>
      </c>
      <c r="D645" s="184"/>
      <c r="E645" s="184"/>
      <c r="F645" s="184"/>
      <c r="G645" s="131" t="s">
        <v>199</v>
      </c>
      <c r="H645" s="102"/>
      <c r="I645" s="106">
        <v>150000</v>
      </c>
      <c r="J645" s="106">
        <v>150000</v>
      </c>
      <c r="K645" s="106">
        <v>150000</v>
      </c>
      <c r="L645" s="10"/>
    </row>
    <row r="646" spans="1:12" s="194" customFormat="1" ht="18" x14ac:dyDescent="0.25">
      <c r="A646" s="1051" t="s">
        <v>201</v>
      </c>
      <c r="B646" s="1106" t="s">
        <v>1317</v>
      </c>
      <c r="C646" s="1042" t="s">
        <v>204</v>
      </c>
      <c r="D646" s="1041"/>
      <c r="E646" s="1041"/>
      <c r="F646" s="1039"/>
      <c r="G646" s="97"/>
      <c r="H646" s="102"/>
      <c r="I646" s="106"/>
      <c r="J646" s="106">
        <v>100000</v>
      </c>
      <c r="K646" s="106">
        <v>100000</v>
      </c>
      <c r="L646" s="10"/>
    </row>
    <row r="647" spans="1:12" s="146" customFormat="1" ht="18" x14ac:dyDescent="0.25">
      <c r="A647" s="1051" t="s">
        <v>123</v>
      </c>
      <c r="B647" s="1106" t="s">
        <v>1317</v>
      </c>
      <c r="C647" s="1602" t="s">
        <v>124</v>
      </c>
      <c r="D647" s="1603"/>
      <c r="E647" s="1603"/>
      <c r="F647" s="1603"/>
      <c r="G647" s="100" t="s">
        <v>125</v>
      </c>
      <c r="H647" s="101"/>
      <c r="I647" s="101">
        <v>1135452</v>
      </c>
      <c r="J647" s="101">
        <v>1135452</v>
      </c>
      <c r="K647" s="102">
        <v>1111488</v>
      </c>
      <c r="L647" s="10"/>
    </row>
    <row r="648" spans="1:12" s="146" customFormat="1" ht="18" x14ac:dyDescent="0.25">
      <c r="A648" s="1051" t="s">
        <v>123</v>
      </c>
      <c r="B648" s="1106" t="s">
        <v>1317</v>
      </c>
      <c r="C648" s="1602" t="s">
        <v>129</v>
      </c>
      <c r="D648" s="1603"/>
      <c r="E648" s="1603"/>
      <c r="F648" s="1603"/>
      <c r="G648" s="103" t="s">
        <v>130</v>
      </c>
      <c r="H648" s="101"/>
      <c r="I648" s="101">
        <v>48000</v>
      </c>
      <c r="J648" s="101">
        <v>48000</v>
      </c>
      <c r="K648" s="102">
        <v>48000</v>
      </c>
      <c r="L648" s="10"/>
    </row>
    <row r="649" spans="1:12" s="146" customFormat="1" ht="18" x14ac:dyDescent="0.25">
      <c r="A649" s="1051" t="s">
        <v>123</v>
      </c>
      <c r="B649" s="1106" t="s">
        <v>1317</v>
      </c>
      <c r="C649" s="1602" t="s">
        <v>131</v>
      </c>
      <c r="D649" s="1603"/>
      <c r="E649" s="1603"/>
      <c r="F649" s="1603"/>
      <c r="G649" s="100" t="s">
        <v>132</v>
      </c>
      <c r="H649" s="101"/>
      <c r="I649" s="101">
        <v>72000</v>
      </c>
      <c r="J649" s="101">
        <v>72000</v>
      </c>
      <c r="K649" s="102">
        <v>72000</v>
      </c>
      <c r="L649" s="10"/>
    </row>
    <row r="650" spans="1:12" s="146" customFormat="1" ht="18" x14ac:dyDescent="0.25">
      <c r="A650" s="1051" t="s">
        <v>123</v>
      </c>
      <c r="B650" s="1106" t="s">
        <v>1317</v>
      </c>
      <c r="C650" s="1602" t="s">
        <v>133</v>
      </c>
      <c r="D650" s="1603"/>
      <c r="E650" s="1603"/>
      <c r="F650" s="1603"/>
      <c r="G650" s="100" t="s">
        <v>134</v>
      </c>
      <c r="H650" s="101"/>
      <c r="I650" s="101">
        <v>72000</v>
      </c>
      <c r="J650" s="101">
        <v>72000</v>
      </c>
      <c r="K650" s="102">
        <v>72000</v>
      </c>
      <c r="L650" s="10"/>
    </row>
    <row r="651" spans="1:12" s="146" customFormat="1" ht="18" x14ac:dyDescent="0.25">
      <c r="A651" s="1051" t="s">
        <v>123</v>
      </c>
      <c r="B651" s="1106" t="s">
        <v>1317</v>
      </c>
      <c r="C651" s="1602" t="s">
        <v>137</v>
      </c>
      <c r="D651" s="1603"/>
      <c r="E651" s="1603"/>
      <c r="F651" s="1603"/>
      <c r="G651" s="100" t="s">
        <v>138</v>
      </c>
      <c r="H651" s="101"/>
      <c r="I651" s="101">
        <v>12000</v>
      </c>
      <c r="J651" s="101">
        <v>12000</v>
      </c>
      <c r="K651" s="102">
        <v>12000</v>
      </c>
      <c r="L651" s="10"/>
    </row>
    <row r="652" spans="1:12" s="146" customFormat="1" ht="18" customHeight="1" x14ac:dyDescent="0.25">
      <c r="A652" s="1051" t="s">
        <v>123</v>
      </c>
      <c r="B652" s="1106" t="s">
        <v>1317</v>
      </c>
      <c r="C652" s="1602" t="s">
        <v>1541</v>
      </c>
      <c r="D652" s="1603"/>
      <c r="E652" s="1603"/>
      <c r="F652" s="1603"/>
      <c r="G652" s="100" t="s">
        <v>140</v>
      </c>
      <c r="H652" s="101"/>
      <c r="I652" s="101">
        <v>94621</v>
      </c>
      <c r="J652" s="101">
        <v>94621</v>
      </c>
      <c r="K652" s="102">
        <v>92624</v>
      </c>
      <c r="L652" s="10"/>
    </row>
    <row r="653" spans="1:12" s="146" customFormat="1" ht="18" x14ac:dyDescent="0.25">
      <c r="A653" s="1051" t="s">
        <v>123</v>
      </c>
      <c r="B653" s="1106" t="s">
        <v>1317</v>
      </c>
      <c r="C653" s="1602" t="s">
        <v>141</v>
      </c>
      <c r="D653" s="1603"/>
      <c r="E653" s="1603"/>
      <c r="F653" s="1603"/>
      <c r="G653" s="100" t="s">
        <v>142</v>
      </c>
      <c r="H653" s="101"/>
      <c r="I653" s="101">
        <v>94621</v>
      </c>
      <c r="J653" s="101">
        <v>94621</v>
      </c>
      <c r="K653" s="102">
        <v>92624</v>
      </c>
      <c r="L653" s="10"/>
    </row>
    <row r="654" spans="1:12" s="146" customFormat="1" ht="18" x14ac:dyDescent="0.25">
      <c r="A654" s="1051" t="s">
        <v>123</v>
      </c>
      <c r="B654" s="1106" t="s">
        <v>1317</v>
      </c>
      <c r="C654" s="1602" t="s">
        <v>143</v>
      </c>
      <c r="D654" s="1603"/>
      <c r="E654" s="1603"/>
      <c r="F654" s="1603"/>
      <c r="G654" s="100" t="s">
        <v>144</v>
      </c>
      <c r="H654" s="101"/>
      <c r="I654" s="101">
        <v>10000</v>
      </c>
      <c r="J654" s="101">
        <v>10000</v>
      </c>
      <c r="K654" s="102">
        <v>10000</v>
      </c>
      <c r="L654" s="10"/>
    </row>
    <row r="655" spans="1:12" s="146" customFormat="1" ht="18" x14ac:dyDescent="0.25">
      <c r="A655" s="1051" t="s">
        <v>123</v>
      </c>
      <c r="B655" s="1106" t="s">
        <v>1317</v>
      </c>
      <c r="C655" s="1602" t="s">
        <v>1543</v>
      </c>
      <c r="D655" s="1603"/>
      <c r="E655" s="1603"/>
      <c r="F655" s="1603"/>
      <c r="G655" s="100" t="s">
        <v>146</v>
      </c>
      <c r="H655" s="101"/>
      <c r="I655" s="101">
        <v>10000</v>
      </c>
      <c r="J655" s="101">
        <v>10000</v>
      </c>
      <c r="K655" s="102">
        <v>10000</v>
      </c>
      <c r="L655" s="10"/>
    </row>
    <row r="656" spans="1:12" s="146" customFormat="1" ht="18" x14ac:dyDescent="0.25">
      <c r="A656" s="1051" t="s">
        <v>123</v>
      </c>
      <c r="B656" s="1106" t="s">
        <v>1317</v>
      </c>
      <c r="C656" s="1062" t="s">
        <v>147</v>
      </c>
      <c r="D656" s="1041"/>
      <c r="E656" s="1041"/>
      <c r="F656" s="1039"/>
      <c r="G656" s="100" t="s">
        <v>148</v>
      </c>
      <c r="H656" s="101"/>
      <c r="I656" s="101"/>
      <c r="J656" s="101"/>
      <c r="K656" s="102"/>
      <c r="L656" s="10"/>
    </row>
    <row r="657" spans="1:12" s="146" customFormat="1" ht="18" x14ac:dyDescent="0.25">
      <c r="A657" s="1051" t="s">
        <v>123</v>
      </c>
      <c r="B657" s="1106" t="s">
        <v>1317</v>
      </c>
      <c r="C657" s="1602" t="s">
        <v>1545</v>
      </c>
      <c r="D657" s="1603"/>
      <c r="E657" s="1603"/>
      <c r="F657" s="1603"/>
      <c r="G657" s="100" t="s">
        <v>154</v>
      </c>
      <c r="H657" s="101"/>
      <c r="I657" s="101">
        <v>136254.24</v>
      </c>
      <c r="J657" s="101">
        <v>136254.24</v>
      </c>
      <c r="K657" s="102">
        <v>133378.56</v>
      </c>
      <c r="L657" s="10"/>
    </row>
    <row r="658" spans="1:12" s="146" customFormat="1" ht="18" x14ac:dyDescent="0.25">
      <c r="A658" s="1051" t="s">
        <v>123</v>
      </c>
      <c r="B658" s="1106" t="s">
        <v>1317</v>
      </c>
      <c r="C658" s="1602" t="s">
        <v>155</v>
      </c>
      <c r="D658" s="1603"/>
      <c r="E658" s="1603"/>
      <c r="F658" s="1603"/>
      <c r="G658" s="100" t="s">
        <v>156</v>
      </c>
      <c r="H658" s="101"/>
      <c r="I658" s="101">
        <v>2400</v>
      </c>
      <c r="J658" s="101">
        <v>2400</v>
      </c>
      <c r="K658" s="102">
        <v>2400</v>
      </c>
      <c r="L658" s="10"/>
    </row>
    <row r="659" spans="1:12" s="146" customFormat="1" ht="18" x14ac:dyDescent="0.25">
      <c r="A659" s="1051" t="s">
        <v>123</v>
      </c>
      <c r="B659" s="1106" t="s">
        <v>1317</v>
      </c>
      <c r="C659" s="1602" t="s">
        <v>157</v>
      </c>
      <c r="D659" s="1603"/>
      <c r="E659" s="1603"/>
      <c r="F659" s="1603"/>
      <c r="G659" s="100" t="s">
        <v>158</v>
      </c>
      <c r="H659" s="101"/>
      <c r="I659" s="101">
        <v>25547.67</v>
      </c>
      <c r="J659" s="101">
        <v>25547.67</v>
      </c>
      <c r="K659" s="102">
        <v>25008.48</v>
      </c>
      <c r="L659" s="10"/>
    </row>
    <row r="660" spans="1:12" s="146" customFormat="1" ht="18" x14ac:dyDescent="0.25">
      <c r="A660" s="1051" t="s">
        <v>123</v>
      </c>
      <c r="B660" s="1106" t="s">
        <v>1317</v>
      </c>
      <c r="C660" s="1602" t="s">
        <v>1546</v>
      </c>
      <c r="D660" s="1603"/>
      <c r="E660" s="1603"/>
      <c r="F660" s="1603"/>
      <c r="G660" s="100" t="s">
        <v>160</v>
      </c>
      <c r="H660" s="101"/>
      <c r="I660" s="101">
        <v>2400</v>
      </c>
      <c r="J660" s="101">
        <v>2400</v>
      </c>
      <c r="K660" s="102">
        <v>2400</v>
      </c>
      <c r="L660" s="10"/>
    </row>
    <row r="661" spans="1:12" s="146" customFormat="1" ht="18" x14ac:dyDescent="0.25">
      <c r="A661" s="1296" t="s">
        <v>163</v>
      </c>
      <c r="B661" s="1106" t="s">
        <v>1317</v>
      </c>
      <c r="C661" s="38" t="s">
        <v>294</v>
      </c>
      <c r="D661" s="184"/>
      <c r="E661" s="184"/>
      <c r="F661" s="184"/>
      <c r="G661" s="100" t="s">
        <v>169</v>
      </c>
      <c r="H661" s="102"/>
      <c r="I661" s="102">
        <v>10000</v>
      </c>
      <c r="J661" s="102">
        <v>10000</v>
      </c>
      <c r="K661" s="102">
        <v>10000</v>
      </c>
      <c r="L661" s="10"/>
    </row>
    <row r="662" spans="1:12" s="146" customFormat="1" ht="18" x14ac:dyDescent="0.25">
      <c r="A662" s="1296" t="s">
        <v>163</v>
      </c>
      <c r="B662" s="1106" t="s">
        <v>1317</v>
      </c>
      <c r="C662" s="38" t="s">
        <v>178</v>
      </c>
      <c r="D662" s="184"/>
      <c r="E662" s="184"/>
      <c r="F662" s="184"/>
      <c r="G662" s="100" t="s">
        <v>179</v>
      </c>
      <c r="H662" s="102"/>
      <c r="I662" s="102">
        <v>42000</v>
      </c>
      <c r="J662" s="102">
        <v>42000</v>
      </c>
      <c r="K662" s="102">
        <v>42000</v>
      </c>
      <c r="L662" s="10"/>
    </row>
    <row r="663" spans="1:12" s="146" customFormat="1" ht="18" x14ac:dyDescent="0.25">
      <c r="A663" s="1296" t="s">
        <v>163</v>
      </c>
      <c r="B663" s="1106" t="s">
        <v>1317</v>
      </c>
      <c r="C663" s="38" t="s">
        <v>300</v>
      </c>
      <c r="D663" s="184"/>
      <c r="E663" s="184"/>
      <c r="F663" s="184"/>
      <c r="G663" s="100" t="s">
        <v>199</v>
      </c>
      <c r="H663" s="106"/>
      <c r="I663" s="106">
        <v>46600</v>
      </c>
      <c r="J663" s="106">
        <v>46600</v>
      </c>
      <c r="K663" s="106">
        <v>46600</v>
      </c>
      <c r="L663" s="10"/>
    </row>
    <row r="664" spans="1:12" s="146" customFormat="1" ht="18" x14ac:dyDescent="0.25">
      <c r="A664" s="1051" t="s">
        <v>123</v>
      </c>
      <c r="B664" s="1106" t="s">
        <v>1317</v>
      </c>
      <c r="C664" s="1602" t="s">
        <v>124</v>
      </c>
      <c r="D664" s="1603"/>
      <c r="E664" s="1603"/>
      <c r="F664" s="1603"/>
      <c r="G664" s="100" t="s">
        <v>125</v>
      </c>
      <c r="H664" s="101"/>
      <c r="I664" s="101">
        <v>2017620</v>
      </c>
      <c r="J664" s="101">
        <v>2017620</v>
      </c>
      <c r="K664" s="102">
        <v>1962396</v>
      </c>
      <c r="L664" s="10"/>
    </row>
    <row r="665" spans="1:12" s="146" customFormat="1" ht="18" x14ac:dyDescent="0.25">
      <c r="A665" s="1051" t="s">
        <v>123</v>
      </c>
      <c r="B665" s="1106" t="s">
        <v>1317</v>
      </c>
      <c r="C665" s="1602" t="s">
        <v>129</v>
      </c>
      <c r="D665" s="1603"/>
      <c r="E665" s="1603"/>
      <c r="F665" s="1603"/>
      <c r="G665" s="103" t="s">
        <v>130</v>
      </c>
      <c r="H665" s="101"/>
      <c r="I665" s="101">
        <v>96000</v>
      </c>
      <c r="J665" s="101">
        <v>96000</v>
      </c>
      <c r="K665" s="102">
        <v>96000</v>
      </c>
      <c r="L665" s="10"/>
    </row>
    <row r="666" spans="1:12" s="146" customFormat="1" ht="18" x14ac:dyDescent="0.25">
      <c r="A666" s="1051" t="s">
        <v>123</v>
      </c>
      <c r="B666" s="1106" t="s">
        <v>1317</v>
      </c>
      <c r="C666" s="1602" t="s">
        <v>131</v>
      </c>
      <c r="D666" s="1603"/>
      <c r="E666" s="1603"/>
      <c r="F666" s="1603"/>
      <c r="G666" s="100" t="s">
        <v>132</v>
      </c>
      <c r="H666" s="101"/>
      <c r="I666" s="101">
        <v>72000</v>
      </c>
      <c r="J666" s="101">
        <v>72000</v>
      </c>
      <c r="K666" s="102">
        <v>72000</v>
      </c>
      <c r="L666" s="10"/>
    </row>
    <row r="667" spans="1:12" s="146" customFormat="1" ht="18" x14ac:dyDescent="0.25">
      <c r="A667" s="1051" t="s">
        <v>123</v>
      </c>
      <c r="B667" s="1106" t="s">
        <v>1317</v>
      </c>
      <c r="C667" s="1602" t="s">
        <v>133</v>
      </c>
      <c r="D667" s="1603"/>
      <c r="E667" s="1603"/>
      <c r="F667" s="1603"/>
      <c r="G667" s="100" t="s">
        <v>134</v>
      </c>
      <c r="H667" s="101"/>
      <c r="I667" s="101">
        <v>72000</v>
      </c>
      <c r="J667" s="101">
        <v>72000</v>
      </c>
      <c r="K667" s="102">
        <v>72000</v>
      </c>
      <c r="L667" s="10"/>
    </row>
    <row r="668" spans="1:12" s="146" customFormat="1" ht="18" x14ac:dyDescent="0.25">
      <c r="A668" s="1051" t="s">
        <v>123</v>
      </c>
      <c r="B668" s="1106" t="s">
        <v>1317</v>
      </c>
      <c r="C668" s="1602" t="s">
        <v>135</v>
      </c>
      <c r="D668" s="1603"/>
      <c r="E668" s="1603"/>
      <c r="F668" s="1603"/>
      <c r="G668" s="100" t="s">
        <v>136</v>
      </c>
      <c r="H668" s="101"/>
      <c r="I668" s="101">
        <v>125055.8</v>
      </c>
      <c r="J668" s="101">
        <v>125055.8</v>
      </c>
      <c r="K668" s="102">
        <v>125055.8</v>
      </c>
      <c r="L668" s="10"/>
    </row>
    <row r="669" spans="1:12" s="146" customFormat="1" ht="18" x14ac:dyDescent="0.25">
      <c r="A669" s="1051" t="s">
        <v>123</v>
      </c>
      <c r="B669" s="1106" t="s">
        <v>1317</v>
      </c>
      <c r="C669" s="1602" t="s">
        <v>137</v>
      </c>
      <c r="D669" s="1603"/>
      <c r="E669" s="1603"/>
      <c r="F669" s="1603"/>
      <c r="G669" s="100" t="s">
        <v>138</v>
      </c>
      <c r="H669" s="101"/>
      <c r="I669" s="101">
        <v>24000</v>
      </c>
      <c r="J669" s="101">
        <v>24000</v>
      </c>
      <c r="K669" s="102">
        <v>24000</v>
      </c>
      <c r="L669" s="10"/>
    </row>
    <row r="670" spans="1:12" s="146" customFormat="1" ht="18" customHeight="1" x14ac:dyDescent="0.25">
      <c r="A670" s="1051" t="s">
        <v>123</v>
      </c>
      <c r="B670" s="1106" t="s">
        <v>1317</v>
      </c>
      <c r="C670" s="1602" t="s">
        <v>328</v>
      </c>
      <c r="D670" s="1603"/>
      <c r="E670" s="1603"/>
      <c r="F670" s="1603"/>
      <c r="G670" s="100" t="s">
        <v>329</v>
      </c>
      <c r="H670" s="102"/>
      <c r="I670" s="102"/>
      <c r="J670" s="102"/>
      <c r="K670" s="102"/>
      <c r="L670" s="10"/>
    </row>
    <row r="671" spans="1:12" s="146" customFormat="1" ht="18" customHeight="1" x14ac:dyDescent="0.25">
      <c r="A671" s="1051" t="s">
        <v>123</v>
      </c>
      <c r="B671" s="1106" t="s">
        <v>1317</v>
      </c>
      <c r="C671" s="1602" t="s">
        <v>1541</v>
      </c>
      <c r="D671" s="1603"/>
      <c r="E671" s="1603"/>
      <c r="F671" s="1603"/>
      <c r="G671" s="100" t="s">
        <v>140</v>
      </c>
      <c r="H671" s="101"/>
      <c r="I671" s="101">
        <v>168135</v>
      </c>
      <c r="J671" s="101">
        <v>168135</v>
      </c>
      <c r="K671" s="102">
        <v>163533</v>
      </c>
      <c r="L671" s="10"/>
    </row>
    <row r="672" spans="1:12" s="146" customFormat="1" ht="18" x14ac:dyDescent="0.25">
      <c r="A672" s="1051" t="s">
        <v>123</v>
      </c>
      <c r="B672" s="1106" t="s">
        <v>1317</v>
      </c>
      <c r="C672" s="1602" t="s">
        <v>141</v>
      </c>
      <c r="D672" s="1603"/>
      <c r="E672" s="1603"/>
      <c r="F672" s="1603"/>
      <c r="G672" s="100" t="s">
        <v>142</v>
      </c>
      <c r="H672" s="101"/>
      <c r="I672" s="101">
        <v>168135</v>
      </c>
      <c r="J672" s="101">
        <v>168135</v>
      </c>
      <c r="K672" s="102">
        <v>163533</v>
      </c>
      <c r="L672" s="10"/>
    </row>
    <row r="673" spans="1:12" s="146" customFormat="1" ht="18" x14ac:dyDescent="0.25">
      <c r="A673" s="1051" t="s">
        <v>123</v>
      </c>
      <c r="B673" s="1106" t="s">
        <v>1317</v>
      </c>
      <c r="C673" s="1602" t="s">
        <v>1542</v>
      </c>
      <c r="D673" s="1603"/>
      <c r="E673" s="1603"/>
      <c r="F673" s="1603"/>
      <c r="G673" s="100"/>
      <c r="H673" s="101"/>
      <c r="I673" s="101"/>
      <c r="J673" s="101"/>
      <c r="K673" s="102"/>
      <c r="L673" s="10"/>
    </row>
    <row r="674" spans="1:12" s="146" customFormat="1" ht="18" x14ac:dyDescent="0.25">
      <c r="A674" s="1051" t="s">
        <v>123</v>
      </c>
      <c r="B674" s="1106" t="s">
        <v>1317</v>
      </c>
      <c r="C674" s="1602" t="s">
        <v>143</v>
      </c>
      <c r="D674" s="1603"/>
      <c r="E674" s="1603"/>
      <c r="F674" s="1603"/>
      <c r="G674" s="100" t="s">
        <v>144</v>
      </c>
      <c r="H674" s="101"/>
      <c r="I674" s="101">
        <v>20000</v>
      </c>
      <c r="J674" s="101">
        <v>20000</v>
      </c>
      <c r="K674" s="102">
        <v>20000</v>
      </c>
      <c r="L674" s="10"/>
    </row>
    <row r="675" spans="1:12" s="146" customFormat="1" ht="18" x14ac:dyDescent="0.25">
      <c r="A675" s="1051" t="s">
        <v>123</v>
      </c>
      <c r="B675" s="1106" t="s">
        <v>1317</v>
      </c>
      <c r="C675" s="1611" t="s">
        <v>1543</v>
      </c>
      <c r="D675" s="1611"/>
      <c r="E675" s="1611"/>
      <c r="F675" s="1602"/>
      <c r="G675" s="100" t="s">
        <v>146</v>
      </c>
      <c r="H675" s="101"/>
      <c r="I675" s="101">
        <v>20000</v>
      </c>
      <c r="J675" s="101">
        <v>20000</v>
      </c>
      <c r="K675" s="102">
        <v>20000</v>
      </c>
      <c r="L675" s="10"/>
    </row>
    <row r="676" spans="1:12" s="146" customFormat="1" ht="18" x14ac:dyDescent="0.25">
      <c r="A676" s="1051" t="s">
        <v>123</v>
      </c>
      <c r="B676" s="1106" t="s">
        <v>1317</v>
      </c>
      <c r="C676" s="1062" t="s">
        <v>147</v>
      </c>
      <c r="D676" s="1041"/>
      <c r="E676" s="1041"/>
      <c r="F676" s="1039"/>
      <c r="G676" s="100" t="s">
        <v>148</v>
      </c>
      <c r="H676" s="101"/>
      <c r="I676" s="101"/>
      <c r="J676" s="101"/>
      <c r="K676" s="102"/>
      <c r="L676" s="10"/>
    </row>
    <row r="677" spans="1:12" s="146" customFormat="1" ht="18" x14ac:dyDescent="0.25">
      <c r="A677" s="1051" t="s">
        <v>123</v>
      </c>
      <c r="B677" s="1106" t="s">
        <v>1317</v>
      </c>
      <c r="C677" s="1045" t="s">
        <v>149</v>
      </c>
      <c r="D677" s="1675"/>
      <c r="E677" s="1675"/>
      <c r="F677" s="1676"/>
      <c r="G677" s="100" t="s">
        <v>150</v>
      </c>
      <c r="H677" s="101"/>
      <c r="I677" s="101"/>
      <c r="J677" s="101"/>
      <c r="K677" s="102"/>
      <c r="L677" s="10"/>
    </row>
    <row r="678" spans="1:12" s="146" customFormat="1" ht="18" customHeight="1" x14ac:dyDescent="0.25">
      <c r="A678" s="1051" t="s">
        <v>123</v>
      </c>
      <c r="B678" s="1106" t="s">
        <v>1317</v>
      </c>
      <c r="C678" s="44" t="s">
        <v>1544</v>
      </c>
      <c r="D678" s="125"/>
      <c r="E678" s="125"/>
      <c r="F678" s="134"/>
      <c r="G678" s="100" t="s">
        <v>148</v>
      </c>
      <c r="H678" s="101"/>
      <c r="I678" s="101"/>
      <c r="J678" s="101"/>
      <c r="K678" s="102"/>
      <c r="L678" s="10"/>
    </row>
    <row r="679" spans="1:12" s="146" customFormat="1" ht="18" x14ac:dyDescent="0.25">
      <c r="A679" s="1051" t="s">
        <v>123</v>
      </c>
      <c r="B679" s="1106" t="s">
        <v>1317</v>
      </c>
      <c r="C679" s="1611" t="s">
        <v>1545</v>
      </c>
      <c r="D679" s="1611"/>
      <c r="E679" s="1611"/>
      <c r="F679" s="1602"/>
      <c r="G679" s="100" t="s">
        <v>154</v>
      </c>
      <c r="H679" s="101"/>
      <c r="I679" s="101">
        <v>242114.4</v>
      </c>
      <c r="J679" s="101">
        <v>242114.4</v>
      </c>
      <c r="K679" s="102">
        <v>235487.52</v>
      </c>
      <c r="L679" s="10"/>
    </row>
    <row r="680" spans="1:12" s="146" customFormat="1" ht="18" x14ac:dyDescent="0.25">
      <c r="A680" s="1051" t="s">
        <v>123</v>
      </c>
      <c r="B680" s="1106" t="s">
        <v>1317</v>
      </c>
      <c r="C680" s="1611" t="s">
        <v>155</v>
      </c>
      <c r="D680" s="1611"/>
      <c r="E680" s="1611"/>
      <c r="F680" s="1602"/>
      <c r="G680" s="100" t="s">
        <v>156</v>
      </c>
      <c r="H680" s="101"/>
      <c r="I680" s="101">
        <v>4800</v>
      </c>
      <c r="J680" s="101">
        <v>4800</v>
      </c>
      <c r="K680" s="102">
        <v>4800</v>
      </c>
      <c r="L680" s="10"/>
    </row>
    <row r="681" spans="1:12" s="146" customFormat="1" ht="18" x14ac:dyDescent="0.25">
      <c r="A681" s="1051" t="s">
        <v>123</v>
      </c>
      <c r="B681" s="1106" t="s">
        <v>1317</v>
      </c>
      <c r="C681" s="1602" t="s">
        <v>157</v>
      </c>
      <c r="D681" s="1603"/>
      <c r="E681" s="1603"/>
      <c r="F681" s="1603"/>
      <c r="G681" s="100" t="s">
        <v>158</v>
      </c>
      <c r="H681" s="101"/>
      <c r="I681" s="101">
        <v>45396.45</v>
      </c>
      <c r="J681" s="101">
        <v>45396.45</v>
      </c>
      <c r="K681" s="102">
        <v>44153.91</v>
      </c>
      <c r="L681" s="10"/>
    </row>
    <row r="682" spans="1:12" s="146" customFormat="1" ht="18" x14ac:dyDescent="0.25">
      <c r="A682" s="1051" t="s">
        <v>123</v>
      </c>
      <c r="B682" s="1106" t="s">
        <v>1317</v>
      </c>
      <c r="C682" s="1602" t="s">
        <v>1546</v>
      </c>
      <c r="D682" s="1603"/>
      <c r="E682" s="1603"/>
      <c r="F682" s="1603"/>
      <c r="G682" s="100" t="s">
        <v>160</v>
      </c>
      <c r="H682" s="101"/>
      <c r="I682" s="101">
        <v>4800</v>
      </c>
      <c r="J682" s="101">
        <v>4800</v>
      </c>
      <c r="K682" s="102">
        <v>4800</v>
      </c>
      <c r="L682" s="10"/>
    </row>
    <row r="683" spans="1:12" s="146" customFormat="1" ht="18" customHeight="1" x14ac:dyDescent="0.25">
      <c r="A683" s="1051" t="s">
        <v>163</v>
      </c>
      <c r="B683" s="1106" t="s">
        <v>1317</v>
      </c>
      <c r="C683" s="44" t="s">
        <v>353</v>
      </c>
      <c r="D683" s="113"/>
      <c r="E683" s="113"/>
      <c r="F683" s="114"/>
      <c r="G683" s="100" t="s">
        <v>165</v>
      </c>
      <c r="H683" s="101"/>
      <c r="I683" s="101">
        <v>25000</v>
      </c>
      <c r="J683" s="101">
        <v>25000</v>
      </c>
      <c r="K683" s="102">
        <v>25000</v>
      </c>
      <c r="L683" s="10"/>
    </row>
    <row r="684" spans="1:12" s="146" customFormat="1" ht="18" x14ac:dyDescent="0.25">
      <c r="A684" s="1051" t="s">
        <v>163</v>
      </c>
      <c r="B684" s="1106" t="s">
        <v>1317</v>
      </c>
      <c r="C684" s="38" t="s">
        <v>166</v>
      </c>
      <c r="D684" s="3"/>
      <c r="E684" s="199"/>
      <c r="F684" s="1039"/>
      <c r="G684" s="100"/>
      <c r="H684" s="101"/>
      <c r="I684" s="101">
        <v>600000</v>
      </c>
      <c r="J684" s="101">
        <v>600000</v>
      </c>
      <c r="K684" s="102">
        <v>600000</v>
      </c>
      <c r="L684" s="10"/>
    </row>
    <row r="685" spans="1:12" s="146" customFormat="1" ht="18" x14ac:dyDescent="0.25">
      <c r="A685" s="1051" t="s">
        <v>163</v>
      </c>
      <c r="B685" s="1106" t="s">
        <v>1317</v>
      </c>
      <c r="C685" s="38" t="s">
        <v>1562</v>
      </c>
      <c r="D685" s="3"/>
      <c r="E685" s="199"/>
      <c r="F685" s="1041"/>
      <c r="G685" s="100"/>
      <c r="H685" s="101"/>
      <c r="I685" s="101"/>
      <c r="J685" s="101"/>
      <c r="K685" s="102">
        <v>7200</v>
      </c>
      <c r="L685" s="10"/>
    </row>
    <row r="686" spans="1:12" s="146" customFormat="1" ht="18" x14ac:dyDescent="0.25">
      <c r="A686" s="1051" t="s">
        <v>163</v>
      </c>
      <c r="B686" s="1106" t="s">
        <v>1317</v>
      </c>
      <c r="C686" s="38" t="s">
        <v>294</v>
      </c>
      <c r="D686" s="184"/>
      <c r="E686" s="184"/>
      <c r="F686" s="184"/>
      <c r="G686" s="100" t="s">
        <v>169</v>
      </c>
      <c r="H686" s="101"/>
      <c r="I686" s="101">
        <v>148014.5</v>
      </c>
      <c r="J686" s="101">
        <v>148014.5</v>
      </c>
      <c r="K686" s="102">
        <v>148014.5</v>
      </c>
      <c r="L686" s="10"/>
    </row>
    <row r="687" spans="1:12" s="146" customFormat="1" ht="18" x14ac:dyDescent="0.25">
      <c r="A687" s="1051" t="s">
        <v>163</v>
      </c>
      <c r="B687" s="1106" t="s">
        <v>1317</v>
      </c>
      <c r="C687" s="38" t="s">
        <v>170</v>
      </c>
      <c r="D687" s="184"/>
      <c r="E687" s="184"/>
      <c r="F687" s="184"/>
      <c r="G687" s="100" t="s">
        <v>171</v>
      </c>
      <c r="H687" s="101"/>
      <c r="I687" s="101">
        <v>286982.40000000002</v>
      </c>
      <c r="J687" s="101">
        <v>286982.40000000002</v>
      </c>
      <c r="K687" s="102">
        <v>286982.40000000002</v>
      </c>
      <c r="L687" s="10"/>
    </row>
    <row r="688" spans="1:12" s="146" customFormat="1" ht="18" x14ac:dyDescent="0.25">
      <c r="A688" s="1051" t="s">
        <v>163</v>
      </c>
      <c r="B688" s="1106" t="s">
        <v>1317</v>
      </c>
      <c r="C688" s="38" t="s">
        <v>178</v>
      </c>
      <c r="D688" s="184"/>
      <c r="E688" s="184"/>
      <c r="F688" s="184"/>
      <c r="G688" s="100" t="s">
        <v>179</v>
      </c>
      <c r="H688" s="101"/>
      <c r="I688" s="101">
        <v>54000</v>
      </c>
      <c r="J688" s="101">
        <v>54000</v>
      </c>
      <c r="K688" s="102">
        <v>54000</v>
      </c>
      <c r="L688" s="10"/>
    </row>
    <row r="689" spans="1:12" s="146" customFormat="1" ht="18" x14ac:dyDescent="0.25">
      <c r="A689" s="1051" t="s">
        <v>163</v>
      </c>
      <c r="B689" s="1106" t="s">
        <v>1317</v>
      </c>
      <c r="C689" s="38" t="s">
        <v>297</v>
      </c>
      <c r="D689" s="184"/>
      <c r="E689" s="184"/>
      <c r="F689" s="184"/>
      <c r="G689" s="100" t="s">
        <v>187</v>
      </c>
      <c r="H689" s="101"/>
      <c r="I689" s="101">
        <v>25000</v>
      </c>
      <c r="J689" s="101">
        <v>25000</v>
      </c>
      <c r="K689" s="102">
        <v>25000</v>
      </c>
      <c r="L689" s="10"/>
    </row>
    <row r="690" spans="1:12" s="146" customFormat="1" ht="18" x14ac:dyDescent="0.25">
      <c r="A690" s="1051" t="s">
        <v>163</v>
      </c>
      <c r="B690" s="1106" t="s">
        <v>1317</v>
      </c>
      <c r="C690" s="38" t="s">
        <v>331</v>
      </c>
      <c r="D690" s="184"/>
      <c r="E690" s="184"/>
      <c r="F690" s="184"/>
      <c r="G690" s="100" t="s">
        <v>282</v>
      </c>
      <c r="H690" s="101"/>
      <c r="I690" s="101">
        <v>100000</v>
      </c>
      <c r="J690" s="101">
        <v>100000</v>
      </c>
      <c r="K690" s="102">
        <v>100000</v>
      </c>
      <c r="L690" s="10"/>
    </row>
    <row r="691" spans="1:12" s="146" customFormat="1" ht="18" x14ac:dyDescent="0.25">
      <c r="A691" s="1051" t="s">
        <v>163</v>
      </c>
      <c r="B691" s="1106" t="s">
        <v>1317</v>
      </c>
      <c r="C691" s="38" t="s">
        <v>299</v>
      </c>
      <c r="D691" s="184"/>
      <c r="E691" s="184"/>
      <c r="F691" s="184"/>
      <c r="G691" s="100" t="s">
        <v>237</v>
      </c>
      <c r="H691" s="101"/>
      <c r="I691" s="101">
        <v>8000</v>
      </c>
      <c r="J691" s="101">
        <v>8000</v>
      </c>
      <c r="K691" s="102"/>
      <c r="L691" s="10"/>
    </row>
    <row r="692" spans="1:12" s="146" customFormat="1" ht="18" x14ac:dyDescent="0.25">
      <c r="A692" s="1051" t="s">
        <v>163</v>
      </c>
      <c r="B692" s="1106" t="s">
        <v>1317</v>
      </c>
      <c r="C692" s="38" t="s">
        <v>1619</v>
      </c>
      <c r="D692" s="184"/>
      <c r="E692" s="184"/>
      <c r="F692" s="185"/>
      <c r="G692" s="100" t="s">
        <v>199</v>
      </c>
      <c r="H692" s="101"/>
      <c r="I692" s="101">
        <v>149628</v>
      </c>
      <c r="J692" s="101">
        <v>149628</v>
      </c>
      <c r="K692" s="102">
        <v>149628</v>
      </c>
      <c r="L692" s="10"/>
    </row>
    <row r="693" spans="1:12" s="146" customFormat="1" ht="18" x14ac:dyDescent="0.25">
      <c r="A693" s="1051"/>
      <c r="B693" s="1106" t="s">
        <v>1317</v>
      </c>
      <c r="C693" s="36" t="s">
        <v>1551</v>
      </c>
      <c r="D693" s="184"/>
      <c r="E693" s="184"/>
      <c r="F693" s="184"/>
      <c r="G693" s="100"/>
      <c r="H693" s="101"/>
      <c r="I693" s="101"/>
      <c r="J693" s="101"/>
      <c r="K693" s="102"/>
      <c r="L693" s="10"/>
    </row>
    <row r="694" spans="1:12" s="146" customFormat="1" ht="36" x14ac:dyDescent="0.25">
      <c r="A694" s="1051" t="s">
        <v>2020</v>
      </c>
      <c r="B694" s="1106" t="s">
        <v>1317</v>
      </c>
      <c r="C694" s="38" t="s">
        <v>1620</v>
      </c>
      <c r="D694" s="198"/>
      <c r="E694" s="198"/>
      <c r="F694" s="1039"/>
      <c r="G694" s="100"/>
      <c r="H694" s="101"/>
      <c r="I694" s="101"/>
      <c r="J694" s="101"/>
      <c r="K694" s="102"/>
      <c r="L694" s="10"/>
    </row>
    <row r="695" spans="1:12" s="146" customFormat="1" ht="18.75" customHeight="1" x14ac:dyDescent="0.25">
      <c r="A695" s="1051" t="s">
        <v>2021</v>
      </c>
      <c r="B695" s="1106" t="s">
        <v>1317</v>
      </c>
      <c r="C695" s="38" t="s">
        <v>1621</v>
      </c>
      <c r="D695" s="3"/>
      <c r="E695" s="199"/>
      <c r="F695" s="1039"/>
      <c r="G695" s="100"/>
      <c r="H695" s="101"/>
      <c r="I695" s="101">
        <v>510000</v>
      </c>
      <c r="J695" s="101">
        <v>510000</v>
      </c>
      <c r="K695" s="102">
        <v>510000</v>
      </c>
      <c r="L695" s="10"/>
    </row>
    <row r="696" spans="1:12" s="146" customFormat="1" ht="36" x14ac:dyDescent="0.25">
      <c r="A696" s="1051" t="s">
        <v>2022</v>
      </c>
      <c r="B696" s="1106" t="s">
        <v>1317</v>
      </c>
      <c r="C696" s="1088" t="s">
        <v>1622</v>
      </c>
      <c r="D696" s="3"/>
      <c r="E696" s="199"/>
      <c r="F696" s="1039"/>
      <c r="G696" s="100"/>
      <c r="H696" s="101"/>
      <c r="I696" s="101">
        <v>200000</v>
      </c>
      <c r="J696" s="101">
        <v>200000</v>
      </c>
      <c r="K696" s="102">
        <v>200000</v>
      </c>
      <c r="L696" s="10"/>
    </row>
    <row r="697" spans="1:12" s="146" customFormat="1" ht="36" x14ac:dyDescent="0.25">
      <c r="A697" s="1051" t="s">
        <v>2023</v>
      </c>
      <c r="B697" s="1106" t="s">
        <v>1317</v>
      </c>
      <c r="C697" s="1088" t="s">
        <v>1623</v>
      </c>
      <c r="D697" s="2"/>
      <c r="E697" s="38"/>
      <c r="F697" s="1046"/>
      <c r="G697" s="205"/>
      <c r="H697" s="102"/>
      <c r="I697" s="102"/>
      <c r="J697" s="102"/>
      <c r="K697" s="102">
        <v>5000000</v>
      </c>
      <c r="L697" s="10"/>
    </row>
    <row r="698" spans="1:12" s="146" customFormat="1" ht="52.5" customHeight="1" x14ac:dyDescent="0.25">
      <c r="A698" s="1051" t="s">
        <v>2020</v>
      </c>
      <c r="B698" s="1106" t="s">
        <v>1317</v>
      </c>
      <c r="C698" s="1634" t="s">
        <v>1624</v>
      </c>
      <c r="D698" s="1634"/>
      <c r="E698" s="428"/>
      <c r="F698" s="1039"/>
      <c r="G698" s="100"/>
      <c r="H698" s="101"/>
      <c r="I698" s="101">
        <v>60000</v>
      </c>
      <c r="J698" s="101">
        <v>60000</v>
      </c>
      <c r="K698" s="102">
        <v>60000</v>
      </c>
      <c r="L698" s="10"/>
    </row>
    <row r="699" spans="1:12" s="146" customFormat="1" ht="36" x14ac:dyDescent="0.25">
      <c r="A699" s="1051" t="s">
        <v>2020</v>
      </c>
      <c r="B699" s="1106" t="s">
        <v>1317</v>
      </c>
      <c r="C699" s="180" t="s">
        <v>1625</v>
      </c>
      <c r="D699" s="225"/>
      <c r="E699" s="225"/>
      <c r="F699" s="1039"/>
      <c r="G699" s="100"/>
      <c r="H699" s="101"/>
      <c r="I699" s="101">
        <v>755000</v>
      </c>
      <c r="J699" s="101">
        <v>755000</v>
      </c>
      <c r="K699" s="102">
        <v>755000</v>
      </c>
      <c r="L699" s="10"/>
    </row>
    <row r="700" spans="1:12" s="146" customFormat="1" ht="36" x14ac:dyDescent="0.25">
      <c r="A700" s="1051" t="s">
        <v>2020</v>
      </c>
      <c r="B700" s="1106" t="s">
        <v>1317</v>
      </c>
      <c r="C700" s="1639" t="s">
        <v>1626</v>
      </c>
      <c r="D700" s="1639"/>
      <c r="E700" s="1639"/>
      <c r="F700" s="1039"/>
      <c r="G700" s="100"/>
      <c r="H700" s="101"/>
      <c r="I700" s="101">
        <v>25000</v>
      </c>
      <c r="J700" s="101">
        <v>25000</v>
      </c>
      <c r="K700" s="102">
        <v>25000</v>
      </c>
      <c r="L700" s="10"/>
    </row>
    <row r="701" spans="1:12" s="146" customFormat="1" ht="18.75" customHeight="1" x14ac:dyDescent="0.25">
      <c r="A701" s="1051" t="s">
        <v>2020</v>
      </c>
      <c r="B701" s="1106" t="s">
        <v>1317</v>
      </c>
      <c r="C701" s="1628" t="s">
        <v>1627</v>
      </c>
      <c r="D701" s="1628"/>
      <c r="E701" s="1628"/>
      <c r="F701" s="1647"/>
      <c r="G701" s="205"/>
      <c r="H701" s="106"/>
      <c r="I701" s="106">
        <v>710000</v>
      </c>
      <c r="J701" s="106">
        <v>710000</v>
      </c>
      <c r="K701" s="106">
        <v>940000</v>
      </c>
      <c r="L701" s="10"/>
    </row>
    <row r="702" spans="1:12" s="146" customFormat="1" ht="17.45" customHeight="1" x14ac:dyDescent="0.25">
      <c r="A702" s="1051" t="s">
        <v>123</v>
      </c>
      <c r="B702" s="1106" t="s">
        <v>1317</v>
      </c>
      <c r="C702" s="1602" t="s">
        <v>124</v>
      </c>
      <c r="D702" s="1603"/>
      <c r="E702" s="1603"/>
      <c r="F702" s="1603"/>
      <c r="G702" s="100" t="s">
        <v>125</v>
      </c>
      <c r="H702" s="101"/>
      <c r="I702" s="101">
        <v>4353108</v>
      </c>
      <c r="J702" s="101">
        <v>4353108</v>
      </c>
      <c r="K702" s="102">
        <v>4195140</v>
      </c>
      <c r="L702" s="10"/>
    </row>
    <row r="703" spans="1:12" s="146" customFormat="1" ht="17.45" customHeight="1" x14ac:dyDescent="0.25">
      <c r="A703" s="1051" t="s">
        <v>123</v>
      </c>
      <c r="B703" s="1106" t="s">
        <v>1317</v>
      </c>
      <c r="C703" s="1602" t="s">
        <v>126</v>
      </c>
      <c r="D703" s="1603"/>
      <c r="E703" s="1603"/>
      <c r="F703" s="1603"/>
      <c r="G703" s="100" t="s">
        <v>127</v>
      </c>
      <c r="H703" s="101"/>
      <c r="I703" s="101">
        <v>178752</v>
      </c>
      <c r="J703" s="101">
        <v>178752</v>
      </c>
      <c r="K703" s="102">
        <v>171828</v>
      </c>
      <c r="L703" s="10"/>
    </row>
    <row r="704" spans="1:12" s="146" customFormat="1" ht="17.45" customHeight="1" x14ac:dyDescent="0.25">
      <c r="A704" s="1051" t="s">
        <v>123</v>
      </c>
      <c r="B704" s="1106" t="s">
        <v>1317</v>
      </c>
      <c r="C704" s="1602" t="s">
        <v>129</v>
      </c>
      <c r="D704" s="1603"/>
      <c r="E704" s="1603"/>
      <c r="F704" s="1603"/>
      <c r="G704" s="103" t="s">
        <v>130</v>
      </c>
      <c r="H704" s="101"/>
      <c r="I704" s="101">
        <v>336000</v>
      </c>
      <c r="J704" s="101">
        <v>336000</v>
      </c>
      <c r="K704" s="102">
        <v>336000</v>
      </c>
      <c r="L704" s="10"/>
    </row>
    <row r="705" spans="1:12" s="146" customFormat="1" ht="17.45" customHeight="1" x14ac:dyDescent="0.25">
      <c r="A705" s="1051" t="s">
        <v>123</v>
      </c>
      <c r="B705" s="1106" t="s">
        <v>1317</v>
      </c>
      <c r="C705" s="1602" t="s">
        <v>131</v>
      </c>
      <c r="D705" s="1603"/>
      <c r="E705" s="1603"/>
      <c r="F705" s="1603"/>
      <c r="G705" s="100" t="s">
        <v>132</v>
      </c>
      <c r="H705" s="101"/>
      <c r="I705" s="101">
        <v>72000</v>
      </c>
      <c r="J705" s="101">
        <v>72000</v>
      </c>
      <c r="K705" s="102">
        <v>72000</v>
      </c>
      <c r="L705" s="10"/>
    </row>
    <row r="706" spans="1:12" s="146" customFormat="1" ht="17.45" customHeight="1" x14ac:dyDescent="0.25">
      <c r="A706" s="1051" t="s">
        <v>123</v>
      </c>
      <c r="B706" s="1106" t="s">
        <v>1317</v>
      </c>
      <c r="C706" s="1602" t="s">
        <v>133</v>
      </c>
      <c r="D706" s="1603"/>
      <c r="E706" s="1603"/>
      <c r="F706" s="1603"/>
      <c r="G706" s="100" t="s">
        <v>134</v>
      </c>
      <c r="H706" s="101"/>
      <c r="I706" s="101">
        <v>72000</v>
      </c>
      <c r="J706" s="101">
        <v>72000</v>
      </c>
      <c r="K706" s="102">
        <v>72000</v>
      </c>
      <c r="L706" s="10"/>
    </row>
    <row r="707" spans="1:12" s="146" customFormat="1" ht="17.45" customHeight="1" x14ac:dyDescent="0.25">
      <c r="A707" s="1051" t="s">
        <v>123</v>
      </c>
      <c r="B707" s="1106" t="s">
        <v>1317</v>
      </c>
      <c r="C707" s="1602" t="s">
        <v>135</v>
      </c>
      <c r="D707" s="1603"/>
      <c r="E707" s="1603"/>
      <c r="F707" s="1603"/>
      <c r="G707" s="100" t="s">
        <v>136</v>
      </c>
      <c r="H707" s="102"/>
      <c r="I707" s="102">
        <v>157909.72</v>
      </c>
      <c r="J707" s="102">
        <v>157909.72</v>
      </c>
      <c r="K707" s="102">
        <v>157909.72</v>
      </c>
      <c r="L707" s="10"/>
    </row>
    <row r="708" spans="1:12" s="146" customFormat="1" ht="17.45" customHeight="1" x14ac:dyDescent="0.25">
      <c r="A708" s="1051" t="s">
        <v>123</v>
      </c>
      <c r="B708" s="1106" t="s">
        <v>1317</v>
      </c>
      <c r="C708" s="1602" t="s">
        <v>137</v>
      </c>
      <c r="D708" s="1603"/>
      <c r="E708" s="1603"/>
      <c r="F708" s="1603"/>
      <c r="G708" s="100" t="s">
        <v>138</v>
      </c>
      <c r="H708" s="101"/>
      <c r="I708" s="101">
        <v>84000</v>
      </c>
      <c r="J708" s="101">
        <v>84000</v>
      </c>
      <c r="K708" s="102">
        <v>84000</v>
      </c>
      <c r="L708" s="10"/>
    </row>
    <row r="709" spans="1:12" s="146" customFormat="1" ht="17.45" customHeight="1" x14ac:dyDescent="0.25">
      <c r="A709" s="1051" t="s">
        <v>123</v>
      </c>
      <c r="B709" s="1106" t="s">
        <v>1317</v>
      </c>
      <c r="C709" s="1602" t="s">
        <v>1541</v>
      </c>
      <c r="D709" s="1603"/>
      <c r="E709" s="1603"/>
      <c r="F709" s="1603"/>
      <c r="G709" s="100" t="s">
        <v>140</v>
      </c>
      <c r="H709" s="101"/>
      <c r="I709" s="101">
        <v>377655</v>
      </c>
      <c r="J709" s="101">
        <v>377655</v>
      </c>
      <c r="K709" s="102">
        <v>363914</v>
      </c>
      <c r="L709" s="10"/>
    </row>
    <row r="710" spans="1:12" s="146" customFormat="1" ht="17.45" customHeight="1" x14ac:dyDescent="0.25">
      <c r="A710" s="1051" t="s">
        <v>123</v>
      </c>
      <c r="B710" s="1106" t="s">
        <v>1317</v>
      </c>
      <c r="C710" s="1602" t="s">
        <v>141</v>
      </c>
      <c r="D710" s="1603"/>
      <c r="E710" s="1603"/>
      <c r="F710" s="1603"/>
      <c r="G710" s="100" t="s">
        <v>142</v>
      </c>
      <c r="H710" s="101"/>
      <c r="I710" s="101">
        <v>377655</v>
      </c>
      <c r="J710" s="101">
        <v>377655</v>
      </c>
      <c r="K710" s="102">
        <v>363914</v>
      </c>
      <c r="L710" s="10"/>
    </row>
    <row r="711" spans="1:12" s="146" customFormat="1" ht="17.45" customHeight="1" x14ac:dyDescent="0.25">
      <c r="A711" s="1051" t="s">
        <v>123</v>
      </c>
      <c r="B711" s="1106" t="s">
        <v>1317</v>
      </c>
      <c r="C711" s="1602" t="s">
        <v>1542</v>
      </c>
      <c r="D711" s="1603"/>
      <c r="E711" s="1603"/>
      <c r="F711" s="1603"/>
      <c r="G711" s="100"/>
      <c r="H711" s="101"/>
      <c r="I711" s="101"/>
      <c r="J711" s="101"/>
      <c r="K711" s="102"/>
      <c r="L711" s="10"/>
    </row>
    <row r="712" spans="1:12" s="146" customFormat="1" ht="17.45" customHeight="1" x14ac:dyDescent="0.25">
      <c r="A712" s="1051" t="s">
        <v>123</v>
      </c>
      <c r="B712" s="1106" t="s">
        <v>1317</v>
      </c>
      <c r="C712" s="1602" t="s">
        <v>143</v>
      </c>
      <c r="D712" s="1603"/>
      <c r="E712" s="1603"/>
      <c r="F712" s="1603"/>
      <c r="G712" s="100" t="s">
        <v>144</v>
      </c>
      <c r="H712" s="101"/>
      <c r="I712" s="101">
        <v>70000</v>
      </c>
      <c r="J712" s="101">
        <v>70000</v>
      </c>
      <c r="K712" s="102">
        <v>70000</v>
      </c>
      <c r="L712" s="10"/>
    </row>
    <row r="713" spans="1:12" s="146" customFormat="1" ht="17.45" customHeight="1" x14ac:dyDescent="0.25">
      <c r="A713" s="1051" t="s">
        <v>123</v>
      </c>
      <c r="B713" s="1106" t="s">
        <v>1317</v>
      </c>
      <c r="C713" s="1602" t="s">
        <v>1543</v>
      </c>
      <c r="D713" s="1603"/>
      <c r="E713" s="1603"/>
      <c r="F713" s="1603"/>
      <c r="G713" s="100" t="s">
        <v>146</v>
      </c>
      <c r="H713" s="101"/>
      <c r="I713" s="101">
        <v>70000</v>
      </c>
      <c r="J713" s="101">
        <v>70000</v>
      </c>
      <c r="K713" s="102">
        <v>70000</v>
      </c>
      <c r="L713" s="10"/>
    </row>
    <row r="714" spans="1:12" s="146" customFormat="1" ht="17.45" customHeight="1" x14ac:dyDescent="0.25">
      <c r="A714" s="1051" t="s">
        <v>123</v>
      </c>
      <c r="B714" s="1106" t="s">
        <v>1317</v>
      </c>
      <c r="C714" s="1062" t="s">
        <v>147</v>
      </c>
      <c r="D714" s="1041"/>
      <c r="E714" s="1041"/>
      <c r="F714" s="1039"/>
      <c r="G714" s="100" t="s">
        <v>148</v>
      </c>
      <c r="H714" s="101"/>
      <c r="I714" s="101"/>
      <c r="J714" s="101"/>
      <c r="K714" s="102"/>
      <c r="L714" s="10"/>
    </row>
    <row r="715" spans="1:12" s="146" customFormat="1" ht="17.45" customHeight="1" x14ac:dyDescent="0.25">
      <c r="A715" s="1051" t="s">
        <v>123</v>
      </c>
      <c r="B715" s="1106" t="s">
        <v>1317</v>
      </c>
      <c r="C715" s="1045" t="s">
        <v>149</v>
      </c>
      <c r="D715" s="1675"/>
      <c r="E715" s="1675"/>
      <c r="F715" s="1676"/>
      <c r="G715" s="100" t="s">
        <v>150</v>
      </c>
      <c r="H715" s="101"/>
      <c r="I715" s="101"/>
      <c r="J715" s="101"/>
      <c r="K715" s="102"/>
      <c r="L715" s="10"/>
    </row>
    <row r="716" spans="1:12" s="146" customFormat="1" ht="17.45" customHeight="1" x14ac:dyDescent="0.25">
      <c r="A716" s="1051" t="s">
        <v>123</v>
      </c>
      <c r="B716" s="1106" t="s">
        <v>1317</v>
      </c>
      <c r="C716" s="1611" t="s">
        <v>1544</v>
      </c>
      <c r="D716" s="1611"/>
      <c r="E716" s="1611"/>
      <c r="F716" s="1602"/>
      <c r="G716" s="100" t="s">
        <v>148</v>
      </c>
      <c r="H716" s="101"/>
      <c r="I716" s="101"/>
      <c r="J716" s="101"/>
      <c r="K716" s="102"/>
      <c r="L716" s="10"/>
    </row>
    <row r="717" spans="1:12" s="146" customFormat="1" ht="17.45" customHeight="1" x14ac:dyDescent="0.25">
      <c r="A717" s="1051" t="s">
        <v>123</v>
      </c>
      <c r="B717" s="1106" t="s">
        <v>1317</v>
      </c>
      <c r="C717" s="1611" t="s">
        <v>1545</v>
      </c>
      <c r="D717" s="1611"/>
      <c r="E717" s="1611"/>
      <c r="F717" s="1602"/>
      <c r="G717" s="100" t="s">
        <v>154</v>
      </c>
      <c r="H717" s="101"/>
      <c r="I717" s="101">
        <v>543823.19999999995</v>
      </c>
      <c r="J717" s="101">
        <v>543823.19999999995</v>
      </c>
      <c r="K717" s="102">
        <v>524036.16</v>
      </c>
      <c r="L717" s="10"/>
    </row>
    <row r="718" spans="1:12" s="146" customFormat="1" ht="17.45" customHeight="1" x14ac:dyDescent="0.25">
      <c r="A718" s="1051" t="s">
        <v>123</v>
      </c>
      <c r="B718" s="1106" t="s">
        <v>1317</v>
      </c>
      <c r="C718" s="1611" t="s">
        <v>155</v>
      </c>
      <c r="D718" s="1611"/>
      <c r="E718" s="1611"/>
      <c r="F718" s="1602"/>
      <c r="G718" s="100" t="s">
        <v>156</v>
      </c>
      <c r="H718" s="101"/>
      <c r="I718" s="101">
        <v>16800</v>
      </c>
      <c r="J718" s="101">
        <v>16800</v>
      </c>
      <c r="K718" s="102">
        <v>16800</v>
      </c>
      <c r="L718" s="10"/>
    </row>
    <row r="719" spans="1:12" s="146" customFormat="1" ht="17.45" customHeight="1" x14ac:dyDescent="0.25">
      <c r="A719" s="1051" t="s">
        <v>123</v>
      </c>
      <c r="B719" s="1106" t="s">
        <v>1317</v>
      </c>
      <c r="C719" s="1611" t="s">
        <v>157</v>
      </c>
      <c r="D719" s="1611"/>
      <c r="E719" s="1611"/>
      <c r="F719" s="1602"/>
      <c r="G719" s="100" t="s">
        <v>158</v>
      </c>
      <c r="H719" s="101"/>
      <c r="I719" s="101">
        <v>101966.85</v>
      </c>
      <c r="J719" s="101">
        <v>101966.85</v>
      </c>
      <c r="K719" s="102">
        <v>98256.78</v>
      </c>
      <c r="L719" s="10"/>
    </row>
    <row r="720" spans="1:12" s="146" customFormat="1" ht="17.45" customHeight="1" x14ac:dyDescent="0.25">
      <c r="A720" s="1051" t="s">
        <v>123</v>
      </c>
      <c r="B720" s="1106" t="s">
        <v>1317</v>
      </c>
      <c r="C720" s="1611" t="s">
        <v>1546</v>
      </c>
      <c r="D720" s="1611"/>
      <c r="E720" s="1611"/>
      <c r="F720" s="1602"/>
      <c r="G720" s="100" t="s">
        <v>160</v>
      </c>
      <c r="H720" s="101"/>
      <c r="I720" s="101">
        <v>16800</v>
      </c>
      <c r="J720" s="101">
        <v>16800</v>
      </c>
      <c r="K720" s="102">
        <v>16800</v>
      </c>
      <c r="L720" s="10"/>
    </row>
    <row r="721" spans="1:12" s="146" customFormat="1" ht="17.45" customHeight="1" x14ac:dyDescent="0.25">
      <c r="A721" s="1051" t="s">
        <v>163</v>
      </c>
      <c r="B721" s="1106" t="s">
        <v>1317</v>
      </c>
      <c r="C721" s="44" t="s">
        <v>353</v>
      </c>
      <c r="D721" s="113"/>
      <c r="E721" s="113"/>
      <c r="F721" s="114"/>
      <c r="G721" s="100" t="s">
        <v>165</v>
      </c>
      <c r="H721" s="101"/>
      <c r="I721" s="101">
        <v>96000</v>
      </c>
      <c r="J721" s="101">
        <v>96000</v>
      </c>
      <c r="K721" s="102">
        <v>96000</v>
      </c>
      <c r="L721" s="10"/>
    </row>
    <row r="722" spans="1:12" s="146" customFormat="1" ht="17.45" customHeight="1" x14ac:dyDescent="0.25">
      <c r="A722" s="1051" t="s">
        <v>163</v>
      </c>
      <c r="B722" s="1106" t="s">
        <v>1317</v>
      </c>
      <c r="C722" s="44" t="s">
        <v>166</v>
      </c>
      <c r="D722" s="113"/>
      <c r="E722" s="113"/>
      <c r="F722" s="113"/>
      <c r="G722" s="100"/>
      <c r="H722" s="101"/>
      <c r="I722" s="101"/>
      <c r="J722" s="101"/>
      <c r="K722" s="102">
        <v>50000</v>
      </c>
      <c r="L722" s="10"/>
    </row>
    <row r="723" spans="1:12" s="146" customFormat="1" ht="17.45" customHeight="1" x14ac:dyDescent="0.25">
      <c r="A723" s="1051" t="s">
        <v>163</v>
      </c>
      <c r="B723" s="1106" t="s">
        <v>1317</v>
      </c>
      <c r="C723" s="38" t="s">
        <v>294</v>
      </c>
      <c r="D723" s="184"/>
      <c r="E723" s="184"/>
      <c r="F723" s="184"/>
      <c r="G723" s="100" t="s">
        <v>169</v>
      </c>
      <c r="H723" s="101"/>
      <c r="I723" s="101">
        <v>725000</v>
      </c>
      <c r="J723" s="101">
        <v>725000</v>
      </c>
      <c r="K723" s="102">
        <v>725000</v>
      </c>
      <c r="L723" s="10"/>
    </row>
    <row r="724" spans="1:12" s="146" customFormat="1" ht="17.45" customHeight="1" x14ac:dyDescent="0.25">
      <c r="A724" s="1051" t="s">
        <v>163</v>
      </c>
      <c r="B724" s="1106" t="s">
        <v>1317</v>
      </c>
      <c r="C724" s="38" t="s">
        <v>213</v>
      </c>
      <c r="D724" s="184"/>
      <c r="E724" s="184"/>
      <c r="F724" s="184"/>
      <c r="G724" s="100" t="s">
        <v>171</v>
      </c>
      <c r="H724" s="101"/>
      <c r="I724" s="101">
        <v>70000</v>
      </c>
      <c r="J724" s="101">
        <v>70000</v>
      </c>
      <c r="K724" s="102">
        <f>70000+250000</f>
        <v>320000</v>
      </c>
      <c r="L724" s="10"/>
    </row>
    <row r="725" spans="1:12" s="146" customFormat="1" ht="17.45" customHeight="1" x14ac:dyDescent="0.25">
      <c r="A725" s="1051" t="s">
        <v>163</v>
      </c>
      <c r="B725" s="1106" t="s">
        <v>1317</v>
      </c>
      <c r="C725" s="38" t="s">
        <v>296</v>
      </c>
      <c r="D725" s="184"/>
      <c r="E725" s="184"/>
      <c r="F725" s="184"/>
      <c r="G725" s="100" t="s">
        <v>177</v>
      </c>
      <c r="H725" s="101"/>
      <c r="I725" s="101">
        <v>1000</v>
      </c>
      <c r="J725" s="101">
        <v>1000</v>
      </c>
      <c r="K725" s="102">
        <v>1000</v>
      </c>
      <c r="L725" s="10"/>
    </row>
    <row r="726" spans="1:12" s="146" customFormat="1" ht="17.45" customHeight="1" x14ac:dyDescent="0.25">
      <c r="A726" s="1051" t="s">
        <v>163</v>
      </c>
      <c r="B726" s="1106" t="s">
        <v>1317</v>
      </c>
      <c r="C726" s="38" t="s">
        <v>178</v>
      </c>
      <c r="D726" s="184"/>
      <c r="E726" s="184"/>
      <c r="F726" s="184"/>
      <c r="G726" s="100" t="s">
        <v>179</v>
      </c>
      <c r="H726" s="101"/>
      <c r="I726" s="101">
        <v>70800</v>
      </c>
      <c r="J726" s="101">
        <v>70800</v>
      </c>
      <c r="K726" s="102">
        <v>70800</v>
      </c>
      <c r="L726" s="10"/>
    </row>
    <row r="727" spans="1:12" s="146" customFormat="1" ht="17.45" customHeight="1" x14ac:dyDescent="0.25">
      <c r="A727" s="1051" t="s">
        <v>163</v>
      </c>
      <c r="B727" s="1106" t="s">
        <v>1317</v>
      </c>
      <c r="C727" s="38" t="s">
        <v>182</v>
      </c>
      <c r="D727" s="184"/>
      <c r="E727" s="184"/>
      <c r="F727" s="184"/>
      <c r="G727" s="100" t="s">
        <v>183</v>
      </c>
      <c r="H727" s="101"/>
      <c r="I727" s="101">
        <v>42000</v>
      </c>
      <c r="J727" s="101">
        <v>42000</v>
      </c>
      <c r="K727" s="102">
        <v>42000</v>
      </c>
      <c r="L727" s="10"/>
    </row>
    <row r="728" spans="1:12" s="146" customFormat="1" ht="17.45" customHeight="1" x14ac:dyDescent="0.25">
      <c r="A728" s="1051" t="s">
        <v>163</v>
      </c>
      <c r="B728" s="1106" t="s">
        <v>1317</v>
      </c>
      <c r="C728" s="38" t="s">
        <v>297</v>
      </c>
      <c r="D728" s="204"/>
      <c r="E728" s="204"/>
      <c r="F728" s="204"/>
      <c r="G728" s="205" t="s">
        <v>187</v>
      </c>
      <c r="H728" s="102"/>
      <c r="I728" s="102">
        <v>120000</v>
      </c>
      <c r="J728" s="102">
        <v>120000</v>
      </c>
      <c r="K728" s="102">
        <v>120000</v>
      </c>
      <c r="L728" s="10"/>
    </row>
    <row r="729" spans="1:12" s="146" customFormat="1" ht="17.45" customHeight="1" x14ac:dyDescent="0.25">
      <c r="A729" s="1051" t="s">
        <v>163</v>
      </c>
      <c r="B729" s="1106" t="s">
        <v>1317</v>
      </c>
      <c r="C729" s="38" t="s">
        <v>331</v>
      </c>
      <c r="D729" s="204"/>
      <c r="E729" s="204"/>
      <c r="F729" s="204"/>
      <c r="G729" s="205"/>
      <c r="H729" s="102"/>
      <c r="I729" s="102">
        <v>50000</v>
      </c>
      <c r="J729" s="102">
        <v>50000</v>
      </c>
      <c r="K729" s="102">
        <v>50000</v>
      </c>
      <c r="L729" s="10"/>
    </row>
    <row r="730" spans="1:12" ht="17.45" customHeight="1" x14ac:dyDescent="0.25">
      <c r="A730" s="1051" t="s">
        <v>163</v>
      </c>
      <c r="B730" s="1106" t="s">
        <v>1317</v>
      </c>
      <c r="C730" s="38" t="s">
        <v>299</v>
      </c>
      <c r="D730" s="184"/>
      <c r="E730" s="184"/>
      <c r="F730" s="184"/>
      <c r="G730" s="100" t="s">
        <v>237</v>
      </c>
      <c r="H730" s="101"/>
      <c r="I730" s="101">
        <v>12000</v>
      </c>
      <c r="J730" s="101">
        <v>12000</v>
      </c>
      <c r="K730" s="102"/>
    </row>
    <row r="731" spans="1:12" s="146" customFormat="1" ht="17.45" customHeight="1" x14ac:dyDescent="0.25">
      <c r="A731" s="1051" t="s">
        <v>163</v>
      </c>
      <c r="B731" s="1106" t="s">
        <v>1317</v>
      </c>
      <c r="C731" s="652" t="s">
        <v>1629</v>
      </c>
      <c r="D731" s="1044"/>
      <c r="E731" s="1041"/>
      <c r="F731" s="1039"/>
      <c r="G731" s="100"/>
      <c r="H731" s="101"/>
      <c r="I731" s="101">
        <v>80000</v>
      </c>
      <c r="J731" s="101">
        <v>80000</v>
      </c>
      <c r="K731" s="102">
        <v>80000</v>
      </c>
      <c r="L731" s="10"/>
    </row>
    <row r="732" spans="1:12" s="146" customFormat="1" ht="17.45" customHeight="1" x14ac:dyDescent="0.25">
      <c r="A732" s="1051" t="s">
        <v>163</v>
      </c>
      <c r="B732" s="1106" t="s">
        <v>1317</v>
      </c>
      <c r="C732" s="652" t="s">
        <v>1630</v>
      </c>
      <c r="D732" s="1044"/>
      <c r="E732" s="1041"/>
      <c r="F732" s="1039"/>
      <c r="G732" s="100"/>
      <c r="H732" s="101"/>
      <c r="I732" s="101">
        <v>70000</v>
      </c>
      <c r="J732" s="101">
        <v>70000</v>
      </c>
      <c r="K732" s="102">
        <v>70000</v>
      </c>
      <c r="L732" s="10"/>
    </row>
    <row r="733" spans="1:12" s="146" customFormat="1" ht="17.45" customHeight="1" x14ac:dyDescent="0.25">
      <c r="A733" s="1051" t="s">
        <v>163</v>
      </c>
      <c r="B733" s="1106" t="s">
        <v>1317</v>
      </c>
      <c r="C733" s="652" t="s">
        <v>194</v>
      </c>
      <c r="D733" s="1044"/>
      <c r="E733" s="1041"/>
      <c r="F733" s="1039"/>
      <c r="G733" s="100"/>
      <c r="H733" s="101"/>
      <c r="I733" s="101"/>
      <c r="J733" s="101"/>
      <c r="K733" s="102">
        <v>400000</v>
      </c>
      <c r="L733" s="10"/>
    </row>
    <row r="734" spans="1:12" ht="17.45" customHeight="1" x14ac:dyDescent="0.25">
      <c r="A734" s="1051" t="s">
        <v>163</v>
      </c>
      <c r="B734" s="1106" t="s">
        <v>1317</v>
      </c>
      <c r="C734" s="38" t="s">
        <v>1619</v>
      </c>
      <c r="D734" s="184"/>
      <c r="E734" s="184"/>
      <c r="F734" s="185"/>
      <c r="G734" s="100" t="s">
        <v>199</v>
      </c>
      <c r="H734" s="101"/>
      <c r="I734" s="101">
        <v>375310.76</v>
      </c>
      <c r="J734" s="101">
        <v>375310.76</v>
      </c>
      <c r="K734" s="102">
        <f>375310.76+127783.76</f>
        <v>503094.52</v>
      </c>
    </row>
    <row r="735" spans="1:12" s="146" customFormat="1" ht="18" x14ac:dyDescent="0.25">
      <c r="A735" s="1051" t="s">
        <v>2019</v>
      </c>
      <c r="B735" s="1106" t="s">
        <v>1317</v>
      </c>
      <c r="C735" s="1611" t="s">
        <v>1631</v>
      </c>
      <c r="D735" s="1611"/>
      <c r="E735" s="1611"/>
      <c r="F735" s="1602"/>
      <c r="G735" s="100"/>
      <c r="H735" s="101"/>
      <c r="I735" s="101">
        <v>600000</v>
      </c>
      <c r="J735" s="101">
        <v>600000</v>
      </c>
      <c r="K735" s="102">
        <v>600000</v>
      </c>
      <c r="L735" s="10"/>
    </row>
    <row r="736" spans="1:12" s="203" customFormat="1" ht="18" x14ac:dyDescent="0.25">
      <c r="A736" s="1051" t="s">
        <v>201</v>
      </c>
      <c r="B736" s="1106" t="s">
        <v>1317</v>
      </c>
      <c r="C736" s="38" t="s">
        <v>1632</v>
      </c>
      <c r="D736" s="199"/>
      <c r="E736" s="1041"/>
      <c r="F736" s="1039"/>
      <c r="G736" s="100"/>
      <c r="H736" s="101"/>
      <c r="I736" s="101">
        <v>300000</v>
      </c>
      <c r="J736" s="101">
        <v>300000</v>
      </c>
      <c r="K736" s="102">
        <v>300000</v>
      </c>
      <c r="L736" s="10"/>
    </row>
    <row r="737" spans="1:12" s="48" customFormat="1" ht="18" customHeight="1" x14ac:dyDescent="0.25">
      <c r="A737" s="1051" t="s">
        <v>123</v>
      </c>
      <c r="B737" s="1106" t="s">
        <v>1317</v>
      </c>
      <c r="C737" s="1602" t="s">
        <v>124</v>
      </c>
      <c r="D737" s="1603"/>
      <c r="E737" s="1603"/>
      <c r="F737" s="1603"/>
      <c r="G737" s="100" t="s">
        <v>125</v>
      </c>
      <c r="H737" s="101"/>
      <c r="I737" s="101">
        <v>1995120</v>
      </c>
      <c r="J737" s="101">
        <v>1995120</v>
      </c>
      <c r="K737" s="102">
        <f>1929336+5436</f>
        <v>1934772</v>
      </c>
      <c r="L737" s="6"/>
    </row>
    <row r="738" spans="1:12" s="48" customFormat="1" ht="18" customHeight="1" x14ac:dyDescent="0.25">
      <c r="A738" s="1051" t="s">
        <v>123</v>
      </c>
      <c r="B738" s="1106" t="s">
        <v>1317</v>
      </c>
      <c r="C738" s="1602" t="s">
        <v>126</v>
      </c>
      <c r="D738" s="1603"/>
      <c r="E738" s="1603"/>
      <c r="F738" s="1603"/>
      <c r="G738" s="100" t="s">
        <v>127</v>
      </c>
      <c r="H738" s="101"/>
      <c r="I738" s="101">
        <v>149628</v>
      </c>
      <c r="J738" s="101">
        <v>149628</v>
      </c>
      <c r="K738" s="102">
        <v>143928</v>
      </c>
      <c r="L738" s="6"/>
    </row>
    <row r="739" spans="1:12" s="48" customFormat="1" ht="18" customHeight="1" x14ac:dyDescent="0.25">
      <c r="A739" s="1051" t="s">
        <v>123</v>
      </c>
      <c r="B739" s="1106" t="s">
        <v>1317</v>
      </c>
      <c r="C739" s="1602" t="s">
        <v>129</v>
      </c>
      <c r="D739" s="1603"/>
      <c r="E739" s="1603"/>
      <c r="F739" s="1603"/>
      <c r="G739" s="103" t="s">
        <v>130</v>
      </c>
      <c r="H739" s="101"/>
      <c r="I739" s="101">
        <v>144000</v>
      </c>
      <c r="J739" s="101">
        <v>144000</v>
      </c>
      <c r="K739" s="102">
        <v>144000</v>
      </c>
      <c r="L739" s="6"/>
    </row>
    <row r="740" spans="1:12" s="48" customFormat="1" ht="18" customHeight="1" x14ac:dyDescent="0.25">
      <c r="A740" s="1051" t="s">
        <v>123</v>
      </c>
      <c r="B740" s="1106" t="s">
        <v>1317</v>
      </c>
      <c r="C740" s="1602" t="s">
        <v>131</v>
      </c>
      <c r="D740" s="1603"/>
      <c r="E740" s="1603"/>
      <c r="F740" s="1603"/>
      <c r="G740" s="100" t="s">
        <v>132</v>
      </c>
      <c r="H740" s="101"/>
      <c r="I740" s="101">
        <v>72000</v>
      </c>
      <c r="J740" s="101">
        <v>72000</v>
      </c>
      <c r="K740" s="102">
        <v>72000</v>
      </c>
      <c r="L740" s="6"/>
    </row>
    <row r="741" spans="1:12" s="48" customFormat="1" ht="18" customHeight="1" x14ac:dyDescent="0.25">
      <c r="A741" s="1051" t="s">
        <v>123</v>
      </c>
      <c r="B741" s="1106" t="s">
        <v>1317</v>
      </c>
      <c r="C741" s="1602" t="s">
        <v>133</v>
      </c>
      <c r="D741" s="1603"/>
      <c r="E741" s="1603"/>
      <c r="F741" s="1603"/>
      <c r="G741" s="100" t="s">
        <v>134</v>
      </c>
      <c r="H741" s="101"/>
      <c r="I741" s="101">
        <v>72000</v>
      </c>
      <c r="J741" s="101">
        <v>72000</v>
      </c>
      <c r="K741" s="102">
        <v>72000</v>
      </c>
      <c r="L741" s="6"/>
    </row>
    <row r="742" spans="1:12" s="48" customFormat="1" ht="18" customHeight="1" x14ac:dyDescent="0.25">
      <c r="A742" s="1051" t="s">
        <v>123</v>
      </c>
      <c r="B742" s="1106" t="s">
        <v>1317</v>
      </c>
      <c r="C742" s="1602" t="s">
        <v>135</v>
      </c>
      <c r="D742" s="1603"/>
      <c r="E742" s="1603"/>
      <c r="F742" s="1603"/>
      <c r="G742" s="100" t="s">
        <v>136</v>
      </c>
      <c r="H742" s="102"/>
      <c r="I742" s="102">
        <v>62805.68</v>
      </c>
      <c r="J742" s="102">
        <v>62805.68</v>
      </c>
      <c r="K742" s="102">
        <v>62805.68</v>
      </c>
      <c r="L742" s="6"/>
    </row>
    <row r="743" spans="1:12" s="48" customFormat="1" ht="18" customHeight="1" x14ac:dyDescent="0.25">
      <c r="A743" s="1051" t="s">
        <v>123</v>
      </c>
      <c r="B743" s="1106" t="s">
        <v>1317</v>
      </c>
      <c r="C743" s="1602" t="s">
        <v>137</v>
      </c>
      <c r="D743" s="1603"/>
      <c r="E743" s="1603"/>
      <c r="F743" s="1603"/>
      <c r="G743" s="100" t="s">
        <v>138</v>
      </c>
      <c r="H743" s="101"/>
      <c r="I743" s="101">
        <v>36000</v>
      </c>
      <c r="J743" s="101">
        <v>36000</v>
      </c>
      <c r="K743" s="102">
        <v>36000</v>
      </c>
      <c r="L743" s="6"/>
    </row>
    <row r="744" spans="1:12" s="48" customFormat="1" ht="18" customHeight="1" x14ac:dyDescent="0.25">
      <c r="A744" s="1051" t="s">
        <v>123</v>
      </c>
      <c r="B744" s="1106" t="s">
        <v>1317</v>
      </c>
      <c r="C744" s="1602" t="s">
        <v>1541</v>
      </c>
      <c r="D744" s="1603"/>
      <c r="E744" s="1603"/>
      <c r="F744" s="1603"/>
      <c r="G744" s="100" t="s">
        <v>140</v>
      </c>
      <c r="H744" s="101"/>
      <c r="I744" s="101">
        <v>178729</v>
      </c>
      <c r="J744" s="101">
        <v>178729</v>
      </c>
      <c r="K744" s="102">
        <v>172772</v>
      </c>
      <c r="L744" s="6"/>
    </row>
    <row r="745" spans="1:12" s="48" customFormat="1" ht="18" customHeight="1" x14ac:dyDescent="0.25">
      <c r="A745" s="1051" t="s">
        <v>123</v>
      </c>
      <c r="B745" s="1106" t="s">
        <v>1317</v>
      </c>
      <c r="C745" s="1602" t="s">
        <v>141</v>
      </c>
      <c r="D745" s="1603"/>
      <c r="E745" s="1603"/>
      <c r="F745" s="1603"/>
      <c r="G745" s="100" t="s">
        <v>142</v>
      </c>
      <c r="H745" s="101"/>
      <c r="I745" s="101">
        <v>178729</v>
      </c>
      <c r="J745" s="101">
        <v>178729</v>
      </c>
      <c r="K745" s="102">
        <v>174131</v>
      </c>
      <c r="L745" s="6"/>
    </row>
    <row r="746" spans="1:12" s="48" customFormat="1" ht="18" customHeight="1" x14ac:dyDescent="0.25">
      <c r="A746" s="1051" t="s">
        <v>123</v>
      </c>
      <c r="B746" s="1106" t="s">
        <v>1317</v>
      </c>
      <c r="C746" s="1602" t="s">
        <v>1542</v>
      </c>
      <c r="D746" s="1603"/>
      <c r="E746" s="1603"/>
      <c r="F746" s="1603"/>
      <c r="G746" s="100"/>
      <c r="H746" s="101"/>
      <c r="I746" s="101"/>
      <c r="J746" s="101"/>
      <c r="K746" s="102"/>
      <c r="L746" s="6"/>
    </row>
    <row r="747" spans="1:12" s="48" customFormat="1" ht="18" customHeight="1" x14ac:dyDescent="0.25">
      <c r="A747" s="1051" t="s">
        <v>123</v>
      </c>
      <c r="B747" s="1106" t="s">
        <v>1317</v>
      </c>
      <c r="C747" s="1602" t="s">
        <v>143</v>
      </c>
      <c r="D747" s="1603"/>
      <c r="E747" s="1603"/>
      <c r="F747" s="1603"/>
      <c r="G747" s="100" t="s">
        <v>144</v>
      </c>
      <c r="H747" s="101"/>
      <c r="I747" s="101">
        <v>30000</v>
      </c>
      <c r="J747" s="101">
        <v>30000</v>
      </c>
      <c r="K747" s="102">
        <v>30000</v>
      </c>
      <c r="L747" s="6"/>
    </row>
    <row r="748" spans="1:12" s="48" customFormat="1" ht="18" customHeight="1" x14ac:dyDescent="0.25">
      <c r="A748" s="1051" t="s">
        <v>123</v>
      </c>
      <c r="B748" s="1106" t="s">
        <v>1317</v>
      </c>
      <c r="C748" s="1602" t="s">
        <v>1543</v>
      </c>
      <c r="D748" s="1603"/>
      <c r="E748" s="1603"/>
      <c r="F748" s="1603"/>
      <c r="G748" s="100" t="s">
        <v>146</v>
      </c>
      <c r="H748" s="101"/>
      <c r="I748" s="101">
        <v>30000</v>
      </c>
      <c r="J748" s="101">
        <v>30000</v>
      </c>
      <c r="K748" s="102">
        <v>30000</v>
      </c>
      <c r="L748" s="6"/>
    </row>
    <row r="749" spans="1:12" s="48" customFormat="1" ht="18" customHeight="1" x14ac:dyDescent="0.25">
      <c r="A749" s="1051" t="s">
        <v>123</v>
      </c>
      <c r="B749" s="1106" t="s">
        <v>1317</v>
      </c>
      <c r="C749" s="1062" t="s">
        <v>1568</v>
      </c>
      <c r="D749" s="1041"/>
      <c r="E749" s="1041"/>
      <c r="F749" s="1039"/>
      <c r="G749" s="100" t="s">
        <v>148</v>
      </c>
      <c r="H749" s="101"/>
      <c r="I749" s="101"/>
      <c r="J749" s="101"/>
      <c r="K749" s="102"/>
      <c r="L749" s="6"/>
    </row>
    <row r="750" spans="1:12" s="48" customFormat="1" ht="18" customHeight="1" x14ac:dyDescent="0.25">
      <c r="A750" s="1051" t="s">
        <v>123</v>
      </c>
      <c r="B750" s="1106" t="s">
        <v>1317</v>
      </c>
      <c r="C750" s="1062" t="s">
        <v>147</v>
      </c>
      <c r="D750" s="1041"/>
      <c r="E750" s="1041"/>
      <c r="F750" s="1039"/>
      <c r="G750" s="100" t="s">
        <v>148</v>
      </c>
      <c r="H750" s="101"/>
      <c r="I750" s="101"/>
      <c r="J750" s="101"/>
      <c r="K750" s="102"/>
      <c r="L750" s="6"/>
    </row>
    <row r="751" spans="1:12" s="48" customFormat="1" ht="18" customHeight="1" x14ac:dyDescent="0.25">
      <c r="A751" s="1051" t="s">
        <v>123</v>
      </c>
      <c r="B751" s="1106" t="s">
        <v>1317</v>
      </c>
      <c r="C751" s="1045" t="s">
        <v>149</v>
      </c>
      <c r="D751" s="1675"/>
      <c r="E751" s="1675"/>
      <c r="F751" s="1676"/>
      <c r="G751" s="100" t="s">
        <v>150</v>
      </c>
      <c r="H751" s="101"/>
      <c r="I751" s="101"/>
      <c r="J751" s="101"/>
      <c r="K751" s="102"/>
      <c r="L751" s="6"/>
    </row>
    <row r="752" spans="1:12" s="48" customFormat="1" ht="18" customHeight="1" x14ac:dyDescent="0.25">
      <c r="A752" s="1051" t="s">
        <v>123</v>
      </c>
      <c r="B752" s="1106" t="s">
        <v>1317</v>
      </c>
      <c r="C752" s="1602" t="s">
        <v>1544</v>
      </c>
      <c r="D752" s="1603"/>
      <c r="E752" s="1603"/>
      <c r="F752" s="1603"/>
      <c r="G752" s="100" t="s">
        <v>148</v>
      </c>
      <c r="H752" s="101"/>
      <c r="I752" s="101"/>
      <c r="J752" s="101"/>
      <c r="K752" s="102"/>
      <c r="L752" s="6"/>
    </row>
    <row r="753" spans="1:12" s="48" customFormat="1" ht="18" customHeight="1" x14ac:dyDescent="0.25">
      <c r="A753" s="1051" t="s">
        <v>123</v>
      </c>
      <c r="B753" s="1106" t="s">
        <v>1317</v>
      </c>
      <c r="C753" s="1602" t="s">
        <v>1545</v>
      </c>
      <c r="D753" s="1603"/>
      <c r="E753" s="1603"/>
      <c r="F753" s="1603"/>
      <c r="G753" s="100" t="s">
        <v>154</v>
      </c>
      <c r="H753" s="101"/>
      <c r="I753" s="101">
        <v>257369.76</v>
      </c>
      <c r="J753" s="101">
        <v>257369.76</v>
      </c>
      <c r="K753" s="102">
        <v>249444</v>
      </c>
      <c r="L753" s="6"/>
    </row>
    <row r="754" spans="1:12" s="48" customFormat="1" ht="18" customHeight="1" x14ac:dyDescent="0.25">
      <c r="A754" s="1051" t="s">
        <v>123</v>
      </c>
      <c r="B754" s="1106" t="s">
        <v>1317</v>
      </c>
      <c r="C754" s="1602" t="s">
        <v>155</v>
      </c>
      <c r="D754" s="1603"/>
      <c r="E754" s="1603"/>
      <c r="F754" s="1603"/>
      <c r="G754" s="100" t="s">
        <v>156</v>
      </c>
      <c r="H754" s="101"/>
      <c r="I754" s="101">
        <v>7200</v>
      </c>
      <c r="J754" s="101">
        <v>7200</v>
      </c>
      <c r="K754" s="102">
        <v>7200</v>
      </c>
      <c r="L754" s="6"/>
    </row>
    <row r="755" spans="1:12" s="48" customFormat="1" ht="18" customHeight="1" x14ac:dyDescent="0.25">
      <c r="A755" s="1051" t="s">
        <v>123</v>
      </c>
      <c r="B755" s="1106" t="s">
        <v>1317</v>
      </c>
      <c r="C755" s="1602" t="s">
        <v>157</v>
      </c>
      <c r="D755" s="1603"/>
      <c r="E755" s="1603"/>
      <c r="F755" s="1603"/>
      <c r="G755" s="100" t="s">
        <v>158</v>
      </c>
      <c r="H755" s="101"/>
      <c r="I755" s="101">
        <v>48256.83</v>
      </c>
      <c r="J755" s="101">
        <v>48256.83</v>
      </c>
      <c r="K755" s="102">
        <v>46770.75</v>
      </c>
      <c r="L755" s="6"/>
    </row>
    <row r="756" spans="1:12" s="48" customFormat="1" ht="18" customHeight="1" x14ac:dyDescent="0.25">
      <c r="A756" s="1051" t="s">
        <v>123</v>
      </c>
      <c r="B756" s="1106" t="s">
        <v>1317</v>
      </c>
      <c r="C756" s="1611" t="s">
        <v>1546</v>
      </c>
      <c r="D756" s="1611"/>
      <c r="E756" s="1611"/>
      <c r="F756" s="1602"/>
      <c r="G756" s="104" t="s">
        <v>160</v>
      </c>
      <c r="H756" s="105"/>
      <c r="I756" s="105">
        <v>7200</v>
      </c>
      <c r="J756" s="105">
        <v>7200</v>
      </c>
      <c r="K756" s="106">
        <v>7200</v>
      </c>
      <c r="L756" s="6"/>
    </row>
    <row r="757" spans="1:12" s="48" customFormat="1" ht="18" customHeight="1" x14ac:dyDescent="0.25">
      <c r="A757" s="1051" t="s">
        <v>163</v>
      </c>
      <c r="B757" s="1106" t="s">
        <v>1317</v>
      </c>
      <c r="C757" s="44" t="s">
        <v>353</v>
      </c>
      <c r="D757" s="113"/>
      <c r="E757" s="113"/>
      <c r="F757" s="114"/>
      <c r="G757" s="100" t="s">
        <v>165</v>
      </c>
      <c r="H757" s="101"/>
      <c r="I757" s="101">
        <v>60000</v>
      </c>
      <c r="J757" s="101">
        <v>60000</v>
      </c>
      <c r="K757" s="102">
        <v>60000</v>
      </c>
      <c r="L757" s="6"/>
    </row>
    <row r="758" spans="1:12" s="48" customFormat="1" ht="18" customHeight="1" x14ac:dyDescent="0.25">
      <c r="A758" s="1051" t="s">
        <v>163</v>
      </c>
      <c r="B758" s="1106" t="s">
        <v>1317</v>
      </c>
      <c r="C758" s="44" t="s">
        <v>166</v>
      </c>
      <c r="D758" s="113"/>
      <c r="E758" s="113"/>
      <c r="F758" s="114"/>
      <c r="G758" s="100"/>
      <c r="H758" s="101"/>
      <c r="I758" s="101">
        <v>70000</v>
      </c>
      <c r="J758" s="101">
        <v>70000</v>
      </c>
      <c r="K758" s="102">
        <v>70000</v>
      </c>
      <c r="L758" s="6"/>
    </row>
    <row r="759" spans="1:12" s="48" customFormat="1" ht="18" customHeight="1" x14ac:dyDescent="0.25">
      <c r="A759" s="1051" t="s">
        <v>163</v>
      </c>
      <c r="B759" s="1106" t="s">
        <v>1317</v>
      </c>
      <c r="C759" s="44" t="s">
        <v>168</v>
      </c>
      <c r="D759" s="113"/>
      <c r="E759" s="113"/>
      <c r="F759" s="114"/>
      <c r="G759" s="100" t="s">
        <v>169</v>
      </c>
      <c r="H759" s="101"/>
      <c r="I759" s="101">
        <v>208978.5</v>
      </c>
      <c r="J759" s="101">
        <v>208978.5</v>
      </c>
      <c r="K759" s="102">
        <v>208978.5</v>
      </c>
      <c r="L759" s="6"/>
    </row>
    <row r="760" spans="1:12" s="48" customFormat="1" ht="18" customHeight="1" x14ac:dyDescent="0.25">
      <c r="A760" s="1051" t="s">
        <v>163</v>
      </c>
      <c r="B760" s="1106" t="s">
        <v>1317</v>
      </c>
      <c r="C760" s="44" t="s">
        <v>170</v>
      </c>
      <c r="D760" s="113"/>
      <c r="E760" s="113"/>
      <c r="F760" s="114"/>
      <c r="G760" s="100" t="s">
        <v>171</v>
      </c>
      <c r="H760" s="101"/>
      <c r="I760" s="101">
        <v>28002</v>
      </c>
      <c r="J760" s="101">
        <v>28002</v>
      </c>
      <c r="K760" s="102">
        <v>28002</v>
      </c>
      <c r="L760" s="6"/>
    </row>
    <row r="761" spans="1:12" s="48" customFormat="1" ht="18" customHeight="1" x14ac:dyDescent="0.25">
      <c r="A761" s="1051" t="s">
        <v>163</v>
      </c>
      <c r="B761" s="1106" t="s">
        <v>1317</v>
      </c>
      <c r="C761" s="44" t="s">
        <v>176</v>
      </c>
      <c r="D761" s="113"/>
      <c r="E761" s="113"/>
      <c r="F761" s="114"/>
      <c r="G761" s="100" t="s">
        <v>177</v>
      </c>
      <c r="H761" s="101"/>
      <c r="I761" s="101">
        <v>1000</v>
      </c>
      <c r="J761" s="101">
        <v>1000</v>
      </c>
      <c r="K761" s="102">
        <v>1000</v>
      </c>
      <c r="L761" s="6"/>
    </row>
    <row r="762" spans="1:12" s="48" customFormat="1" ht="18" customHeight="1" x14ac:dyDescent="0.25">
      <c r="A762" s="1051" t="s">
        <v>163</v>
      </c>
      <c r="B762" s="1106" t="s">
        <v>1317</v>
      </c>
      <c r="C762" s="44" t="s">
        <v>178</v>
      </c>
      <c r="D762" s="113"/>
      <c r="E762" s="113"/>
      <c r="F762" s="114"/>
      <c r="G762" s="100" t="s">
        <v>179</v>
      </c>
      <c r="H762" s="101"/>
      <c r="I762" s="101">
        <v>0</v>
      </c>
      <c r="J762" s="101">
        <v>0</v>
      </c>
      <c r="K762" s="102">
        <v>54000</v>
      </c>
      <c r="L762" s="6"/>
    </row>
    <row r="763" spans="1:12" s="48" customFormat="1" ht="18" customHeight="1" x14ac:dyDescent="0.25">
      <c r="A763" s="1051" t="s">
        <v>163</v>
      </c>
      <c r="B763" s="1106" t="s">
        <v>1317</v>
      </c>
      <c r="C763" s="44" t="s">
        <v>182</v>
      </c>
      <c r="D763" s="113"/>
      <c r="E763" s="113"/>
      <c r="F763" s="114"/>
      <c r="G763" s="100" t="s">
        <v>183</v>
      </c>
      <c r="H763" s="101"/>
      <c r="I763" s="101">
        <v>42000</v>
      </c>
      <c r="J763" s="101">
        <v>42000</v>
      </c>
      <c r="K763" s="102">
        <v>42000</v>
      </c>
      <c r="L763" s="6"/>
    </row>
    <row r="764" spans="1:12" s="48" customFormat="1" ht="18" customHeight="1" x14ac:dyDescent="0.25">
      <c r="A764" s="1051" t="s">
        <v>163</v>
      </c>
      <c r="B764" s="1106" t="s">
        <v>1317</v>
      </c>
      <c r="C764" s="44" t="s">
        <v>186</v>
      </c>
      <c r="D764" s="113"/>
      <c r="E764" s="113"/>
      <c r="F764" s="114"/>
      <c r="G764" s="100" t="s">
        <v>187</v>
      </c>
      <c r="H764" s="101"/>
      <c r="I764" s="101">
        <v>50000</v>
      </c>
      <c r="J764" s="101">
        <v>50000</v>
      </c>
      <c r="K764" s="102">
        <v>50000</v>
      </c>
      <c r="L764" s="6"/>
    </row>
    <row r="765" spans="1:12" s="48" customFormat="1" ht="18" customHeight="1" x14ac:dyDescent="0.25">
      <c r="A765" s="1051" t="s">
        <v>163</v>
      </c>
      <c r="B765" s="1106" t="s">
        <v>1317</v>
      </c>
      <c r="C765" s="44" t="s">
        <v>236</v>
      </c>
      <c r="D765" s="113"/>
      <c r="E765" s="113"/>
      <c r="F765" s="114"/>
      <c r="G765" s="100" t="s">
        <v>237</v>
      </c>
      <c r="H765" s="101"/>
      <c r="I765" s="101">
        <v>6000</v>
      </c>
      <c r="J765" s="101">
        <v>6000</v>
      </c>
      <c r="K765" s="102"/>
      <c r="L765" s="6"/>
    </row>
    <row r="766" spans="1:12" s="48" customFormat="1" ht="18" customHeight="1" x14ac:dyDescent="0.25">
      <c r="A766" s="1051" t="s">
        <v>163</v>
      </c>
      <c r="B766" s="1106" t="s">
        <v>1317</v>
      </c>
      <c r="C766" s="1165" t="s">
        <v>198</v>
      </c>
      <c r="D766" s="1166"/>
      <c r="E766" s="1166"/>
      <c r="F766" s="1167"/>
      <c r="G766" s="104" t="s">
        <v>199</v>
      </c>
      <c r="H766" s="105"/>
      <c r="I766" s="105">
        <v>333041.28000000003</v>
      </c>
      <c r="J766" s="105">
        <v>333041.28000000003</v>
      </c>
      <c r="K766" s="106">
        <v>333041.28000000003</v>
      </c>
      <c r="L766" s="6"/>
    </row>
    <row r="767" spans="1:12" ht="18" x14ac:dyDescent="0.25">
      <c r="A767" s="1051" t="s">
        <v>123</v>
      </c>
      <c r="B767" s="1106" t="s">
        <v>1317</v>
      </c>
      <c r="C767" s="1602" t="s">
        <v>124</v>
      </c>
      <c r="D767" s="1603"/>
      <c r="E767" s="1603"/>
      <c r="F767" s="1603"/>
      <c r="G767" s="131" t="s">
        <v>125</v>
      </c>
      <c r="H767" s="101"/>
      <c r="I767" s="101">
        <v>3920508</v>
      </c>
      <c r="J767" s="101">
        <v>3920508</v>
      </c>
      <c r="K767" s="102">
        <v>3780576</v>
      </c>
      <c r="L767" s="188"/>
    </row>
    <row r="768" spans="1:12" ht="18" x14ac:dyDescent="0.25">
      <c r="A768" s="1051" t="s">
        <v>123</v>
      </c>
      <c r="B768" s="1106" t="s">
        <v>1317</v>
      </c>
      <c r="C768" s="1602" t="s">
        <v>129</v>
      </c>
      <c r="D768" s="1603"/>
      <c r="E768" s="1603"/>
      <c r="F768" s="1603"/>
      <c r="G768" s="131" t="s">
        <v>130</v>
      </c>
      <c r="H768" s="101"/>
      <c r="I768" s="101">
        <v>312000</v>
      </c>
      <c r="J768" s="101">
        <v>312000</v>
      </c>
      <c r="K768" s="102">
        <v>312000</v>
      </c>
      <c r="L768" s="188"/>
    </row>
    <row r="769" spans="1:13" ht="18" x14ac:dyDescent="0.25">
      <c r="A769" s="1051" t="s">
        <v>123</v>
      </c>
      <c r="B769" s="1106" t="s">
        <v>1317</v>
      </c>
      <c r="C769" s="1602" t="s">
        <v>131</v>
      </c>
      <c r="D769" s="1603"/>
      <c r="E769" s="1603"/>
      <c r="F769" s="1603"/>
      <c r="G769" s="131" t="s">
        <v>132</v>
      </c>
      <c r="H769" s="101"/>
      <c r="I769" s="101">
        <v>72000</v>
      </c>
      <c r="J769" s="101">
        <v>72000</v>
      </c>
      <c r="K769" s="102">
        <v>72000</v>
      </c>
      <c r="L769" s="188"/>
    </row>
    <row r="770" spans="1:13" ht="18" x14ac:dyDescent="0.25">
      <c r="A770" s="1051" t="s">
        <v>123</v>
      </c>
      <c r="B770" s="1106" t="s">
        <v>1317</v>
      </c>
      <c r="C770" s="1602" t="s">
        <v>133</v>
      </c>
      <c r="D770" s="1603"/>
      <c r="E770" s="1603"/>
      <c r="F770" s="1603"/>
      <c r="G770" s="131" t="s">
        <v>134</v>
      </c>
      <c r="H770" s="101"/>
      <c r="I770" s="101">
        <v>72000</v>
      </c>
      <c r="J770" s="101">
        <v>72000</v>
      </c>
      <c r="K770" s="102">
        <v>72000</v>
      </c>
      <c r="L770" s="188"/>
    </row>
    <row r="771" spans="1:13" ht="18" x14ac:dyDescent="0.25">
      <c r="A771" s="1051" t="s">
        <v>123</v>
      </c>
      <c r="B771" s="1106" t="s">
        <v>1317</v>
      </c>
      <c r="C771" s="1602" t="s">
        <v>135</v>
      </c>
      <c r="D771" s="1603"/>
      <c r="E771" s="1603"/>
      <c r="F771" s="1603"/>
      <c r="G771" s="131" t="s">
        <v>136</v>
      </c>
      <c r="H771" s="102"/>
      <c r="I771" s="102">
        <v>282310.5</v>
      </c>
      <c r="J771" s="102">
        <v>282310.5</v>
      </c>
      <c r="K771" s="102">
        <v>282310.5</v>
      </c>
      <c r="L771" s="188"/>
    </row>
    <row r="772" spans="1:13" ht="18" x14ac:dyDescent="0.25">
      <c r="A772" s="1051" t="s">
        <v>123</v>
      </c>
      <c r="B772" s="1106" t="s">
        <v>1317</v>
      </c>
      <c r="C772" s="1611" t="s">
        <v>137</v>
      </c>
      <c r="D772" s="1611"/>
      <c r="E772" s="1611"/>
      <c r="F772" s="1602"/>
      <c r="G772" s="131" t="s">
        <v>138</v>
      </c>
      <c r="H772" s="101"/>
      <c r="I772" s="101">
        <v>78000</v>
      </c>
      <c r="J772" s="101">
        <v>78000</v>
      </c>
      <c r="K772" s="102">
        <v>78000</v>
      </c>
      <c r="L772" s="188"/>
    </row>
    <row r="773" spans="1:13" ht="18" x14ac:dyDescent="0.25">
      <c r="A773" s="1051" t="s">
        <v>123</v>
      </c>
      <c r="B773" s="1106" t="s">
        <v>1317</v>
      </c>
      <c r="C773" s="1042" t="s">
        <v>1567</v>
      </c>
      <c r="D773" s="1041"/>
      <c r="E773" s="1041"/>
      <c r="F773" s="1039"/>
      <c r="G773" s="131"/>
      <c r="H773" s="101"/>
      <c r="I773" s="101">
        <v>1432449.2</v>
      </c>
      <c r="J773" s="101">
        <v>1432449.2</v>
      </c>
      <c r="K773" s="102">
        <v>868404.62</v>
      </c>
      <c r="L773" s="188"/>
    </row>
    <row r="774" spans="1:13" ht="18" customHeight="1" x14ac:dyDescent="0.25">
      <c r="A774" s="1051" t="s">
        <v>123</v>
      </c>
      <c r="B774" s="1106" t="s">
        <v>1317</v>
      </c>
      <c r="C774" s="1611" t="s">
        <v>1541</v>
      </c>
      <c r="D774" s="1611"/>
      <c r="E774" s="1611"/>
      <c r="F774" s="1602"/>
      <c r="G774" s="131" t="s">
        <v>140</v>
      </c>
      <c r="H774" s="101"/>
      <c r="I774" s="101">
        <v>326709</v>
      </c>
      <c r="J774" s="101">
        <v>326709</v>
      </c>
      <c r="K774" s="102">
        <v>315048</v>
      </c>
      <c r="L774" s="188"/>
    </row>
    <row r="775" spans="1:13" ht="18" x14ac:dyDescent="0.25">
      <c r="A775" s="1051" t="s">
        <v>123</v>
      </c>
      <c r="B775" s="1106" t="s">
        <v>1317</v>
      </c>
      <c r="C775" s="1611" t="s">
        <v>141</v>
      </c>
      <c r="D775" s="1611"/>
      <c r="E775" s="1611"/>
      <c r="F775" s="1602"/>
      <c r="G775" s="131" t="s">
        <v>142</v>
      </c>
      <c r="H775" s="101"/>
      <c r="I775" s="101">
        <v>326709</v>
      </c>
      <c r="J775" s="101">
        <v>326709</v>
      </c>
      <c r="K775" s="102">
        <v>315048</v>
      </c>
      <c r="L775" s="188"/>
    </row>
    <row r="776" spans="1:13" ht="18" x14ac:dyDescent="0.25">
      <c r="A776" s="1051" t="s">
        <v>123</v>
      </c>
      <c r="B776" s="1106" t="s">
        <v>1317</v>
      </c>
      <c r="C776" s="1611" t="s">
        <v>143</v>
      </c>
      <c r="D776" s="1611"/>
      <c r="E776" s="1611"/>
      <c r="F776" s="1602"/>
      <c r="G776" s="131" t="s">
        <v>144</v>
      </c>
      <c r="H776" s="101"/>
      <c r="I776" s="101">
        <v>65000</v>
      </c>
      <c r="J776" s="101">
        <v>65000</v>
      </c>
      <c r="K776" s="102">
        <v>65000</v>
      </c>
      <c r="L776" s="188"/>
    </row>
    <row r="777" spans="1:13" ht="18" x14ac:dyDescent="0.25">
      <c r="A777" s="1051" t="s">
        <v>123</v>
      </c>
      <c r="B777" s="1106" t="s">
        <v>1317</v>
      </c>
      <c r="C777" s="1611" t="s">
        <v>1543</v>
      </c>
      <c r="D777" s="1611"/>
      <c r="E777" s="1611"/>
      <c r="F777" s="1602"/>
      <c r="G777" s="131" t="s">
        <v>146</v>
      </c>
      <c r="H777" s="101"/>
      <c r="I777" s="101">
        <v>65000</v>
      </c>
      <c r="J777" s="101">
        <v>65000</v>
      </c>
      <c r="K777" s="102">
        <v>65000</v>
      </c>
      <c r="L777" s="188"/>
    </row>
    <row r="778" spans="1:13" ht="18" x14ac:dyDescent="0.25">
      <c r="A778" s="1051" t="s">
        <v>123</v>
      </c>
      <c r="B778" s="1106" t="s">
        <v>1317</v>
      </c>
      <c r="C778" s="1611" t="s">
        <v>1545</v>
      </c>
      <c r="D778" s="1611"/>
      <c r="E778" s="1611"/>
      <c r="F778" s="1602"/>
      <c r="G778" s="131" t="s">
        <v>154</v>
      </c>
      <c r="H778" s="101"/>
      <c r="I778" s="101">
        <v>470460.96</v>
      </c>
      <c r="J778" s="101">
        <v>470460.96</v>
      </c>
      <c r="K778" s="102">
        <v>453669.12</v>
      </c>
      <c r="L778" s="188"/>
    </row>
    <row r="779" spans="1:13" ht="18" x14ac:dyDescent="0.25">
      <c r="A779" s="1051" t="s">
        <v>123</v>
      </c>
      <c r="B779" s="1106" t="s">
        <v>1317</v>
      </c>
      <c r="C779" s="1611" t="s">
        <v>155</v>
      </c>
      <c r="D779" s="1611"/>
      <c r="E779" s="1611"/>
      <c r="F779" s="1602"/>
      <c r="G779" s="131" t="s">
        <v>156</v>
      </c>
      <c r="H779" s="101"/>
      <c r="I779" s="101">
        <v>15600</v>
      </c>
      <c r="J779" s="101">
        <v>15600</v>
      </c>
      <c r="K779" s="102">
        <v>15600</v>
      </c>
    </row>
    <row r="780" spans="1:13" ht="18" x14ac:dyDescent="0.25">
      <c r="A780" s="1051" t="s">
        <v>123</v>
      </c>
      <c r="B780" s="1106" t="s">
        <v>1317</v>
      </c>
      <c r="C780" s="1611" t="s">
        <v>157</v>
      </c>
      <c r="D780" s="1611"/>
      <c r="E780" s="1611"/>
      <c r="F780" s="1602"/>
      <c r="G780" s="131" t="s">
        <v>158</v>
      </c>
      <c r="H780" s="101"/>
      <c r="I780" s="101">
        <v>87668.73</v>
      </c>
      <c r="J780" s="101">
        <v>87668.73</v>
      </c>
      <c r="K780" s="102">
        <v>84980.34</v>
      </c>
    </row>
    <row r="781" spans="1:13" ht="18" x14ac:dyDescent="0.25">
      <c r="A781" s="1051" t="s">
        <v>123</v>
      </c>
      <c r="B781" s="1106" t="s">
        <v>1317</v>
      </c>
      <c r="C781" s="1611" t="s">
        <v>1546</v>
      </c>
      <c r="D781" s="1611"/>
      <c r="E781" s="1611"/>
      <c r="F781" s="1602"/>
      <c r="G781" s="131" t="s">
        <v>160</v>
      </c>
      <c r="H781" s="101"/>
      <c r="I781" s="101">
        <v>15600</v>
      </c>
      <c r="J781" s="101">
        <v>15600</v>
      </c>
      <c r="K781" s="102">
        <v>15600</v>
      </c>
    </row>
    <row r="782" spans="1:13" s="10" customFormat="1" ht="18" customHeight="1" x14ac:dyDescent="0.25">
      <c r="A782" s="1051" t="s">
        <v>163</v>
      </c>
      <c r="B782" s="1106" t="s">
        <v>1317</v>
      </c>
      <c r="C782" s="44" t="s">
        <v>353</v>
      </c>
      <c r="D782" s="113"/>
      <c r="E782" s="113"/>
      <c r="F782" s="114"/>
      <c r="G782" s="131" t="s">
        <v>165</v>
      </c>
      <c r="H782" s="101"/>
      <c r="I782" s="101">
        <v>80000</v>
      </c>
      <c r="J782" s="101">
        <v>80000</v>
      </c>
      <c r="K782" s="102">
        <v>80000</v>
      </c>
      <c r="M782"/>
    </row>
    <row r="783" spans="1:13" s="10" customFormat="1" ht="18" customHeight="1" x14ac:dyDescent="0.25">
      <c r="A783" s="1051" t="s">
        <v>163</v>
      </c>
      <c r="B783" s="1106" t="s">
        <v>1317</v>
      </c>
      <c r="C783" s="44" t="s">
        <v>166</v>
      </c>
      <c r="D783" s="113"/>
      <c r="E783" s="113"/>
      <c r="F783" s="114"/>
      <c r="G783" s="131"/>
      <c r="H783" s="101"/>
      <c r="I783" s="101"/>
      <c r="J783" s="101"/>
      <c r="K783" s="102">
        <v>50000</v>
      </c>
      <c r="M783"/>
    </row>
    <row r="784" spans="1:13" s="10" customFormat="1" ht="18" customHeight="1" x14ac:dyDescent="0.25">
      <c r="A784" s="1051" t="s">
        <v>163</v>
      </c>
      <c r="B784" s="1106" t="s">
        <v>1317</v>
      </c>
      <c r="C784" s="44" t="s">
        <v>168</v>
      </c>
      <c r="D784" s="113"/>
      <c r="E784" s="113"/>
      <c r="F784" s="114"/>
      <c r="G784" s="131" t="s">
        <v>169</v>
      </c>
      <c r="H784" s="101"/>
      <c r="I784" s="101">
        <v>242176</v>
      </c>
      <c r="J784" s="101">
        <v>242176</v>
      </c>
      <c r="K784" s="102">
        <v>242176</v>
      </c>
      <c r="M784"/>
    </row>
    <row r="785" spans="1:13" s="10" customFormat="1" ht="18" customHeight="1" x14ac:dyDescent="0.25">
      <c r="A785" s="1051" t="s">
        <v>163</v>
      </c>
      <c r="B785" s="1106" t="s">
        <v>1317</v>
      </c>
      <c r="C785" s="44" t="s">
        <v>213</v>
      </c>
      <c r="D785" s="113"/>
      <c r="E785" s="113"/>
      <c r="F785" s="114"/>
      <c r="G785" s="131" t="s">
        <v>171</v>
      </c>
      <c r="H785" s="101"/>
      <c r="I785" s="101">
        <v>118695.4</v>
      </c>
      <c r="J785" s="101">
        <v>118695.4</v>
      </c>
      <c r="K785" s="102">
        <v>118695.4</v>
      </c>
      <c r="M785"/>
    </row>
    <row r="786" spans="1:13" s="10" customFormat="1" ht="18" customHeight="1" x14ac:dyDescent="0.25">
      <c r="A786" s="1051" t="s">
        <v>163</v>
      </c>
      <c r="B786" s="1106" t="s">
        <v>1317</v>
      </c>
      <c r="C786" s="44" t="s">
        <v>178</v>
      </c>
      <c r="D786" s="113"/>
      <c r="E786" s="113"/>
      <c r="F786" s="114"/>
      <c r="G786" s="131" t="s">
        <v>179</v>
      </c>
      <c r="H786" s="101"/>
      <c r="I786" s="101">
        <v>60000</v>
      </c>
      <c r="J786" s="101">
        <v>60000</v>
      </c>
      <c r="K786" s="102">
        <v>60000</v>
      </c>
      <c r="M786"/>
    </row>
    <row r="787" spans="1:13" s="10" customFormat="1" ht="18" customHeight="1" x14ac:dyDescent="0.25">
      <c r="A787" s="1051" t="s">
        <v>163</v>
      </c>
      <c r="B787" s="1106" t="s">
        <v>1317</v>
      </c>
      <c r="C787" s="44" t="s">
        <v>182</v>
      </c>
      <c r="D787" s="113"/>
      <c r="E787" s="113"/>
      <c r="F787" s="114"/>
      <c r="G787" s="131" t="s">
        <v>183</v>
      </c>
      <c r="H787" s="101"/>
      <c r="I787" s="101">
        <v>50000</v>
      </c>
      <c r="J787" s="101">
        <v>50000</v>
      </c>
      <c r="K787" s="102">
        <v>50000</v>
      </c>
      <c r="M787"/>
    </row>
    <row r="788" spans="1:13" s="10" customFormat="1" ht="18" customHeight="1" x14ac:dyDescent="0.25">
      <c r="A788" s="1051" t="s">
        <v>163</v>
      </c>
      <c r="B788" s="1106" t="s">
        <v>1317</v>
      </c>
      <c r="C788" s="44" t="s">
        <v>186</v>
      </c>
      <c r="D788" s="113"/>
      <c r="E788" s="113"/>
      <c r="F788" s="114"/>
      <c r="G788" s="131"/>
      <c r="H788" s="101"/>
      <c r="I788" s="101">
        <v>30000</v>
      </c>
      <c r="J788" s="101">
        <v>30000</v>
      </c>
      <c r="K788" s="102">
        <v>30000</v>
      </c>
      <c r="M788"/>
    </row>
    <row r="789" spans="1:13" s="10" customFormat="1" ht="18" customHeight="1" x14ac:dyDescent="0.25">
      <c r="A789" s="1051" t="s">
        <v>163</v>
      </c>
      <c r="B789" s="1106" t="s">
        <v>1317</v>
      </c>
      <c r="C789" s="44" t="s">
        <v>357</v>
      </c>
      <c r="D789" s="113"/>
      <c r="E789" s="113"/>
      <c r="F789" s="114"/>
      <c r="G789" s="131" t="s">
        <v>237</v>
      </c>
      <c r="H789" s="101"/>
      <c r="I789" s="101">
        <v>10000</v>
      </c>
      <c r="J789" s="101">
        <v>10000</v>
      </c>
      <c r="K789" s="102"/>
      <c r="M789"/>
    </row>
    <row r="790" spans="1:13" s="10" customFormat="1" ht="18" customHeight="1" x14ac:dyDescent="0.25">
      <c r="A790" s="1051" t="s">
        <v>163</v>
      </c>
      <c r="B790" s="1106" t="s">
        <v>1317</v>
      </c>
      <c r="C790" s="44" t="s">
        <v>198</v>
      </c>
      <c r="D790" s="113"/>
      <c r="E790" s="113"/>
      <c r="F790" s="114"/>
      <c r="G790" s="131" t="s">
        <v>199</v>
      </c>
      <c r="H790" s="105"/>
      <c r="I790" s="105">
        <v>564993</v>
      </c>
      <c r="J790" s="105">
        <v>564993</v>
      </c>
      <c r="K790" s="106">
        <v>564993</v>
      </c>
      <c r="M790"/>
    </row>
    <row r="791" spans="1:13" s="48" customFormat="1" ht="18" customHeight="1" x14ac:dyDescent="0.25">
      <c r="A791" s="1051" t="s">
        <v>123</v>
      </c>
      <c r="B791" s="1106" t="s">
        <v>1317</v>
      </c>
      <c r="C791" s="1602" t="s">
        <v>124</v>
      </c>
      <c r="D791" s="1603"/>
      <c r="E791" s="1603"/>
      <c r="F791" s="1603"/>
      <c r="G791" s="131" t="s">
        <v>125</v>
      </c>
      <c r="H791" s="101"/>
      <c r="I791" s="101">
        <v>6976320</v>
      </c>
      <c r="J791" s="101">
        <v>6976320</v>
      </c>
      <c r="K791" s="102">
        <f>6720228+7152</f>
        <v>6727380</v>
      </c>
      <c r="L791" s="6"/>
    </row>
    <row r="792" spans="1:13" s="48" customFormat="1" ht="18" customHeight="1" x14ac:dyDescent="0.25">
      <c r="A792" s="1051" t="s">
        <v>123</v>
      </c>
      <c r="B792" s="1106" t="s">
        <v>1317</v>
      </c>
      <c r="C792" s="1602" t="s">
        <v>126</v>
      </c>
      <c r="D792" s="1603"/>
      <c r="E792" s="1603"/>
      <c r="F792" s="1603"/>
      <c r="G792" s="131" t="s">
        <v>127</v>
      </c>
      <c r="H792" s="101"/>
      <c r="I792" s="101">
        <v>1127232</v>
      </c>
      <c r="J792" s="101">
        <v>1127232</v>
      </c>
      <c r="K792" s="102">
        <v>1084800</v>
      </c>
      <c r="L792" s="6"/>
    </row>
    <row r="793" spans="1:13" s="48" customFormat="1" ht="18" customHeight="1" x14ac:dyDescent="0.25">
      <c r="A793" s="1051" t="s">
        <v>123</v>
      </c>
      <c r="B793" s="1106" t="s">
        <v>1317</v>
      </c>
      <c r="C793" s="1602" t="s">
        <v>129</v>
      </c>
      <c r="D793" s="1603"/>
      <c r="E793" s="1603"/>
      <c r="F793" s="1603"/>
      <c r="G793" s="132" t="s">
        <v>130</v>
      </c>
      <c r="H793" s="101"/>
      <c r="I793" s="101">
        <v>1080000</v>
      </c>
      <c r="J793" s="101">
        <v>1080000</v>
      </c>
      <c r="K793" s="102">
        <v>1080000</v>
      </c>
      <c r="L793" s="6"/>
    </row>
    <row r="794" spans="1:13" s="48" customFormat="1" ht="18" customHeight="1" x14ac:dyDescent="0.25">
      <c r="A794" s="1051" t="s">
        <v>123</v>
      </c>
      <c r="B794" s="1106" t="s">
        <v>1317</v>
      </c>
      <c r="C794" s="1602" t="s">
        <v>131</v>
      </c>
      <c r="D794" s="1603"/>
      <c r="E794" s="1603"/>
      <c r="F794" s="1603"/>
      <c r="G794" s="131" t="s">
        <v>132</v>
      </c>
      <c r="H794" s="101"/>
      <c r="I794" s="101">
        <v>72000</v>
      </c>
      <c r="J794" s="101">
        <v>72000</v>
      </c>
      <c r="K794" s="102">
        <v>72000</v>
      </c>
      <c r="L794" s="6"/>
    </row>
    <row r="795" spans="1:13" s="48" customFormat="1" ht="18" customHeight="1" x14ac:dyDescent="0.25">
      <c r="A795" s="1051" t="s">
        <v>123</v>
      </c>
      <c r="B795" s="1106" t="s">
        <v>1317</v>
      </c>
      <c r="C795" s="1602" t="s">
        <v>133</v>
      </c>
      <c r="D795" s="1603"/>
      <c r="E795" s="1603"/>
      <c r="F795" s="1603"/>
      <c r="G795" s="131" t="s">
        <v>134</v>
      </c>
      <c r="H795" s="101"/>
      <c r="I795" s="101">
        <v>72000</v>
      </c>
      <c r="J795" s="101">
        <v>72000</v>
      </c>
      <c r="K795" s="102">
        <v>72000</v>
      </c>
      <c r="L795" s="6"/>
    </row>
    <row r="796" spans="1:13" s="48" customFormat="1" ht="18" customHeight="1" x14ac:dyDescent="0.25">
      <c r="A796" s="1051" t="s">
        <v>123</v>
      </c>
      <c r="B796" s="1106" t="s">
        <v>1317</v>
      </c>
      <c r="C796" s="1602" t="s">
        <v>135</v>
      </c>
      <c r="D796" s="1603"/>
      <c r="E796" s="1603"/>
      <c r="F796" s="1603"/>
      <c r="G796" s="131" t="s">
        <v>136</v>
      </c>
      <c r="H796" s="101"/>
      <c r="I796" s="101">
        <v>481917.36</v>
      </c>
      <c r="J796" s="101">
        <v>481917.36</v>
      </c>
      <c r="K796" s="102">
        <v>481917.36</v>
      </c>
      <c r="L796" s="6"/>
    </row>
    <row r="797" spans="1:13" s="48" customFormat="1" ht="18" customHeight="1" x14ac:dyDescent="0.25">
      <c r="A797" s="1051" t="s">
        <v>123</v>
      </c>
      <c r="B797" s="1106" t="s">
        <v>1317</v>
      </c>
      <c r="C797" s="1602" t="s">
        <v>137</v>
      </c>
      <c r="D797" s="1603"/>
      <c r="E797" s="1603"/>
      <c r="F797" s="1603"/>
      <c r="G797" s="131" t="s">
        <v>138</v>
      </c>
      <c r="H797" s="101"/>
      <c r="I797" s="101">
        <v>270000</v>
      </c>
      <c r="J797" s="101">
        <v>270000</v>
      </c>
      <c r="K797" s="102">
        <v>270000</v>
      </c>
      <c r="L797" s="6"/>
    </row>
    <row r="798" spans="1:13" s="48" customFormat="1" ht="18" customHeight="1" x14ac:dyDescent="0.25">
      <c r="A798" s="1051" t="s">
        <v>123</v>
      </c>
      <c r="B798" s="1106" t="s">
        <v>1317</v>
      </c>
      <c r="C798" s="1602" t="s">
        <v>1541</v>
      </c>
      <c r="D798" s="1603"/>
      <c r="E798" s="1603"/>
      <c r="F798" s="1603"/>
      <c r="G798" s="131" t="s">
        <v>140</v>
      </c>
      <c r="H798" s="101"/>
      <c r="I798" s="101">
        <v>675296</v>
      </c>
      <c r="J798" s="101">
        <v>675296</v>
      </c>
      <c r="K798" s="102">
        <v>650509</v>
      </c>
      <c r="L798" s="6"/>
    </row>
    <row r="799" spans="1:13" s="48" customFormat="1" ht="18" customHeight="1" x14ac:dyDescent="0.25">
      <c r="A799" s="1051" t="s">
        <v>123</v>
      </c>
      <c r="B799" s="1106" t="s">
        <v>1317</v>
      </c>
      <c r="C799" s="1602" t="s">
        <v>141</v>
      </c>
      <c r="D799" s="1603"/>
      <c r="E799" s="1603"/>
      <c r="F799" s="1603"/>
      <c r="G799" s="131" t="s">
        <v>142</v>
      </c>
      <c r="H799" s="101"/>
      <c r="I799" s="101">
        <v>675296</v>
      </c>
      <c r="J799" s="101">
        <v>675296</v>
      </c>
      <c r="K799" s="102">
        <v>652048</v>
      </c>
      <c r="L799" s="6"/>
    </row>
    <row r="800" spans="1:13" s="48" customFormat="1" ht="18" customHeight="1" x14ac:dyDescent="0.25">
      <c r="A800" s="1051" t="s">
        <v>123</v>
      </c>
      <c r="B800" s="1106" t="s">
        <v>1317</v>
      </c>
      <c r="C800" s="1602" t="s">
        <v>1542</v>
      </c>
      <c r="D800" s="1603"/>
      <c r="E800" s="1603"/>
      <c r="F800" s="1603"/>
      <c r="G800" s="131"/>
      <c r="H800" s="101"/>
      <c r="I800" s="101"/>
      <c r="J800" s="101"/>
      <c r="K800" s="102"/>
      <c r="L800" s="6"/>
    </row>
    <row r="801" spans="1:12" s="48" customFormat="1" ht="18" customHeight="1" x14ac:dyDescent="0.25">
      <c r="A801" s="1051" t="s">
        <v>123</v>
      </c>
      <c r="B801" s="1106" t="s">
        <v>1317</v>
      </c>
      <c r="C801" s="1602" t="s">
        <v>143</v>
      </c>
      <c r="D801" s="1603"/>
      <c r="E801" s="1603"/>
      <c r="F801" s="1603"/>
      <c r="G801" s="131" t="s">
        <v>144</v>
      </c>
      <c r="H801" s="101"/>
      <c r="I801" s="101">
        <v>225000</v>
      </c>
      <c r="J801" s="101">
        <v>225000</v>
      </c>
      <c r="K801" s="102">
        <v>225000</v>
      </c>
      <c r="L801" s="6"/>
    </row>
    <row r="802" spans="1:12" s="48" customFormat="1" ht="18" customHeight="1" x14ac:dyDescent="0.25">
      <c r="A802" s="1051" t="s">
        <v>123</v>
      </c>
      <c r="B802" s="1106" t="s">
        <v>1317</v>
      </c>
      <c r="C802" s="1602" t="s">
        <v>1543</v>
      </c>
      <c r="D802" s="1603"/>
      <c r="E802" s="1603"/>
      <c r="F802" s="1603"/>
      <c r="G802" s="131" t="s">
        <v>146</v>
      </c>
      <c r="H802" s="101"/>
      <c r="I802" s="101">
        <v>225000</v>
      </c>
      <c r="J802" s="101">
        <v>225000</v>
      </c>
      <c r="K802" s="102">
        <v>225000</v>
      </c>
      <c r="L802" s="6"/>
    </row>
    <row r="803" spans="1:12" s="48" customFormat="1" ht="18" customHeight="1" x14ac:dyDescent="0.25">
      <c r="A803" s="1051" t="s">
        <v>123</v>
      </c>
      <c r="B803" s="1106" t="s">
        <v>1317</v>
      </c>
      <c r="C803" s="1602" t="s">
        <v>1633</v>
      </c>
      <c r="D803" s="1603"/>
      <c r="E803" s="1603"/>
      <c r="F803" s="1603"/>
      <c r="G803" s="131" t="s">
        <v>232</v>
      </c>
      <c r="H803" s="101"/>
      <c r="I803" s="101"/>
      <c r="J803" s="101"/>
      <c r="K803" s="102">
        <v>5000</v>
      </c>
      <c r="L803" s="6"/>
    </row>
    <row r="804" spans="1:12" s="48" customFormat="1" ht="18" customHeight="1" x14ac:dyDescent="0.25">
      <c r="A804" s="1051" t="s">
        <v>123</v>
      </c>
      <c r="B804" s="1106" t="s">
        <v>1317</v>
      </c>
      <c r="C804" s="1062" t="s">
        <v>147</v>
      </c>
      <c r="D804" s="1041"/>
      <c r="E804" s="1041"/>
      <c r="F804" s="1039"/>
      <c r="G804" s="131" t="s">
        <v>148</v>
      </c>
      <c r="H804" s="101"/>
      <c r="I804" s="101"/>
      <c r="J804" s="101"/>
      <c r="K804" s="102"/>
      <c r="L804" s="6"/>
    </row>
    <row r="805" spans="1:12" s="48" customFormat="1" ht="18" customHeight="1" x14ac:dyDescent="0.25">
      <c r="A805" s="1051" t="s">
        <v>123</v>
      </c>
      <c r="B805" s="1106" t="s">
        <v>1317</v>
      </c>
      <c r="C805" s="1611" t="s">
        <v>149</v>
      </c>
      <c r="D805" s="1611"/>
      <c r="E805" s="1611"/>
      <c r="F805" s="1602"/>
      <c r="G805" s="131" t="s">
        <v>232</v>
      </c>
      <c r="H805" s="101"/>
      <c r="I805" s="101"/>
      <c r="J805" s="101"/>
      <c r="K805" s="102"/>
      <c r="L805" s="6"/>
    </row>
    <row r="806" spans="1:12" s="48" customFormat="1" ht="18" customHeight="1" x14ac:dyDescent="0.25">
      <c r="A806" s="1051" t="s">
        <v>123</v>
      </c>
      <c r="B806" s="1106" t="s">
        <v>1317</v>
      </c>
      <c r="C806" s="1602" t="s">
        <v>1544</v>
      </c>
      <c r="D806" s="1603"/>
      <c r="E806" s="1603"/>
      <c r="F806" s="1603"/>
      <c r="G806" s="131" t="s">
        <v>148</v>
      </c>
      <c r="H806" s="101"/>
      <c r="I806" s="101"/>
      <c r="J806" s="101"/>
      <c r="K806" s="102"/>
      <c r="L806" s="6"/>
    </row>
    <row r="807" spans="1:12" s="48" customFormat="1" ht="18" customHeight="1" x14ac:dyDescent="0.25">
      <c r="A807" s="1051" t="s">
        <v>123</v>
      </c>
      <c r="B807" s="1106" t="s">
        <v>1317</v>
      </c>
      <c r="C807" s="1602" t="s">
        <v>1545</v>
      </c>
      <c r="D807" s="1603"/>
      <c r="E807" s="1603"/>
      <c r="F807" s="1603"/>
      <c r="G807" s="131" t="s">
        <v>154</v>
      </c>
      <c r="H807" s="101"/>
      <c r="I807" s="101">
        <v>972426.23999999999</v>
      </c>
      <c r="J807" s="101">
        <v>972426.23999999999</v>
      </c>
      <c r="K807" s="102">
        <v>937461.6</v>
      </c>
      <c r="L807" s="6"/>
    </row>
    <row r="808" spans="1:12" s="48" customFormat="1" ht="18" customHeight="1" x14ac:dyDescent="0.25">
      <c r="A808" s="1051" t="s">
        <v>123</v>
      </c>
      <c r="B808" s="1106" t="s">
        <v>1317</v>
      </c>
      <c r="C808" s="1602" t="s">
        <v>155</v>
      </c>
      <c r="D808" s="1603"/>
      <c r="E808" s="1603"/>
      <c r="F808" s="1603"/>
      <c r="G808" s="131" t="s">
        <v>156</v>
      </c>
      <c r="H808" s="101"/>
      <c r="I808" s="101">
        <v>54000</v>
      </c>
      <c r="J808" s="101">
        <v>54000</v>
      </c>
      <c r="K808" s="102">
        <v>54000</v>
      </c>
      <c r="L808" s="6"/>
    </row>
    <row r="809" spans="1:12" s="48" customFormat="1" ht="18" customHeight="1" x14ac:dyDescent="0.25">
      <c r="A809" s="1051" t="s">
        <v>123</v>
      </c>
      <c r="B809" s="1106" t="s">
        <v>1317</v>
      </c>
      <c r="C809" s="1602" t="s">
        <v>157</v>
      </c>
      <c r="D809" s="1603"/>
      <c r="E809" s="1603"/>
      <c r="F809" s="1603"/>
      <c r="G809" s="131" t="s">
        <v>158</v>
      </c>
      <c r="H809" s="101"/>
      <c r="I809" s="101">
        <v>182329.92</v>
      </c>
      <c r="J809" s="101">
        <v>182329.92</v>
      </c>
      <c r="K809" s="102">
        <v>175774.05</v>
      </c>
      <c r="L809" s="6"/>
    </row>
    <row r="810" spans="1:12" s="48" customFormat="1" ht="18" customHeight="1" x14ac:dyDescent="0.25">
      <c r="A810" s="1051" t="s">
        <v>123</v>
      </c>
      <c r="B810" s="1106" t="s">
        <v>1317</v>
      </c>
      <c r="C810" s="1611" t="s">
        <v>1546</v>
      </c>
      <c r="D810" s="1611"/>
      <c r="E810" s="1611"/>
      <c r="F810" s="1602"/>
      <c r="G810" s="131" t="s">
        <v>160</v>
      </c>
      <c r="H810" s="101"/>
      <c r="I810" s="101">
        <v>54000</v>
      </c>
      <c r="J810" s="101">
        <v>54000</v>
      </c>
      <c r="K810" s="102">
        <v>54000</v>
      </c>
      <c r="L810" s="6"/>
    </row>
    <row r="811" spans="1:12" s="48" customFormat="1" ht="18" customHeight="1" x14ac:dyDescent="0.25">
      <c r="A811" s="154" t="s">
        <v>163</v>
      </c>
      <c r="B811" s="1106" t="s">
        <v>1317</v>
      </c>
      <c r="C811" s="44" t="s">
        <v>353</v>
      </c>
      <c r="D811" s="125"/>
      <c r="E811" s="125"/>
      <c r="F811" s="134"/>
      <c r="G811" s="131" t="s">
        <v>165</v>
      </c>
      <c r="H811" s="101"/>
      <c r="I811" s="101">
        <v>80000</v>
      </c>
      <c r="J811" s="101">
        <v>80000</v>
      </c>
      <c r="K811" s="102">
        <v>80000</v>
      </c>
      <c r="L811" s="6"/>
    </row>
    <row r="812" spans="1:12" s="48" customFormat="1" ht="18" customHeight="1" x14ac:dyDescent="0.25">
      <c r="A812" s="154" t="s">
        <v>163</v>
      </c>
      <c r="B812" s="1106" t="s">
        <v>1317</v>
      </c>
      <c r="C812" s="44" t="s">
        <v>166</v>
      </c>
      <c r="D812" s="125"/>
      <c r="E812" s="125"/>
      <c r="F812" s="134"/>
      <c r="G812" s="131"/>
      <c r="H812" s="101"/>
      <c r="I812" s="101"/>
      <c r="J812" s="101"/>
      <c r="K812" s="102">
        <v>50000</v>
      </c>
      <c r="L812" s="6"/>
    </row>
    <row r="813" spans="1:12" s="48" customFormat="1" ht="18" customHeight="1" x14ac:dyDescent="0.25">
      <c r="A813" s="154" t="s">
        <v>163</v>
      </c>
      <c r="B813" s="1106" t="s">
        <v>1317</v>
      </c>
      <c r="C813" s="44" t="s">
        <v>168</v>
      </c>
      <c r="D813" s="125"/>
      <c r="E813" s="125"/>
      <c r="F813" s="134"/>
      <c r="G813" s="131" t="s">
        <v>169</v>
      </c>
      <c r="H813" s="101"/>
      <c r="I813" s="101">
        <v>426152.5</v>
      </c>
      <c r="J813" s="101">
        <v>426152.5</v>
      </c>
      <c r="K813" s="102">
        <v>426152.5</v>
      </c>
      <c r="L813" s="6"/>
    </row>
    <row r="814" spans="1:12" s="48" customFormat="1" ht="18" customHeight="1" x14ac:dyDescent="0.25">
      <c r="A814" s="154" t="s">
        <v>163</v>
      </c>
      <c r="B814" s="1106" t="s">
        <v>1317</v>
      </c>
      <c r="C814" s="44" t="s">
        <v>172</v>
      </c>
      <c r="D814" s="125"/>
      <c r="E814" s="125"/>
      <c r="F814" s="134"/>
      <c r="G814" s="131"/>
      <c r="H814" s="101"/>
      <c r="I814" s="101"/>
      <c r="J814" s="101"/>
      <c r="K814" s="102">
        <v>6269080</v>
      </c>
      <c r="L814" s="6"/>
    </row>
    <row r="815" spans="1:12" s="48" customFormat="1" ht="18" customHeight="1" x14ac:dyDescent="0.25">
      <c r="A815" s="154" t="s">
        <v>163</v>
      </c>
      <c r="B815" s="1106" t="s">
        <v>1317</v>
      </c>
      <c r="C815" s="44" t="s">
        <v>288</v>
      </c>
      <c r="D815" s="125"/>
      <c r="E815" s="125"/>
      <c r="F815" s="134"/>
      <c r="G815" s="131" t="s">
        <v>171</v>
      </c>
      <c r="H815" s="101"/>
      <c r="I815" s="101">
        <f>3589902+824200</f>
        <v>4414102</v>
      </c>
      <c r="J815" s="101">
        <f>3589902+824200</f>
        <v>4414102</v>
      </c>
      <c r="K815" s="102">
        <v>8476602</v>
      </c>
      <c r="L815" s="6"/>
    </row>
    <row r="816" spans="1:12" s="48" customFormat="1" ht="18" customHeight="1" x14ac:dyDescent="0.25">
      <c r="A816" s="154" t="s">
        <v>163</v>
      </c>
      <c r="B816" s="1106" t="s">
        <v>1317</v>
      </c>
      <c r="C816" s="44" t="s">
        <v>382</v>
      </c>
      <c r="D816" s="125"/>
      <c r="E816" s="125"/>
      <c r="F816" s="134"/>
      <c r="G816" s="131" t="s">
        <v>383</v>
      </c>
      <c r="H816" s="101"/>
      <c r="I816" s="101">
        <v>40000</v>
      </c>
      <c r="J816" s="101">
        <v>40000</v>
      </c>
      <c r="K816" s="102">
        <v>40000</v>
      </c>
      <c r="L816" s="6"/>
    </row>
    <row r="817" spans="1:12" s="48" customFormat="1" ht="18" customHeight="1" x14ac:dyDescent="0.25">
      <c r="A817" s="154" t="s">
        <v>163</v>
      </c>
      <c r="B817" s="1106" t="s">
        <v>1317</v>
      </c>
      <c r="C817" s="44" t="s">
        <v>384</v>
      </c>
      <c r="D817" s="125"/>
      <c r="E817" s="125"/>
      <c r="F817" s="134"/>
      <c r="G817" s="166" t="s">
        <v>385</v>
      </c>
      <c r="H817" s="101"/>
      <c r="I817" s="101">
        <v>10000000</v>
      </c>
      <c r="J817" s="101">
        <v>10000000</v>
      </c>
      <c r="K817" s="102">
        <v>10000000</v>
      </c>
      <c r="L817" s="6"/>
    </row>
    <row r="818" spans="1:12" s="48" customFormat="1" ht="18" customHeight="1" x14ac:dyDescent="0.25">
      <c r="A818" s="154" t="s">
        <v>163</v>
      </c>
      <c r="B818" s="1106" t="s">
        <v>1317</v>
      </c>
      <c r="C818" s="44" t="s">
        <v>178</v>
      </c>
      <c r="D818" s="125"/>
      <c r="E818" s="125"/>
      <c r="F818" s="134"/>
      <c r="G818" s="131" t="s">
        <v>179</v>
      </c>
      <c r="H818" s="101"/>
      <c r="I818" s="101">
        <v>50000</v>
      </c>
      <c r="J818" s="101">
        <v>50000</v>
      </c>
      <c r="K818" s="102">
        <v>50000</v>
      </c>
      <c r="L818" s="6"/>
    </row>
    <row r="819" spans="1:12" s="48" customFormat="1" ht="18" customHeight="1" x14ac:dyDescent="0.25">
      <c r="A819" s="154" t="s">
        <v>163</v>
      </c>
      <c r="B819" s="1106" t="s">
        <v>1317</v>
      </c>
      <c r="C819" s="44" t="s">
        <v>182</v>
      </c>
      <c r="D819" s="125"/>
      <c r="E819" s="125"/>
      <c r="F819" s="134"/>
      <c r="G819" s="131" t="s">
        <v>183</v>
      </c>
      <c r="H819" s="101"/>
      <c r="I819" s="101">
        <v>84000</v>
      </c>
      <c r="J819" s="101">
        <v>84000</v>
      </c>
      <c r="K819" s="102">
        <v>84000</v>
      </c>
      <c r="L819" s="6"/>
    </row>
    <row r="820" spans="1:12" s="48" customFormat="1" ht="18" customHeight="1" x14ac:dyDescent="0.25">
      <c r="A820" s="154" t="s">
        <v>163</v>
      </c>
      <c r="B820" s="1106" t="s">
        <v>1317</v>
      </c>
      <c r="C820" s="44" t="s">
        <v>386</v>
      </c>
      <c r="D820" s="125"/>
      <c r="E820" s="125"/>
      <c r="F820" s="134"/>
      <c r="G820" s="131" t="s">
        <v>187</v>
      </c>
      <c r="H820" s="102"/>
      <c r="I820" s="102">
        <v>700000</v>
      </c>
      <c r="J820" s="102">
        <v>700000</v>
      </c>
      <c r="K820" s="102">
        <v>1280000</v>
      </c>
      <c r="L820" s="6"/>
    </row>
    <row r="821" spans="1:12" s="48" customFormat="1" ht="36.75" customHeight="1" x14ac:dyDescent="0.25">
      <c r="A821" s="154" t="s">
        <v>163</v>
      </c>
      <c r="B821" s="1106" t="s">
        <v>1317</v>
      </c>
      <c r="C821" s="1574" t="s">
        <v>1634</v>
      </c>
      <c r="D821" s="1574"/>
      <c r="E821" s="1574"/>
      <c r="F821" s="134"/>
      <c r="G821" s="131" t="s">
        <v>391</v>
      </c>
      <c r="H821" s="102"/>
      <c r="I821" s="102">
        <v>500000</v>
      </c>
      <c r="J821" s="102">
        <v>500000</v>
      </c>
      <c r="K821" s="102">
        <f>750000+600000</f>
        <v>1350000</v>
      </c>
      <c r="L821" s="222"/>
    </row>
    <row r="822" spans="1:12" s="48" customFormat="1" ht="18" customHeight="1" x14ac:dyDescent="0.25">
      <c r="A822" s="154" t="s">
        <v>163</v>
      </c>
      <c r="B822" s="1106" t="s">
        <v>1317</v>
      </c>
      <c r="C822" s="44" t="s">
        <v>392</v>
      </c>
      <c r="D822" s="125"/>
      <c r="E822" s="125"/>
      <c r="F822" s="134"/>
      <c r="G822" s="131" t="s">
        <v>189</v>
      </c>
      <c r="H822" s="102"/>
      <c r="I822" s="102">
        <v>7522796</v>
      </c>
      <c r="J822" s="102">
        <v>7522796</v>
      </c>
      <c r="K822" s="102">
        <v>7522796</v>
      </c>
      <c r="L822" s="6"/>
    </row>
    <row r="823" spans="1:12" s="146" customFormat="1" ht="17.45" customHeight="1" x14ac:dyDescent="0.25">
      <c r="A823" s="154" t="s">
        <v>163</v>
      </c>
      <c r="B823" s="1106" t="s">
        <v>1317</v>
      </c>
      <c r="C823" s="38" t="s">
        <v>1635</v>
      </c>
      <c r="D823" s="199"/>
      <c r="E823" s="199"/>
      <c r="F823" s="1039"/>
      <c r="G823" s="100"/>
      <c r="H823" s="101"/>
      <c r="I823" s="101">
        <v>3420000</v>
      </c>
      <c r="J823" s="101">
        <v>3420000</v>
      </c>
      <c r="K823" s="102">
        <f>3420000+300000</f>
        <v>3720000</v>
      </c>
      <c r="L823" s="10"/>
    </row>
    <row r="824" spans="1:12" s="227" customFormat="1" ht="18" customHeight="1" x14ac:dyDescent="0.25">
      <c r="A824" s="154" t="s">
        <v>163</v>
      </c>
      <c r="B824" s="1106" t="s">
        <v>1317</v>
      </c>
      <c r="C824" s="180" t="s">
        <v>394</v>
      </c>
      <c r="D824" s="225"/>
      <c r="E824" s="225"/>
      <c r="F824" s="226"/>
      <c r="G824" s="176" t="s">
        <v>395</v>
      </c>
      <c r="H824" s="101"/>
      <c r="I824" s="101"/>
      <c r="J824" s="101"/>
      <c r="K824" s="102"/>
      <c r="L824" s="177"/>
    </row>
    <row r="825" spans="1:12" s="179" customFormat="1" ht="18" customHeight="1" x14ac:dyDescent="0.25">
      <c r="A825" s="154" t="s">
        <v>163</v>
      </c>
      <c r="B825" s="1106" t="s">
        <v>1317</v>
      </c>
      <c r="C825" s="180" t="s">
        <v>396</v>
      </c>
      <c r="D825" s="225"/>
      <c r="E825" s="225"/>
      <c r="F825" s="226"/>
      <c r="G825" s="176" t="s">
        <v>395</v>
      </c>
      <c r="H825" s="101"/>
      <c r="I825" s="101">
        <v>339000</v>
      </c>
      <c r="J825" s="101">
        <v>339000</v>
      </c>
      <c r="K825" s="102">
        <v>339000</v>
      </c>
      <c r="L825" s="177"/>
    </row>
    <row r="826" spans="1:12" s="179" customFormat="1" ht="18" customHeight="1" x14ac:dyDescent="0.25">
      <c r="A826" s="154" t="s">
        <v>163</v>
      </c>
      <c r="B826" s="1106" t="s">
        <v>1317</v>
      </c>
      <c r="C826" s="180" t="s">
        <v>397</v>
      </c>
      <c r="D826" s="225"/>
      <c r="E826" s="225"/>
      <c r="F826" s="226"/>
      <c r="G826" s="176" t="s">
        <v>395</v>
      </c>
      <c r="H826" s="101"/>
      <c r="I826" s="101">
        <v>1465000</v>
      </c>
      <c r="J826" s="101">
        <v>1465000</v>
      </c>
      <c r="K826" s="102">
        <v>1465000</v>
      </c>
      <c r="L826" s="177"/>
    </row>
    <row r="827" spans="1:12" s="179" customFormat="1" ht="18" customHeight="1" x14ac:dyDescent="0.25">
      <c r="A827" s="154" t="s">
        <v>163</v>
      </c>
      <c r="B827" s="1106" t="s">
        <v>1317</v>
      </c>
      <c r="C827" s="180" t="s">
        <v>398</v>
      </c>
      <c r="D827" s="225"/>
      <c r="E827" s="225"/>
      <c r="F827" s="226"/>
      <c r="G827" s="176" t="s">
        <v>395</v>
      </c>
      <c r="H827" s="101"/>
      <c r="I827" s="101">
        <v>55900</v>
      </c>
      <c r="J827" s="101">
        <v>55900</v>
      </c>
      <c r="K827" s="102">
        <v>55900</v>
      </c>
      <c r="L827" s="177"/>
    </row>
    <row r="828" spans="1:12" s="212" customFormat="1" ht="18" customHeight="1" x14ac:dyDescent="0.25">
      <c r="A828" s="154" t="s">
        <v>163</v>
      </c>
      <c r="B828" s="1106" t="s">
        <v>1317</v>
      </c>
      <c r="C828" s="44" t="s">
        <v>399</v>
      </c>
      <c r="D828" s="125"/>
      <c r="E828" s="125"/>
      <c r="F828" s="134"/>
      <c r="G828" s="131" t="s">
        <v>395</v>
      </c>
      <c r="H828" s="101"/>
      <c r="I828" s="101">
        <v>760000</v>
      </c>
      <c r="J828" s="101">
        <v>760000</v>
      </c>
      <c r="K828" s="102">
        <v>760000</v>
      </c>
      <c r="L828" s="6"/>
    </row>
    <row r="829" spans="1:12" s="229" customFormat="1" ht="18" customHeight="1" x14ac:dyDescent="0.25">
      <c r="A829" s="154" t="s">
        <v>163</v>
      </c>
      <c r="B829" s="1106" t="s">
        <v>1317</v>
      </c>
      <c r="C829" s="44" t="s">
        <v>1636</v>
      </c>
      <c r="D829" s="44"/>
      <c r="E829" s="44"/>
      <c r="F829" s="245"/>
      <c r="G829" s="172"/>
      <c r="H829" s="102"/>
      <c r="I829" s="102">
        <v>210600</v>
      </c>
      <c r="J829" s="102">
        <v>210600</v>
      </c>
      <c r="K829" s="102">
        <v>210600</v>
      </c>
      <c r="L829" s="6"/>
    </row>
    <row r="830" spans="1:12" s="212" customFormat="1" ht="18" customHeight="1" x14ac:dyDescent="0.25">
      <c r="A830" s="154" t="s">
        <v>163</v>
      </c>
      <c r="B830" s="1106" t="s">
        <v>1317</v>
      </c>
      <c r="C830" s="44" t="s">
        <v>400</v>
      </c>
      <c r="D830" s="125"/>
      <c r="E830" s="125"/>
      <c r="F830" s="134"/>
      <c r="G830" s="131" t="s">
        <v>237</v>
      </c>
      <c r="H830" s="101"/>
      <c r="I830" s="101">
        <v>6000</v>
      </c>
      <c r="J830" s="101">
        <v>6000</v>
      </c>
      <c r="K830" s="102"/>
      <c r="L830" s="207"/>
    </row>
    <row r="831" spans="1:12" s="212" customFormat="1" ht="18" customHeight="1" x14ac:dyDescent="0.25">
      <c r="A831" s="154" t="s">
        <v>163</v>
      </c>
      <c r="B831" s="1106" t="s">
        <v>1317</v>
      </c>
      <c r="C831" s="44" t="s">
        <v>198</v>
      </c>
      <c r="D831" s="125"/>
      <c r="E831" s="125"/>
      <c r="F831" s="134"/>
      <c r="G831" s="131" t="s">
        <v>199</v>
      </c>
      <c r="H831" s="101"/>
      <c r="I831" s="101">
        <v>4375332</v>
      </c>
      <c r="J831" s="101">
        <v>4375332</v>
      </c>
      <c r="K831" s="102">
        <v>4375332</v>
      </c>
      <c r="L831" s="207"/>
    </row>
    <row r="832" spans="1:12" s="146" customFormat="1" ht="17.45" customHeight="1" x14ac:dyDescent="0.25">
      <c r="A832" s="154" t="s">
        <v>163</v>
      </c>
      <c r="B832" s="1106" t="s">
        <v>1317</v>
      </c>
      <c r="C832" s="38" t="s">
        <v>1637</v>
      </c>
      <c r="D832" s="199"/>
      <c r="E832" s="199"/>
      <c r="F832" s="1039"/>
      <c r="G832" s="1175"/>
      <c r="H832" s="105"/>
      <c r="I832" s="105">
        <v>3000000</v>
      </c>
      <c r="J832" s="105">
        <v>3000000</v>
      </c>
      <c r="K832" s="106">
        <v>3000000</v>
      </c>
      <c r="L832" s="10"/>
    </row>
    <row r="833" spans="1:12" s="313" customFormat="1" ht="17.45" customHeight="1" x14ac:dyDescent="0.25">
      <c r="A833" s="1081" t="s">
        <v>201</v>
      </c>
      <c r="B833" s="1106" t="s">
        <v>1317</v>
      </c>
      <c r="C833" s="180" t="s">
        <v>1638</v>
      </c>
      <c r="D833" s="427"/>
      <c r="E833" s="427"/>
      <c r="F833" s="1080"/>
      <c r="G833" s="1177"/>
      <c r="H833" s="101"/>
      <c r="I833" s="101">
        <v>2200000</v>
      </c>
      <c r="J833" s="101">
        <v>2200000</v>
      </c>
      <c r="K833" s="102">
        <v>2200000</v>
      </c>
      <c r="L833" s="193"/>
    </row>
    <row r="834" spans="1:12" s="146" customFormat="1" ht="18" x14ac:dyDescent="0.25">
      <c r="A834" s="1051" t="s">
        <v>123</v>
      </c>
      <c r="B834" s="1106" t="s">
        <v>1317</v>
      </c>
      <c r="C834" s="1602" t="s">
        <v>124</v>
      </c>
      <c r="D834" s="1603"/>
      <c r="E834" s="1603"/>
      <c r="F834" s="1603"/>
      <c r="G834" s="131" t="s">
        <v>125</v>
      </c>
      <c r="H834" s="101"/>
      <c r="I834" s="101">
        <v>5267484</v>
      </c>
      <c r="J834" s="101">
        <v>5267484</v>
      </c>
      <c r="K834" s="102">
        <f>5082684+233</f>
        <v>5082917</v>
      </c>
      <c r="L834" s="10"/>
    </row>
    <row r="835" spans="1:12" s="146" customFormat="1" ht="18" x14ac:dyDescent="0.25">
      <c r="A835" s="1051" t="s">
        <v>123</v>
      </c>
      <c r="B835" s="1106" t="s">
        <v>1317</v>
      </c>
      <c r="C835" s="1602" t="s">
        <v>129</v>
      </c>
      <c r="D835" s="1603"/>
      <c r="E835" s="1603"/>
      <c r="F835" s="1603"/>
      <c r="G835" s="131" t="s">
        <v>130</v>
      </c>
      <c r="H835" s="101"/>
      <c r="I835" s="101">
        <v>432000</v>
      </c>
      <c r="J835" s="101">
        <v>432000</v>
      </c>
      <c r="K835" s="102">
        <v>432000</v>
      </c>
      <c r="L835" s="10"/>
    </row>
    <row r="836" spans="1:12" s="146" customFormat="1" ht="18" x14ac:dyDescent="0.25">
      <c r="A836" s="1051" t="s">
        <v>123</v>
      </c>
      <c r="B836" s="1106" t="s">
        <v>1317</v>
      </c>
      <c r="C836" s="1602" t="s">
        <v>131</v>
      </c>
      <c r="D836" s="1603"/>
      <c r="E836" s="1603"/>
      <c r="F836" s="1603"/>
      <c r="G836" s="131" t="s">
        <v>132</v>
      </c>
      <c r="H836" s="101"/>
      <c r="I836" s="101">
        <v>120000</v>
      </c>
      <c r="J836" s="101">
        <v>120000</v>
      </c>
      <c r="K836" s="102">
        <v>120000</v>
      </c>
      <c r="L836" s="10"/>
    </row>
    <row r="837" spans="1:12" s="146" customFormat="1" ht="18" x14ac:dyDescent="0.25">
      <c r="A837" s="1051" t="s">
        <v>123</v>
      </c>
      <c r="B837" s="1106" t="s">
        <v>1317</v>
      </c>
      <c r="C837" s="1602" t="s">
        <v>133</v>
      </c>
      <c r="D837" s="1603"/>
      <c r="E837" s="1603"/>
      <c r="F837" s="1603"/>
      <c r="G837" s="131" t="s">
        <v>134</v>
      </c>
      <c r="H837" s="101"/>
      <c r="I837" s="101">
        <v>120000</v>
      </c>
      <c r="J837" s="101">
        <v>120000</v>
      </c>
      <c r="K837" s="102">
        <v>120000</v>
      </c>
      <c r="L837" s="10"/>
    </row>
    <row r="838" spans="1:12" s="146" customFormat="1" ht="18" x14ac:dyDescent="0.25">
      <c r="A838" s="1051" t="s">
        <v>123</v>
      </c>
      <c r="B838" s="1106" t="s">
        <v>1317</v>
      </c>
      <c r="C838" s="1611" t="s">
        <v>135</v>
      </c>
      <c r="D838" s="1611"/>
      <c r="E838" s="1611"/>
      <c r="F838" s="1602"/>
      <c r="G838" s="131" t="s">
        <v>136</v>
      </c>
      <c r="H838" s="101"/>
      <c r="I838" s="101">
        <v>131284.43</v>
      </c>
      <c r="J838" s="101">
        <v>131284.43</v>
      </c>
      <c r="K838" s="102">
        <v>131284.43</v>
      </c>
      <c r="L838" s="10"/>
    </row>
    <row r="839" spans="1:12" s="146" customFormat="1" ht="18" x14ac:dyDescent="0.25">
      <c r="A839" s="1051" t="s">
        <v>123</v>
      </c>
      <c r="B839" s="1106" t="s">
        <v>1317</v>
      </c>
      <c r="C839" s="1611" t="s">
        <v>137</v>
      </c>
      <c r="D839" s="1611"/>
      <c r="E839" s="1611"/>
      <c r="F839" s="1602"/>
      <c r="G839" s="131" t="s">
        <v>138</v>
      </c>
      <c r="H839" s="101"/>
      <c r="I839" s="101">
        <v>108000</v>
      </c>
      <c r="J839" s="101">
        <v>108000</v>
      </c>
      <c r="K839" s="102">
        <v>108000</v>
      </c>
      <c r="L839" s="10"/>
    </row>
    <row r="840" spans="1:12" s="146" customFormat="1" ht="18" x14ac:dyDescent="0.25">
      <c r="A840" s="1051" t="s">
        <v>123</v>
      </c>
      <c r="B840" s="1106" t="s">
        <v>1317</v>
      </c>
      <c r="C840" s="1042" t="s">
        <v>1567</v>
      </c>
      <c r="D840" s="1041"/>
      <c r="E840" s="1041"/>
      <c r="F840" s="1039"/>
      <c r="G840" s="131"/>
      <c r="H840" s="101"/>
      <c r="I840" s="101">
        <v>2360794.88</v>
      </c>
      <c r="J840" s="101">
        <v>2360794.88</v>
      </c>
      <c r="K840" s="102"/>
      <c r="L840" s="10"/>
    </row>
    <row r="841" spans="1:12" s="146" customFormat="1" ht="18" customHeight="1" x14ac:dyDescent="0.25">
      <c r="A841" s="1051" t="s">
        <v>123</v>
      </c>
      <c r="B841" s="1106" t="s">
        <v>1317</v>
      </c>
      <c r="C841" s="1611" t="s">
        <v>1541</v>
      </c>
      <c r="D841" s="1611"/>
      <c r="E841" s="1611"/>
      <c r="F841" s="1602"/>
      <c r="G841" s="131" t="s">
        <v>140</v>
      </c>
      <c r="H841" s="101"/>
      <c r="I841" s="101">
        <v>438957</v>
      </c>
      <c r="J841" s="101">
        <v>438957</v>
      </c>
      <c r="K841" s="102">
        <v>423557</v>
      </c>
      <c r="L841" s="10"/>
    </row>
    <row r="842" spans="1:12" s="146" customFormat="1" ht="18" x14ac:dyDescent="0.25">
      <c r="A842" s="1051" t="s">
        <v>123</v>
      </c>
      <c r="B842" s="1106" t="s">
        <v>1317</v>
      </c>
      <c r="C842" s="1611" t="s">
        <v>141</v>
      </c>
      <c r="D842" s="1611"/>
      <c r="E842" s="1611"/>
      <c r="F842" s="1602"/>
      <c r="G842" s="131" t="s">
        <v>142</v>
      </c>
      <c r="H842" s="101"/>
      <c r="I842" s="101">
        <v>438957</v>
      </c>
      <c r="J842" s="101">
        <v>438957</v>
      </c>
      <c r="K842" s="102">
        <v>423557</v>
      </c>
      <c r="L842" s="10"/>
    </row>
    <row r="843" spans="1:12" s="146" customFormat="1" ht="18" x14ac:dyDescent="0.25">
      <c r="A843" s="1051" t="s">
        <v>123</v>
      </c>
      <c r="B843" s="1106" t="s">
        <v>1317</v>
      </c>
      <c r="C843" s="1611" t="s">
        <v>1542</v>
      </c>
      <c r="D843" s="1611"/>
      <c r="E843" s="1611"/>
      <c r="F843" s="1602"/>
      <c r="G843" s="131"/>
      <c r="H843" s="101"/>
      <c r="I843" s="101"/>
      <c r="J843" s="101"/>
      <c r="K843" s="102"/>
      <c r="L843" s="10"/>
    </row>
    <row r="844" spans="1:12" s="146" customFormat="1" ht="18" x14ac:dyDescent="0.25">
      <c r="A844" s="1051" t="s">
        <v>123</v>
      </c>
      <c r="B844" s="1106" t="s">
        <v>1317</v>
      </c>
      <c r="C844" s="1602" t="s">
        <v>143</v>
      </c>
      <c r="D844" s="1603"/>
      <c r="E844" s="1603"/>
      <c r="F844" s="1603"/>
      <c r="G844" s="131" t="s">
        <v>144</v>
      </c>
      <c r="H844" s="101"/>
      <c r="I844" s="101">
        <v>90000</v>
      </c>
      <c r="J844" s="101">
        <v>90000</v>
      </c>
      <c r="K844" s="102">
        <v>90000</v>
      </c>
      <c r="L844" s="10"/>
    </row>
    <row r="845" spans="1:12" s="146" customFormat="1" ht="18" x14ac:dyDescent="0.25">
      <c r="A845" s="1051" t="s">
        <v>123</v>
      </c>
      <c r="B845" s="1106" t="s">
        <v>1317</v>
      </c>
      <c r="C845" s="1602" t="s">
        <v>1543</v>
      </c>
      <c r="D845" s="1603"/>
      <c r="E845" s="1603"/>
      <c r="F845" s="1603"/>
      <c r="G845" s="131" t="s">
        <v>146</v>
      </c>
      <c r="H845" s="101"/>
      <c r="I845" s="101">
        <v>90000</v>
      </c>
      <c r="J845" s="101">
        <v>90000</v>
      </c>
      <c r="K845" s="102">
        <v>90000</v>
      </c>
      <c r="L845" s="10"/>
    </row>
    <row r="846" spans="1:12" s="146" customFormat="1" ht="18" x14ac:dyDescent="0.25">
      <c r="A846" s="1051" t="s">
        <v>123</v>
      </c>
      <c r="B846" s="1106" t="s">
        <v>1317</v>
      </c>
      <c r="C846" s="1602" t="s">
        <v>1568</v>
      </c>
      <c r="D846" s="1603"/>
      <c r="E846" s="1603"/>
      <c r="F846" s="1603"/>
      <c r="G846" s="131" t="s">
        <v>232</v>
      </c>
      <c r="H846" s="101"/>
      <c r="I846" s="101"/>
      <c r="J846" s="101"/>
      <c r="K846" s="102">
        <v>5000</v>
      </c>
      <c r="L846" s="10"/>
    </row>
    <row r="847" spans="1:12" s="146" customFormat="1" ht="18" x14ac:dyDescent="0.25">
      <c r="A847" s="1051" t="s">
        <v>123</v>
      </c>
      <c r="B847" s="1106" t="s">
        <v>1317</v>
      </c>
      <c r="C847" s="1062" t="s">
        <v>147</v>
      </c>
      <c r="D847" s="1041"/>
      <c r="E847" s="1041"/>
      <c r="F847" s="1039"/>
      <c r="G847" s="131" t="s">
        <v>148</v>
      </c>
      <c r="H847" s="101"/>
      <c r="I847" s="101"/>
      <c r="J847" s="101"/>
      <c r="K847" s="102"/>
      <c r="L847" s="10"/>
    </row>
    <row r="848" spans="1:12" s="146" customFormat="1" ht="18" x14ac:dyDescent="0.25">
      <c r="A848" s="1051" t="s">
        <v>123</v>
      </c>
      <c r="B848" s="1106" t="s">
        <v>1317</v>
      </c>
      <c r="C848" s="1611" t="s">
        <v>149</v>
      </c>
      <c r="D848" s="1611"/>
      <c r="E848" s="1611"/>
      <c r="F848" s="1602"/>
      <c r="G848" s="131" t="s">
        <v>150</v>
      </c>
      <c r="H848" s="101"/>
      <c r="I848" s="101"/>
      <c r="J848" s="101"/>
      <c r="K848" s="102"/>
      <c r="L848" s="10"/>
    </row>
    <row r="849" spans="1:12" s="146" customFormat="1" ht="18" x14ac:dyDescent="0.25">
      <c r="A849" s="1051" t="s">
        <v>123</v>
      </c>
      <c r="B849" s="1106" t="s">
        <v>1317</v>
      </c>
      <c r="C849" s="1602" t="s">
        <v>1544</v>
      </c>
      <c r="D849" s="1603"/>
      <c r="E849" s="1603"/>
      <c r="F849" s="1603"/>
      <c r="G849" s="131" t="s">
        <v>148</v>
      </c>
      <c r="H849" s="101"/>
      <c r="I849" s="101"/>
      <c r="J849" s="101"/>
      <c r="K849" s="102"/>
      <c r="L849" s="10"/>
    </row>
    <row r="850" spans="1:12" s="146" customFormat="1" ht="18" x14ac:dyDescent="0.25">
      <c r="A850" s="1051" t="s">
        <v>123</v>
      </c>
      <c r="B850" s="1106" t="s">
        <v>1317</v>
      </c>
      <c r="C850" s="1602" t="s">
        <v>1545</v>
      </c>
      <c r="D850" s="1603"/>
      <c r="E850" s="1603"/>
      <c r="F850" s="1603"/>
      <c r="G850" s="131" t="s">
        <v>154</v>
      </c>
      <c r="H850" s="101"/>
      <c r="I850" s="101">
        <v>632098.07999999996</v>
      </c>
      <c r="J850" s="101">
        <v>632098.07999999996</v>
      </c>
      <c r="K850" s="102">
        <v>609950.04</v>
      </c>
      <c r="L850" s="10"/>
    </row>
    <row r="851" spans="1:12" s="146" customFormat="1" ht="18" x14ac:dyDescent="0.25">
      <c r="A851" s="1051" t="s">
        <v>123</v>
      </c>
      <c r="B851" s="1106" t="s">
        <v>1317</v>
      </c>
      <c r="C851" s="1602" t="s">
        <v>155</v>
      </c>
      <c r="D851" s="1603"/>
      <c r="E851" s="1603"/>
      <c r="F851" s="1603"/>
      <c r="G851" s="131" t="s">
        <v>156</v>
      </c>
      <c r="H851" s="101"/>
      <c r="I851" s="101">
        <v>21600</v>
      </c>
      <c r="J851" s="101">
        <v>21600</v>
      </c>
      <c r="K851" s="102">
        <v>21600</v>
      </c>
      <c r="L851" s="10"/>
    </row>
    <row r="852" spans="1:12" s="146" customFormat="1" ht="18" x14ac:dyDescent="0.25">
      <c r="A852" s="1051" t="s">
        <v>123</v>
      </c>
      <c r="B852" s="1106" t="s">
        <v>1317</v>
      </c>
      <c r="C852" s="1602" t="s">
        <v>157</v>
      </c>
      <c r="D852" s="1603"/>
      <c r="E852" s="1603"/>
      <c r="F852" s="1603"/>
      <c r="G852" s="131" t="s">
        <v>158</v>
      </c>
      <c r="H852" s="101"/>
      <c r="I852" s="101">
        <v>118518.39</v>
      </c>
      <c r="J852" s="101">
        <v>118518.39</v>
      </c>
      <c r="K852" s="102">
        <v>114365.63</v>
      </c>
      <c r="L852" s="10"/>
    </row>
    <row r="853" spans="1:12" s="146" customFormat="1" ht="18" x14ac:dyDescent="0.25">
      <c r="A853" s="1051" t="s">
        <v>123</v>
      </c>
      <c r="B853" s="1106" t="s">
        <v>1317</v>
      </c>
      <c r="C853" s="1611" t="s">
        <v>1546</v>
      </c>
      <c r="D853" s="1611"/>
      <c r="E853" s="1611"/>
      <c r="F853" s="1602"/>
      <c r="G853" s="131" t="s">
        <v>160</v>
      </c>
      <c r="H853" s="101"/>
      <c r="I853" s="101">
        <v>21600</v>
      </c>
      <c r="J853" s="101">
        <v>21600</v>
      </c>
      <c r="K853" s="102">
        <v>21600</v>
      </c>
      <c r="L853" s="10"/>
    </row>
    <row r="854" spans="1:12" s="229" customFormat="1" ht="18" customHeight="1" x14ac:dyDescent="0.25">
      <c r="A854" s="154" t="s">
        <v>163</v>
      </c>
      <c r="B854" s="1106" t="s">
        <v>1317</v>
      </c>
      <c r="C854" s="44" t="s">
        <v>353</v>
      </c>
      <c r="D854" s="125"/>
      <c r="E854" s="125"/>
      <c r="F854" s="134"/>
      <c r="G854" s="131" t="s">
        <v>165</v>
      </c>
      <c r="H854" s="101"/>
      <c r="I854" s="101">
        <v>58500</v>
      </c>
      <c r="J854" s="101">
        <v>58500</v>
      </c>
      <c r="K854" s="102">
        <v>58500</v>
      </c>
      <c r="L854" s="207"/>
    </row>
    <row r="855" spans="1:12" s="229" customFormat="1" ht="18" customHeight="1" x14ac:dyDescent="0.25">
      <c r="A855" s="154" t="s">
        <v>163</v>
      </c>
      <c r="B855" s="1106" t="s">
        <v>1317</v>
      </c>
      <c r="C855" s="44" t="s">
        <v>166</v>
      </c>
      <c r="D855" s="125"/>
      <c r="E855" s="125"/>
      <c r="F855" s="134"/>
      <c r="G855" s="131"/>
      <c r="H855" s="101"/>
      <c r="I855" s="101"/>
      <c r="J855" s="101"/>
      <c r="K855" s="102">
        <v>50000</v>
      </c>
      <c r="L855" s="207"/>
    </row>
    <row r="856" spans="1:12" s="229" customFormat="1" ht="18" customHeight="1" x14ac:dyDescent="0.25">
      <c r="A856" s="154" t="s">
        <v>163</v>
      </c>
      <c r="B856" s="1106" t="s">
        <v>1317</v>
      </c>
      <c r="C856" s="44" t="s">
        <v>168</v>
      </c>
      <c r="D856" s="125"/>
      <c r="E856" s="125"/>
      <c r="F856" s="134"/>
      <c r="G856" s="131" t="s">
        <v>169</v>
      </c>
      <c r="H856" s="101"/>
      <c r="I856" s="101">
        <v>240976</v>
      </c>
      <c r="J856" s="101">
        <v>240976</v>
      </c>
      <c r="K856" s="102">
        <v>240976</v>
      </c>
      <c r="L856" s="207"/>
    </row>
    <row r="857" spans="1:12" s="229" customFormat="1" ht="18" customHeight="1" x14ac:dyDescent="0.25">
      <c r="A857" s="154" t="s">
        <v>163</v>
      </c>
      <c r="B857" s="1106" t="s">
        <v>1317</v>
      </c>
      <c r="C857" s="44" t="s">
        <v>426</v>
      </c>
      <c r="D857" s="125"/>
      <c r="E857" s="125"/>
      <c r="F857" s="134"/>
      <c r="G857" s="131" t="s">
        <v>427</v>
      </c>
      <c r="H857" s="101"/>
      <c r="I857" s="101">
        <v>956025</v>
      </c>
      <c r="J857" s="101">
        <v>956025</v>
      </c>
      <c r="K857" s="102">
        <v>956025</v>
      </c>
      <c r="L857" s="207"/>
    </row>
    <row r="858" spans="1:12" s="229" customFormat="1" ht="18" x14ac:dyDescent="0.25">
      <c r="A858" s="154" t="s">
        <v>163</v>
      </c>
      <c r="B858" s="1106" t="s">
        <v>1317</v>
      </c>
      <c r="C858" s="44" t="s">
        <v>288</v>
      </c>
      <c r="D858" s="125"/>
      <c r="E858" s="125"/>
      <c r="F858" s="134"/>
      <c r="G858" s="131" t="s">
        <v>171</v>
      </c>
      <c r="H858" s="101"/>
      <c r="I858" s="101">
        <f>53162.5+34000+10000+6500+8000</f>
        <v>111662.5</v>
      </c>
      <c r="J858" s="101">
        <f>53162.5+34000+10000+6500+8000</f>
        <v>111662.5</v>
      </c>
      <c r="K858" s="102">
        <f>53162.5+34000+10000+6500+8000</f>
        <v>111662.5</v>
      </c>
      <c r="L858" s="207"/>
    </row>
    <row r="859" spans="1:12" s="229" customFormat="1" ht="18" customHeight="1" x14ac:dyDescent="0.25">
      <c r="A859" s="154" t="s">
        <v>163</v>
      </c>
      <c r="B859" s="1106" t="s">
        <v>1317</v>
      </c>
      <c r="C859" s="44" t="s">
        <v>176</v>
      </c>
      <c r="D859" s="125"/>
      <c r="E859" s="125"/>
      <c r="F859" s="134"/>
      <c r="G859" s="131" t="s">
        <v>177</v>
      </c>
      <c r="H859" s="101"/>
      <c r="I859" s="101">
        <v>15000</v>
      </c>
      <c r="J859" s="101">
        <v>15000</v>
      </c>
      <c r="K859" s="102">
        <v>15000</v>
      </c>
      <c r="L859" s="207"/>
    </row>
    <row r="860" spans="1:12" s="229" customFormat="1" ht="18" customHeight="1" x14ac:dyDescent="0.25">
      <c r="A860" s="154" t="s">
        <v>163</v>
      </c>
      <c r="B860" s="1106" t="s">
        <v>1317</v>
      </c>
      <c r="C860" s="44" t="s">
        <v>178</v>
      </c>
      <c r="D860" s="125"/>
      <c r="E860" s="125"/>
      <c r="F860" s="134"/>
      <c r="G860" s="131" t="s">
        <v>179</v>
      </c>
      <c r="H860" s="101"/>
      <c r="I860" s="101">
        <v>71988</v>
      </c>
      <c r="J860" s="101">
        <v>71988</v>
      </c>
      <c r="K860" s="102">
        <v>71988</v>
      </c>
      <c r="L860" s="207"/>
    </row>
    <row r="861" spans="1:12" s="229" customFormat="1" ht="18" customHeight="1" x14ac:dyDescent="0.25">
      <c r="A861" s="154" t="s">
        <v>163</v>
      </c>
      <c r="B861" s="1106" t="s">
        <v>1317</v>
      </c>
      <c r="C861" s="44" t="s">
        <v>1562</v>
      </c>
      <c r="D861" s="125"/>
      <c r="E861" s="125"/>
      <c r="F861" s="134"/>
      <c r="G861" s="131" t="s">
        <v>218</v>
      </c>
      <c r="H861" s="101"/>
      <c r="I861" s="101">
        <v>5700</v>
      </c>
      <c r="J861" s="101">
        <v>5700</v>
      </c>
      <c r="K861" s="102">
        <v>5700</v>
      </c>
      <c r="L861" s="207"/>
    </row>
    <row r="862" spans="1:12" s="229" customFormat="1" ht="18" customHeight="1" x14ac:dyDescent="0.25">
      <c r="A862" s="154" t="s">
        <v>163</v>
      </c>
      <c r="B862" s="1106" t="s">
        <v>1317</v>
      </c>
      <c r="C862" s="44" t="s">
        <v>186</v>
      </c>
      <c r="D862" s="125"/>
      <c r="E862" s="125"/>
      <c r="F862" s="134"/>
      <c r="G862" s="131"/>
      <c r="H862" s="101"/>
      <c r="I862" s="101">
        <v>70000</v>
      </c>
      <c r="J862" s="101">
        <v>70000</v>
      </c>
      <c r="K862" s="102">
        <v>70000</v>
      </c>
      <c r="L862" s="207"/>
    </row>
    <row r="863" spans="1:12" s="229" customFormat="1" ht="18" customHeight="1" x14ac:dyDescent="0.25">
      <c r="A863" s="154" t="s">
        <v>163</v>
      </c>
      <c r="B863" s="1106" t="s">
        <v>1317</v>
      </c>
      <c r="C863" s="44" t="s">
        <v>430</v>
      </c>
      <c r="D863" s="125"/>
      <c r="E863" s="125"/>
      <c r="F863" s="134"/>
      <c r="G863" s="131" t="s">
        <v>431</v>
      </c>
      <c r="H863" s="101"/>
      <c r="I863" s="101">
        <v>475000</v>
      </c>
      <c r="J863" s="101">
        <v>475000</v>
      </c>
      <c r="K863" s="102">
        <v>475000</v>
      </c>
      <c r="L863" s="207"/>
    </row>
    <row r="864" spans="1:12" s="229" customFormat="1" ht="18" customHeight="1" x14ac:dyDescent="0.25">
      <c r="A864" s="154" t="s">
        <v>163</v>
      </c>
      <c r="B864" s="1106" t="s">
        <v>1317</v>
      </c>
      <c r="C864" s="44" t="s">
        <v>432</v>
      </c>
      <c r="D864" s="125"/>
      <c r="E864" s="125"/>
      <c r="F864" s="134"/>
      <c r="G864" s="131" t="s">
        <v>237</v>
      </c>
      <c r="H864" s="101"/>
      <c r="I864" s="101">
        <v>12000</v>
      </c>
      <c r="J864" s="101">
        <v>12000</v>
      </c>
      <c r="K864" s="102"/>
      <c r="L864" s="207"/>
    </row>
    <row r="865" spans="1:12" s="229" customFormat="1" ht="18" customHeight="1" x14ac:dyDescent="0.25">
      <c r="A865" s="154" t="s">
        <v>163</v>
      </c>
      <c r="B865" s="1106" t="s">
        <v>1317</v>
      </c>
      <c r="C865" s="1165" t="s">
        <v>198</v>
      </c>
      <c r="D865" s="1176"/>
      <c r="E865" s="1176"/>
      <c r="F865" s="1159"/>
      <c r="G865" s="131" t="s">
        <v>199</v>
      </c>
      <c r="H865" s="105"/>
      <c r="I865" s="105">
        <v>156984.48000000001</v>
      </c>
      <c r="J865" s="105">
        <v>156984.48000000001</v>
      </c>
      <c r="K865" s="106">
        <v>156984.48000000001</v>
      </c>
      <c r="L865" s="207"/>
    </row>
    <row r="866" spans="1:12" s="194" customFormat="1" ht="18" customHeight="1" x14ac:dyDescent="0.25">
      <c r="A866" s="1051" t="s">
        <v>201</v>
      </c>
      <c r="B866" s="1106" t="s">
        <v>1317</v>
      </c>
      <c r="C866" s="1042" t="s">
        <v>1639</v>
      </c>
      <c r="D866" s="1041"/>
      <c r="E866" s="1041"/>
      <c r="F866" s="1041"/>
      <c r="G866" s="97"/>
      <c r="H866" s="101"/>
      <c r="I866" s="101">
        <v>800000</v>
      </c>
      <c r="J866" s="101"/>
      <c r="K866" s="102">
        <v>800000</v>
      </c>
      <c r="L866" s="10"/>
    </row>
    <row r="867" spans="1:12" ht="17.45" customHeight="1" x14ac:dyDescent="0.25">
      <c r="A867" s="1051" t="s">
        <v>123</v>
      </c>
      <c r="B867" s="1106" t="s">
        <v>1317</v>
      </c>
      <c r="C867" s="1602" t="s">
        <v>124</v>
      </c>
      <c r="D867" s="1603"/>
      <c r="E867" s="1603"/>
      <c r="F867" s="1603"/>
      <c r="G867" s="131" t="s">
        <v>125</v>
      </c>
      <c r="H867" s="101"/>
      <c r="I867" s="101">
        <v>4275396</v>
      </c>
      <c r="J867" s="101">
        <v>4275396</v>
      </c>
      <c r="K867" s="102">
        <v>4127460</v>
      </c>
    </row>
    <row r="868" spans="1:12" ht="17.45" customHeight="1" x14ac:dyDescent="0.25">
      <c r="A868" s="1051" t="s">
        <v>123</v>
      </c>
      <c r="B868" s="1106" t="s">
        <v>1317</v>
      </c>
      <c r="C868" s="1602" t="s">
        <v>129</v>
      </c>
      <c r="D868" s="1603"/>
      <c r="E868" s="1603"/>
      <c r="F868" s="1603"/>
      <c r="G868" s="132" t="s">
        <v>130</v>
      </c>
      <c r="H868" s="101"/>
      <c r="I868" s="101">
        <v>288000</v>
      </c>
      <c r="J868" s="101">
        <v>288000</v>
      </c>
      <c r="K868" s="102">
        <v>288000</v>
      </c>
    </row>
    <row r="869" spans="1:12" ht="17.45" customHeight="1" x14ac:dyDescent="0.25">
      <c r="A869" s="1051" t="s">
        <v>123</v>
      </c>
      <c r="B869" s="1106" t="s">
        <v>1317</v>
      </c>
      <c r="C869" s="1602" t="s">
        <v>131</v>
      </c>
      <c r="D869" s="1603"/>
      <c r="E869" s="1603"/>
      <c r="F869" s="1603"/>
      <c r="G869" s="131" t="s">
        <v>132</v>
      </c>
      <c r="H869" s="101"/>
      <c r="I869" s="101">
        <v>120000</v>
      </c>
      <c r="J869" s="101">
        <v>120000</v>
      </c>
      <c r="K869" s="102">
        <v>120000</v>
      </c>
    </row>
    <row r="870" spans="1:12" ht="17.45" customHeight="1" x14ac:dyDescent="0.25">
      <c r="A870" s="1051" t="s">
        <v>123</v>
      </c>
      <c r="B870" s="1106" t="s">
        <v>1317</v>
      </c>
      <c r="C870" s="1602" t="s">
        <v>133</v>
      </c>
      <c r="D870" s="1603"/>
      <c r="E870" s="1603"/>
      <c r="F870" s="1603"/>
      <c r="G870" s="131" t="s">
        <v>134</v>
      </c>
      <c r="H870" s="101"/>
      <c r="I870" s="101">
        <v>120000</v>
      </c>
      <c r="J870" s="101">
        <v>120000</v>
      </c>
      <c r="K870" s="102">
        <v>120000</v>
      </c>
    </row>
    <row r="871" spans="1:12" s="146" customFormat="1" ht="17.45" customHeight="1" x14ac:dyDescent="0.25">
      <c r="A871" s="1051" t="s">
        <v>123</v>
      </c>
      <c r="B871" s="1106" t="s">
        <v>1317</v>
      </c>
      <c r="C871" s="1045" t="s">
        <v>135</v>
      </c>
      <c r="D871" s="1041"/>
      <c r="E871" s="1041"/>
      <c r="F871" s="1039"/>
      <c r="G871" s="131" t="s">
        <v>232</v>
      </c>
      <c r="H871" s="102"/>
      <c r="I871" s="102">
        <v>341258.18</v>
      </c>
      <c r="J871" s="102">
        <v>341258.18</v>
      </c>
      <c r="K871" s="102">
        <v>341258.18</v>
      </c>
      <c r="L871" s="10"/>
    </row>
    <row r="872" spans="1:12" s="146" customFormat="1" ht="17.45" customHeight="1" x14ac:dyDescent="0.25">
      <c r="A872" s="1051" t="s">
        <v>123</v>
      </c>
      <c r="B872" s="1106" t="s">
        <v>1317</v>
      </c>
      <c r="C872" s="1602" t="s">
        <v>137</v>
      </c>
      <c r="D872" s="1603"/>
      <c r="E872" s="1603"/>
      <c r="F872" s="1603"/>
      <c r="G872" s="131" t="s">
        <v>138</v>
      </c>
      <c r="H872" s="101"/>
      <c r="I872" s="101">
        <v>72000</v>
      </c>
      <c r="J872" s="101">
        <v>72000</v>
      </c>
      <c r="K872" s="102">
        <v>72000</v>
      </c>
      <c r="L872" s="10"/>
    </row>
    <row r="873" spans="1:12" s="146" customFormat="1" ht="17.45" customHeight="1" x14ac:dyDescent="0.25">
      <c r="A873" s="1051" t="s">
        <v>123</v>
      </c>
      <c r="B873" s="1106" t="s">
        <v>1317</v>
      </c>
      <c r="C873" s="1602" t="s">
        <v>1567</v>
      </c>
      <c r="D873" s="1603"/>
      <c r="E873" s="1603"/>
      <c r="F873" s="1603"/>
      <c r="G873" s="131"/>
      <c r="H873" s="101"/>
      <c r="I873" s="101"/>
      <c r="J873" s="101"/>
      <c r="K873" s="102">
        <v>2267217.65</v>
      </c>
      <c r="L873" s="10"/>
    </row>
    <row r="874" spans="1:12" s="146" customFormat="1" ht="17.45" customHeight="1" x14ac:dyDescent="0.25">
      <c r="A874" s="1051" t="s">
        <v>123</v>
      </c>
      <c r="B874" s="1106" t="s">
        <v>1317</v>
      </c>
      <c r="C874" s="1602" t="s">
        <v>1541</v>
      </c>
      <c r="D874" s="1603"/>
      <c r="E874" s="1603"/>
      <c r="F874" s="1603"/>
      <c r="G874" s="131" t="s">
        <v>140</v>
      </c>
      <c r="H874" s="101"/>
      <c r="I874" s="101">
        <v>356283</v>
      </c>
      <c r="J874" s="101">
        <v>356283</v>
      </c>
      <c r="K874" s="102">
        <v>343955</v>
      </c>
      <c r="L874" s="10"/>
    </row>
    <row r="875" spans="1:12" s="146" customFormat="1" ht="17.45" customHeight="1" x14ac:dyDescent="0.25">
      <c r="A875" s="1051" t="s">
        <v>123</v>
      </c>
      <c r="B875" s="1106" t="s">
        <v>1317</v>
      </c>
      <c r="C875" s="1602" t="s">
        <v>141</v>
      </c>
      <c r="D875" s="1603"/>
      <c r="E875" s="1603"/>
      <c r="F875" s="1603"/>
      <c r="G875" s="131" t="s">
        <v>142</v>
      </c>
      <c r="H875" s="101"/>
      <c r="I875" s="101">
        <v>356283</v>
      </c>
      <c r="J875" s="101">
        <v>356283</v>
      </c>
      <c r="K875" s="102">
        <v>343955</v>
      </c>
      <c r="L875" s="10"/>
    </row>
    <row r="876" spans="1:12" s="146" customFormat="1" ht="17.45" customHeight="1" x14ac:dyDescent="0.25">
      <c r="A876" s="1051" t="s">
        <v>123</v>
      </c>
      <c r="B876" s="1106" t="s">
        <v>1317</v>
      </c>
      <c r="C876" s="1602" t="s">
        <v>143</v>
      </c>
      <c r="D876" s="1603"/>
      <c r="E876" s="1603"/>
      <c r="F876" s="1603"/>
      <c r="G876" s="131" t="s">
        <v>144</v>
      </c>
      <c r="H876" s="101"/>
      <c r="I876" s="101">
        <v>60000</v>
      </c>
      <c r="J876" s="101">
        <v>60000</v>
      </c>
      <c r="K876" s="102">
        <v>60000</v>
      </c>
      <c r="L876" s="10"/>
    </row>
    <row r="877" spans="1:12" s="146" customFormat="1" ht="17.45" customHeight="1" x14ac:dyDescent="0.25">
      <c r="A877" s="1051" t="s">
        <v>123</v>
      </c>
      <c r="B877" s="1106" t="s">
        <v>1317</v>
      </c>
      <c r="C877" s="1602" t="s">
        <v>1543</v>
      </c>
      <c r="D877" s="1603"/>
      <c r="E877" s="1603"/>
      <c r="F877" s="1603"/>
      <c r="G877" s="131" t="s">
        <v>146</v>
      </c>
      <c r="H877" s="101"/>
      <c r="I877" s="101">
        <v>60000</v>
      </c>
      <c r="J877" s="101">
        <v>60000</v>
      </c>
      <c r="K877" s="102">
        <v>60000</v>
      </c>
      <c r="L877" s="10"/>
    </row>
    <row r="878" spans="1:12" s="146" customFormat="1" ht="17.45" customHeight="1" x14ac:dyDescent="0.25">
      <c r="A878" s="1051" t="s">
        <v>123</v>
      </c>
      <c r="B878" s="1106" t="s">
        <v>1317</v>
      </c>
      <c r="C878" s="1602" t="s">
        <v>1545</v>
      </c>
      <c r="D878" s="1603"/>
      <c r="E878" s="1603"/>
      <c r="F878" s="1603"/>
      <c r="G878" s="131" t="s">
        <v>154</v>
      </c>
      <c r="H878" s="101"/>
      <c r="I878" s="101">
        <v>513047.52</v>
      </c>
      <c r="J878" s="101">
        <v>513047.52</v>
      </c>
      <c r="K878" s="102">
        <v>495295.2</v>
      </c>
      <c r="L878" s="10"/>
    </row>
    <row r="879" spans="1:12" s="146" customFormat="1" ht="17.45" customHeight="1" x14ac:dyDescent="0.25">
      <c r="A879" s="1051" t="s">
        <v>123</v>
      </c>
      <c r="B879" s="1106" t="s">
        <v>1317</v>
      </c>
      <c r="C879" s="1602" t="s">
        <v>155</v>
      </c>
      <c r="D879" s="1603"/>
      <c r="E879" s="1603"/>
      <c r="F879" s="1603"/>
      <c r="G879" s="131" t="s">
        <v>156</v>
      </c>
      <c r="H879" s="101"/>
      <c r="I879" s="101">
        <v>14400</v>
      </c>
      <c r="J879" s="101">
        <v>14400</v>
      </c>
      <c r="K879" s="102">
        <v>14400</v>
      </c>
      <c r="L879" s="10"/>
    </row>
    <row r="880" spans="1:12" s="146" customFormat="1" ht="17.45" customHeight="1" x14ac:dyDescent="0.25">
      <c r="A880" s="1051" t="s">
        <v>123</v>
      </c>
      <c r="B880" s="1106" t="s">
        <v>1317</v>
      </c>
      <c r="C880" s="1602" t="s">
        <v>157</v>
      </c>
      <c r="D880" s="1603"/>
      <c r="E880" s="1603"/>
      <c r="F880" s="1603"/>
      <c r="G880" s="131" t="s">
        <v>158</v>
      </c>
      <c r="H880" s="101"/>
      <c r="I880" s="101">
        <v>96196.41</v>
      </c>
      <c r="J880" s="101">
        <v>96196.41</v>
      </c>
      <c r="K880" s="102">
        <v>92867.85</v>
      </c>
      <c r="L880" s="10"/>
    </row>
    <row r="881" spans="1:12" s="146" customFormat="1" ht="17.45" customHeight="1" x14ac:dyDescent="0.25">
      <c r="A881" s="1051" t="s">
        <v>123</v>
      </c>
      <c r="B881" s="1106" t="s">
        <v>1317</v>
      </c>
      <c r="C881" s="1611" t="s">
        <v>1546</v>
      </c>
      <c r="D881" s="1611"/>
      <c r="E881" s="1611"/>
      <c r="F881" s="1602"/>
      <c r="G881" s="131" t="s">
        <v>160</v>
      </c>
      <c r="H881" s="101"/>
      <c r="I881" s="101">
        <v>14400</v>
      </c>
      <c r="J881" s="101">
        <v>14400</v>
      </c>
      <c r="K881" s="102">
        <v>14400</v>
      </c>
      <c r="L881" s="10"/>
    </row>
    <row r="882" spans="1:12" s="229" customFormat="1" ht="17.45" customHeight="1" x14ac:dyDescent="0.25">
      <c r="A882" s="154" t="s">
        <v>163</v>
      </c>
      <c r="B882" s="1106" t="s">
        <v>1317</v>
      </c>
      <c r="C882" s="44" t="s">
        <v>353</v>
      </c>
      <c r="D882" s="125"/>
      <c r="E882" s="125"/>
      <c r="F882" s="134"/>
      <c r="G882" s="131" t="s">
        <v>165</v>
      </c>
      <c r="H882" s="101"/>
      <c r="I882" s="101">
        <v>200000</v>
      </c>
      <c r="J882" s="101">
        <v>200000</v>
      </c>
      <c r="K882" s="102">
        <v>200000</v>
      </c>
      <c r="L882" s="207"/>
    </row>
    <row r="883" spans="1:12" s="229" customFormat="1" ht="17.45" customHeight="1" x14ac:dyDescent="0.25">
      <c r="A883" s="154" t="s">
        <v>163</v>
      </c>
      <c r="B883" s="1106" t="s">
        <v>1317</v>
      </c>
      <c r="C883" s="44" t="s">
        <v>166</v>
      </c>
      <c r="D883" s="125"/>
      <c r="E883" s="125"/>
      <c r="F883" s="134"/>
      <c r="G883" s="131"/>
      <c r="H883" s="101"/>
      <c r="I883" s="101"/>
      <c r="J883" s="101"/>
      <c r="K883" s="102">
        <v>50000</v>
      </c>
      <c r="L883" s="207"/>
    </row>
    <row r="884" spans="1:12" s="229" customFormat="1" ht="17.45" customHeight="1" x14ac:dyDescent="0.25">
      <c r="A884" s="154" t="s">
        <v>163</v>
      </c>
      <c r="B884" s="1106" t="s">
        <v>1317</v>
      </c>
      <c r="C884" s="44" t="s">
        <v>168</v>
      </c>
      <c r="D884" s="125"/>
      <c r="E884" s="125"/>
      <c r="F884" s="134"/>
      <c r="G884" s="131" t="s">
        <v>169</v>
      </c>
      <c r="H884" s="101"/>
      <c r="I884" s="101">
        <v>160973.5</v>
      </c>
      <c r="J884" s="101">
        <v>160973.5</v>
      </c>
      <c r="K884" s="102">
        <v>160973.5</v>
      </c>
      <c r="L884" s="207"/>
    </row>
    <row r="885" spans="1:12" s="229" customFormat="1" ht="17.45" customHeight="1" x14ac:dyDescent="0.25">
      <c r="A885" s="154" t="s">
        <v>163</v>
      </c>
      <c r="B885" s="1106" t="s">
        <v>1317</v>
      </c>
      <c r="C885" s="44" t="s">
        <v>288</v>
      </c>
      <c r="D885" s="125"/>
      <c r="E885" s="125"/>
      <c r="F885" s="134"/>
      <c r="G885" s="131" t="s">
        <v>171</v>
      </c>
      <c r="H885" s="101"/>
      <c r="I885" s="101">
        <v>482857</v>
      </c>
      <c r="J885" s="101">
        <v>482857</v>
      </c>
      <c r="K885" s="102">
        <v>482857</v>
      </c>
      <c r="L885" s="207"/>
    </row>
    <row r="886" spans="1:12" s="229" customFormat="1" ht="17.45" customHeight="1" x14ac:dyDescent="0.25">
      <c r="A886" s="154" t="s">
        <v>163</v>
      </c>
      <c r="B886" s="1106" t="s">
        <v>1317</v>
      </c>
      <c r="C886" s="44" t="s">
        <v>176</v>
      </c>
      <c r="D886" s="125"/>
      <c r="E886" s="125"/>
      <c r="F886" s="134"/>
      <c r="G886" s="131" t="s">
        <v>177</v>
      </c>
      <c r="H886" s="101"/>
      <c r="I886" s="101">
        <v>5000</v>
      </c>
      <c r="J886" s="101">
        <v>5000</v>
      </c>
      <c r="K886" s="102">
        <v>5000</v>
      </c>
      <c r="L886" s="207"/>
    </row>
    <row r="887" spans="1:12" s="229" customFormat="1" ht="17.45" customHeight="1" x14ac:dyDescent="0.25">
      <c r="A887" s="154" t="s">
        <v>163</v>
      </c>
      <c r="B887" s="1106" t="s">
        <v>1317</v>
      </c>
      <c r="C887" s="44" t="s">
        <v>178</v>
      </c>
      <c r="D887" s="125"/>
      <c r="E887" s="125"/>
      <c r="F887" s="134"/>
      <c r="G887" s="131" t="s">
        <v>179</v>
      </c>
      <c r="H887" s="101"/>
      <c r="I887" s="101">
        <f>60000+42000</f>
        <v>102000</v>
      </c>
      <c r="J887" s="101">
        <f>60000+42000</f>
        <v>102000</v>
      </c>
      <c r="K887" s="102">
        <f>60000+42000</f>
        <v>102000</v>
      </c>
      <c r="L887" s="207"/>
    </row>
    <row r="888" spans="1:12" s="229" customFormat="1" ht="17.45" customHeight="1" x14ac:dyDescent="0.25">
      <c r="A888" s="154" t="s">
        <v>163</v>
      </c>
      <c r="B888" s="1106" t="s">
        <v>1317</v>
      </c>
      <c r="C888" s="44" t="s">
        <v>186</v>
      </c>
      <c r="D888" s="125"/>
      <c r="E888" s="125"/>
      <c r="F888" s="134"/>
      <c r="G888" s="131" t="s">
        <v>187</v>
      </c>
      <c r="H888" s="101"/>
      <c r="I888" s="101">
        <v>50000</v>
      </c>
      <c r="J888" s="101">
        <v>50000</v>
      </c>
      <c r="K888" s="102">
        <f>50000+50000</f>
        <v>100000</v>
      </c>
      <c r="L888" s="207"/>
    </row>
    <row r="889" spans="1:12" s="229" customFormat="1" ht="17.45" customHeight="1" x14ac:dyDescent="0.25">
      <c r="A889" s="154" t="s">
        <v>163</v>
      </c>
      <c r="B889" s="1106" t="s">
        <v>1317</v>
      </c>
      <c r="C889" s="44" t="s">
        <v>439</v>
      </c>
      <c r="D889" s="125"/>
      <c r="E889" s="125"/>
      <c r="F889" s="134"/>
      <c r="G889" s="131" t="s">
        <v>237</v>
      </c>
      <c r="H889" s="101"/>
      <c r="I889" s="101">
        <v>6000</v>
      </c>
      <c r="J889" s="101">
        <v>6000</v>
      </c>
      <c r="K889" s="102"/>
      <c r="L889" s="207"/>
    </row>
    <row r="890" spans="1:12" s="146" customFormat="1" ht="17.45" customHeight="1" x14ac:dyDescent="0.25">
      <c r="A890" s="154" t="s">
        <v>163</v>
      </c>
      <c r="B890" s="1106" t="s">
        <v>1317</v>
      </c>
      <c r="C890" s="1602" t="s">
        <v>441</v>
      </c>
      <c r="D890" s="1603"/>
      <c r="E890" s="1603"/>
      <c r="F890" s="1603"/>
      <c r="G890" s="131"/>
      <c r="H890" s="101"/>
      <c r="I890" s="101"/>
      <c r="J890" s="101"/>
      <c r="K890" s="102"/>
      <c r="L890" s="10"/>
    </row>
    <row r="891" spans="1:12" s="229" customFormat="1" ht="17.45" customHeight="1" x14ac:dyDescent="0.25">
      <c r="A891" s="154" t="s">
        <v>163</v>
      </c>
      <c r="B891" s="1106" t="s">
        <v>1317</v>
      </c>
      <c r="C891" s="44" t="s">
        <v>1569</v>
      </c>
      <c r="D891" s="125"/>
      <c r="E891" s="125"/>
      <c r="F891" s="134"/>
      <c r="G891" s="131" t="s">
        <v>199</v>
      </c>
      <c r="H891" s="101"/>
      <c r="I891" s="101">
        <v>489757.68</v>
      </c>
      <c r="J891" s="101">
        <v>489757.68</v>
      </c>
      <c r="K891" s="102">
        <v>489757.68</v>
      </c>
      <c r="L891" s="207"/>
    </row>
    <row r="892" spans="1:12" s="146" customFormat="1" ht="17.45" customHeight="1" x14ac:dyDescent="0.25">
      <c r="A892" s="154" t="s">
        <v>2019</v>
      </c>
      <c r="B892" s="1106" t="s">
        <v>1317</v>
      </c>
      <c r="C892" s="1602" t="s">
        <v>1640</v>
      </c>
      <c r="D892" s="1603"/>
      <c r="E892" s="1603"/>
      <c r="F892" s="1603"/>
      <c r="G892" s="131"/>
      <c r="H892" s="101"/>
      <c r="I892" s="101">
        <v>2000000</v>
      </c>
      <c r="J892" s="101">
        <v>2000000</v>
      </c>
      <c r="K892" s="102">
        <v>2000000</v>
      </c>
      <c r="L892" s="10"/>
    </row>
    <row r="893" spans="1:12" s="194" customFormat="1" ht="17.100000000000001" customHeight="1" x14ac:dyDescent="0.25">
      <c r="A893" s="154" t="s">
        <v>2019</v>
      </c>
      <c r="B893" s="1106" t="s">
        <v>1317</v>
      </c>
      <c r="C893" s="1062" t="s">
        <v>1641</v>
      </c>
      <c r="D893" s="113"/>
      <c r="E893" s="1041"/>
      <c r="F893" s="1039"/>
      <c r="G893" s="716"/>
      <c r="H893" s="101"/>
      <c r="I893" s="101">
        <v>300000</v>
      </c>
      <c r="J893" s="101">
        <v>300000</v>
      </c>
      <c r="K893" s="102">
        <v>300000</v>
      </c>
      <c r="L893" s="10"/>
    </row>
    <row r="894" spans="1:12" s="203" customFormat="1" ht="55.5" customHeight="1" x14ac:dyDescent="0.25">
      <c r="A894" s="154" t="s">
        <v>2019</v>
      </c>
      <c r="B894" s="1106" t="s">
        <v>1317</v>
      </c>
      <c r="C894" s="1574" t="s">
        <v>1642</v>
      </c>
      <c r="D894" s="1574"/>
      <c r="E894" s="1041"/>
      <c r="F894" s="1039"/>
      <c r="G894" s="716"/>
      <c r="H894" s="101"/>
      <c r="I894" s="101">
        <v>500000</v>
      </c>
      <c r="J894" s="101">
        <v>500000</v>
      </c>
      <c r="K894" s="102">
        <v>500000</v>
      </c>
      <c r="L894" s="10"/>
    </row>
    <row r="895" spans="1:12" s="194" customFormat="1" ht="17.100000000000001" customHeight="1" x14ac:dyDescent="0.25">
      <c r="A895" s="1051" t="s">
        <v>201</v>
      </c>
      <c r="B895" s="1106" t="s">
        <v>1317</v>
      </c>
      <c r="C895" s="1064" t="s">
        <v>1643</v>
      </c>
      <c r="D895" s="938"/>
      <c r="E895" s="1049"/>
      <c r="F895" s="1178"/>
      <c r="G895" s="1179"/>
      <c r="H895" s="1160"/>
      <c r="I895" s="1160">
        <v>51000000</v>
      </c>
      <c r="J895" s="1160">
        <v>51000000</v>
      </c>
      <c r="K895" s="1161">
        <v>40000000</v>
      </c>
      <c r="L895" s="10"/>
    </row>
    <row r="896" spans="1:12" s="388" customFormat="1" ht="17.45" customHeight="1" x14ac:dyDescent="0.25">
      <c r="A896" s="154" t="s">
        <v>201</v>
      </c>
      <c r="B896" s="1106" t="s">
        <v>1317</v>
      </c>
      <c r="C896" s="1042" t="s">
        <v>1644</v>
      </c>
      <c r="D896" s="1042"/>
      <c r="E896" s="1042"/>
      <c r="F896" s="1042"/>
      <c r="G896" s="97"/>
      <c r="H896" s="101"/>
      <c r="I896" s="101">
        <v>100000</v>
      </c>
      <c r="J896" s="101"/>
      <c r="K896" s="102">
        <v>100000</v>
      </c>
      <c r="L896" s="207"/>
    </row>
    <row r="897" spans="1:12" s="146" customFormat="1" ht="18" x14ac:dyDescent="0.25">
      <c r="A897" s="1051" t="s">
        <v>123</v>
      </c>
      <c r="B897" s="1106" t="s">
        <v>1317</v>
      </c>
      <c r="C897" s="1602" t="s">
        <v>124</v>
      </c>
      <c r="D897" s="1603"/>
      <c r="E897" s="1603"/>
      <c r="F897" s="1603"/>
      <c r="G897" s="131" t="s">
        <v>125</v>
      </c>
      <c r="H897" s="101"/>
      <c r="I897" s="101">
        <v>1623900</v>
      </c>
      <c r="J897" s="101">
        <v>1623900</v>
      </c>
      <c r="K897" s="102">
        <v>1581276</v>
      </c>
      <c r="L897" s="10"/>
    </row>
    <row r="898" spans="1:12" s="146" customFormat="1" ht="18" x14ac:dyDescent="0.25">
      <c r="A898" s="1051" t="s">
        <v>123</v>
      </c>
      <c r="B898" s="1106" t="s">
        <v>1317</v>
      </c>
      <c r="C898" s="1602" t="s">
        <v>129</v>
      </c>
      <c r="D898" s="1603"/>
      <c r="E898" s="1603"/>
      <c r="F898" s="1603"/>
      <c r="G898" s="132" t="s">
        <v>130</v>
      </c>
      <c r="H898" s="101"/>
      <c r="I898" s="101">
        <v>96000</v>
      </c>
      <c r="J898" s="101">
        <v>96000</v>
      </c>
      <c r="K898" s="102">
        <v>96000</v>
      </c>
      <c r="L898" s="10"/>
    </row>
    <row r="899" spans="1:12" s="146" customFormat="1" ht="18" x14ac:dyDescent="0.25">
      <c r="A899" s="1051" t="s">
        <v>123</v>
      </c>
      <c r="B899" s="1106" t="s">
        <v>1317</v>
      </c>
      <c r="C899" s="1602" t="s">
        <v>131</v>
      </c>
      <c r="D899" s="1603"/>
      <c r="E899" s="1603"/>
      <c r="F899" s="1603"/>
      <c r="G899" s="131" t="s">
        <v>132</v>
      </c>
      <c r="H899" s="101"/>
      <c r="I899" s="101">
        <v>72000</v>
      </c>
      <c r="J899" s="101">
        <v>72000</v>
      </c>
      <c r="K899" s="102">
        <v>72000</v>
      </c>
      <c r="L899" s="10"/>
    </row>
    <row r="900" spans="1:12" s="146" customFormat="1" ht="18" x14ac:dyDescent="0.25">
      <c r="A900" s="1051" t="s">
        <v>123</v>
      </c>
      <c r="B900" s="1106" t="s">
        <v>1317</v>
      </c>
      <c r="C900" s="1602" t="s">
        <v>133</v>
      </c>
      <c r="D900" s="1603"/>
      <c r="E900" s="1603"/>
      <c r="F900" s="1603"/>
      <c r="G900" s="131" t="s">
        <v>134</v>
      </c>
      <c r="H900" s="101"/>
      <c r="I900" s="101">
        <v>72000</v>
      </c>
      <c r="J900" s="101">
        <v>72000</v>
      </c>
      <c r="K900" s="102">
        <v>72000</v>
      </c>
      <c r="L900" s="10"/>
    </row>
    <row r="901" spans="1:12" s="146" customFormat="1" ht="18" x14ac:dyDescent="0.25">
      <c r="A901" s="1051" t="s">
        <v>123</v>
      </c>
      <c r="B901" s="1106" t="s">
        <v>1317</v>
      </c>
      <c r="C901" s="1602" t="s">
        <v>137</v>
      </c>
      <c r="D901" s="1603"/>
      <c r="E901" s="1603"/>
      <c r="F901" s="1603"/>
      <c r="G901" s="131" t="s">
        <v>138</v>
      </c>
      <c r="H901" s="101"/>
      <c r="I901" s="101">
        <v>24000</v>
      </c>
      <c r="J901" s="101">
        <v>24000</v>
      </c>
      <c r="K901" s="102">
        <v>24000</v>
      </c>
      <c r="L901" s="10"/>
    </row>
    <row r="902" spans="1:12" s="146" customFormat="1" ht="18" customHeight="1" x14ac:dyDescent="0.25">
      <c r="A902" s="1051" t="s">
        <v>123</v>
      </c>
      <c r="B902" s="1106" t="s">
        <v>1317</v>
      </c>
      <c r="C902" s="1602" t="s">
        <v>1541</v>
      </c>
      <c r="D902" s="1603"/>
      <c r="E902" s="1603"/>
      <c r="F902" s="1603"/>
      <c r="G902" s="131" t="s">
        <v>140</v>
      </c>
      <c r="H902" s="101"/>
      <c r="I902" s="101">
        <v>135325</v>
      </c>
      <c r="J902" s="101">
        <v>135325</v>
      </c>
      <c r="K902" s="102">
        <v>131773</v>
      </c>
      <c r="L902" s="10"/>
    </row>
    <row r="903" spans="1:12" s="146" customFormat="1" ht="18" x14ac:dyDescent="0.25">
      <c r="A903" s="1051" t="s">
        <v>123</v>
      </c>
      <c r="B903" s="1106" t="s">
        <v>1317</v>
      </c>
      <c r="C903" s="1602" t="s">
        <v>141</v>
      </c>
      <c r="D903" s="1603"/>
      <c r="E903" s="1603"/>
      <c r="F903" s="1603"/>
      <c r="G903" s="131" t="s">
        <v>142</v>
      </c>
      <c r="H903" s="101"/>
      <c r="I903" s="101">
        <v>135325</v>
      </c>
      <c r="J903" s="101">
        <v>135325</v>
      </c>
      <c r="K903" s="102">
        <v>131773</v>
      </c>
      <c r="L903" s="10"/>
    </row>
    <row r="904" spans="1:12" s="146" customFormat="1" ht="18" x14ac:dyDescent="0.25">
      <c r="A904" s="1051" t="s">
        <v>123</v>
      </c>
      <c r="B904" s="1106" t="s">
        <v>1317</v>
      </c>
      <c r="C904" s="1602" t="s">
        <v>1542</v>
      </c>
      <c r="D904" s="1603"/>
      <c r="E904" s="1603"/>
      <c r="F904" s="1603"/>
      <c r="G904" s="131"/>
      <c r="H904" s="101"/>
      <c r="I904" s="101"/>
      <c r="J904" s="101"/>
      <c r="K904" s="102"/>
      <c r="L904" s="10"/>
    </row>
    <row r="905" spans="1:12" s="146" customFormat="1" ht="18" x14ac:dyDescent="0.25">
      <c r="A905" s="1051" t="s">
        <v>123</v>
      </c>
      <c r="B905" s="1106" t="s">
        <v>1317</v>
      </c>
      <c r="C905" s="1611" t="s">
        <v>143</v>
      </c>
      <c r="D905" s="1611"/>
      <c r="E905" s="1611"/>
      <c r="F905" s="1602"/>
      <c r="G905" s="131" t="s">
        <v>144</v>
      </c>
      <c r="H905" s="101"/>
      <c r="I905" s="101">
        <v>20000</v>
      </c>
      <c r="J905" s="101">
        <v>20000</v>
      </c>
      <c r="K905" s="102">
        <v>20000</v>
      </c>
      <c r="L905" s="10"/>
    </row>
    <row r="906" spans="1:12" s="146" customFormat="1" ht="18" x14ac:dyDescent="0.25">
      <c r="A906" s="1051" t="s">
        <v>123</v>
      </c>
      <c r="B906" s="1106" t="s">
        <v>1317</v>
      </c>
      <c r="C906" s="1611" t="s">
        <v>1543</v>
      </c>
      <c r="D906" s="1611"/>
      <c r="E906" s="1611"/>
      <c r="F906" s="1602"/>
      <c r="G906" s="131" t="s">
        <v>146</v>
      </c>
      <c r="H906" s="101"/>
      <c r="I906" s="101">
        <v>20000</v>
      </c>
      <c r="J906" s="101">
        <v>20000</v>
      </c>
      <c r="K906" s="102">
        <v>20000</v>
      </c>
      <c r="L906" s="10"/>
    </row>
    <row r="907" spans="1:12" s="146" customFormat="1" ht="18" x14ac:dyDescent="0.25">
      <c r="A907" s="1051" t="s">
        <v>123</v>
      </c>
      <c r="B907" s="1106" t="s">
        <v>1317</v>
      </c>
      <c r="C907" s="1062" t="s">
        <v>1568</v>
      </c>
      <c r="D907" s="1041"/>
      <c r="E907" s="1041"/>
      <c r="F907" s="1039"/>
      <c r="G907" s="131" t="s">
        <v>232</v>
      </c>
      <c r="H907" s="101"/>
      <c r="I907" s="101"/>
      <c r="J907" s="101"/>
      <c r="K907" s="102"/>
      <c r="L907" s="10"/>
    </row>
    <row r="908" spans="1:12" s="146" customFormat="1" ht="18" x14ac:dyDescent="0.25">
      <c r="A908" s="1051" t="s">
        <v>123</v>
      </c>
      <c r="B908" s="1106" t="s">
        <v>1317</v>
      </c>
      <c r="C908" s="1062" t="s">
        <v>147</v>
      </c>
      <c r="D908" s="1041"/>
      <c r="E908" s="1041"/>
      <c r="F908" s="1039"/>
      <c r="G908" s="131" t="s">
        <v>148</v>
      </c>
      <c r="H908" s="101"/>
      <c r="I908" s="101"/>
      <c r="J908" s="101"/>
      <c r="K908" s="102"/>
      <c r="L908" s="10"/>
    </row>
    <row r="909" spans="1:12" s="146" customFormat="1" ht="18" x14ac:dyDescent="0.25">
      <c r="A909" s="1051" t="s">
        <v>123</v>
      </c>
      <c r="B909" s="1106" t="s">
        <v>1317</v>
      </c>
      <c r="C909" s="1611" t="s">
        <v>1544</v>
      </c>
      <c r="D909" s="1611"/>
      <c r="E909" s="1611"/>
      <c r="F909" s="1602"/>
      <c r="G909" s="131" t="s">
        <v>148</v>
      </c>
      <c r="H909" s="101"/>
      <c r="I909" s="101"/>
      <c r="J909" s="101"/>
      <c r="K909" s="102"/>
      <c r="L909" s="10"/>
    </row>
    <row r="910" spans="1:12" s="146" customFormat="1" ht="18" x14ac:dyDescent="0.25">
      <c r="A910" s="1051" t="s">
        <v>123</v>
      </c>
      <c r="B910" s="1106" t="s">
        <v>1317</v>
      </c>
      <c r="C910" s="1602" t="s">
        <v>149</v>
      </c>
      <c r="D910" s="1603"/>
      <c r="E910" s="1603"/>
      <c r="F910" s="1603"/>
      <c r="G910" s="131" t="s">
        <v>136</v>
      </c>
      <c r="H910" s="101"/>
      <c r="I910" s="101"/>
      <c r="J910" s="101"/>
      <c r="K910" s="102"/>
      <c r="L910" s="10"/>
    </row>
    <row r="911" spans="1:12" s="146" customFormat="1" ht="18" x14ac:dyDescent="0.25">
      <c r="A911" s="1051" t="s">
        <v>123</v>
      </c>
      <c r="B911" s="1106" t="s">
        <v>1317</v>
      </c>
      <c r="C911" s="1602" t="s">
        <v>1545</v>
      </c>
      <c r="D911" s="1603"/>
      <c r="E911" s="1603"/>
      <c r="F911" s="1603"/>
      <c r="G911" s="131" t="s">
        <v>154</v>
      </c>
      <c r="H911" s="101"/>
      <c r="I911" s="101">
        <v>194868</v>
      </c>
      <c r="J911" s="101">
        <v>194868</v>
      </c>
      <c r="K911" s="102">
        <v>189753.12</v>
      </c>
      <c r="L911" s="10"/>
    </row>
    <row r="912" spans="1:12" s="146" customFormat="1" ht="18" x14ac:dyDescent="0.25">
      <c r="A912" s="1051" t="s">
        <v>123</v>
      </c>
      <c r="B912" s="1106" t="s">
        <v>1317</v>
      </c>
      <c r="C912" s="1602" t="s">
        <v>155</v>
      </c>
      <c r="D912" s="1603"/>
      <c r="E912" s="1603"/>
      <c r="F912" s="1603"/>
      <c r="G912" s="131" t="s">
        <v>156</v>
      </c>
      <c r="H912" s="101"/>
      <c r="I912" s="101">
        <v>4800</v>
      </c>
      <c r="J912" s="101">
        <v>4800</v>
      </c>
      <c r="K912" s="102">
        <v>4800</v>
      </c>
      <c r="L912" s="10"/>
    </row>
    <row r="913" spans="1:12" s="146" customFormat="1" ht="18" x14ac:dyDescent="0.25">
      <c r="A913" s="1051" t="s">
        <v>123</v>
      </c>
      <c r="B913" s="1106" t="s">
        <v>1317</v>
      </c>
      <c r="C913" s="1602" t="s">
        <v>157</v>
      </c>
      <c r="D913" s="1603"/>
      <c r="E913" s="1603"/>
      <c r="F913" s="1603"/>
      <c r="G913" s="131" t="s">
        <v>158</v>
      </c>
      <c r="H913" s="101"/>
      <c r="I913" s="101">
        <v>36537.75</v>
      </c>
      <c r="J913" s="101">
        <v>36537.75</v>
      </c>
      <c r="K913" s="102">
        <v>35578.71</v>
      </c>
      <c r="L913" s="10"/>
    </row>
    <row r="914" spans="1:12" s="146" customFormat="1" ht="18" x14ac:dyDescent="0.25">
      <c r="A914" s="1051" t="s">
        <v>123</v>
      </c>
      <c r="B914" s="1106" t="s">
        <v>1317</v>
      </c>
      <c r="C914" s="1602" t="s">
        <v>1546</v>
      </c>
      <c r="D914" s="1603"/>
      <c r="E914" s="1603"/>
      <c r="F914" s="1603"/>
      <c r="G914" s="131" t="s">
        <v>160</v>
      </c>
      <c r="H914" s="101"/>
      <c r="I914" s="101">
        <v>4800</v>
      </c>
      <c r="J914" s="101">
        <v>4800</v>
      </c>
      <c r="K914" s="102">
        <v>4800</v>
      </c>
      <c r="L914" s="10"/>
    </row>
    <row r="915" spans="1:12" s="229" customFormat="1" ht="18" customHeight="1" x14ac:dyDescent="0.25">
      <c r="A915" s="154" t="s">
        <v>163</v>
      </c>
      <c r="B915" s="1106" t="s">
        <v>1317</v>
      </c>
      <c r="C915" s="44" t="s">
        <v>353</v>
      </c>
      <c r="D915" s="125"/>
      <c r="E915" s="125"/>
      <c r="F915" s="134"/>
      <c r="G915" s="131" t="s">
        <v>165</v>
      </c>
      <c r="H915" s="101"/>
      <c r="I915" s="101">
        <v>25000</v>
      </c>
      <c r="J915" s="101">
        <v>25000</v>
      </c>
      <c r="K915" s="102">
        <v>25000</v>
      </c>
      <c r="L915" s="207"/>
    </row>
    <row r="916" spans="1:12" s="229" customFormat="1" ht="18" customHeight="1" x14ac:dyDescent="0.25">
      <c r="A916" s="154" t="s">
        <v>163</v>
      </c>
      <c r="B916" s="1106" t="s">
        <v>1317</v>
      </c>
      <c r="C916" s="44" t="s">
        <v>312</v>
      </c>
      <c r="D916" s="125"/>
      <c r="E916" s="125"/>
      <c r="F916" s="134"/>
      <c r="G916" s="131"/>
      <c r="H916" s="101"/>
      <c r="I916" s="101"/>
      <c r="J916" s="101"/>
      <c r="K916" s="102">
        <v>15000</v>
      </c>
      <c r="L916" s="207"/>
    </row>
    <row r="917" spans="1:12" s="229" customFormat="1" ht="18" customHeight="1" x14ac:dyDescent="0.25">
      <c r="A917" s="154" t="s">
        <v>163</v>
      </c>
      <c r="B917" s="1106" t="s">
        <v>1317</v>
      </c>
      <c r="C917" s="44" t="s">
        <v>168</v>
      </c>
      <c r="D917" s="125"/>
      <c r="E917" s="125"/>
      <c r="F917" s="134"/>
      <c r="G917" s="131" t="s">
        <v>169</v>
      </c>
      <c r="H917" s="101"/>
      <c r="I917" s="101">
        <v>192318.5</v>
      </c>
      <c r="J917" s="101">
        <v>192318.5</v>
      </c>
      <c r="K917" s="102">
        <v>192318.5</v>
      </c>
      <c r="L917" s="207"/>
    </row>
    <row r="918" spans="1:12" s="229" customFormat="1" ht="18" customHeight="1" x14ac:dyDescent="0.25">
      <c r="A918" s="154" t="s">
        <v>163</v>
      </c>
      <c r="B918" s="1106" t="s">
        <v>1317</v>
      </c>
      <c r="C918" s="44" t="s">
        <v>213</v>
      </c>
      <c r="D918" s="125"/>
      <c r="E918" s="125"/>
      <c r="F918" s="134"/>
      <c r="G918" s="131" t="s">
        <v>171</v>
      </c>
      <c r="H918" s="101"/>
      <c r="I918" s="101">
        <v>82341</v>
      </c>
      <c r="J918" s="101">
        <v>82341</v>
      </c>
      <c r="K918" s="102">
        <v>82341</v>
      </c>
      <c r="L918" s="207"/>
    </row>
    <row r="919" spans="1:12" s="229" customFormat="1" ht="18" customHeight="1" x14ac:dyDescent="0.25">
      <c r="A919" s="154" t="s">
        <v>163</v>
      </c>
      <c r="B919" s="1106" t="s">
        <v>1317</v>
      </c>
      <c r="C919" s="44" t="s">
        <v>176</v>
      </c>
      <c r="D919" s="125"/>
      <c r="E919" s="125"/>
      <c r="F919" s="125"/>
      <c r="G919" s="131" t="s">
        <v>177</v>
      </c>
      <c r="H919" s="101"/>
      <c r="I919" s="101">
        <v>10000</v>
      </c>
      <c r="J919" s="101">
        <v>10000</v>
      </c>
      <c r="K919" s="102">
        <v>10000</v>
      </c>
      <c r="L919" s="207"/>
    </row>
    <row r="920" spans="1:12" s="229" customFormat="1" ht="18" customHeight="1" x14ac:dyDescent="0.25">
      <c r="A920" s="154" t="s">
        <v>163</v>
      </c>
      <c r="B920" s="1106" t="s">
        <v>1317</v>
      </c>
      <c r="C920" s="44" t="s">
        <v>178</v>
      </c>
      <c r="D920" s="125"/>
      <c r="E920" s="125"/>
      <c r="F920" s="125"/>
      <c r="G920" s="131" t="s">
        <v>179</v>
      </c>
      <c r="H920" s="101"/>
      <c r="I920" s="101">
        <v>42000</v>
      </c>
      <c r="J920" s="101">
        <v>42000</v>
      </c>
      <c r="K920" s="102">
        <v>42000</v>
      </c>
      <c r="L920" s="207"/>
    </row>
    <row r="921" spans="1:12" s="229" customFormat="1" ht="18" customHeight="1" x14ac:dyDescent="0.25">
      <c r="A921" s="154" t="s">
        <v>163</v>
      </c>
      <c r="B921" s="1106" t="s">
        <v>1317</v>
      </c>
      <c r="C921" s="44" t="s">
        <v>182</v>
      </c>
      <c r="D921" s="125"/>
      <c r="E921" s="125"/>
      <c r="F921" s="134"/>
      <c r="G921" s="131" t="s">
        <v>183</v>
      </c>
      <c r="H921" s="102"/>
      <c r="I921" s="102">
        <v>27000</v>
      </c>
      <c r="J921" s="102">
        <v>27000</v>
      </c>
      <c r="K921" s="102">
        <v>27000</v>
      </c>
      <c r="L921" s="207"/>
    </row>
    <row r="922" spans="1:12" s="229" customFormat="1" ht="18" customHeight="1" x14ac:dyDescent="0.25">
      <c r="A922" s="154" t="s">
        <v>163</v>
      </c>
      <c r="B922" s="1106" t="s">
        <v>1317</v>
      </c>
      <c r="C922" s="44" t="s">
        <v>186</v>
      </c>
      <c r="D922" s="125"/>
      <c r="E922" s="125"/>
      <c r="F922" s="134"/>
      <c r="G922" s="131" t="s">
        <v>187</v>
      </c>
      <c r="H922" s="101"/>
      <c r="I922" s="101">
        <v>10000</v>
      </c>
      <c r="J922" s="101">
        <v>10000</v>
      </c>
      <c r="K922" s="102">
        <v>10000</v>
      </c>
      <c r="L922" s="207"/>
    </row>
    <row r="923" spans="1:12" s="229" customFormat="1" ht="18" customHeight="1" x14ac:dyDescent="0.25">
      <c r="A923" s="154" t="s">
        <v>163</v>
      </c>
      <c r="B923" s="1106" t="s">
        <v>1317</v>
      </c>
      <c r="C923" s="1165" t="s">
        <v>198</v>
      </c>
      <c r="D923" s="1176"/>
      <c r="E923" s="1176"/>
      <c r="F923" s="1159"/>
      <c r="G923" s="131" t="s">
        <v>199</v>
      </c>
      <c r="H923" s="105"/>
      <c r="I923" s="105">
        <v>328698.56</v>
      </c>
      <c r="J923" s="105">
        <v>328698.56</v>
      </c>
      <c r="K923" s="106">
        <f>320698.56+4000</f>
        <v>324698.56</v>
      </c>
      <c r="L923" s="207"/>
    </row>
    <row r="924" spans="1:12" s="146" customFormat="1" ht="18" x14ac:dyDescent="0.25">
      <c r="A924" s="1051" t="s">
        <v>123</v>
      </c>
      <c r="B924" s="1041" t="s">
        <v>2025</v>
      </c>
      <c r="C924" s="1602" t="s">
        <v>124</v>
      </c>
      <c r="D924" s="1603"/>
      <c r="E924" s="1603"/>
      <c r="F924" s="1603"/>
      <c r="G924" s="131" t="s">
        <v>125</v>
      </c>
      <c r="H924" s="101"/>
      <c r="I924" s="101">
        <v>13104180</v>
      </c>
      <c r="J924" s="101">
        <v>13104180</v>
      </c>
      <c r="K924" s="102">
        <v>12609852</v>
      </c>
      <c r="L924" s="10"/>
    </row>
    <row r="925" spans="1:12" s="146" customFormat="1" ht="18" x14ac:dyDescent="0.25">
      <c r="A925" s="1051" t="s">
        <v>123</v>
      </c>
      <c r="B925" s="1106" t="s">
        <v>2025</v>
      </c>
      <c r="C925" s="1602" t="s">
        <v>126</v>
      </c>
      <c r="D925" s="1603"/>
      <c r="E925" s="1603"/>
      <c r="F925" s="1603"/>
      <c r="G925" s="131" t="s">
        <v>127</v>
      </c>
      <c r="H925" s="101"/>
      <c r="I925" s="101">
        <v>352272</v>
      </c>
      <c r="J925" s="101">
        <v>352272</v>
      </c>
      <c r="K925" s="102">
        <v>339000</v>
      </c>
      <c r="L925" s="10"/>
    </row>
    <row r="926" spans="1:12" s="146" customFormat="1" ht="18" x14ac:dyDescent="0.25">
      <c r="A926" s="1051" t="s">
        <v>123</v>
      </c>
      <c r="B926" s="1106" t="s">
        <v>2025</v>
      </c>
      <c r="C926" s="1602" t="s">
        <v>129</v>
      </c>
      <c r="D926" s="1603"/>
      <c r="E926" s="1603"/>
      <c r="F926" s="1603"/>
      <c r="G926" s="132" t="s">
        <v>130</v>
      </c>
      <c r="H926" s="101"/>
      <c r="I926" s="101">
        <v>864000</v>
      </c>
      <c r="J926" s="101">
        <v>864000</v>
      </c>
      <c r="K926" s="102">
        <v>864000</v>
      </c>
      <c r="L926" s="10"/>
    </row>
    <row r="927" spans="1:12" s="146" customFormat="1" ht="18" x14ac:dyDescent="0.25">
      <c r="A927" s="1051" t="s">
        <v>123</v>
      </c>
      <c r="B927" s="1106" t="s">
        <v>2025</v>
      </c>
      <c r="C927" s="1602" t="s">
        <v>131</v>
      </c>
      <c r="D927" s="1603"/>
      <c r="E927" s="1603"/>
      <c r="F927" s="1603"/>
      <c r="G927" s="131" t="s">
        <v>132</v>
      </c>
      <c r="H927" s="101"/>
      <c r="I927" s="101">
        <v>85200</v>
      </c>
      <c r="J927" s="101">
        <v>85200</v>
      </c>
      <c r="K927" s="102">
        <v>85200</v>
      </c>
      <c r="L927" s="10"/>
    </row>
    <row r="928" spans="1:12" s="146" customFormat="1" ht="18" x14ac:dyDescent="0.25">
      <c r="A928" s="1051" t="s">
        <v>123</v>
      </c>
      <c r="B928" s="1106" t="s">
        <v>2025</v>
      </c>
      <c r="C928" s="1602" t="s">
        <v>133</v>
      </c>
      <c r="D928" s="1603"/>
      <c r="E928" s="1603"/>
      <c r="F928" s="1603"/>
      <c r="G928" s="131" t="s">
        <v>134</v>
      </c>
      <c r="H928" s="101"/>
      <c r="I928" s="101">
        <v>85200</v>
      </c>
      <c r="J928" s="101">
        <v>85200</v>
      </c>
      <c r="K928" s="102">
        <v>85200</v>
      </c>
      <c r="L928" s="10"/>
    </row>
    <row r="929" spans="1:12" s="146" customFormat="1" ht="18" x14ac:dyDescent="0.25">
      <c r="A929" s="1051" t="s">
        <v>123</v>
      </c>
      <c r="B929" s="1106" t="s">
        <v>2025</v>
      </c>
      <c r="C929" s="1602" t="s">
        <v>135</v>
      </c>
      <c r="D929" s="1603"/>
      <c r="E929" s="1603"/>
      <c r="F929" s="1603"/>
      <c r="G929" s="131" t="s">
        <v>136</v>
      </c>
      <c r="H929" s="101"/>
      <c r="I929" s="1156">
        <v>700000</v>
      </c>
      <c r="J929" s="1156">
        <v>700000</v>
      </c>
      <c r="K929" s="102">
        <v>700000</v>
      </c>
      <c r="L929" s="10"/>
    </row>
    <row r="930" spans="1:12" s="146" customFormat="1" ht="18" x14ac:dyDescent="0.25">
      <c r="A930" s="1051" t="s">
        <v>123</v>
      </c>
      <c r="B930" s="1106" t="s">
        <v>2025</v>
      </c>
      <c r="C930" s="1602" t="s">
        <v>137</v>
      </c>
      <c r="D930" s="1603"/>
      <c r="E930" s="1603"/>
      <c r="F930" s="1603"/>
      <c r="G930" s="131" t="s">
        <v>138</v>
      </c>
      <c r="H930" s="101"/>
      <c r="I930" s="101">
        <v>216000</v>
      </c>
      <c r="J930" s="101">
        <v>216000</v>
      </c>
      <c r="K930" s="102">
        <v>216000</v>
      </c>
      <c r="L930" s="10"/>
    </row>
    <row r="931" spans="1:12" s="146" customFormat="1" ht="18" customHeight="1" x14ac:dyDescent="0.25">
      <c r="A931" s="1051" t="s">
        <v>123</v>
      </c>
      <c r="B931" s="1106" t="s">
        <v>2025</v>
      </c>
      <c r="C931" s="1602" t="s">
        <v>1541</v>
      </c>
      <c r="D931" s="1603"/>
      <c r="E931" s="1603"/>
      <c r="F931" s="1603"/>
      <c r="G931" s="131" t="s">
        <v>140</v>
      </c>
      <c r="H931" s="101"/>
      <c r="I931" s="101">
        <v>1121371</v>
      </c>
      <c r="J931" s="101">
        <v>1121371</v>
      </c>
      <c r="K931" s="102">
        <v>1079071</v>
      </c>
      <c r="L931" s="10"/>
    </row>
    <row r="932" spans="1:12" s="146" customFormat="1" ht="18" x14ac:dyDescent="0.25">
      <c r="A932" s="1051" t="s">
        <v>123</v>
      </c>
      <c r="B932" s="1106" t="s">
        <v>2025</v>
      </c>
      <c r="C932" s="1602" t="s">
        <v>141</v>
      </c>
      <c r="D932" s="1603"/>
      <c r="E932" s="1603"/>
      <c r="F932" s="1603"/>
      <c r="G932" s="131" t="s">
        <v>142</v>
      </c>
      <c r="H932" s="101"/>
      <c r="I932" s="101">
        <v>1121371</v>
      </c>
      <c r="J932" s="101">
        <v>1121371</v>
      </c>
      <c r="K932" s="102">
        <v>1079071</v>
      </c>
      <c r="L932" s="10"/>
    </row>
    <row r="933" spans="1:12" s="146" customFormat="1" ht="18" x14ac:dyDescent="0.25">
      <c r="A933" s="1051" t="s">
        <v>123</v>
      </c>
      <c r="B933" s="1106" t="s">
        <v>2025</v>
      </c>
      <c r="C933" s="1602" t="s">
        <v>1542</v>
      </c>
      <c r="D933" s="1603"/>
      <c r="E933" s="1603"/>
      <c r="F933" s="1603"/>
      <c r="G933" s="131"/>
      <c r="H933" s="101"/>
      <c r="I933" s="101"/>
      <c r="J933" s="101"/>
      <c r="K933" s="102"/>
      <c r="L933" s="10"/>
    </row>
    <row r="934" spans="1:12" s="146" customFormat="1" ht="18" x14ac:dyDescent="0.25">
      <c r="A934" s="1051" t="s">
        <v>123</v>
      </c>
      <c r="B934" s="1106" t="s">
        <v>2025</v>
      </c>
      <c r="C934" s="1602" t="s">
        <v>143</v>
      </c>
      <c r="D934" s="1603"/>
      <c r="E934" s="1603"/>
      <c r="F934" s="1603"/>
      <c r="G934" s="131" t="s">
        <v>144</v>
      </c>
      <c r="H934" s="101"/>
      <c r="I934" s="101">
        <v>180000</v>
      </c>
      <c r="J934" s="101">
        <v>180000</v>
      </c>
      <c r="K934" s="102">
        <v>180000</v>
      </c>
      <c r="L934" s="10"/>
    </row>
    <row r="935" spans="1:12" s="146" customFormat="1" ht="18" x14ac:dyDescent="0.25">
      <c r="A935" s="1051" t="s">
        <v>123</v>
      </c>
      <c r="B935" s="1106" t="s">
        <v>2025</v>
      </c>
      <c r="C935" s="1611" t="s">
        <v>1543</v>
      </c>
      <c r="D935" s="1611"/>
      <c r="E935" s="1611"/>
      <c r="F935" s="1602"/>
      <c r="G935" s="131" t="s">
        <v>146</v>
      </c>
      <c r="H935" s="101"/>
      <c r="I935" s="101">
        <v>180000</v>
      </c>
      <c r="J935" s="101">
        <v>180000</v>
      </c>
      <c r="K935" s="102">
        <v>180000</v>
      </c>
      <c r="L935" s="10"/>
    </row>
    <row r="936" spans="1:12" s="146" customFormat="1" ht="18" x14ac:dyDescent="0.25">
      <c r="A936" s="1051" t="s">
        <v>123</v>
      </c>
      <c r="B936" s="1106" t="s">
        <v>2025</v>
      </c>
      <c r="C936" s="1611" t="s">
        <v>1568</v>
      </c>
      <c r="D936" s="1611"/>
      <c r="E936" s="1611"/>
      <c r="F936" s="1602"/>
      <c r="G936" s="131" t="s">
        <v>232</v>
      </c>
      <c r="H936" s="101"/>
      <c r="I936" s="101"/>
      <c r="J936" s="101"/>
      <c r="K936" s="102">
        <v>35000</v>
      </c>
      <c r="L936" s="10"/>
    </row>
    <row r="937" spans="1:12" s="146" customFormat="1" ht="18" x14ac:dyDescent="0.25">
      <c r="A937" s="1051" t="s">
        <v>123</v>
      </c>
      <c r="B937" s="1106" t="s">
        <v>2025</v>
      </c>
      <c r="C937" s="1062" t="s">
        <v>147</v>
      </c>
      <c r="D937" s="1041"/>
      <c r="E937" s="1041"/>
      <c r="F937" s="1039"/>
      <c r="G937" s="131" t="s">
        <v>148</v>
      </c>
      <c r="H937" s="101"/>
      <c r="I937" s="101"/>
      <c r="J937" s="101"/>
      <c r="K937" s="102"/>
      <c r="L937" s="10"/>
    </row>
    <row r="938" spans="1:12" s="146" customFormat="1" ht="18" x14ac:dyDescent="0.25">
      <c r="A938" s="1051" t="s">
        <v>123</v>
      </c>
      <c r="B938" s="1106" t="s">
        <v>2025</v>
      </c>
      <c r="C938" s="1611" t="s">
        <v>210</v>
      </c>
      <c r="D938" s="1620"/>
      <c r="E938" s="1620"/>
      <c r="F938" s="1621"/>
      <c r="G938" s="131" t="s">
        <v>464</v>
      </c>
      <c r="H938" s="101"/>
      <c r="I938" s="101">
        <v>612000</v>
      </c>
      <c r="J938" s="101">
        <v>612000</v>
      </c>
      <c r="K938" s="102">
        <v>612000</v>
      </c>
      <c r="L938" s="10"/>
    </row>
    <row r="939" spans="1:12" s="146" customFormat="1" ht="18" x14ac:dyDescent="0.25">
      <c r="A939" s="1051" t="s">
        <v>123</v>
      </c>
      <c r="B939" s="1106" t="s">
        <v>2025</v>
      </c>
      <c r="C939" s="1611" t="s">
        <v>211</v>
      </c>
      <c r="D939" s="1611"/>
      <c r="E939" s="1611"/>
      <c r="F939" s="1602"/>
      <c r="G939" s="131" t="s">
        <v>212</v>
      </c>
      <c r="H939" s="101"/>
      <c r="I939" s="101">
        <v>61200</v>
      </c>
      <c r="J939" s="101">
        <v>61200</v>
      </c>
      <c r="K939" s="102">
        <v>61200</v>
      </c>
      <c r="L939" s="10"/>
    </row>
    <row r="940" spans="1:12" s="146" customFormat="1" ht="18" x14ac:dyDescent="0.25">
      <c r="A940" s="1051" t="s">
        <v>123</v>
      </c>
      <c r="B940" s="1106" t="s">
        <v>2025</v>
      </c>
      <c r="C940" s="1611" t="s">
        <v>149</v>
      </c>
      <c r="D940" s="1611"/>
      <c r="E940" s="1611"/>
      <c r="F940" s="1602"/>
      <c r="G940" s="131" t="s">
        <v>150</v>
      </c>
      <c r="H940" s="101"/>
      <c r="I940" s="101">
        <v>2836906.92</v>
      </c>
      <c r="J940" s="101">
        <v>2836906.92</v>
      </c>
      <c r="K940" s="102">
        <v>2721980.04</v>
      </c>
      <c r="L940" s="10"/>
    </row>
    <row r="941" spans="1:12" s="146" customFormat="1" ht="18" x14ac:dyDescent="0.25">
      <c r="A941" s="1051" t="s">
        <v>123</v>
      </c>
      <c r="B941" s="1106" t="s">
        <v>2025</v>
      </c>
      <c r="C941" s="1602" t="s">
        <v>1544</v>
      </c>
      <c r="D941" s="1603"/>
      <c r="E941" s="1603"/>
      <c r="F941" s="1603"/>
      <c r="G941" s="131" t="s">
        <v>148</v>
      </c>
      <c r="H941" s="101"/>
      <c r="I941" s="101"/>
      <c r="J941" s="101"/>
      <c r="K941" s="102"/>
      <c r="L941" s="10"/>
    </row>
    <row r="942" spans="1:12" s="146" customFormat="1" ht="18" x14ac:dyDescent="0.25">
      <c r="A942" s="1051" t="s">
        <v>123</v>
      </c>
      <c r="B942" s="1106" t="s">
        <v>2025</v>
      </c>
      <c r="C942" s="1602" t="s">
        <v>1545</v>
      </c>
      <c r="D942" s="1603"/>
      <c r="E942" s="1603"/>
      <c r="F942" s="1603"/>
      <c r="G942" s="131" t="s">
        <v>154</v>
      </c>
      <c r="H942" s="101"/>
      <c r="I942" s="101">
        <v>1105853.76</v>
      </c>
      <c r="J942" s="101">
        <v>1105853.76</v>
      </c>
      <c r="K942" s="102">
        <v>1553862.24</v>
      </c>
      <c r="L942" s="10"/>
    </row>
    <row r="943" spans="1:12" s="146" customFormat="1" ht="18" x14ac:dyDescent="0.25">
      <c r="A943" s="1051" t="s">
        <v>123</v>
      </c>
      <c r="B943" s="1106" t="s">
        <v>2025</v>
      </c>
      <c r="C943" s="1602" t="s">
        <v>155</v>
      </c>
      <c r="D943" s="1603"/>
      <c r="E943" s="1603"/>
      <c r="F943" s="1603"/>
      <c r="G943" s="131" t="s">
        <v>156</v>
      </c>
      <c r="H943" s="101"/>
      <c r="I943" s="101">
        <v>43200</v>
      </c>
      <c r="J943" s="101">
        <v>43200</v>
      </c>
      <c r="K943" s="102">
        <v>43200</v>
      </c>
      <c r="L943" s="10"/>
    </row>
    <row r="944" spans="1:12" s="146" customFormat="1" ht="18" x14ac:dyDescent="0.25">
      <c r="A944" s="1051" t="s">
        <v>123</v>
      </c>
      <c r="B944" s="1106" t="s">
        <v>2025</v>
      </c>
      <c r="C944" s="1602" t="s">
        <v>157</v>
      </c>
      <c r="D944" s="1603"/>
      <c r="E944" s="1603"/>
      <c r="F944" s="1603"/>
      <c r="G944" s="131" t="s">
        <v>158</v>
      </c>
      <c r="H944" s="101"/>
      <c r="I944" s="101">
        <v>299322.81</v>
      </c>
      <c r="J944" s="101">
        <v>299322.81</v>
      </c>
      <c r="K944" s="102">
        <v>288436.40999999997</v>
      </c>
      <c r="L944" s="10"/>
    </row>
    <row r="945" spans="1:12" s="146" customFormat="1" ht="18" x14ac:dyDescent="0.25">
      <c r="A945" s="1051" t="s">
        <v>123</v>
      </c>
      <c r="B945" s="1106" t="s">
        <v>2025</v>
      </c>
      <c r="C945" s="1602" t="s">
        <v>1546</v>
      </c>
      <c r="D945" s="1603"/>
      <c r="E945" s="1603"/>
      <c r="F945" s="1603"/>
      <c r="G945" s="131" t="s">
        <v>160</v>
      </c>
      <c r="H945" s="101"/>
      <c r="I945" s="101">
        <v>43200</v>
      </c>
      <c r="J945" s="101">
        <v>43200</v>
      </c>
      <c r="K945" s="102">
        <v>43200</v>
      </c>
      <c r="L945" s="10"/>
    </row>
    <row r="946" spans="1:12" s="212" customFormat="1" ht="18" customHeight="1" x14ac:dyDescent="0.25">
      <c r="A946" s="154" t="s">
        <v>163</v>
      </c>
      <c r="B946" s="1106" t="s">
        <v>2025</v>
      </c>
      <c r="C946" s="44" t="s">
        <v>353</v>
      </c>
      <c r="D946" s="125"/>
      <c r="E946" s="125"/>
      <c r="F946" s="134"/>
      <c r="G946" s="131" t="s">
        <v>165</v>
      </c>
      <c r="H946" s="101"/>
      <c r="I946" s="101">
        <v>640000</v>
      </c>
      <c r="J946" s="101">
        <v>640000</v>
      </c>
      <c r="K946" s="102">
        <v>640000</v>
      </c>
      <c r="L946" s="207"/>
    </row>
    <row r="947" spans="1:12" s="212" customFormat="1" ht="18" customHeight="1" x14ac:dyDescent="0.25">
      <c r="A947" s="154" t="s">
        <v>163</v>
      </c>
      <c r="B947" s="1106" t="s">
        <v>2025</v>
      </c>
      <c r="C947" s="44" t="s">
        <v>166</v>
      </c>
      <c r="D947" s="125"/>
      <c r="E947" s="125"/>
      <c r="F947" s="134"/>
      <c r="G947" s="131"/>
      <c r="H947" s="101"/>
      <c r="I947" s="101"/>
      <c r="J947" s="101"/>
      <c r="K947" s="102">
        <v>100000</v>
      </c>
      <c r="L947" s="207"/>
    </row>
    <row r="948" spans="1:12" s="212" customFormat="1" ht="18" customHeight="1" x14ac:dyDescent="0.25">
      <c r="A948" s="154" t="s">
        <v>163</v>
      </c>
      <c r="B948" s="1106" t="s">
        <v>2025</v>
      </c>
      <c r="C948" s="44" t="s">
        <v>168</v>
      </c>
      <c r="D948" s="125"/>
      <c r="E948" s="125"/>
      <c r="F948" s="134"/>
      <c r="G948" s="131" t="s">
        <v>169</v>
      </c>
      <c r="H948" s="101"/>
      <c r="I948" s="101">
        <v>1720483</v>
      </c>
      <c r="J948" s="101">
        <v>1720483</v>
      </c>
      <c r="K948" s="102">
        <v>1720483</v>
      </c>
      <c r="L948" s="207"/>
    </row>
    <row r="949" spans="1:12" s="212" customFormat="1" ht="18" customHeight="1" x14ac:dyDescent="0.25">
      <c r="A949" s="154" t="s">
        <v>163</v>
      </c>
      <c r="B949" s="1106" t="s">
        <v>2025</v>
      </c>
      <c r="C949" s="44" t="s">
        <v>466</v>
      </c>
      <c r="D949" s="125"/>
      <c r="E949" s="125"/>
      <c r="F949" s="134"/>
      <c r="G949" s="131" t="s">
        <v>467</v>
      </c>
      <c r="H949" s="101"/>
      <c r="I949" s="101">
        <v>21259768</v>
      </c>
      <c r="J949" s="101">
        <v>21259768</v>
      </c>
      <c r="K949" s="102">
        <v>21259768</v>
      </c>
      <c r="L949" s="207"/>
    </row>
    <row r="950" spans="1:12" s="212" customFormat="1" ht="18" x14ac:dyDescent="0.25">
      <c r="A950" s="154" t="s">
        <v>163</v>
      </c>
      <c r="B950" s="1106" t="s">
        <v>2025</v>
      </c>
      <c r="C950" s="44" t="s">
        <v>468</v>
      </c>
      <c r="D950" s="125"/>
      <c r="E950" s="125"/>
      <c r="F950" s="134"/>
      <c r="G950" s="131" t="s">
        <v>469</v>
      </c>
      <c r="H950" s="101"/>
      <c r="I950" s="101">
        <v>18215843.5</v>
      </c>
      <c r="J950" s="101">
        <v>18215843.5</v>
      </c>
      <c r="K950" s="102">
        <v>18215843.5</v>
      </c>
      <c r="L950" s="207"/>
    </row>
    <row r="951" spans="1:12" s="212" customFormat="1" ht="18" customHeight="1" x14ac:dyDescent="0.25">
      <c r="A951" s="154" t="s">
        <v>163</v>
      </c>
      <c r="B951" s="1106" t="s">
        <v>2025</v>
      </c>
      <c r="C951" s="44" t="s">
        <v>470</v>
      </c>
      <c r="D951" s="125"/>
      <c r="E951" s="125"/>
      <c r="F951" s="134"/>
      <c r="G951" s="131" t="s">
        <v>469</v>
      </c>
      <c r="H951" s="101"/>
      <c r="I951" s="101"/>
      <c r="J951" s="101"/>
      <c r="K951" s="102"/>
      <c r="L951" s="207"/>
    </row>
    <row r="952" spans="1:12" s="212" customFormat="1" ht="18" customHeight="1" x14ac:dyDescent="0.25">
      <c r="A952" s="154" t="s">
        <v>163</v>
      </c>
      <c r="B952" s="1106" t="s">
        <v>2025</v>
      </c>
      <c r="C952" s="1062" t="s">
        <v>170</v>
      </c>
      <c r="D952" s="1042"/>
      <c r="E952" s="1042"/>
      <c r="F952" s="1043"/>
      <c r="G952" s="131" t="s">
        <v>171</v>
      </c>
      <c r="H952" s="101"/>
      <c r="I952" s="101">
        <v>2081672</v>
      </c>
      <c r="J952" s="101">
        <v>2081672</v>
      </c>
      <c r="K952" s="102">
        <v>2081672</v>
      </c>
      <c r="L952" s="207"/>
    </row>
    <row r="953" spans="1:12" s="212" customFormat="1" ht="18" customHeight="1" x14ac:dyDescent="0.25">
      <c r="A953" s="154" t="s">
        <v>163</v>
      </c>
      <c r="B953" s="1106" t="s">
        <v>2025</v>
      </c>
      <c r="C953" s="44" t="s">
        <v>382</v>
      </c>
      <c r="D953" s="125"/>
      <c r="E953" s="125"/>
      <c r="F953" s="134"/>
      <c r="G953" s="131" t="s">
        <v>383</v>
      </c>
      <c r="H953" s="101"/>
      <c r="I953" s="101">
        <v>10800</v>
      </c>
      <c r="J953" s="101">
        <v>10800</v>
      </c>
      <c r="K953" s="102">
        <v>10800</v>
      </c>
      <c r="L953" s="207"/>
    </row>
    <row r="954" spans="1:12" s="212" customFormat="1" ht="18" customHeight="1" x14ac:dyDescent="0.25">
      <c r="A954" s="154" t="s">
        <v>163</v>
      </c>
      <c r="B954" s="1106" t="s">
        <v>2025</v>
      </c>
      <c r="C954" s="44" t="s">
        <v>296</v>
      </c>
      <c r="D954" s="125"/>
      <c r="E954" s="125"/>
      <c r="F954" s="134"/>
      <c r="G954" s="131" t="s">
        <v>177</v>
      </c>
      <c r="H954" s="101"/>
      <c r="I954" s="101">
        <v>6000</v>
      </c>
      <c r="J954" s="101">
        <v>6000</v>
      </c>
      <c r="K954" s="102">
        <v>6000</v>
      </c>
      <c r="L954" s="207"/>
    </row>
    <row r="955" spans="1:12" s="212" customFormat="1" ht="18" customHeight="1" x14ac:dyDescent="0.25">
      <c r="A955" s="154" t="s">
        <v>163</v>
      </c>
      <c r="B955" s="1106" t="s">
        <v>2025</v>
      </c>
      <c r="C955" s="44" t="s">
        <v>178</v>
      </c>
      <c r="D955" s="125"/>
      <c r="E955" s="125"/>
      <c r="F955" s="134"/>
      <c r="G955" s="131" t="s">
        <v>179</v>
      </c>
      <c r="H955" s="101"/>
      <c r="I955" s="101">
        <v>151200</v>
      </c>
      <c r="J955" s="101">
        <v>151200</v>
      </c>
      <c r="K955" s="102">
        <v>151200</v>
      </c>
      <c r="L955" s="207"/>
    </row>
    <row r="956" spans="1:12" s="229" customFormat="1" ht="18" customHeight="1" x14ac:dyDescent="0.25">
      <c r="A956" s="154" t="s">
        <v>163</v>
      </c>
      <c r="B956" s="1106" t="s">
        <v>2025</v>
      </c>
      <c r="C956" s="44" t="s">
        <v>182</v>
      </c>
      <c r="D956" s="125"/>
      <c r="E956" s="125"/>
      <c r="F956" s="134"/>
      <c r="G956" s="131" t="s">
        <v>183</v>
      </c>
      <c r="H956" s="101"/>
      <c r="I956" s="101">
        <v>99840</v>
      </c>
      <c r="J956" s="101">
        <v>99840</v>
      </c>
      <c r="K956" s="102">
        <v>99840</v>
      </c>
      <c r="L956" s="207"/>
    </row>
    <row r="957" spans="1:12" s="229" customFormat="1" ht="18" customHeight="1" x14ac:dyDescent="0.25">
      <c r="A957" s="154" t="s">
        <v>163</v>
      </c>
      <c r="B957" s="1106" t="s">
        <v>2025</v>
      </c>
      <c r="C957" s="44" t="s">
        <v>1562</v>
      </c>
      <c r="D957" s="125"/>
      <c r="E957" s="125"/>
      <c r="F957" s="134"/>
      <c r="G957" s="131" t="s">
        <v>218</v>
      </c>
      <c r="H957" s="101"/>
      <c r="I957" s="101">
        <v>9000</v>
      </c>
      <c r="J957" s="101">
        <v>9000</v>
      </c>
      <c r="K957" s="102">
        <v>9000</v>
      </c>
      <c r="L957" s="207"/>
    </row>
    <row r="958" spans="1:12" s="229" customFormat="1" ht="18" customHeight="1" x14ac:dyDescent="0.25">
      <c r="A958" s="154" t="s">
        <v>163</v>
      </c>
      <c r="B958" s="1106" t="s">
        <v>2025</v>
      </c>
      <c r="C958" s="44" t="s">
        <v>186</v>
      </c>
      <c r="D958" s="125"/>
      <c r="E958" s="125"/>
      <c r="F958" s="134"/>
      <c r="G958" s="131" t="s">
        <v>356</v>
      </c>
      <c r="H958" s="101"/>
      <c r="I958" s="101">
        <v>250000</v>
      </c>
      <c r="J958" s="101">
        <v>250000</v>
      </c>
      <c r="K958" s="102">
        <v>250000</v>
      </c>
      <c r="L958" s="207"/>
    </row>
    <row r="959" spans="1:12" s="229" customFormat="1" ht="18" customHeight="1" x14ac:dyDescent="0.25">
      <c r="A959" s="154" t="s">
        <v>163</v>
      </c>
      <c r="B959" s="1106" t="s">
        <v>2025</v>
      </c>
      <c r="C959" s="44" t="s">
        <v>1645</v>
      </c>
      <c r="D959" s="125"/>
      <c r="E959" s="125"/>
      <c r="F959" s="134"/>
      <c r="G959" s="131" t="s">
        <v>474</v>
      </c>
      <c r="H959" s="101"/>
      <c r="I959" s="101">
        <v>1000000</v>
      </c>
      <c r="J959" s="101">
        <v>1000000</v>
      </c>
      <c r="K959" s="102">
        <v>1000000</v>
      </c>
      <c r="L959" s="207"/>
    </row>
    <row r="960" spans="1:12" s="229" customFormat="1" ht="18" customHeight="1" x14ac:dyDescent="0.25">
      <c r="A960" s="154" t="s">
        <v>163</v>
      </c>
      <c r="B960" s="1106" t="s">
        <v>2025</v>
      </c>
      <c r="C960" s="44" t="s">
        <v>188</v>
      </c>
      <c r="D960" s="125"/>
      <c r="E960" s="125"/>
      <c r="F960" s="134"/>
      <c r="G960" s="131" t="s">
        <v>189</v>
      </c>
      <c r="H960" s="101"/>
      <c r="I960" s="101">
        <v>1000000</v>
      </c>
      <c r="J960" s="101">
        <v>1000000</v>
      </c>
      <c r="K960" s="102">
        <v>1000000</v>
      </c>
      <c r="L960" s="207"/>
    </row>
    <row r="961" spans="1:12" s="229" customFormat="1" ht="18" customHeight="1" x14ac:dyDescent="0.25">
      <c r="A961" s="154" t="s">
        <v>163</v>
      </c>
      <c r="B961" s="1106" t="s">
        <v>2025</v>
      </c>
      <c r="C961" s="44" t="s">
        <v>439</v>
      </c>
      <c r="D961" s="125"/>
      <c r="E961" s="125"/>
      <c r="F961" s="134"/>
      <c r="G961" s="131" t="s">
        <v>237</v>
      </c>
      <c r="H961" s="101"/>
      <c r="I961" s="101">
        <v>10000</v>
      </c>
      <c r="J961" s="101">
        <v>10000</v>
      </c>
      <c r="K961" s="102"/>
      <c r="L961" s="207"/>
    </row>
    <row r="962" spans="1:12" s="229" customFormat="1" ht="18" customHeight="1" x14ac:dyDescent="0.25">
      <c r="A962" s="154" t="s">
        <v>163</v>
      </c>
      <c r="B962" s="1106" t="s">
        <v>2025</v>
      </c>
      <c r="C962" s="44" t="s">
        <v>1646</v>
      </c>
      <c r="D962" s="125"/>
      <c r="E962" s="125"/>
      <c r="F962" s="134"/>
      <c r="G962" s="131" t="s">
        <v>199</v>
      </c>
      <c r="H962" s="101"/>
      <c r="I962" s="101">
        <v>7610045.7599999998</v>
      </c>
      <c r="J962" s="101">
        <v>7610045.7599999998</v>
      </c>
      <c r="K962" s="102">
        <v>7610045.7599999998</v>
      </c>
      <c r="L962" s="207"/>
    </row>
    <row r="963" spans="1:12" s="146" customFormat="1" ht="18" x14ac:dyDescent="0.25">
      <c r="A963" s="154" t="s">
        <v>2019</v>
      </c>
      <c r="B963" s="1106" t="s">
        <v>2025</v>
      </c>
      <c r="C963" s="38" t="s">
        <v>1647</v>
      </c>
      <c r="D963" s="1086"/>
      <c r="E963" s="1041"/>
      <c r="F963" s="1039"/>
      <c r="G963" s="100"/>
      <c r="H963" s="101"/>
      <c r="I963" s="101">
        <v>50000</v>
      </c>
      <c r="J963" s="101">
        <v>50000</v>
      </c>
      <c r="K963" s="102">
        <v>50000</v>
      </c>
      <c r="L963" s="10"/>
    </row>
    <row r="964" spans="1:12" s="146" customFormat="1" ht="18" x14ac:dyDescent="0.25">
      <c r="A964" s="154" t="s">
        <v>2019</v>
      </c>
      <c r="B964" s="1106" t="s">
        <v>2025</v>
      </c>
      <c r="C964" s="38" t="s">
        <v>1648</v>
      </c>
      <c r="D964" s="1086"/>
      <c r="E964" s="1041"/>
      <c r="F964" s="1039"/>
      <c r="G964" s="100"/>
      <c r="H964" s="101"/>
      <c r="I964" s="101">
        <v>100000</v>
      </c>
      <c r="J964" s="101">
        <v>100000</v>
      </c>
      <c r="K964" s="102">
        <v>100000</v>
      </c>
      <c r="L964" s="10"/>
    </row>
    <row r="965" spans="1:12" s="146" customFormat="1" ht="18" x14ac:dyDescent="0.25">
      <c r="A965" s="154" t="s">
        <v>2019</v>
      </c>
      <c r="B965" s="1106" t="s">
        <v>2025</v>
      </c>
      <c r="C965" s="38" t="s">
        <v>1649</v>
      </c>
      <c r="D965" s="1086"/>
      <c r="E965" s="1041"/>
      <c r="F965" s="1039"/>
      <c r="G965" s="100"/>
      <c r="H965" s="101"/>
      <c r="I965" s="101">
        <v>30000</v>
      </c>
      <c r="J965" s="101">
        <v>30000</v>
      </c>
      <c r="K965" s="102">
        <v>30000</v>
      </c>
      <c r="L965" s="10"/>
    </row>
    <row r="966" spans="1:12" s="146" customFormat="1" ht="18" x14ac:dyDescent="0.25">
      <c r="A966" s="154" t="s">
        <v>2019</v>
      </c>
      <c r="B966" s="1106" t="s">
        <v>2025</v>
      </c>
      <c r="C966" s="38" t="s">
        <v>1650</v>
      </c>
      <c r="D966" s="1088"/>
      <c r="E966" s="1045"/>
      <c r="F966" s="1046"/>
      <c r="G966" s="205"/>
      <c r="H966" s="102"/>
      <c r="I966" s="102">
        <v>900000</v>
      </c>
      <c r="J966" s="102">
        <v>900000</v>
      </c>
      <c r="K966" s="102">
        <v>900000</v>
      </c>
      <c r="L966" s="10"/>
    </row>
    <row r="967" spans="1:12" s="313" customFormat="1" ht="52.5" customHeight="1" x14ac:dyDescent="0.25">
      <c r="A967" s="154" t="s">
        <v>2019</v>
      </c>
      <c r="B967" s="1106" t="s">
        <v>2025</v>
      </c>
      <c r="C967" s="1628" t="s">
        <v>1651</v>
      </c>
      <c r="D967" s="1628"/>
      <c r="E967" s="1044"/>
      <c r="F967" s="1080"/>
      <c r="G967" s="423"/>
      <c r="H967" s="101"/>
      <c r="I967" s="101">
        <v>181350</v>
      </c>
      <c r="J967" s="101">
        <v>181350</v>
      </c>
      <c r="K967" s="102">
        <v>181350</v>
      </c>
      <c r="L967" s="193"/>
    </row>
    <row r="968" spans="1:12" s="146" customFormat="1" ht="17.45" customHeight="1" x14ac:dyDescent="0.25">
      <c r="A968" s="154" t="s">
        <v>2019</v>
      </c>
      <c r="B968" s="1106" t="s">
        <v>2025</v>
      </c>
      <c r="C968" s="1088" t="s">
        <v>1652</v>
      </c>
      <c r="D968" s="3"/>
      <c r="E968" s="1041"/>
      <c r="F968" s="1039"/>
      <c r="G968" s="100"/>
      <c r="H968" s="101"/>
      <c r="I968" s="101">
        <v>603300</v>
      </c>
      <c r="J968" s="101">
        <v>603300</v>
      </c>
      <c r="K968" s="102">
        <v>603300</v>
      </c>
      <c r="L968" s="10"/>
    </row>
    <row r="969" spans="1:12" s="146" customFormat="1" ht="17.45" customHeight="1" x14ac:dyDescent="0.25">
      <c r="A969" s="154" t="s">
        <v>2019</v>
      </c>
      <c r="B969" s="1106" t="s">
        <v>2025</v>
      </c>
      <c r="C969" s="1088" t="s">
        <v>1653</v>
      </c>
      <c r="D969" s="3"/>
      <c r="E969" s="1041"/>
      <c r="F969" s="1039"/>
      <c r="G969" s="100"/>
      <c r="H969" s="101"/>
      <c r="I969" s="101">
        <v>81950</v>
      </c>
      <c r="J969" s="101">
        <v>81950</v>
      </c>
      <c r="K969" s="102">
        <v>81950</v>
      </c>
      <c r="L969" s="10"/>
    </row>
    <row r="970" spans="1:12" s="146" customFormat="1" ht="17.45" customHeight="1" x14ac:dyDescent="0.25">
      <c r="A970" s="154" t="s">
        <v>2019</v>
      </c>
      <c r="B970" s="1106" t="s">
        <v>2025</v>
      </c>
      <c r="C970" s="1088" t="s">
        <v>1654</v>
      </c>
      <c r="D970" s="3"/>
      <c r="E970" s="1041"/>
      <c r="F970" s="1039"/>
      <c r="G970" s="100"/>
      <c r="H970" s="101"/>
      <c r="I970" s="101">
        <v>147300</v>
      </c>
      <c r="J970" s="101">
        <v>147300</v>
      </c>
      <c r="K970" s="102">
        <v>147300</v>
      </c>
      <c r="L970" s="10"/>
    </row>
    <row r="971" spans="1:12" s="146" customFormat="1" ht="17.45" customHeight="1" x14ac:dyDescent="0.25">
      <c r="A971" s="154" t="s">
        <v>2019</v>
      </c>
      <c r="B971" s="1106" t="s">
        <v>2025</v>
      </c>
      <c r="C971" s="1088" t="s">
        <v>1655</v>
      </c>
      <c r="D971" s="3"/>
      <c r="E971" s="1041"/>
      <c r="F971" s="1039"/>
      <c r="G971" s="100"/>
      <c r="H971" s="101"/>
      <c r="I971" s="101">
        <v>175300</v>
      </c>
      <c r="J971" s="101">
        <v>175300</v>
      </c>
      <c r="K971" s="102">
        <v>175300</v>
      </c>
      <c r="L971" s="10"/>
    </row>
    <row r="972" spans="1:12" s="146" customFormat="1" ht="54.75" customHeight="1" thickBot="1" x14ac:dyDescent="0.3">
      <c r="A972" s="154" t="s">
        <v>2019</v>
      </c>
      <c r="B972" s="1106" t="s">
        <v>2025</v>
      </c>
      <c r="C972" s="1720" t="s">
        <v>1656</v>
      </c>
      <c r="D972" s="1720"/>
      <c r="E972" s="413"/>
      <c r="F972" s="431"/>
      <c r="G972" s="308"/>
      <c r="H972" s="219"/>
      <c r="I972" s="219">
        <v>1500000</v>
      </c>
      <c r="J972" s="219">
        <v>1500000</v>
      </c>
      <c r="K972" s="220">
        <v>1500000</v>
      </c>
      <c r="L972" s="10"/>
    </row>
    <row r="973" spans="1:12" s="146" customFormat="1" ht="17.45" customHeight="1" x14ac:dyDescent="0.25">
      <c r="A973" s="154" t="s">
        <v>2019</v>
      </c>
      <c r="B973" s="1106" t="s">
        <v>2025</v>
      </c>
      <c r="C973" s="1088" t="s">
        <v>1657</v>
      </c>
      <c r="D973" s="3"/>
      <c r="E973" s="1041"/>
      <c r="F973" s="1039"/>
      <c r="G973" s="100"/>
      <c r="H973" s="101"/>
      <c r="I973" s="101">
        <v>209800</v>
      </c>
      <c r="J973" s="101">
        <v>209800</v>
      </c>
      <c r="K973" s="102">
        <v>209800</v>
      </c>
      <c r="L973" s="10"/>
    </row>
    <row r="974" spans="1:12" s="146" customFormat="1" ht="17.45" customHeight="1" x14ac:dyDescent="0.25">
      <c r="A974" s="154" t="s">
        <v>2019</v>
      </c>
      <c r="B974" s="1106" t="s">
        <v>2025</v>
      </c>
      <c r="C974" s="1088" t="s">
        <v>1658</v>
      </c>
      <c r="D974" s="3"/>
      <c r="E974" s="1041"/>
      <c r="F974" s="1039"/>
      <c r="G974" s="100"/>
      <c r="H974" s="101"/>
      <c r="I974" s="101">
        <v>60000</v>
      </c>
      <c r="J974" s="101">
        <v>60000</v>
      </c>
      <c r="K974" s="102">
        <v>60000</v>
      </c>
      <c r="L974" s="10"/>
    </row>
    <row r="975" spans="1:12" s="146" customFormat="1" ht="17.45" customHeight="1" x14ac:dyDescent="0.25">
      <c r="A975" s="154" t="s">
        <v>2019</v>
      </c>
      <c r="B975" s="1106" t="s">
        <v>2025</v>
      </c>
      <c r="C975" s="1088" t="s">
        <v>1659</v>
      </c>
      <c r="D975" s="3"/>
      <c r="E975" s="1041"/>
      <c r="F975" s="1039"/>
      <c r="G975" s="100"/>
      <c r="H975" s="101"/>
      <c r="I975" s="101">
        <v>28000</v>
      </c>
      <c r="J975" s="101">
        <v>28000</v>
      </c>
      <c r="K975" s="102">
        <v>28000</v>
      </c>
      <c r="L975" s="10"/>
    </row>
    <row r="976" spans="1:12" s="146" customFormat="1" ht="17.45" customHeight="1" x14ac:dyDescent="0.25">
      <c r="A976" s="154" t="s">
        <v>2019</v>
      </c>
      <c r="B976" s="1106" t="s">
        <v>2025</v>
      </c>
      <c r="C976" s="1088" t="s">
        <v>1660</v>
      </c>
      <c r="D976" s="125"/>
      <c r="E976" s="1041"/>
      <c r="F976" s="1039"/>
      <c r="G976" s="100"/>
      <c r="H976" s="101"/>
      <c r="I976" s="101">
        <v>28000</v>
      </c>
      <c r="J976" s="101">
        <v>28000</v>
      </c>
      <c r="K976" s="102">
        <v>28000</v>
      </c>
      <c r="L976" s="10"/>
    </row>
    <row r="977" spans="1:12" s="146" customFormat="1" ht="17.45" customHeight="1" x14ac:dyDescent="0.25">
      <c r="A977" s="154" t="s">
        <v>2019</v>
      </c>
      <c r="B977" s="1106" t="s">
        <v>2025</v>
      </c>
      <c r="C977" s="1088" t="s">
        <v>1661</v>
      </c>
      <c r="D977" s="44"/>
      <c r="E977" s="1041"/>
      <c r="F977" s="1039"/>
      <c r="G977" s="100"/>
      <c r="H977" s="101"/>
      <c r="I977" s="101">
        <v>186000</v>
      </c>
      <c r="J977" s="101">
        <v>186000</v>
      </c>
      <c r="K977" s="102">
        <v>186000</v>
      </c>
      <c r="L977" s="10"/>
    </row>
    <row r="978" spans="1:12" s="146" customFormat="1" ht="17.45" customHeight="1" x14ac:dyDescent="0.25">
      <c r="A978" s="154" t="s">
        <v>2019</v>
      </c>
      <c r="B978" s="1106" t="s">
        <v>2025</v>
      </c>
      <c r="C978" s="1088" t="s">
        <v>1662</v>
      </c>
      <c r="D978" s="3"/>
      <c r="E978" s="1041"/>
      <c r="F978" s="1039"/>
      <c r="G978" s="100"/>
      <c r="H978" s="101"/>
      <c r="I978" s="101">
        <v>110000</v>
      </c>
      <c r="J978" s="101">
        <v>110000</v>
      </c>
      <c r="K978" s="102">
        <v>110000</v>
      </c>
      <c r="L978" s="10"/>
    </row>
    <row r="979" spans="1:12" s="146" customFormat="1" ht="36" customHeight="1" x14ac:dyDescent="0.25">
      <c r="A979" s="154" t="s">
        <v>2019</v>
      </c>
      <c r="B979" s="1106" t="s">
        <v>2025</v>
      </c>
      <c r="C979" s="1623" t="s">
        <v>1663</v>
      </c>
      <c r="D979" s="1623"/>
      <c r="E979" s="1041"/>
      <c r="F979" s="1039"/>
      <c r="G979" s="100"/>
      <c r="H979" s="101"/>
      <c r="I979" s="101">
        <v>100000</v>
      </c>
      <c r="J979" s="101">
        <v>100000</v>
      </c>
      <c r="K979" s="102">
        <v>100000</v>
      </c>
      <c r="L979" s="10"/>
    </row>
    <row r="980" spans="1:12" s="146" customFormat="1" ht="18" x14ac:dyDescent="0.25">
      <c r="A980" s="154" t="s">
        <v>2019</v>
      </c>
      <c r="B980" s="1106" t="s">
        <v>2025</v>
      </c>
      <c r="C980" s="1088" t="s">
        <v>1664</v>
      </c>
      <c r="D980" s="3"/>
      <c r="E980" s="1041"/>
      <c r="F980" s="1039"/>
      <c r="G980" s="100"/>
      <c r="H980" s="101"/>
      <c r="I980" s="101">
        <v>2000000</v>
      </c>
      <c r="J980" s="101">
        <v>2000000</v>
      </c>
      <c r="K980" s="102">
        <v>2500000</v>
      </c>
      <c r="L980" s="10"/>
    </row>
    <row r="981" spans="1:12" s="203" customFormat="1" ht="18" x14ac:dyDescent="0.25">
      <c r="A981" s="154" t="s">
        <v>2019</v>
      </c>
      <c r="B981" s="1106" t="s">
        <v>2025</v>
      </c>
      <c r="C981" s="1088" t="s">
        <v>1665</v>
      </c>
      <c r="D981" s="2"/>
      <c r="E981" s="1045"/>
      <c r="F981" s="1046"/>
      <c r="G981" s="205"/>
      <c r="H981" s="102"/>
      <c r="I981" s="102">
        <v>500000</v>
      </c>
      <c r="J981" s="102">
        <v>500000</v>
      </c>
      <c r="K981" s="102">
        <v>500000</v>
      </c>
      <c r="L981" s="10"/>
    </row>
    <row r="982" spans="1:12" s="146" customFormat="1" ht="18" x14ac:dyDescent="0.25">
      <c r="A982" s="154" t="s">
        <v>2019</v>
      </c>
      <c r="B982" s="1106" t="s">
        <v>2025</v>
      </c>
      <c r="C982" s="1646" t="s">
        <v>1666</v>
      </c>
      <c r="D982" s="1646"/>
      <c r="E982" s="1646"/>
      <c r="F982" s="1719"/>
      <c r="G982" s="205"/>
      <c r="H982" s="102"/>
      <c r="I982" s="102">
        <v>450000</v>
      </c>
      <c r="J982" s="102">
        <v>450000</v>
      </c>
      <c r="K982" s="102">
        <v>450000</v>
      </c>
      <c r="L982" s="10"/>
    </row>
    <row r="983" spans="1:12" s="146" customFormat="1" ht="18" x14ac:dyDescent="0.25">
      <c r="A983" s="154" t="s">
        <v>2019</v>
      </c>
      <c r="B983" s="1106" t="s">
        <v>2025</v>
      </c>
      <c r="C983" s="1088" t="s">
        <v>1667</v>
      </c>
      <c r="D983" s="44"/>
      <c r="E983" s="1045"/>
      <c r="F983" s="1046"/>
      <c r="G983" s="205"/>
      <c r="H983" s="102"/>
      <c r="I983" s="102">
        <v>50000</v>
      </c>
      <c r="J983" s="102">
        <v>50000</v>
      </c>
      <c r="K983" s="102">
        <v>50000</v>
      </c>
      <c r="L983" s="10"/>
    </row>
    <row r="984" spans="1:12" s="146" customFormat="1" ht="18" x14ac:dyDescent="0.25">
      <c r="A984" s="154" t="s">
        <v>2019</v>
      </c>
      <c r="B984" s="1106" t="s">
        <v>2025</v>
      </c>
      <c r="C984" s="1088" t="s">
        <v>1668</v>
      </c>
      <c r="D984" s="125"/>
      <c r="E984" s="1041"/>
      <c r="F984" s="1039"/>
      <c r="G984" s="100"/>
      <c r="H984" s="101"/>
      <c r="I984" s="101">
        <v>200000</v>
      </c>
      <c r="J984" s="101">
        <v>200000</v>
      </c>
      <c r="K984" s="102">
        <v>200000</v>
      </c>
      <c r="L984" s="10"/>
    </row>
    <row r="985" spans="1:12" s="146" customFormat="1" ht="18" x14ac:dyDescent="0.25">
      <c r="A985" s="154" t="s">
        <v>2019</v>
      </c>
      <c r="B985" s="1106" t="s">
        <v>2025</v>
      </c>
      <c r="C985" s="1088" t="s">
        <v>1669</v>
      </c>
      <c r="D985" s="3"/>
      <c r="E985" s="1041"/>
      <c r="F985" s="1039"/>
      <c r="G985" s="100"/>
      <c r="H985" s="101"/>
      <c r="I985" s="101">
        <v>200000</v>
      </c>
      <c r="J985" s="101">
        <v>200000</v>
      </c>
      <c r="K985" s="102">
        <v>200000</v>
      </c>
      <c r="L985" s="10"/>
    </row>
    <row r="986" spans="1:12" s="146" customFormat="1" ht="18" x14ac:dyDescent="0.25">
      <c r="A986" s="154" t="s">
        <v>2019</v>
      </c>
      <c r="B986" s="1106" t="s">
        <v>2025</v>
      </c>
      <c r="C986" s="1088" t="s">
        <v>1670</v>
      </c>
      <c r="D986" s="3"/>
      <c r="E986" s="1041"/>
      <c r="F986" s="1039"/>
      <c r="G986" s="100"/>
      <c r="H986" s="101"/>
      <c r="I986" s="101">
        <v>200000</v>
      </c>
      <c r="J986" s="101">
        <v>200000</v>
      </c>
      <c r="K986" s="102">
        <v>200000</v>
      </c>
      <c r="L986" s="10"/>
    </row>
    <row r="987" spans="1:12" s="146" customFormat="1" ht="18" x14ac:dyDescent="0.25">
      <c r="A987" s="154" t="s">
        <v>2019</v>
      </c>
      <c r="B987" s="1106" t="s">
        <v>2025</v>
      </c>
      <c r="C987" s="1088" t="s">
        <v>1671</v>
      </c>
      <c r="D987" s="3"/>
      <c r="E987" s="1041"/>
      <c r="F987" s="1039"/>
      <c r="G987" s="100"/>
      <c r="H987" s="101"/>
      <c r="I987" s="101">
        <v>100000</v>
      </c>
      <c r="J987" s="101">
        <v>100000</v>
      </c>
      <c r="K987" s="102">
        <v>100000</v>
      </c>
      <c r="L987" s="10"/>
    </row>
    <row r="988" spans="1:12" s="146" customFormat="1" ht="18" x14ac:dyDescent="0.25">
      <c r="A988" s="154" t="s">
        <v>2019</v>
      </c>
      <c r="B988" s="1106" t="s">
        <v>2025</v>
      </c>
      <c r="C988" s="1088" t="s">
        <v>1672</v>
      </c>
      <c r="D988" s="3"/>
      <c r="E988" s="1041"/>
      <c r="F988" s="1039"/>
      <c r="G988" s="100"/>
      <c r="H988" s="101"/>
      <c r="I988" s="101">
        <v>50000</v>
      </c>
      <c r="J988" s="101">
        <v>50000</v>
      </c>
      <c r="K988" s="102">
        <v>50000</v>
      </c>
      <c r="L988" s="10"/>
    </row>
    <row r="989" spans="1:12" ht="18" x14ac:dyDescent="0.25">
      <c r="A989" s="154" t="s">
        <v>2019</v>
      </c>
      <c r="B989" s="1106" t="s">
        <v>2025</v>
      </c>
      <c r="C989" s="38" t="s">
        <v>1673</v>
      </c>
      <c r="D989" s="199"/>
      <c r="E989" s="1041"/>
      <c r="F989" s="1039"/>
      <c r="G989" s="100"/>
      <c r="H989" s="101"/>
      <c r="I989" s="101">
        <v>500000</v>
      </c>
      <c r="J989" s="101">
        <v>500000</v>
      </c>
      <c r="K989" s="102">
        <v>500000</v>
      </c>
    </row>
    <row r="990" spans="1:12" s="415" customFormat="1" ht="18" x14ac:dyDescent="0.25">
      <c r="A990" s="154" t="s">
        <v>2019</v>
      </c>
      <c r="B990" s="1106" t="s">
        <v>2025</v>
      </c>
      <c r="C990" s="38" t="s">
        <v>1153</v>
      </c>
      <c r="D990" s="199"/>
      <c r="E990" s="1041"/>
      <c r="F990" s="1039"/>
      <c r="G990" s="100"/>
      <c r="H990" s="101"/>
      <c r="I990" s="101">
        <v>3042000</v>
      </c>
      <c r="J990" s="101">
        <v>3042000</v>
      </c>
      <c r="K990" s="102">
        <v>3042000</v>
      </c>
      <c r="L990" s="10"/>
    </row>
    <row r="991" spans="1:12" s="415" customFormat="1" ht="18" x14ac:dyDescent="0.25">
      <c r="A991" s="154" t="s">
        <v>2019</v>
      </c>
      <c r="B991" s="1106" t="s">
        <v>2025</v>
      </c>
      <c r="C991" s="38" t="s">
        <v>1154</v>
      </c>
      <c r="D991" s="199"/>
      <c r="E991" s="1041"/>
      <c r="F991" s="1039"/>
      <c r="G991" s="100"/>
      <c r="H991" s="101"/>
      <c r="I991" s="101">
        <v>424000</v>
      </c>
      <c r="J991" s="101">
        <v>424000</v>
      </c>
      <c r="K991" s="102">
        <f>424000</f>
        <v>424000</v>
      </c>
      <c r="L991" s="10"/>
    </row>
    <row r="992" spans="1:12" s="415" customFormat="1" ht="18" x14ac:dyDescent="0.25">
      <c r="A992" s="154" t="s">
        <v>2019</v>
      </c>
      <c r="B992" s="1106" t="s">
        <v>2025</v>
      </c>
      <c r="C992" s="38" t="s">
        <v>1674</v>
      </c>
      <c r="D992" s="199"/>
      <c r="E992" s="1041"/>
      <c r="F992" s="1039"/>
      <c r="G992" s="100"/>
      <c r="H992" s="101"/>
      <c r="I992" s="101"/>
      <c r="J992" s="101"/>
      <c r="K992" s="102">
        <v>200000</v>
      </c>
      <c r="L992" s="10"/>
    </row>
    <row r="993" spans="1:12" s="415" customFormat="1" ht="18" x14ac:dyDescent="0.25">
      <c r="A993" s="154" t="s">
        <v>2019</v>
      </c>
      <c r="B993" s="1106" t="s">
        <v>2025</v>
      </c>
      <c r="C993" s="38" t="s">
        <v>1155</v>
      </c>
      <c r="D993" s="199"/>
      <c r="E993" s="1041"/>
      <c r="F993" s="1039"/>
      <c r="G993" s="100"/>
      <c r="H993" s="101"/>
      <c r="I993" s="101">
        <v>648000</v>
      </c>
      <c r="J993" s="101">
        <v>648000</v>
      </c>
      <c r="K993" s="102">
        <v>648000</v>
      </c>
      <c r="L993" s="10"/>
    </row>
    <row r="994" spans="1:12" ht="18" x14ac:dyDescent="0.25">
      <c r="A994" s="1051" t="s">
        <v>123</v>
      </c>
      <c r="B994" s="1106" t="s">
        <v>2025</v>
      </c>
      <c r="C994" s="1602" t="s">
        <v>124</v>
      </c>
      <c r="D994" s="1603"/>
      <c r="E994" s="1603"/>
      <c r="F994" s="1603"/>
      <c r="G994" s="131" t="s">
        <v>125</v>
      </c>
      <c r="H994" s="101"/>
      <c r="I994" s="101">
        <v>2348976</v>
      </c>
      <c r="J994" s="101">
        <v>2348976</v>
      </c>
      <c r="K994" s="102">
        <v>2267832</v>
      </c>
    </row>
    <row r="995" spans="1:12" ht="18" x14ac:dyDescent="0.25">
      <c r="A995" s="1051" t="s">
        <v>123</v>
      </c>
      <c r="B995" s="1106" t="s">
        <v>2025</v>
      </c>
      <c r="C995" s="1602" t="s">
        <v>126</v>
      </c>
      <c r="D995" s="1603"/>
      <c r="E995" s="1603"/>
      <c r="F995" s="1603"/>
      <c r="G995" s="131" t="s">
        <v>127</v>
      </c>
      <c r="H995" s="102"/>
      <c r="I995" s="102">
        <v>785748</v>
      </c>
      <c r="J995" s="102">
        <v>785748</v>
      </c>
      <c r="K995" s="102">
        <v>750636</v>
      </c>
    </row>
    <row r="996" spans="1:12" ht="18" x14ac:dyDescent="0.25">
      <c r="A996" s="1051" t="s">
        <v>123</v>
      </c>
      <c r="B996" s="1106" t="s">
        <v>2025</v>
      </c>
      <c r="C996" s="1602" t="s">
        <v>129</v>
      </c>
      <c r="D996" s="1603"/>
      <c r="E996" s="1603"/>
      <c r="F996" s="1603"/>
      <c r="G996" s="132" t="s">
        <v>130</v>
      </c>
      <c r="H996" s="101"/>
      <c r="I996" s="101">
        <v>264000</v>
      </c>
      <c r="J996" s="101">
        <v>264000</v>
      </c>
      <c r="K996" s="102">
        <v>264000</v>
      </c>
    </row>
    <row r="997" spans="1:12" ht="18" x14ac:dyDescent="0.25">
      <c r="A997" s="1051" t="s">
        <v>123</v>
      </c>
      <c r="B997" s="1106" t="s">
        <v>2025</v>
      </c>
      <c r="C997" s="1602" t="s">
        <v>131</v>
      </c>
      <c r="D997" s="1603"/>
      <c r="E997" s="1603"/>
      <c r="F997" s="1603"/>
      <c r="G997" s="131" t="s">
        <v>132</v>
      </c>
      <c r="H997" s="101"/>
      <c r="I997" s="101">
        <v>72000</v>
      </c>
      <c r="J997" s="101">
        <v>72000</v>
      </c>
      <c r="K997" s="102">
        <v>72000</v>
      </c>
    </row>
    <row r="998" spans="1:12" ht="18" x14ac:dyDescent="0.25">
      <c r="A998" s="1051" t="s">
        <v>123</v>
      </c>
      <c r="B998" s="1106" t="s">
        <v>2025</v>
      </c>
      <c r="C998" s="1602" t="s">
        <v>133</v>
      </c>
      <c r="D998" s="1603"/>
      <c r="E998" s="1603"/>
      <c r="F998" s="1603"/>
      <c r="G998" s="131" t="s">
        <v>134</v>
      </c>
      <c r="H998" s="101"/>
      <c r="I998" s="101">
        <v>72000</v>
      </c>
      <c r="J998" s="101">
        <v>72000</v>
      </c>
      <c r="K998" s="102">
        <v>72000</v>
      </c>
    </row>
    <row r="999" spans="1:12" ht="18" x14ac:dyDescent="0.25">
      <c r="A999" s="1051" t="s">
        <v>123</v>
      </c>
      <c r="B999" s="1106" t="s">
        <v>2025</v>
      </c>
      <c r="C999" s="1602" t="s">
        <v>135</v>
      </c>
      <c r="D999" s="1603"/>
      <c r="E999" s="1603"/>
      <c r="F999" s="1603"/>
      <c r="G999" s="131" t="s">
        <v>136</v>
      </c>
      <c r="H999" s="102"/>
      <c r="I999" s="102">
        <v>152767.28</v>
      </c>
      <c r="J999" s="102">
        <v>152767.28</v>
      </c>
      <c r="K999" s="102">
        <v>152767.28</v>
      </c>
    </row>
    <row r="1000" spans="1:12" ht="18" x14ac:dyDescent="0.25">
      <c r="A1000" s="1051" t="s">
        <v>123</v>
      </c>
      <c r="B1000" s="1106" t="s">
        <v>2025</v>
      </c>
      <c r="C1000" s="1602" t="s">
        <v>137</v>
      </c>
      <c r="D1000" s="1603"/>
      <c r="E1000" s="1603"/>
      <c r="F1000" s="1603"/>
      <c r="G1000" s="131" t="s">
        <v>138</v>
      </c>
      <c r="H1000" s="101"/>
      <c r="I1000" s="101">
        <v>66000</v>
      </c>
      <c r="J1000" s="101">
        <v>66000</v>
      </c>
      <c r="K1000" s="102">
        <v>66000</v>
      </c>
    </row>
    <row r="1001" spans="1:12" ht="18" x14ac:dyDescent="0.25">
      <c r="A1001" s="1051" t="s">
        <v>123</v>
      </c>
      <c r="B1001" s="1106" t="s">
        <v>2025</v>
      </c>
      <c r="C1001" s="1602" t="s">
        <v>1567</v>
      </c>
      <c r="D1001" s="1603"/>
      <c r="E1001" s="1603"/>
      <c r="F1001" s="1603"/>
      <c r="G1001" s="131"/>
      <c r="H1001" s="101"/>
      <c r="I1001" s="101"/>
      <c r="J1001" s="101"/>
      <c r="K1001" s="102">
        <v>1358962.07</v>
      </c>
    </row>
    <row r="1002" spans="1:12" ht="18" customHeight="1" x14ac:dyDescent="0.25">
      <c r="A1002" s="1051" t="s">
        <v>123</v>
      </c>
      <c r="B1002" s="1106" t="s">
        <v>2025</v>
      </c>
      <c r="C1002" s="1602" t="s">
        <v>1541</v>
      </c>
      <c r="D1002" s="1603"/>
      <c r="E1002" s="1603"/>
      <c r="F1002" s="1603"/>
      <c r="G1002" s="131" t="s">
        <v>140</v>
      </c>
      <c r="H1002" s="101"/>
      <c r="I1002" s="101">
        <v>261227</v>
      </c>
      <c r="J1002" s="101">
        <v>261227</v>
      </c>
      <c r="K1002" s="102">
        <v>251539</v>
      </c>
    </row>
    <row r="1003" spans="1:12" ht="18" x14ac:dyDescent="0.25">
      <c r="A1003" s="1051" t="s">
        <v>123</v>
      </c>
      <c r="B1003" s="1106" t="s">
        <v>2025</v>
      </c>
      <c r="C1003" s="1602" t="s">
        <v>141</v>
      </c>
      <c r="D1003" s="1603"/>
      <c r="E1003" s="1603"/>
      <c r="F1003" s="1603"/>
      <c r="G1003" s="131" t="s">
        <v>142</v>
      </c>
      <c r="H1003" s="101"/>
      <c r="I1003" s="101">
        <v>261227</v>
      </c>
      <c r="J1003" s="101">
        <v>261227</v>
      </c>
      <c r="K1003" s="102">
        <v>251539</v>
      </c>
    </row>
    <row r="1004" spans="1:12" ht="18" x14ac:dyDescent="0.25">
      <c r="A1004" s="1051" t="s">
        <v>123</v>
      </c>
      <c r="B1004" s="1106" t="s">
        <v>2025</v>
      </c>
      <c r="C1004" s="1602" t="s">
        <v>1542</v>
      </c>
      <c r="D1004" s="1603"/>
      <c r="E1004" s="1603"/>
      <c r="F1004" s="1603"/>
      <c r="G1004" s="131"/>
      <c r="H1004" s="101"/>
      <c r="I1004" s="101"/>
      <c r="J1004" s="101"/>
      <c r="K1004" s="102"/>
    </row>
    <row r="1005" spans="1:12" ht="18" x14ac:dyDescent="0.25">
      <c r="A1005" s="1051" t="s">
        <v>123</v>
      </c>
      <c r="B1005" s="1106" t="s">
        <v>2025</v>
      </c>
      <c r="C1005" s="1602" t="s">
        <v>143</v>
      </c>
      <c r="D1005" s="1603"/>
      <c r="E1005" s="1603"/>
      <c r="F1005" s="1603"/>
      <c r="G1005" s="131" t="s">
        <v>144</v>
      </c>
      <c r="H1005" s="101"/>
      <c r="I1005" s="101">
        <v>55000</v>
      </c>
      <c r="J1005" s="101">
        <v>55000</v>
      </c>
      <c r="K1005" s="102">
        <v>55000</v>
      </c>
    </row>
    <row r="1006" spans="1:12" s="146" customFormat="1" ht="18" x14ac:dyDescent="0.25">
      <c r="A1006" s="1051" t="s">
        <v>123</v>
      </c>
      <c r="B1006" s="1106" t="s">
        <v>2025</v>
      </c>
      <c r="C1006" s="1602" t="s">
        <v>1543</v>
      </c>
      <c r="D1006" s="1603"/>
      <c r="E1006" s="1603"/>
      <c r="F1006" s="1603"/>
      <c r="G1006" s="131" t="s">
        <v>146</v>
      </c>
      <c r="H1006" s="101"/>
      <c r="I1006" s="101">
        <v>55000</v>
      </c>
      <c r="J1006" s="101">
        <v>55000</v>
      </c>
      <c r="K1006" s="102">
        <v>55000</v>
      </c>
      <c r="L1006" s="10"/>
    </row>
    <row r="1007" spans="1:12" s="146" customFormat="1" ht="18" x14ac:dyDescent="0.25">
      <c r="A1007" s="1051" t="s">
        <v>123</v>
      </c>
      <c r="B1007" s="1106" t="s">
        <v>2025</v>
      </c>
      <c r="C1007" s="1602" t="s">
        <v>1568</v>
      </c>
      <c r="D1007" s="1603"/>
      <c r="E1007" s="1603"/>
      <c r="F1007" s="1603"/>
      <c r="G1007" s="131" t="s">
        <v>232</v>
      </c>
      <c r="H1007" s="101"/>
      <c r="I1007" s="101"/>
      <c r="J1007" s="101"/>
      <c r="K1007" s="102">
        <v>5000</v>
      </c>
      <c r="L1007" s="10"/>
    </row>
    <row r="1008" spans="1:12" s="146" customFormat="1" ht="18" x14ac:dyDescent="0.25">
      <c r="A1008" s="1051" t="s">
        <v>123</v>
      </c>
      <c r="B1008" s="1106" t="s">
        <v>2025</v>
      </c>
      <c r="C1008" s="1062" t="s">
        <v>147</v>
      </c>
      <c r="D1008" s="1041"/>
      <c r="E1008" s="1041"/>
      <c r="F1008" s="1039"/>
      <c r="G1008" s="131" t="s">
        <v>148</v>
      </c>
      <c r="H1008" s="101"/>
      <c r="I1008" s="101"/>
      <c r="J1008" s="101"/>
      <c r="K1008" s="102"/>
      <c r="L1008" s="10"/>
    </row>
    <row r="1009" spans="1:12" s="146" customFormat="1" ht="18" x14ac:dyDescent="0.25">
      <c r="A1009" s="1051" t="s">
        <v>123</v>
      </c>
      <c r="B1009" s="1106" t="s">
        <v>2025</v>
      </c>
      <c r="C1009" s="1602" t="s">
        <v>210</v>
      </c>
      <c r="D1009" s="1603"/>
      <c r="E1009" s="1603"/>
      <c r="F1009" s="1603"/>
      <c r="G1009" s="131" t="s">
        <v>464</v>
      </c>
      <c r="H1009" s="101"/>
      <c r="I1009" s="1156">
        <v>72000</v>
      </c>
      <c r="J1009" s="1156">
        <v>72000</v>
      </c>
      <c r="K1009" s="102">
        <v>54000</v>
      </c>
      <c r="L1009" s="10"/>
    </row>
    <row r="1010" spans="1:12" ht="18" x14ac:dyDescent="0.25">
      <c r="A1010" s="1051" t="s">
        <v>123</v>
      </c>
      <c r="B1010" s="1106" t="s">
        <v>2025</v>
      </c>
      <c r="C1010" s="1045" t="s">
        <v>149</v>
      </c>
      <c r="D1010" s="1041"/>
      <c r="E1010" s="1041"/>
      <c r="F1010" s="1039"/>
      <c r="G1010" s="131" t="s">
        <v>150</v>
      </c>
      <c r="H1010" s="101"/>
      <c r="I1010" s="1156">
        <v>54000</v>
      </c>
      <c r="J1010" s="1156">
        <v>54000</v>
      </c>
      <c r="K1010" s="1154"/>
    </row>
    <row r="1011" spans="1:12" ht="18" x14ac:dyDescent="0.25">
      <c r="A1011" s="1051" t="s">
        <v>123</v>
      </c>
      <c r="B1011" s="1106" t="s">
        <v>2025</v>
      </c>
      <c r="C1011" s="1602" t="s">
        <v>1544</v>
      </c>
      <c r="D1011" s="1603"/>
      <c r="E1011" s="1603"/>
      <c r="F1011" s="1603"/>
      <c r="G1011" s="131" t="s">
        <v>148</v>
      </c>
      <c r="H1011" s="101"/>
      <c r="I1011" s="101"/>
      <c r="J1011" s="101"/>
      <c r="K1011" s="102"/>
    </row>
    <row r="1012" spans="1:12" s="146" customFormat="1" ht="18" x14ac:dyDescent="0.25">
      <c r="A1012" s="1051" t="s">
        <v>123</v>
      </c>
      <c r="B1012" s="1106" t="s">
        <v>2025</v>
      </c>
      <c r="C1012" s="1602" t="s">
        <v>1545</v>
      </c>
      <c r="D1012" s="1603"/>
      <c r="E1012" s="1603"/>
      <c r="F1012" s="1603"/>
      <c r="G1012" s="131" t="s">
        <v>154</v>
      </c>
      <c r="H1012" s="101"/>
      <c r="I1012" s="101">
        <v>376166.88</v>
      </c>
      <c r="J1012" s="101">
        <v>376166.88</v>
      </c>
      <c r="K1012" s="102">
        <v>362216.16</v>
      </c>
      <c r="L1012" s="10"/>
    </row>
    <row r="1013" spans="1:12" s="146" customFormat="1" ht="18" x14ac:dyDescent="0.25">
      <c r="A1013" s="1051" t="s">
        <v>123</v>
      </c>
      <c r="B1013" s="1106" t="s">
        <v>2025</v>
      </c>
      <c r="C1013" s="1602" t="s">
        <v>155</v>
      </c>
      <c r="D1013" s="1603"/>
      <c r="E1013" s="1603"/>
      <c r="F1013" s="1603"/>
      <c r="G1013" s="131" t="s">
        <v>156</v>
      </c>
      <c r="H1013" s="101"/>
      <c r="I1013" s="101">
        <v>13200</v>
      </c>
      <c r="J1013" s="101">
        <v>13200</v>
      </c>
      <c r="K1013" s="102">
        <v>13200</v>
      </c>
      <c r="L1013" s="10"/>
    </row>
    <row r="1014" spans="1:12" s="146" customFormat="1" ht="18" x14ac:dyDescent="0.25">
      <c r="A1014" s="1051" t="s">
        <v>123</v>
      </c>
      <c r="B1014" s="1106" t="s">
        <v>2025</v>
      </c>
      <c r="C1014" s="1602" t="s">
        <v>157</v>
      </c>
      <c r="D1014" s="1603"/>
      <c r="E1014" s="1603"/>
      <c r="F1014" s="1603"/>
      <c r="G1014" s="131" t="s">
        <v>158</v>
      </c>
      <c r="H1014" s="101"/>
      <c r="I1014" s="101">
        <v>70531.289999999994</v>
      </c>
      <c r="J1014" s="101">
        <v>70531.289999999994</v>
      </c>
      <c r="K1014" s="102">
        <v>67915.53</v>
      </c>
      <c r="L1014" s="10"/>
    </row>
    <row r="1015" spans="1:12" s="146" customFormat="1" ht="18" x14ac:dyDescent="0.25">
      <c r="A1015" s="1051" t="s">
        <v>123</v>
      </c>
      <c r="B1015" s="1106" t="s">
        <v>2025</v>
      </c>
      <c r="C1015" s="1602" t="s">
        <v>1546</v>
      </c>
      <c r="D1015" s="1603"/>
      <c r="E1015" s="1603"/>
      <c r="F1015" s="1603"/>
      <c r="G1015" s="131" t="s">
        <v>160</v>
      </c>
      <c r="H1015" s="101"/>
      <c r="I1015" s="101">
        <v>13200</v>
      </c>
      <c r="J1015" s="101">
        <v>13200</v>
      </c>
      <c r="K1015" s="102">
        <v>13200</v>
      </c>
      <c r="L1015" s="10"/>
    </row>
    <row r="1016" spans="1:12" s="146" customFormat="1" ht="18" customHeight="1" x14ac:dyDescent="0.25">
      <c r="A1016" s="1051" t="s">
        <v>163</v>
      </c>
      <c r="B1016" s="1106" t="s">
        <v>2025</v>
      </c>
      <c r="C1016" s="44" t="s">
        <v>353</v>
      </c>
      <c r="D1016" s="113"/>
      <c r="E1016" s="113"/>
      <c r="F1016" s="114"/>
      <c r="G1016" s="131" t="s">
        <v>165</v>
      </c>
      <c r="H1016" s="102"/>
      <c r="I1016" s="102">
        <v>200000</v>
      </c>
      <c r="J1016" s="102">
        <v>200000</v>
      </c>
      <c r="K1016" s="102">
        <v>200000</v>
      </c>
      <c r="L1016" s="10"/>
    </row>
    <row r="1017" spans="1:12" s="146" customFormat="1" ht="18" customHeight="1" x14ac:dyDescent="0.25">
      <c r="A1017" s="1051" t="s">
        <v>163</v>
      </c>
      <c r="B1017" s="1106" t="s">
        <v>2025</v>
      </c>
      <c r="C1017" s="44" t="s">
        <v>166</v>
      </c>
      <c r="D1017" s="113"/>
      <c r="E1017" s="113"/>
      <c r="F1017" s="114"/>
      <c r="G1017" s="131"/>
      <c r="H1017" s="102"/>
      <c r="I1017" s="102"/>
      <c r="J1017" s="102"/>
      <c r="K1017" s="102">
        <v>50000</v>
      </c>
      <c r="L1017" s="10"/>
    </row>
    <row r="1018" spans="1:12" s="146" customFormat="1" ht="18" customHeight="1" x14ac:dyDescent="0.25">
      <c r="A1018" s="1051" t="s">
        <v>163</v>
      </c>
      <c r="B1018" s="1106" t="s">
        <v>2025</v>
      </c>
      <c r="C1018" s="44" t="s">
        <v>168</v>
      </c>
      <c r="D1018" s="113"/>
      <c r="E1018" s="113"/>
      <c r="F1018" s="114"/>
      <c r="G1018" s="131" t="s">
        <v>169</v>
      </c>
      <c r="H1018" s="101"/>
      <c r="I1018" s="101">
        <v>236173</v>
      </c>
      <c r="J1018" s="101">
        <v>236173</v>
      </c>
      <c r="K1018" s="102">
        <f>80314+236173</f>
        <v>316487</v>
      </c>
      <c r="L1018" s="10"/>
    </row>
    <row r="1019" spans="1:12" s="146" customFormat="1" ht="18" customHeight="1" x14ac:dyDescent="0.25">
      <c r="A1019" s="1051" t="s">
        <v>163</v>
      </c>
      <c r="B1019" s="1106" t="s">
        <v>2025</v>
      </c>
      <c r="C1019" s="44" t="s">
        <v>213</v>
      </c>
      <c r="D1019" s="113"/>
      <c r="E1019" s="113"/>
      <c r="F1019" s="114"/>
      <c r="G1019" s="131" t="s">
        <v>171</v>
      </c>
      <c r="H1019" s="112"/>
      <c r="I1019" s="101">
        <v>298897</v>
      </c>
      <c r="J1019" s="101">
        <v>298897</v>
      </c>
      <c r="K1019" s="102">
        <f>50000+298897</f>
        <v>348897</v>
      </c>
      <c r="L1019" s="10"/>
    </row>
    <row r="1020" spans="1:12" s="146" customFormat="1" ht="18" x14ac:dyDescent="0.25">
      <c r="A1020" s="1051" t="s">
        <v>163</v>
      </c>
      <c r="B1020" s="1106" t="s">
        <v>2025</v>
      </c>
      <c r="C1020" s="38" t="s">
        <v>1675</v>
      </c>
      <c r="D1020" s="199"/>
      <c r="E1020" s="199"/>
      <c r="F1020" s="1039"/>
      <c r="G1020" s="100"/>
      <c r="H1020" s="102"/>
      <c r="I1020" s="102">
        <v>1200000</v>
      </c>
      <c r="J1020" s="102">
        <v>1200000</v>
      </c>
      <c r="K1020" s="102">
        <v>2350000</v>
      </c>
      <c r="L1020" s="10"/>
    </row>
    <row r="1021" spans="1:12" s="146" customFormat="1" ht="18" customHeight="1" x14ac:dyDescent="0.25">
      <c r="A1021" s="1051" t="s">
        <v>163</v>
      </c>
      <c r="B1021" s="1106" t="s">
        <v>2025</v>
      </c>
      <c r="C1021" s="44" t="s">
        <v>176</v>
      </c>
      <c r="D1021" s="113"/>
      <c r="E1021" s="113"/>
      <c r="F1021" s="114"/>
      <c r="G1021" s="131" t="s">
        <v>177</v>
      </c>
      <c r="H1021" s="101"/>
      <c r="I1021" s="101">
        <v>1000</v>
      </c>
      <c r="J1021" s="101">
        <v>1000</v>
      </c>
      <c r="K1021" s="102">
        <v>1000</v>
      </c>
      <c r="L1021" s="248"/>
    </row>
    <row r="1022" spans="1:12" s="146" customFormat="1" ht="18" customHeight="1" x14ac:dyDescent="0.25">
      <c r="A1022" s="1051" t="s">
        <v>163</v>
      </c>
      <c r="B1022" s="1106" t="s">
        <v>2025</v>
      </c>
      <c r="C1022" s="44" t="s">
        <v>382</v>
      </c>
      <c r="D1022" s="113"/>
      <c r="E1022" s="113"/>
      <c r="F1022" s="114"/>
      <c r="G1022" s="131"/>
      <c r="H1022" s="101"/>
      <c r="I1022" s="101"/>
      <c r="J1022" s="101"/>
      <c r="K1022" s="102">
        <v>50000</v>
      </c>
      <c r="L1022" s="248"/>
    </row>
    <row r="1023" spans="1:12" s="146" customFormat="1" ht="18" customHeight="1" x14ac:dyDescent="0.25">
      <c r="A1023" s="1051" t="s">
        <v>163</v>
      </c>
      <c r="B1023" s="1106" t="s">
        <v>2025</v>
      </c>
      <c r="C1023" s="44" t="s">
        <v>178</v>
      </c>
      <c r="D1023" s="113"/>
      <c r="E1023" s="113"/>
      <c r="F1023" s="114"/>
      <c r="G1023" s="131" t="s">
        <v>179</v>
      </c>
      <c r="H1023" s="101"/>
      <c r="I1023" s="101">
        <f>54000+48000+42000</f>
        <v>144000</v>
      </c>
      <c r="J1023" s="101">
        <f>54000+48000+42000</f>
        <v>144000</v>
      </c>
      <c r="K1023" s="102">
        <f>54000+48000+42000</f>
        <v>144000</v>
      </c>
      <c r="L1023" s="248"/>
    </row>
    <row r="1024" spans="1:12" s="146" customFormat="1" ht="18" customHeight="1" x14ac:dyDescent="0.25">
      <c r="A1024" s="1051" t="s">
        <v>163</v>
      </c>
      <c r="B1024" s="1106" t="s">
        <v>2025</v>
      </c>
      <c r="C1024" s="44" t="s">
        <v>182</v>
      </c>
      <c r="D1024" s="113"/>
      <c r="E1024" s="113"/>
      <c r="F1024" s="114"/>
      <c r="G1024" s="131"/>
      <c r="H1024" s="101"/>
      <c r="I1024" s="101"/>
      <c r="J1024" s="101"/>
      <c r="K1024" s="102"/>
      <c r="L1024" s="112"/>
    </row>
    <row r="1025" spans="1:12" s="146" customFormat="1" ht="18" customHeight="1" x14ac:dyDescent="0.25">
      <c r="A1025" s="1051" t="s">
        <v>163</v>
      </c>
      <c r="B1025" s="1106" t="s">
        <v>2025</v>
      </c>
      <c r="C1025" s="44" t="s">
        <v>186</v>
      </c>
      <c r="D1025" s="113"/>
      <c r="E1025" s="113"/>
      <c r="F1025" s="114"/>
      <c r="G1025" s="131" t="s">
        <v>187</v>
      </c>
      <c r="H1025" s="101"/>
      <c r="I1025" s="101">
        <v>5000</v>
      </c>
      <c r="J1025" s="101">
        <v>5000</v>
      </c>
      <c r="K1025" s="102">
        <v>5000</v>
      </c>
      <c r="L1025" s="248"/>
    </row>
    <row r="1026" spans="1:12" s="146" customFormat="1" ht="18" customHeight="1" x14ac:dyDescent="0.25">
      <c r="A1026" s="1051" t="s">
        <v>163</v>
      </c>
      <c r="B1026" s="1106" t="s">
        <v>2025</v>
      </c>
      <c r="C1026" s="44" t="s">
        <v>198</v>
      </c>
      <c r="D1026" s="113"/>
      <c r="E1026" s="113"/>
      <c r="F1026" s="114"/>
      <c r="G1026" s="133" t="s">
        <v>199</v>
      </c>
      <c r="H1026" s="105"/>
      <c r="I1026" s="105">
        <v>1170166.56</v>
      </c>
      <c r="J1026" s="105">
        <v>1170166.56</v>
      </c>
      <c r="K1026" s="106">
        <v>1170166.56</v>
      </c>
      <c r="L1026" s="10"/>
    </row>
    <row r="1027" spans="1:12" ht="18" x14ac:dyDescent="0.25">
      <c r="A1027" s="1051" t="s">
        <v>2019</v>
      </c>
      <c r="B1027" s="1106" t="s">
        <v>2025</v>
      </c>
      <c r="C1027" s="38" t="s">
        <v>1158</v>
      </c>
      <c r="D1027" s="1041"/>
      <c r="E1027" s="1041"/>
      <c r="F1027" s="1039"/>
      <c r="G1027" s="100"/>
      <c r="H1027" s="101"/>
      <c r="I1027" s="101">
        <v>5000000</v>
      </c>
      <c r="J1027" s="101">
        <v>5000000</v>
      </c>
      <c r="K1027" s="102">
        <v>5000000</v>
      </c>
      <c r="L1027" s="444"/>
    </row>
    <row r="1028" spans="1:12" ht="36" customHeight="1" x14ac:dyDescent="0.25">
      <c r="A1028" s="1051" t="s">
        <v>2019</v>
      </c>
      <c r="B1028" s="1106" t="s">
        <v>2025</v>
      </c>
      <c r="C1028" s="1623" t="s">
        <v>1160</v>
      </c>
      <c r="D1028" s="1623"/>
      <c r="E1028" s="1041"/>
      <c r="F1028" s="1039"/>
      <c r="G1028" s="100"/>
      <c r="H1028" s="101"/>
      <c r="I1028" s="101">
        <v>400000</v>
      </c>
      <c r="J1028" s="101">
        <v>400000</v>
      </c>
      <c r="K1028" s="102">
        <v>400000</v>
      </c>
    </row>
    <row r="1029" spans="1:12" ht="18" x14ac:dyDescent="0.25">
      <c r="A1029" s="1051" t="s">
        <v>2019</v>
      </c>
      <c r="B1029" s="1106" t="s">
        <v>2025</v>
      </c>
      <c r="C1029" s="38" t="s">
        <v>1165</v>
      </c>
      <c r="D1029" s="199"/>
      <c r="E1029" s="199"/>
      <c r="F1029" s="1039"/>
      <c r="G1029" s="100"/>
      <c r="H1029" s="101"/>
      <c r="I1029" s="101"/>
      <c r="J1029" s="101"/>
      <c r="K1029" s="102"/>
    </row>
    <row r="1030" spans="1:12" ht="17.45" customHeight="1" x14ac:dyDescent="0.25">
      <c r="A1030" s="1051" t="s">
        <v>2019</v>
      </c>
      <c r="B1030" s="1106" t="s">
        <v>2025</v>
      </c>
      <c r="C1030" s="38" t="s">
        <v>1677</v>
      </c>
      <c r="D1030" s="1065"/>
      <c r="E1030" s="199"/>
      <c r="F1030" s="1039"/>
      <c r="G1030" s="100"/>
      <c r="H1030" s="101"/>
      <c r="I1030" s="101">
        <v>920392.19</v>
      </c>
      <c r="J1030" s="101">
        <v>920392.19</v>
      </c>
      <c r="K1030" s="102">
        <v>920392.19</v>
      </c>
    </row>
    <row r="1031" spans="1:12" s="146" customFormat="1" ht="18" x14ac:dyDescent="0.25">
      <c r="A1031" s="1051" t="s">
        <v>2019</v>
      </c>
      <c r="B1031" s="1106" t="s">
        <v>2025</v>
      </c>
      <c r="C1031" s="38" t="s">
        <v>1678</v>
      </c>
      <c r="D1031" s="199"/>
      <c r="E1031" s="199"/>
      <c r="F1031" s="1039"/>
      <c r="G1031" s="100"/>
      <c r="H1031" s="101"/>
      <c r="I1031" s="1180"/>
      <c r="J1031" s="1180"/>
      <c r="K1031" s="1180"/>
      <c r="L1031" s="10"/>
    </row>
    <row r="1032" spans="1:12" s="146" customFormat="1" ht="18" x14ac:dyDescent="0.25">
      <c r="A1032" s="1051" t="s">
        <v>2019</v>
      </c>
      <c r="B1032" s="1106" t="s">
        <v>2025</v>
      </c>
      <c r="C1032" s="38" t="s">
        <v>1679</v>
      </c>
      <c r="D1032" s="199"/>
      <c r="E1032" s="199"/>
      <c r="F1032" s="1039"/>
      <c r="G1032" s="100"/>
      <c r="H1032" s="102"/>
      <c r="I1032" s="102">
        <v>500000</v>
      </c>
      <c r="J1032" s="102">
        <v>500000</v>
      </c>
      <c r="K1032" s="102">
        <v>500000</v>
      </c>
      <c r="L1032" s="10"/>
    </row>
    <row r="1033" spans="1:12" s="146" customFormat="1" ht="18.75" customHeight="1" x14ac:dyDescent="0.25">
      <c r="A1033" s="1051" t="s">
        <v>2019</v>
      </c>
      <c r="B1033" s="1106" t="s">
        <v>2025</v>
      </c>
      <c r="C1033" s="1086" t="s">
        <v>1680</v>
      </c>
      <c r="D1033" s="1065"/>
      <c r="E1033" s="199"/>
      <c r="F1033" s="1039"/>
      <c r="G1033" s="100"/>
      <c r="H1033" s="101"/>
      <c r="I1033" s="101">
        <v>150000</v>
      </c>
      <c r="J1033" s="101">
        <v>150000</v>
      </c>
      <c r="K1033" s="102">
        <v>150000</v>
      </c>
      <c r="L1033" s="10"/>
    </row>
    <row r="1034" spans="1:12" s="146" customFormat="1" ht="18.75" customHeight="1" x14ac:dyDescent="0.25">
      <c r="A1034" s="1051" t="s">
        <v>2019</v>
      </c>
      <c r="B1034" s="1106" t="s">
        <v>2025</v>
      </c>
      <c r="C1034" s="1086" t="s">
        <v>1681</v>
      </c>
      <c r="D1034" s="1065"/>
      <c r="E1034" s="199"/>
      <c r="F1034" s="1039"/>
      <c r="G1034" s="100"/>
      <c r="H1034" s="101"/>
      <c r="I1034" s="101">
        <v>200000</v>
      </c>
      <c r="J1034" s="101">
        <v>200000</v>
      </c>
      <c r="K1034" s="102">
        <v>200000</v>
      </c>
      <c r="L1034" s="10"/>
    </row>
    <row r="1035" spans="1:12" s="146" customFormat="1" ht="18" x14ac:dyDescent="0.25">
      <c r="A1035" s="1051" t="s">
        <v>2019</v>
      </c>
      <c r="B1035" s="1106" t="s">
        <v>2025</v>
      </c>
      <c r="C1035" s="38" t="s">
        <v>1682</v>
      </c>
      <c r="D1035" s="199"/>
      <c r="E1035" s="199"/>
      <c r="F1035" s="1039"/>
      <c r="G1035" s="100"/>
      <c r="H1035" s="101"/>
      <c r="I1035" s="101"/>
      <c r="J1035" s="101"/>
      <c r="K1035" s="102"/>
      <c r="L1035" s="10"/>
    </row>
    <row r="1036" spans="1:12" s="146" customFormat="1" ht="36" customHeight="1" x14ac:dyDescent="0.25">
      <c r="A1036" s="1051" t="s">
        <v>2019</v>
      </c>
      <c r="B1036" s="1106" t="s">
        <v>2025</v>
      </c>
      <c r="C1036" s="1623" t="s">
        <v>1683</v>
      </c>
      <c r="D1036" s="1623"/>
      <c r="E1036" s="199"/>
      <c r="F1036" s="1039"/>
      <c r="G1036" s="100"/>
      <c r="H1036" s="101"/>
      <c r="I1036" s="101">
        <v>500000</v>
      </c>
      <c r="J1036" s="101">
        <v>500000</v>
      </c>
      <c r="K1036" s="102">
        <v>500000</v>
      </c>
      <c r="L1036" s="10"/>
    </row>
    <row r="1037" spans="1:12" s="146" customFormat="1" ht="36.75" customHeight="1" x14ac:dyDescent="0.25">
      <c r="A1037" s="1051" t="s">
        <v>2019</v>
      </c>
      <c r="B1037" s="1106" t="s">
        <v>2025</v>
      </c>
      <c r="C1037" s="1623" t="s">
        <v>1684</v>
      </c>
      <c r="D1037" s="1623"/>
      <c r="E1037" s="199"/>
      <c r="F1037" s="1039"/>
      <c r="G1037" s="100"/>
      <c r="H1037" s="101"/>
      <c r="I1037" s="101">
        <v>150000</v>
      </c>
      <c r="J1037" s="101">
        <v>150000</v>
      </c>
      <c r="K1037" s="102">
        <v>150000</v>
      </c>
      <c r="L1037" s="10"/>
    </row>
    <row r="1038" spans="1:12" s="146" customFormat="1" ht="18" x14ac:dyDescent="0.25">
      <c r="A1038" s="1051" t="s">
        <v>2019</v>
      </c>
      <c r="B1038" s="1106" t="s">
        <v>2025</v>
      </c>
      <c r="C1038" s="38" t="s">
        <v>1685</v>
      </c>
      <c r="D1038" s="199"/>
      <c r="E1038" s="199"/>
      <c r="F1038" s="1039"/>
      <c r="G1038" s="100"/>
      <c r="H1038" s="101"/>
      <c r="I1038" s="101">
        <v>200000</v>
      </c>
      <c r="J1038" s="101">
        <v>200000</v>
      </c>
      <c r="K1038" s="102">
        <v>200000</v>
      </c>
      <c r="L1038" s="10"/>
    </row>
    <row r="1039" spans="1:12" s="146" customFormat="1" ht="18" x14ac:dyDescent="0.25">
      <c r="A1039" s="1051" t="s">
        <v>2019</v>
      </c>
      <c r="B1039" s="1106" t="s">
        <v>2025</v>
      </c>
      <c r="C1039" s="38" t="s">
        <v>1686</v>
      </c>
      <c r="D1039" s="38"/>
      <c r="E1039" s="38"/>
      <c r="F1039" s="1046"/>
      <c r="G1039" s="205"/>
      <c r="H1039" s="102"/>
      <c r="I1039" s="102"/>
      <c r="J1039" s="102"/>
      <c r="K1039" s="102">
        <v>1200000</v>
      </c>
      <c r="L1039" s="10"/>
    </row>
    <row r="1040" spans="1:12" s="146" customFormat="1" ht="36.75" customHeight="1" x14ac:dyDescent="0.25">
      <c r="A1040" s="1051" t="s">
        <v>2019</v>
      </c>
      <c r="B1040" s="1106" t="s">
        <v>2025</v>
      </c>
      <c r="C1040" s="1634" t="s">
        <v>1687</v>
      </c>
      <c r="D1040" s="1634"/>
      <c r="E1040" s="199"/>
      <c r="F1040" s="1039"/>
      <c r="G1040" s="100"/>
      <c r="H1040" s="101"/>
      <c r="I1040" s="101">
        <v>100000</v>
      </c>
      <c r="J1040" s="101">
        <v>100000</v>
      </c>
      <c r="K1040" s="102">
        <v>100000</v>
      </c>
      <c r="L1040" s="10"/>
    </row>
    <row r="1041" spans="1:12" s="146" customFormat="1" ht="18.75" customHeight="1" x14ac:dyDescent="0.25">
      <c r="A1041" s="1051" t="s">
        <v>2019</v>
      </c>
      <c r="B1041" s="1106" t="s">
        <v>2025</v>
      </c>
      <c r="C1041" s="1073" t="s">
        <v>1188</v>
      </c>
      <c r="D1041" s="1075"/>
      <c r="E1041" s="427"/>
      <c r="F1041" s="1080"/>
      <c r="G1041" s="423"/>
      <c r="H1041" s="101"/>
      <c r="I1041" s="101">
        <v>270000</v>
      </c>
      <c r="J1041" s="101">
        <v>270000</v>
      </c>
      <c r="K1041" s="102">
        <v>270000</v>
      </c>
      <c r="L1041" s="10"/>
    </row>
    <row r="1042" spans="1:12" s="146" customFormat="1" ht="18.75" customHeight="1" x14ac:dyDescent="0.25">
      <c r="A1042" s="1051" t="s">
        <v>2019</v>
      </c>
      <c r="B1042" s="1106" t="s">
        <v>2025</v>
      </c>
      <c r="C1042" s="1073" t="s">
        <v>1189</v>
      </c>
      <c r="D1042" s="1075"/>
      <c r="E1042" s="427"/>
      <c r="F1042" s="1080"/>
      <c r="G1042" s="423"/>
      <c r="H1042" s="101"/>
      <c r="I1042" s="101">
        <v>65000</v>
      </c>
      <c r="J1042" s="101">
        <v>65000</v>
      </c>
      <c r="K1042" s="102">
        <v>65000</v>
      </c>
      <c r="L1042" s="10"/>
    </row>
    <row r="1043" spans="1:12" s="146" customFormat="1" ht="18.75" customHeight="1" x14ac:dyDescent="0.25">
      <c r="A1043" s="1051" t="s">
        <v>2019</v>
      </c>
      <c r="B1043" s="1106" t="s">
        <v>2025</v>
      </c>
      <c r="C1043" s="1073" t="s">
        <v>1688</v>
      </c>
      <c r="D1043" s="1075"/>
      <c r="E1043" s="427"/>
      <c r="F1043" s="1080"/>
      <c r="G1043" s="423"/>
      <c r="H1043" s="101"/>
      <c r="I1043" s="101">
        <v>60000</v>
      </c>
      <c r="J1043" s="101">
        <v>60000</v>
      </c>
      <c r="K1043" s="102">
        <v>60000</v>
      </c>
      <c r="L1043" s="10"/>
    </row>
    <row r="1044" spans="1:12" s="146" customFormat="1" ht="18.75" customHeight="1" x14ac:dyDescent="0.25">
      <c r="A1044" s="1051" t="s">
        <v>2019</v>
      </c>
      <c r="B1044" s="1106" t="s">
        <v>2025</v>
      </c>
      <c r="C1044" s="1073" t="s">
        <v>1190</v>
      </c>
      <c r="D1044" s="1075"/>
      <c r="E1044" s="427"/>
      <c r="F1044" s="1080"/>
      <c r="G1044" s="423"/>
      <c r="H1044" s="101"/>
      <c r="I1044" s="101"/>
      <c r="J1044" s="101"/>
      <c r="K1044" s="102"/>
      <c r="L1044" s="10"/>
    </row>
    <row r="1045" spans="1:12" s="146" customFormat="1" ht="18.75" customHeight="1" x14ac:dyDescent="0.25">
      <c r="A1045" s="1051" t="s">
        <v>2019</v>
      </c>
      <c r="B1045" s="1106" t="s">
        <v>2025</v>
      </c>
      <c r="C1045" s="1634" t="s">
        <v>1191</v>
      </c>
      <c r="D1045" s="1634"/>
      <c r="E1045" s="427"/>
      <c r="F1045" s="1080"/>
      <c r="G1045" s="423"/>
      <c r="H1045" s="101"/>
      <c r="I1045" s="101">
        <v>700000</v>
      </c>
      <c r="J1045" s="101">
        <v>700000</v>
      </c>
      <c r="K1045" s="102">
        <v>700000</v>
      </c>
      <c r="L1045" s="10"/>
    </row>
    <row r="1046" spans="1:12" s="146" customFormat="1" ht="33.75" customHeight="1" x14ac:dyDescent="0.25">
      <c r="A1046" s="1051" t="s">
        <v>2019</v>
      </c>
      <c r="B1046" s="1106" t="s">
        <v>2025</v>
      </c>
      <c r="C1046" s="1638" t="s">
        <v>1689</v>
      </c>
      <c r="D1046" s="1638"/>
      <c r="E1046" s="1068"/>
      <c r="F1046" s="1089"/>
      <c r="G1046" s="312"/>
      <c r="H1046" s="102"/>
      <c r="I1046" s="102">
        <v>1500000</v>
      </c>
      <c r="J1046" s="102">
        <v>1500000</v>
      </c>
      <c r="K1046" s="102">
        <v>1500000</v>
      </c>
      <c r="L1046" s="10"/>
    </row>
    <row r="1047" spans="1:12" s="146" customFormat="1" ht="21" customHeight="1" x14ac:dyDescent="0.25">
      <c r="A1047" s="1051" t="s">
        <v>2019</v>
      </c>
      <c r="B1047" s="1106" t="s">
        <v>2025</v>
      </c>
      <c r="C1047" s="1634" t="s">
        <v>1690</v>
      </c>
      <c r="D1047" s="1634"/>
      <c r="E1047" s="1075"/>
      <c r="F1047" s="1080"/>
      <c r="G1047" s="423"/>
      <c r="H1047" s="101"/>
      <c r="I1047" s="101">
        <v>200000</v>
      </c>
      <c r="J1047" s="101">
        <v>200000</v>
      </c>
      <c r="K1047" s="102">
        <v>200000</v>
      </c>
      <c r="L1047" s="10"/>
    </row>
    <row r="1048" spans="1:12" s="146" customFormat="1" ht="19.5" customHeight="1" x14ac:dyDescent="0.25">
      <c r="A1048" s="1051" t="s">
        <v>2019</v>
      </c>
      <c r="B1048" s="1106" t="s">
        <v>2025</v>
      </c>
      <c r="C1048" s="1634" t="s">
        <v>1691</v>
      </c>
      <c r="D1048" s="1634"/>
      <c r="E1048" s="1075"/>
      <c r="F1048" s="1080"/>
      <c r="G1048" s="423"/>
      <c r="H1048" s="101"/>
      <c r="I1048" s="101"/>
      <c r="J1048" s="101"/>
      <c r="K1048" s="102"/>
      <c r="L1048" s="10"/>
    </row>
    <row r="1049" spans="1:12" s="146" customFormat="1" ht="19.5" customHeight="1" x14ac:dyDescent="0.25">
      <c r="A1049" s="1051" t="s">
        <v>2019</v>
      </c>
      <c r="B1049" s="1106" t="s">
        <v>2025</v>
      </c>
      <c r="C1049" s="1073" t="s">
        <v>1692</v>
      </c>
      <c r="D1049" s="1075"/>
      <c r="E1049" s="1075"/>
      <c r="F1049" s="1080"/>
      <c r="G1049" s="423"/>
      <c r="H1049" s="101"/>
      <c r="I1049" s="101">
        <v>3000000</v>
      </c>
      <c r="J1049" s="101">
        <v>3000000</v>
      </c>
      <c r="K1049" s="102">
        <v>3000000</v>
      </c>
      <c r="L1049" s="10"/>
    </row>
    <row r="1050" spans="1:12" s="313" customFormat="1" ht="53.25" customHeight="1" x14ac:dyDescent="0.25">
      <c r="A1050" s="1051" t="s">
        <v>2019</v>
      </c>
      <c r="B1050" s="1106" t="s">
        <v>2025</v>
      </c>
      <c r="C1050" s="1628" t="s">
        <v>1693</v>
      </c>
      <c r="D1050" s="1628"/>
      <c r="E1050" s="1075"/>
      <c r="F1050" s="1080"/>
      <c r="G1050" s="423"/>
      <c r="H1050" s="101"/>
      <c r="I1050" s="101">
        <v>100000</v>
      </c>
      <c r="J1050" s="101">
        <v>100000</v>
      </c>
      <c r="K1050" s="102">
        <v>100000</v>
      </c>
      <c r="L1050" s="193"/>
    </row>
    <row r="1051" spans="1:12" s="146" customFormat="1" ht="19.5" customHeight="1" x14ac:dyDescent="0.25">
      <c r="A1051" s="1051" t="s">
        <v>2019</v>
      </c>
      <c r="B1051" s="1106" t="s">
        <v>2025</v>
      </c>
      <c r="C1051" s="1073" t="s">
        <v>1694</v>
      </c>
      <c r="D1051" s="1075"/>
      <c r="E1051" s="1075"/>
      <c r="F1051" s="1080"/>
      <c r="G1051" s="423"/>
      <c r="H1051" s="101"/>
      <c r="I1051" s="101">
        <v>80314</v>
      </c>
      <c r="J1051" s="101">
        <v>80314</v>
      </c>
      <c r="K1051" s="102"/>
      <c r="L1051" s="10"/>
    </row>
    <row r="1052" spans="1:12" s="146" customFormat="1" ht="38.25" customHeight="1" x14ac:dyDescent="0.25">
      <c r="A1052" s="1051" t="s">
        <v>2019</v>
      </c>
      <c r="B1052" s="1106" t="s">
        <v>2025</v>
      </c>
      <c r="C1052" s="1622" t="s">
        <v>1197</v>
      </c>
      <c r="D1052" s="1622"/>
      <c r="E1052" s="1075"/>
      <c r="F1052" s="1080"/>
      <c r="G1052" s="423"/>
      <c r="H1052" s="101"/>
      <c r="I1052" s="101">
        <v>10000</v>
      </c>
      <c r="J1052" s="101">
        <v>10000</v>
      </c>
      <c r="K1052" s="102">
        <v>10000</v>
      </c>
      <c r="L1052" s="10"/>
    </row>
    <row r="1053" spans="1:12" s="146" customFormat="1" ht="36.75" customHeight="1" x14ac:dyDescent="0.25">
      <c r="A1053" s="1051" t="s">
        <v>2019</v>
      </c>
      <c r="B1053" s="1106" t="s">
        <v>2025</v>
      </c>
      <c r="C1053" s="1637" t="s">
        <v>1204</v>
      </c>
      <c r="D1053" s="1637"/>
      <c r="E1053" s="1074"/>
      <c r="F1053" s="400"/>
      <c r="G1053" s="100"/>
      <c r="H1053" s="101"/>
      <c r="I1053" s="101"/>
      <c r="J1053" s="101"/>
      <c r="K1053" s="102"/>
      <c r="L1053" s="10"/>
    </row>
    <row r="1054" spans="1:12" s="146" customFormat="1" ht="18" customHeight="1" x14ac:dyDescent="0.25">
      <c r="A1054" s="1051" t="s">
        <v>2019</v>
      </c>
      <c r="B1054" s="1106" t="s">
        <v>2025</v>
      </c>
      <c r="C1054" s="1062" t="s">
        <v>1205</v>
      </c>
      <c r="D1054" s="1074"/>
      <c r="E1054" s="1074"/>
      <c r="F1054" s="400"/>
      <c r="G1054" s="100"/>
      <c r="H1054" s="102"/>
      <c r="I1054" s="102">
        <v>50000</v>
      </c>
      <c r="J1054" s="102">
        <v>50000</v>
      </c>
      <c r="K1054" s="102">
        <v>50000</v>
      </c>
      <c r="L1054" s="10"/>
    </row>
    <row r="1055" spans="1:12" s="146" customFormat="1" ht="18" customHeight="1" x14ac:dyDescent="0.25">
      <c r="A1055" s="1051" t="s">
        <v>2019</v>
      </c>
      <c r="B1055" s="1106" t="s">
        <v>2025</v>
      </c>
      <c r="C1055" s="1062" t="s">
        <v>1206</v>
      </c>
      <c r="D1055" s="1074"/>
      <c r="E1055" s="1074"/>
      <c r="F1055" s="400"/>
      <c r="G1055" s="100"/>
      <c r="H1055" s="102"/>
      <c r="I1055" s="102">
        <v>50000</v>
      </c>
      <c r="J1055" s="102">
        <v>50000</v>
      </c>
      <c r="K1055" s="102">
        <v>50000</v>
      </c>
      <c r="L1055" s="10"/>
    </row>
    <row r="1056" spans="1:12" s="146" customFormat="1" ht="18" customHeight="1" x14ac:dyDescent="0.25">
      <c r="A1056" s="1051" t="s">
        <v>2019</v>
      </c>
      <c r="B1056" s="1106" t="s">
        <v>2025</v>
      </c>
      <c r="C1056" s="1062" t="s">
        <v>1207</v>
      </c>
      <c r="D1056" s="1074"/>
      <c r="E1056" s="1074"/>
      <c r="F1056" s="400"/>
      <c r="G1056" s="100"/>
      <c r="H1056" s="102"/>
      <c r="I1056" s="102">
        <v>50000</v>
      </c>
      <c r="J1056" s="102">
        <v>50000</v>
      </c>
      <c r="K1056" s="102">
        <v>50000</v>
      </c>
      <c r="L1056" s="10"/>
    </row>
    <row r="1057" spans="1:12" s="146" customFormat="1" ht="18" customHeight="1" x14ac:dyDescent="0.25">
      <c r="A1057" s="1051" t="s">
        <v>2019</v>
      </c>
      <c r="B1057" s="1106" t="s">
        <v>2025</v>
      </c>
      <c r="C1057" s="1062" t="s">
        <v>1208</v>
      </c>
      <c r="D1057" s="1074"/>
      <c r="E1057" s="1074"/>
      <c r="F1057" s="400"/>
      <c r="G1057" s="100"/>
      <c r="H1057" s="102"/>
      <c r="I1057" s="102">
        <v>54968</v>
      </c>
      <c r="J1057" s="102">
        <v>54968</v>
      </c>
      <c r="K1057" s="102">
        <v>54968</v>
      </c>
      <c r="L1057" s="10"/>
    </row>
    <row r="1058" spans="1:12" s="146" customFormat="1" ht="18" customHeight="1" x14ac:dyDescent="0.25">
      <c r="A1058" s="1051" t="s">
        <v>2019</v>
      </c>
      <c r="B1058" s="1106" t="s">
        <v>2025</v>
      </c>
      <c r="C1058" s="1062" t="s">
        <v>1209</v>
      </c>
      <c r="D1058" s="1074"/>
      <c r="E1058" s="1074"/>
      <c r="F1058" s="400"/>
      <c r="G1058" s="100"/>
      <c r="H1058" s="102"/>
      <c r="I1058" s="102">
        <v>38159</v>
      </c>
      <c r="J1058" s="102">
        <v>38159</v>
      </c>
      <c r="K1058" s="102">
        <v>38159</v>
      </c>
      <c r="L1058" s="10"/>
    </row>
    <row r="1059" spans="1:12" s="146" customFormat="1" ht="18" customHeight="1" x14ac:dyDescent="0.25">
      <c r="A1059" s="1051" t="s">
        <v>2019</v>
      </c>
      <c r="B1059" s="1106" t="s">
        <v>2025</v>
      </c>
      <c r="C1059" s="1062" t="s">
        <v>1210</v>
      </c>
      <c r="D1059" s="1074"/>
      <c r="E1059" s="1074"/>
      <c r="F1059" s="400"/>
      <c r="G1059" s="100"/>
      <c r="H1059" s="102"/>
      <c r="I1059" s="102">
        <v>50000</v>
      </c>
      <c r="J1059" s="102">
        <v>50000</v>
      </c>
      <c r="K1059" s="102">
        <v>50000</v>
      </c>
      <c r="L1059" s="10"/>
    </row>
    <row r="1060" spans="1:12" s="146" customFormat="1" ht="18" customHeight="1" x14ac:dyDescent="0.25">
      <c r="A1060" s="1051" t="s">
        <v>2019</v>
      </c>
      <c r="B1060" s="1106" t="s">
        <v>2025</v>
      </c>
      <c r="C1060" s="1062" t="s">
        <v>1211</v>
      </c>
      <c r="D1060" s="1074"/>
      <c r="E1060" s="1074"/>
      <c r="F1060" s="400"/>
      <c r="G1060" s="100"/>
      <c r="H1060" s="102"/>
      <c r="I1060" s="102">
        <v>96000</v>
      </c>
      <c r="J1060" s="102">
        <v>96000</v>
      </c>
      <c r="K1060" s="102">
        <v>96000</v>
      </c>
      <c r="L1060" s="10"/>
    </row>
    <row r="1061" spans="1:12" s="146" customFormat="1" ht="55.5" customHeight="1" x14ac:dyDescent="0.25">
      <c r="A1061" s="1051" t="s">
        <v>2019</v>
      </c>
      <c r="B1061" s="1106" t="s">
        <v>2025</v>
      </c>
      <c r="C1061" s="1628" t="s">
        <v>1695</v>
      </c>
      <c r="D1061" s="1628"/>
      <c r="E1061" s="1074"/>
      <c r="F1061" s="400"/>
      <c r="G1061" s="100"/>
      <c r="H1061" s="102"/>
      <c r="I1061" s="102">
        <v>500000</v>
      </c>
      <c r="J1061" s="102">
        <v>500000</v>
      </c>
      <c r="K1061" s="102">
        <v>500000</v>
      </c>
      <c r="L1061" s="10"/>
    </row>
    <row r="1062" spans="1:12" s="146" customFormat="1" ht="18" customHeight="1" x14ac:dyDescent="0.25">
      <c r="A1062" s="1051" t="s">
        <v>2019</v>
      </c>
      <c r="B1062" s="1106" t="s">
        <v>2025</v>
      </c>
      <c r="C1062" s="1062" t="s">
        <v>1216</v>
      </c>
      <c r="D1062" s="1074"/>
      <c r="E1062" s="1074"/>
      <c r="F1062" s="400"/>
      <c r="G1062" s="100"/>
      <c r="H1062" s="101"/>
      <c r="I1062" s="101">
        <v>100000</v>
      </c>
      <c r="J1062" s="101">
        <v>100000</v>
      </c>
      <c r="K1062" s="102">
        <v>100000</v>
      </c>
      <c r="L1062" s="10"/>
    </row>
    <row r="1063" spans="1:12" s="146" customFormat="1" ht="51" customHeight="1" x14ac:dyDescent="0.25">
      <c r="A1063" s="1051" t="s">
        <v>2019</v>
      </c>
      <c r="B1063" s="1106" t="s">
        <v>2025</v>
      </c>
      <c r="C1063" s="1637" t="s">
        <v>1217</v>
      </c>
      <c r="D1063" s="1637"/>
      <c r="E1063" s="1074"/>
      <c r="F1063" s="400"/>
      <c r="G1063" s="100"/>
      <c r="H1063" s="101"/>
      <c r="I1063" s="101">
        <v>700000</v>
      </c>
      <c r="J1063" s="101">
        <v>700000</v>
      </c>
      <c r="K1063" s="102">
        <v>700000</v>
      </c>
      <c r="L1063" s="10"/>
    </row>
    <row r="1064" spans="1:12" s="146" customFormat="1" ht="18" customHeight="1" x14ac:dyDescent="0.25">
      <c r="A1064" s="1051" t="s">
        <v>2019</v>
      </c>
      <c r="B1064" s="1106" t="s">
        <v>2025</v>
      </c>
      <c r="C1064" s="1062" t="s">
        <v>1218</v>
      </c>
      <c r="D1064" s="1074"/>
      <c r="E1064" s="1074"/>
      <c r="F1064" s="400"/>
      <c r="G1064" s="100"/>
      <c r="H1064" s="101"/>
      <c r="I1064" s="101">
        <v>10000</v>
      </c>
      <c r="J1064" s="101">
        <v>10000</v>
      </c>
      <c r="K1064" s="102">
        <v>10000</v>
      </c>
      <c r="L1064" s="10"/>
    </row>
    <row r="1065" spans="1:12" s="203" customFormat="1" ht="37.5" customHeight="1" x14ac:dyDescent="0.25">
      <c r="A1065" s="1051" t="s">
        <v>2019</v>
      </c>
      <c r="B1065" s="1106" t="s">
        <v>2025</v>
      </c>
      <c r="C1065" s="1637" t="s">
        <v>1219</v>
      </c>
      <c r="D1065" s="1637"/>
      <c r="E1065" s="1074"/>
      <c r="F1065" s="400"/>
      <c r="G1065" s="100"/>
      <c r="H1065" s="101"/>
      <c r="I1065" s="101">
        <v>300000</v>
      </c>
      <c r="J1065" s="101">
        <v>300000</v>
      </c>
      <c r="K1065" s="102">
        <v>300000</v>
      </c>
      <c r="L1065" s="10"/>
    </row>
    <row r="1066" spans="1:12" s="146" customFormat="1" ht="19.5" customHeight="1" x14ac:dyDescent="0.25">
      <c r="A1066" s="1051" t="s">
        <v>2019</v>
      </c>
      <c r="B1066" s="1106" t="s">
        <v>2025</v>
      </c>
      <c r="C1066" s="1721" t="s">
        <v>1696</v>
      </c>
      <c r="D1066" s="1721"/>
      <c r="E1066" s="1074"/>
      <c r="F1066" s="400"/>
      <c r="G1066" s="100"/>
      <c r="H1066" s="101"/>
      <c r="I1066" s="101">
        <v>50000</v>
      </c>
      <c r="J1066" s="101">
        <v>50000</v>
      </c>
      <c r="K1066" s="102">
        <v>50000</v>
      </c>
      <c r="L1066" s="10"/>
    </row>
    <row r="1067" spans="1:12" s="146" customFormat="1" ht="18" customHeight="1" x14ac:dyDescent="0.25">
      <c r="A1067" s="1051" t="s">
        <v>2019</v>
      </c>
      <c r="B1067" s="1106" t="s">
        <v>2025</v>
      </c>
      <c r="C1067" s="1062" t="s">
        <v>1220</v>
      </c>
      <c r="D1067" s="1074"/>
      <c r="E1067" s="1074"/>
      <c r="F1067" s="400"/>
      <c r="G1067" s="100"/>
      <c r="H1067" s="102"/>
      <c r="I1067" s="102">
        <v>600000</v>
      </c>
      <c r="J1067" s="102">
        <v>600000</v>
      </c>
      <c r="K1067" s="102">
        <v>600000</v>
      </c>
      <c r="L1067" s="10"/>
    </row>
    <row r="1068" spans="1:12" s="146" customFormat="1" ht="18" customHeight="1" x14ac:dyDescent="0.25">
      <c r="A1068" s="1051" t="s">
        <v>2019</v>
      </c>
      <c r="B1068" s="1106" t="s">
        <v>2025</v>
      </c>
      <c r="C1068" s="1062" t="s">
        <v>1698</v>
      </c>
      <c r="D1068" s="1045"/>
      <c r="E1068" s="1045"/>
      <c r="F1068" s="1185"/>
      <c r="G1068" s="205"/>
      <c r="H1068" s="102"/>
      <c r="I1068" s="102">
        <v>100000</v>
      </c>
      <c r="J1068" s="102">
        <v>100000</v>
      </c>
      <c r="K1068" s="102">
        <v>100000</v>
      </c>
      <c r="L1068" s="10"/>
    </row>
    <row r="1069" spans="1:12" s="146" customFormat="1" ht="18" customHeight="1" x14ac:dyDescent="0.25">
      <c r="A1069" s="1051" t="s">
        <v>2019</v>
      </c>
      <c r="B1069" s="1106" t="s">
        <v>2025</v>
      </c>
      <c r="C1069" s="1062" t="s">
        <v>1221</v>
      </c>
      <c r="D1069" s="1074"/>
      <c r="E1069" s="1074"/>
      <c r="F1069" s="400"/>
      <c r="G1069" s="100"/>
      <c r="H1069" s="101"/>
      <c r="I1069" s="101">
        <v>25000</v>
      </c>
      <c r="J1069" s="101">
        <v>25000</v>
      </c>
      <c r="K1069" s="102">
        <v>25000</v>
      </c>
      <c r="L1069" s="10"/>
    </row>
    <row r="1070" spans="1:12" s="146" customFormat="1" ht="18" customHeight="1" x14ac:dyDescent="0.25">
      <c r="A1070" s="1051" t="s">
        <v>2019</v>
      </c>
      <c r="B1070" s="1106" t="s">
        <v>2025</v>
      </c>
      <c r="C1070" s="1062" t="s">
        <v>1222</v>
      </c>
      <c r="D1070" s="1074"/>
      <c r="E1070" s="1074"/>
      <c r="F1070" s="400"/>
      <c r="G1070" s="100"/>
      <c r="H1070" s="101"/>
      <c r="I1070" s="101">
        <v>250000</v>
      </c>
      <c r="J1070" s="101">
        <v>250000</v>
      </c>
      <c r="K1070" s="102">
        <v>250000</v>
      </c>
      <c r="L1070" s="10"/>
    </row>
    <row r="1071" spans="1:12" s="146" customFormat="1" ht="18" customHeight="1" x14ac:dyDescent="0.25">
      <c r="A1071" s="1051" t="s">
        <v>2019</v>
      </c>
      <c r="B1071" s="1106" t="s">
        <v>2025</v>
      </c>
      <c r="C1071" s="1062" t="s">
        <v>1699</v>
      </c>
      <c r="D1071" s="1074"/>
      <c r="E1071" s="1074"/>
      <c r="F1071" s="400"/>
      <c r="G1071" s="100"/>
      <c r="H1071" s="101"/>
      <c r="I1071" s="101">
        <v>1000000</v>
      </c>
      <c r="J1071" s="101">
        <v>1000000</v>
      </c>
      <c r="K1071" s="102">
        <v>1000000</v>
      </c>
      <c r="L1071" s="10"/>
    </row>
    <row r="1072" spans="1:12" s="146" customFormat="1" ht="18" customHeight="1" x14ac:dyDescent="0.25">
      <c r="A1072" s="1051" t="s">
        <v>2019</v>
      </c>
      <c r="B1072" s="1106" t="s">
        <v>2025</v>
      </c>
      <c r="C1072" s="1062" t="s">
        <v>1223</v>
      </c>
      <c r="D1072" s="1074"/>
      <c r="E1072" s="1074"/>
      <c r="F1072" s="400"/>
      <c r="G1072" s="100"/>
      <c r="H1072" s="102"/>
      <c r="I1072" s="102">
        <v>200000</v>
      </c>
      <c r="J1072" s="102">
        <v>200000</v>
      </c>
      <c r="K1072" s="102">
        <v>200000</v>
      </c>
      <c r="L1072" s="10"/>
    </row>
    <row r="1073" spans="1:12" s="146" customFormat="1" ht="18" customHeight="1" x14ac:dyDescent="0.25">
      <c r="A1073" s="1051" t="s">
        <v>2019</v>
      </c>
      <c r="B1073" s="1106" t="s">
        <v>2025</v>
      </c>
      <c r="C1073" s="1062" t="s">
        <v>1225</v>
      </c>
      <c r="D1073" s="1074"/>
      <c r="E1073" s="1074"/>
      <c r="F1073" s="400"/>
      <c r="G1073" s="100"/>
      <c r="H1073" s="101"/>
      <c r="I1073" s="101">
        <v>50000</v>
      </c>
      <c r="J1073" s="101">
        <v>50000</v>
      </c>
      <c r="K1073" s="102">
        <v>50000</v>
      </c>
      <c r="L1073" s="10"/>
    </row>
    <row r="1074" spans="1:12" s="146" customFormat="1" ht="54" customHeight="1" x14ac:dyDescent="0.25">
      <c r="A1074" s="1051" t="s">
        <v>2019</v>
      </c>
      <c r="B1074" s="1106" t="s">
        <v>2025</v>
      </c>
      <c r="C1074" s="1722" t="s">
        <v>1700</v>
      </c>
      <c r="D1074" s="1722"/>
      <c r="E1074" s="400"/>
      <c r="F1074" s="400"/>
      <c r="G1074" s="100"/>
      <c r="H1074" s="101"/>
      <c r="I1074" s="101"/>
      <c r="J1074" s="101"/>
      <c r="K1074" s="102">
        <v>360000</v>
      </c>
      <c r="L1074" s="10"/>
    </row>
    <row r="1075" spans="1:12" s="48" customFormat="1" ht="18" customHeight="1" x14ac:dyDescent="0.25">
      <c r="A1075" s="1051" t="s">
        <v>123</v>
      </c>
      <c r="B1075" s="1041" t="s">
        <v>1388</v>
      </c>
      <c r="C1075" s="1602" t="s">
        <v>124</v>
      </c>
      <c r="D1075" s="1603"/>
      <c r="E1075" s="1603"/>
      <c r="F1075" s="1603"/>
      <c r="G1075" s="131" t="s">
        <v>125</v>
      </c>
      <c r="H1075" s="101"/>
      <c r="I1075" s="101">
        <v>7301124</v>
      </c>
      <c r="J1075" s="101">
        <v>7301124</v>
      </c>
      <c r="K1075" s="102">
        <f>6994764+188</f>
        <v>6994952</v>
      </c>
      <c r="L1075" s="6"/>
    </row>
    <row r="1076" spans="1:12" s="48" customFormat="1" ht="18" customHeight="1" x14ac:dyDescent="0.25">
      <c r="A1076" s="1051" t="s">
        <v>123</v>
      </c>
      <c r="B1076" s="1106" t="s">
        <v>1388</v>
      </c>
      <c r="C1076" s="1602" t="s">
        <v>126</v>
      </c>
      <c r="D1076" s="1603"/>
      <c r="E1076" s="1603"/>
      <c r="F1076" s="1603"/>
      <c r="G1076" s="131" t="s">
        <v>127</v>
      </c>
      <c r="H1076" s="101"/>
      <c r="I1076" s="101">
        <v>299256</v>
      </c>
      <c r="J1076" s="101">
        <v>299256</v>
      </c>
      <c r="K1076" s="102">
        <v>287856</v>
      </c>
      <c r="L1076" s="6"/>
    </row>
    <row r="1077" spans="1:12" s="48" customFormat="1" ht="18" customHeight="1" x14ac:dyDescent="0.25">
      <c r="A1077" s="1051" t="s">
        <v>123</v>
      </c>
      <c r="B1077" s="1106" t="s">
        <v>1388</v>
      </c>
      <c r="C1077" s="1602" t="s">
        <v>129</v>
      </c>
      <c r="D1077" s="1603"/>
      <c r="E1077" s="1603"/>
      <c r="F1077" s="1603"/>
      <c r="G1077" s="132" t="s">
        <v>130</v>
      </c>
      <c r="H1077" s="101"/>
      <c r="I1077" s="101">
        <v>720000</v>
      </c>
      <c r="J1077" s="101">
        <v>720000</v>
      </c>
      <c r="K1077" s="102">
        <v>720000</v>
      </c>
      <c r="L1077" s="6"/>
    </row>
    <row r="1078" spans="1:12" s="48" customFormat="1" ht="18" customHeight="1" x14ac:dyDescent="0.25">
      <c r="A1078" s="1051" t="s">
        <v>123</v>
      </c>
      <c r="B1078" s="1106" t="s">
        <v>1388</v>
      </c>
      <c r="C1078" s="1602" t="s">
        <v>131</v>
      </c>
      <c r="D1078" s="1603"/>
      <c r="E1078" s="1603"/>
      <c r="F1078" s="1603"/>
      <c r="G1078" s="131" t="s">
        <v>132</v>
      </c>
      <c r="H1078" s="101"/>
      <c r="I1078" s="101">
        <v>72000</v>
      </c>
      <c r="J1078" s="101">
        <v>72000</v>
      </c>
      <c r="K1078" s="102">
        <v>72000</v>
      </c>
      <c r="L1078" s="6"/>
    </row>
    <row r="1079" spans="1:12" s="48" customFormat="1" ht="18" customHeight="1" x14ac:dyDescent="0.25">
      <c r="A1079" s="1051" t="s">
        <v>123</v>
      </c>
      <c r="B1079" s="1106" t="s">
        <v>1388</v>
      </c>
      <c r="C1079" s="1602" t="s">
        <v>133</v>
      </c>
      <c r="D1079" s="1603"/>
      <c r="E1079" s="1603"/>
      <c r="F1079" s="1603"/>
      <c r="G1079" s="131" t="s">
        <v>134</v>
      </c>
      <c r="H1079" s="101"/>
      <c r="I1079" s="101">
        <v>72000</v>
      </c>
      <c r="J1079" s="101">
        <v>72000</v>
      </c>
      <c r="K1079" s="102">
        <v>72000</v>
      </c>
      <c r="L1079" s="6"/>
    </row>
    <row r="1080" spans="1:12" s="48" customFormat="1" ht="18" customHeight="1" x14ac:dyDescent="0.25">
      <c r="A1080" s="1051" t="s">
        <v>123</v>
      </c>
      <c r="B1080" s="1106" t="s">
        <v>1388</v>
      </c>
      <c r="C1080" s="1602" t="s">
        <v>135</v>
      </c>
      <c r="D1080" s="1603"/>
      <c r="E1080" s="1603"/>
      <c r="F1080" s="1603"/>
      <c r="G1080" s="131" t="s">
        <v>136</v>
      </c>
      <c r="H1080" s="102"/>
      <c r="I1080" s="102">
        <v>381063.45</v>
      </c>
      <c r="J1080" s="102">
        <v>381063.45</v>
      </c>
      <c r="K1080" s="102">
        <v>381063.45</v>
      </c>
      <c r="L1080" s="6"/>
    </row>
    <row r="1081" spans="1:12" s="48" customFormat="1" ht="18" customHeight="1" x14ac:dyDescent="0.25">
      <c r="A1081" s="1051" t="s">
        <v>123</v>
      </c>
      <c r="B1081" s="1106" t="s">
        <v>1388</v>
      </c>
      <c r="C1081" s="1602" t="s">
        <v>137</v>
      </c>
      <c r="D1081" s="1603"/>
      <c r="E1081" s="1603"/>
      <c r="F1081" s="1603"/>
      <c r="G1081" s="131" t="s">
        <v>138</v>
      </c>
      <c r="H1081" s="101"/>
      <c r="I1081" s="101">
        <v>180000</v>
      </c>
      <c r="J1081" s="101">
        <v>180000</v>
      </c>
      <c r="K1081" s="102">
        <v>180000</v>
      </c>
      <c r="L1081" s="6"/>
    </row>
    <row r="1082" spans="1:12" s="48" customFormat="1" ht="18" customHeight="1" x14ac:dyDescent="0.25">
      <c r="A1082" s="1051" t="s">
        <v>123</v>
      </c>
      <c r="B1082" s="1106" t="s">
        <v>1388</v>
      </c>
      <c r="C1082" s="1602" t="s">
        <v>1541</v>
      </c>
      <c r="D1082" s="1603"/>
      <c r="E1082" s="1603"/>
      <c r="F1082" s="1603"/>
      <c r="G1082" s="131" t="s">
        <v>140</v>
      </c>
      <c r="H1082" s="101"/>
      <c r="I1082" s="101">
        <v>633365</v>
      </c>
      <c r="J1082" s="101">
        <v>633365</v>
      </c>
      <c r="K1082" s="102">
        <v>606885</v>
      </c>
      <c r="L1082" s="6"/>
    </row>
    <row r="1083" spans="1:12" s="48" customFormat="1" ht="18" customHeight="1" x14ac:dyDescent="0.25">
      <c r="A1083" s="1051" t="s">
        <v>123</v>
      </c>
      <c r="B1083" s="1106" t="s">
        <v>1388</v>
      </c>
      <c r="C1083" s="1602" t="s">
        <v>141</v>
      </c>
      <c r="D1083" s="1603"/>
      <c r="E1083" s="1603"/>
      <c r="F1083" s="1603"/>
      <c r="G1083" s="131" t="s">
        <v>142</v>
      </c>
      <c r="H1083" s="101"/>
      <c r="I1083" s="101">
        <v>633365</v>
      </c>
      <c r="J1083" s="101">
        <v>633365</v>
      </c>
      <c r="K1083" s="102">
        <v>606885</v>
      </c>
      <c r="L1083" s="6"/>
    </row>
    <row r="1084" spans="1:12" s="48" customFormat="1" ht="18" customHeight="1" x14ac:dyDescent="0.25">
      <c r="A1084" s="1051" t="s">
        <v>123</v>
      </c>
      <c r="B1084" s="1106" t="s">
        <v>1388</v>
      </c>
      <c r="C1084" s="1602" t="s">
        <v>1542</v>
      </c>
      <c r="D1084" s="1603"/>
      <c r="E1084" s="1603"/>
      <c r="F1084" s="1603"/>
      <c r="G1084" s="131"/>
      <c r="H1084" s="101"/>
      <c r="I1084" s="101"/>
      <c r="J1084" s="101"/>
      <c r="K1084" s="102"/>
      <c r="L1084" s="6"/>
    </row>
    <row r="1085" spans="1:12" s="48" customFormat="1" ht="18" customHeight="1" x14ac:dyDescent="0.25">
      <c r="A1085" s="1051" t="s">
        <v>123</v>
      </c>
      <c r="B1085" s="1106" t="s">
        <v>1388</v>
      </c>
      <c r="C1085" s="1602" t="s">
        <v>143</v>
      </c>
      <c r="D1085" s="1603"/>
      <c r="E1085" s="1603"/>
      <c r="F1085" s="1603"/>
      <c r="G1085" s="131" t="s">
        <v>144</v>
      </c>
      <c r="H1085" s="101"/>
      <c r="I1085" s="101">
        <v>150000</v>
      </c>
      <c r="J1085" s="101">
        <v>150000</v>
      </c>
      <c r="K1085" s="102">
        <v>150000</v>
      </c>
      <c r="L1085" s="6"/>
    </row>
    <row r="1086" spans="1:12" s="48" customFormat="1" ht="18" customHeight="1" x14ac:dyDescent="0.25">
      <c r="A1086" s="1051" t="s">
        <v>123</v>
      </c>
      <c r="B1086" s="1106" t="s">
        <v>1388</v>
      </c>
      <c r="C1086" s="1602" t="s">
        <v>1543</v>
      </c>
      <c r="D1086" s="1603"/>
      <c r="E1086" s="1603"/>
      <c r="F1086" s="1603"/>
      <c r="G1086" s="131" t="s">
        <v>146</v>
      </c>
      <c r="H1086" s="101"/>
      <c r="I1086" s="101">
        <v>150000</v>
      </c>
      <c r="J1086" s="101">
        <v>150000</v>
      </c>
      <c r="K1086" s="102">
        <v>150000</v>
      </c>
      <c r="L1086" s="6"/>
    </row>
    <row r="1087" spans="1:12" s="48" customFormat="1" ht="18" customHeight="1" x14ac:dyDescent="0.25">
      <c r="A1087" s="1051" t="s">
        <v>123</v>
      </c>
      <c r="B1087" s="1106" t="s">
        <v>1388</v>
      </c>
      <c r="C1087" s="1611" t="s">
        <v>1568</v>
      </c>
      <c r="D1087" s="1611"/>
      <c r="E1087" s="1611"/>
      <c r="F1087" s="1602"/>
      <c r="G1087" s="131" t="s">
        <v>232</v>
      </c>
      <c r="H1087" s="101"/>
      <c r="I1087" s="101"/>
      <c r="J1087" s="101"/>
      <c r="K1087" s="102">
        <v>5000</v>
      </c>
      <c r="L1087" s="6"/>
    </row>
    <row r="1088" spans="1:12" s="48" customFormat="1" ht="18" customHeight="1" x14ac:dyDescent="0.25">
      <c r="A1088" s="1051" t="s">
        <v>123</v>
      </c>
      <c r="B1088" s="1106" t="s">
        <v>1388</v>
      </c>
      <c r="C1088" s="1062" t="s">
        <v>147</v>
      </c>
      <c r="D1088" s="1041"/>
      <c r="E1088" s="1041"/>
      <c r="F1088" s="1039"/>
      <c r="G1088" s="131" t="s">
        <v>148</v>
      </c>
      <c r="H1088" s="101"/>
      <c r="I1088" s="101"/>
      <c r="J1088" s="101"/>
      <c r="K1088" s="102"/>
      <c r="L1088" s="6"/>
    </row>
    <row r="1089" spans="1:12" s="48" customFormat="1" ht="18" customHeight="1" x14ac:dyDescent="0.25">
      <c r="A1089" s="1051" t="s">
        <v>123</v>
      </c>
      <c r="B1089" s="1106" t="s">
        <v>1388</v>
      </c>
      <c r="C1089" s="1045" t="s">
        <v>149</v>
      </c>
      <c r="D1089" s="1041"/>
      <c r="E1089" s="1041"/>
      <c r="F1089" s="1039"/>
      <c r="G1089" s="131" t="s">
        <v>150</v>
      </c>
      <c r="H1089" s="101"/>
      <c r="I1089" s="101"/>
      <c r="J1089" s="101"/>
      <c r="K1089" s="102"/>
      <c r="L1089" s="6"/>
    </row>
    <row r="1090" spans="1:12" s="48" customFormat="1" ht="18" customHeight="1" x14ac:dyDescent="0.25">
      <c r="A1090" s="1051" t="s">
        <v>123</v>
      </c>
      <c r="B1090" s="1106" t="s">
        <v>1388</v>
      </c>
      <c r="C1090" s="1602" t="s">
        <v>1544</v>
      </c>
      <c r="D1090" s="1603"/>
      <c r="E1090" s="1603"/>
      <c r="F1090" s="1603"/>
      <c r="G1090" s="131" t="s">
        <v>148</v>
      </c>
      <c r="H1090" s="101"/>
      <c r="I1090" s="101"/>
      <c r="J1090" s="101"/>
      <c r="K1090" s="102"/>
      <c r="L1090" s="6"/>
    </row>
    <row r="1091" spans="1:12" s="48" customFormat="1" ht="18" customHeight="1" x14ac:dyDescent="0.25">
      <c r="A1091" s="1051" t="s">
        <v>123</v>
      </c>
      <c r="B1091" s="1106" t="s">
        <v>1388</v>
      </c>
      <c r="C1091" s="1602" t="s">
        <v>1545</v>
      </c>
      <c r="D1091" s="1603"/>
      <c r="E1091" s="1603"/>
      <c r="F1091" s="1603"/>
      <c r="G1091" s="131" t="s">
        <v>154</v>
      </c>
      <c r="H1091" s="101"/>
      <c r="I1091" s="101">
        <v>912045.6</v>
      </c>
      <c r="J1091" s="101">
        <v>912045.6</v>
      </c>
      <c r="K1091" s="102">
        <v>873936.96</v>
      </c>
      <c r="L1091" s="6"/>
    </row>
    <row r="1092" spans="1:12" s="48" customFormat="1" ht="18" customHeight="1" x14ac:dyDescent="0.25">
      <c r="A1092" s="1051" t="s">
        <v>123</v>
      </c>
      <c r="B1092" s="1106" t="s">
        <v>1388</v>
      </c>
      <c r="C1092" s="1602" t="s">
        <v>155</v>
      </c>
      <c r="D1092" s="1603"/>
      <c r="E1092" s="1603"/>
      <c r="F1092" s="1603"/>
      <c r="G1092" s="131" t="s">
        <v>156</v>
      </c>
      <c r="H1092" s="101"/>
      <c r="I1092" s="101">
        <v>36000</v>
      </c>
      <c r="J1092" s="101">
        <v>36000</v>
      </c>
      <c r="K1092" s="102">
        <v>36000</v>
      </c>
      <c r="L1092" s="6"/>
    </row>
    <row r="1093" spans="1:12" s="48" customFormat="1" ht="18" customHeight="1" x14ac:dyDescent="0.25">
      <c r="A1093" s="1051" t="s">
        <v>123</v>
      </c>
      <c r="B1093" s="1106" t="s">
        <v>1388</v>
      </c>
      <c r="C1093" s="1602" t="s">
        <v>157</v>
      </c>
      <c r="D1093" s="1603"/>
      <c r="E1093" s="1603"/>
      <c r="F1093" s="1603"/>
      <c r="G1093" s="131" t="s">
        <v>158</v>
      </c>
      <c r="H1093" s="101"/>
      <c r="I1093" s="101">
        <v>171008.55</v>
      </c>
      <c r="J1093" s="101">
        <v>171008.55</v>
      </c>
      <c r="K1093" s="102">
        <v>163863.18</v>
      </c>
      <c r="L1093" s="6"/>
    </row>
    <row r="1094" spans="1:12" s="48" customFormat="1" ht="18" customHeight="1" x14ac:dyDescent="0.25">
      <c r="A1094" s="1051" t="s">
        <v>123</v>
      </c>
      <c r="B1094" s="1106" t="s">
        <v>1388</v>
      </c>
      <c r="C1094" s="1602" t="s">
        <v>1546</v>
      </c>
      <c r="D1094" s="1603"/>
      <c r="E1094" s="1603"/>
      <c r="F1094" s="1603"/>
      <c r="G1094" s="131" t="s">
        <v>160</v>
      </c>
      <c r="H1094" s="101"/>
      <c r="I1094" s="101">
        <v>36000</v>
      </c>
      <c r="J1094" s="101">
        <v>36000</v>
      </c>
      <c r="K1094" s="102">
        <v>36000</v>
      </c>
      <c r="L1094" s="6"/>
    </row>
    <row r="1095" spans="1:12" s="48" customFormat="1" ht="18" customHeight="1" x14ac:dyDescent="0.25">
      <c r="A1095" s="154" t="s">
        <v>163</v>
      </c>
      <c r="B1095" s="1106" t="s">
        <v>1388</v>
      </c>
      <c r="C1095" s="44" t="s">
        <v>353</v>
      </c>
      <c r="D1095" s="125"/>
      <c r="E1095" s="125"/>
      <c r="F1095" s="134"/>
      <c r="G1095" s="131" t="s">
        <v>165</v>
      </c>
      <c r="H1095" s="101"/>
      <c r="I1095" s="101">
        <v>940000</v>
      </c>
      <c r="J1095" s="101">
        <v>940000</v>
      </c>
      <c r="K1095" s="102">
        <v>940000</v>
      </c>
      <c r="L1095" s="6"/>
    </row>
    <row r="1096" spans="1:12" s="48" customFormat="1" ht="18" customHeight="1" x14ac:dyDescent="0.25">
      <c r="A1096" s="154" t="s">
        <v>163</v>
      </c>
      <c r="B1096" s="1106" t="s">
        <v>1388</v>
      </c>
      <c r="C1096" s="44" t="s">
        <v>166</v>
      </c>
      <c r="D1096" s="125"/>
      <c r="E1096" s="125"/>
      <c r="F1096" s="134"/>
      <c r="G1096" s="131" t="s">
        <v>293</v>
      </c>
      <c r="H1096" s="101"/>
      <c r="I1096" s="101">
        <v>50000</v>
      </c>
      <c r="J1096" s="101">
        <v>50000</v>
      </c>
      <c r="K1096" s="102">
        <v>50000</v>
      </c>
      <c r="L1096" s="6"/>
    </row>
    <row r="1097" spans="1:12" s="48" customFormat="1" ht="18" customHeight="1" x14ac:dyDescent="0.25">
      <c r="A1097" s="154" t="s">
        <v>163</v>
      </c>
      <c r="B1097" s="1106" t="s">
        <v>1388</v>
      </c>
      <c r="C1097" s="44" t="s">
        <v>168</v>
      </c>
      <c r="D1097" s="125"/>
      <c r="E1097" s="125"/>
      <c r="F1097" s="134"/>
      <c r="G1097" s="131" t="s">
        <v>169</v>
      </c>
      <c r="H1097" s="102"/>
      <c r="I1097" s="102">
        <v>1490166</v>
      </c>
      <c r="J1097" s="102">
        <v>1490166</v>
      </c>
      <c r="K1097" s="102">
        <v>1490166</v>
      </c>
      <c r="L1097" s="6"/>
    </row>
    <row r="1098" spans="1:12" s="48" customFormat="1" ht="18" customHeight="1" x14ac:dyDescent="0.25">
      <c r="A1098" s="154" t="s">
        <v>163</v>
      </c>
      <c r="B1098" s="1106" t="s">
        <v>1388</v>
      </c>
      <c r="C1098" s="44" t="s">
        <v>170</v>
      </c>
      <c r="D1098" s="125"/>
      <c r="E1098" s="125"/>
      <c r="F1098" s="134"/>
      <c r="G1098" s="131" t="s">
        <v>171</v>
      </c>
      <c r="H1098" s="102"/>
      <c r="I1098" s="102">
        <f>90000+45000+25000+30000+15000+10378.5+60000+221814+263000</f>
        <v>760192.5</v>
      </c>
      <c r="J1098" s="102">
        <f>90000+45000+25000+30000+15000+10378.5+60000+221814+263000</f>
        <v>760192.5</v>
      </c>
      <c r="K1098" s="102">
        <v>760192.5</v>
      </c>
      <c r="L1098" s="6"/>
    </row>
    <row r="1099" spans="1:12" s="146" customFormat="1" ht="36" customHeight="1" x14ac:dyDescent="0.25">
      <c r="A1099" s="154" t="s">
        <v>163</v>
      </c>
      <c r="B1099" s="1106" t="s">
        <v>1388</v>
      </c>
      <c r="C1099" s="1628" t="s">
        <v>1701</v>
      </c>
      <c r="D1099" s="1628"/>
      <c r="E1099" s="1628"/>
      <c r="F1099" s="199"/>
      <c r="G1099" s="100"/>
      <c r="H1099" s="101"/>
      <c r="I1099" s="101">
        <v>500000</v>
      </c>
      <c r="J1099" s="101">
        <v>500000</v>
      </c>
      <c r="K1099" s="102">
        <v>500000</v>
      </c>
      <c r="L1099" s="10"/>
    </row>
    <row r="1100" spans="1:12" s="48" customFormat="1" ht="18" customHeight="1" x14ac:dyDescent="0.25">
      <c r="A1100" s="154" t="s">
        <v>163</v>
      </c>
      <c r="B1100" s="1106" t="s">
        <v>1388</v>
      </c>
      <c r="C1100" s="44" t="s">
        <v>176</v>
      </c>
      <c r="D1100" s="125"/>
      <c r="E1100" s="125"/>
      <c r="F1100" s="134"/>
      <c r="G1100" s="131" t="s">
        <v>177</v>
      </c>
      <c r="H1100" s="101"/>
      <c r="I1100" s="101">
        <v>4500</v>
      </c>
      <c r="J1100" s="101">
        <v>4500</v>
      </c>
      <c r="K1100" s="102">
        <v>4500</v>
      </c>
      <c r="L1100" s="6"/>
    </row>
    <row r="1101" spans="1:12" s="48" customFormat="1" ht="18" customHeight="1" x14ac:dyDescent="0.25">
      <c r="A1101" s="154" t="s">
        <v>163</v>
      </c>
      <c r="B1101" s="1106" t="s">
        <v>1388</v>
      </c>
      <c r="C1101" s="44" t="s">
        <v>178</v>
      </c>
      <c r="D1101" s="125"/>
      <c r="E1101" s="125"/>
      <c r="F1101" s="134"/>
      <c r="G1101" s="131" t="s">
        <v>179</v>
      </c>
      <c r="H1101" s="102"/>
      <c r="I1101" s="102">
        <v>84000</v>
      </c>
      <c r="J1101" s="102">
        <v>84000</v>
      </c>
      <c r="K1101" s="102">
        <v>84000</v>
      </c>
      <c r="L1101" s="6"/>
    </row>
    <row r="1102" spans="1:12" s="48" customFormat="1" ht="18" customHeight="1" x14ac:dyDescent="0.25">
      <c r="A1102" s="154" t="s">
        <v>163</v>
      </c>
      <c r="B1102" s="1106" t="s">
        <v>1388</v>
      </c>
      <c r="C1102" s="44" t="s">
        <v>182</v>
      </c>
      <c r="D1102" s="125"/>
      <c r="E1102" s="125"/>
      <c r="F1102" s="134"/>
      <c r="G1102" s="131" t="s">
        <v>183</v>
      </c>
      <c r="H1102" s="102"/>
      <c r="I1102" s="102"/>
      <c r="J1102" s="102"/>
      <c r="K1102" s="102"/>
      <c r="L1102" s="6"/>
    </row>
    <row r="1103" spans="1:12" s="48" customFormat="1" ht="18" customHeight="1" x14ac:dyDescent="0.25">
      <c r="A1103" s="154" t="s">
        <v>163</v>
      </c>
      <c r="B1103" s="1106" t="s">
        <v>1388</v>
      </c>
      <c r="C1103" s="44" t="s">
        <v>186</v>
      </c>
      <c r="D1103" s="125"/>
      <c r="E1103" s="125"/>
      <c r="F1103" s="134"/>
      <c r="G1103" s="131" t="s">
        <v>187</v>
      </c>
      <c r="H1103" s="101"/>
      <c r="I1103" s="101">
        <v>100000</v>
      </c>
      <c r="J1103" s="101">
        <v>100000</v>
      </c>
      <c r="K1103" s="102">
        <v>2100000</v>
      </c>
      <c r="L1103" s="6"/>
    </row>
    <row r="1104" spans="1:12" s="48" customFormat="1" ht="18" customHeight="1" x14ac:dyDescent="0.25">
      <c r="A1104" s="154" t="s">
        <v>163</v>
      </c>
      <c r="B1104" s="1106" t="s">
        <v>1388</v>
      </c>
      <c r="C1104" s="44" t="s">
        <v>1518</v>
      </c>
      <c r="D1104" s="125"/>
      <c r="E1104" s="125"/>
      <c r="F1104" s="134"/>
      <c r="G1104" s="131" t="s">
        <v>189</v>
      </c>
      <c r="H1104" s="101"/>
      <c r="I1104" s="101">
        <v>100000</v>
      </c>
      <c r="J1104" s="101">
        <v>100000</v>
      </c>
      <c r="K1104" s="102">
        <v>100000</v>
      </c>
      <c r="L1104" s="6"/>
    </row>
    <row r="1105" spans="1:12" s="48" customFormat="1" ht="18" customHeight="1" x14ac:dyDescent="0.25">
      <c r="A1105" s="154" t="s">
        <v>163</v>
      </c>
      <c r="B1105" s="1106" t="s">
        <v>1388</v>
      </c>
      <c r="C1105" s="44" t="s">
        <v>198</v>
      </c>
      <c r="D1105" s="125"/>
      <c r="E1105" s="125"/>
      <c r="F1105" s="134"/>
      <c r="G1105" s="131" t="s">
        <v>199</v>
      </c>
      <c r="H1105" s="101"/>
      <c r="I1105" s="101">
        <v>2337564.64</v>
      </c>
      <c r="J1105" s="101">
        <v>2337564.64</v>
      </c>
      <c r="K1105" s="102">
        <v>2337564.64</v>
      </c>
      <c r="L1105" s="6"/>
    </row>
    <row r="1106" spans="1:12" s="48" customFormat="1" ht="17.850000000000001" customHeight="1" x14ac:dyDescent="0.25">
      <c r="A1106" s="154" t="s">
        <v>2019</v>
      </c>
      <c r="B1106" s="1106" t="s">
        <v>1388</v>
      </c>
      <c r="C1106" s="1672" t="s">
        <v>1702</v>
      </c>
      <c r="D1106" s="1672"/>
      <c r="E1106" s="1672"/>
      <c r="F1106" s="1723"/>
      <c r="G1106" s="131"/>
      <c r="H1106" s="101"/>
      <c r="I1106" s="101"/>
      <c r="J1106" s="101"/>
      <c r="K1106" s="102">
        <v>500000</v>
      </c>
      <c r="L1106" s="6"/>
    </row>
    <row r="1107" spans="1:12" s="313" customFormat="1" ht="17.850000000000001" customHeight="1" x14ac:dyDescent="0.25">
      <c r="A1107" s="154" t="s">
        <v>2019</v>
      </c>
      <c r="B1107" s="1106" t="s">
        <v>1388</v>
      </c>
      <c r="C1107" s="1672" t="s">
        <v>1703</v>
      </c>
      <c r="D1107" s="1672"/>
      <c r="E1107" s="1672"/>
      <c r="F1107" s="1723"/>
      <c r="G1107" s="423"/>
      <c r="H1107" s="101"/>
      <c r="I1107" s="101">
        <v>500000</v>
      </c>
      <c r="J1107" s="101">
        <v>500000</v>
      </c>
      <c r="K1107" s="102">
        <v>500000</v>
      </c>
      <c r="L1107" s="193"/>
    </row>
    <row r="1108" spans="1:12" s="313" customFormat="1" ht="17.850000000000001" customHeight="1" x14ac:dyDescent="0.25">
      <c r="A1108" s="154" t="s">
        <v>2019</v>
      </c>
      <c r="B1108" s="1106" t="s">
        <v>1388</v>
      </c>
      <c r="C1108" s="1628" t="s">
        <v>1704</v>
      </c>
      <c r="D1108" s="1628"/>
      <c r="E1108" s="427"/>
      <c r="F1108" s="427"/>
      <c r="G1108" s="423"/>
      <c r="H1108" s="101"/>
      <c r="I1108" s="101">
        <v>200000</v>
      </c>
      <c r="J1108" s="101">
        <v>200000</v>
      </c>
      <c r="K1108" s="102">
        <v>200000</v>
      </c>
      <c r="L1108" s="193"/>
    </row>
    <row r="1109" spans="1:12" s="146" customFormat="1" ht="17.850000000000001" customHeight="1" x14ac:dyDescent="0.25">
      <c r="A1109" s="154" t="s">
        <v>2019</v>
      </c>
      <c r="B1109" s="1106" t="s">
        <v>1388</v>
      </c>
      <c r="C1109" s="38" t="s">
        <v>1705</v>
      </c>
      <c r="D1109" s="157"/>
      <c r="E1109" s="199"/>
      <c r="F1109" s="199"/>
      <c r="G1109" s="100"/>
      <c r="H1109" s="101"/>
      <c r="I1109" s="101">
        <v>300000</v>
      </c>
      <c r="J1109" s="101">
        <v>300000</v>
      </c>
      <c r="K1109" s="102">
        <v>300000</v>
      </c>
      <c r="L1109" s="10"/>
    </row>
    <row r="1110" spans="1:12" s="146" customFormat="1" ht="17.850000000000001" customHeight="1" x14ac:dyDescent="0.25">
      <c r="A1110" s="154" t="s">
        <v>2019</v>
      </c>
      <c r="B1110" s="1106" t="s">
        <v>1388</v>
      </c>
      <c r="C1110" s="38" t="s">
        <v>1706</v>
      </c>
      <c r="D1110" s="157"/>
      <c r="E1110" s="199"/>
      <c r="F1110" s="199"/>
      <c r="G1110" s="100"/>
      <c r="H1110" s="101"/>
      <c r="I1110" s="101">
        <v>500000</v>
      </c>
      <c r="J1110" s="101">
        <v>500000</v>
      </c>
      <c r="K1110" s="102">
        <v>500000</v>
      </c>
      <c r="L1110" s="10"/>
    </row>
    <row r="1111" spans="1:12" s="313" customFormat="1" ht="18" customHeight="1" x14ac:dyDescent="0.25">
      <c r="A1111" s="154" t="s">
        <v>2019</v>
      </c>
      <c r="B1111" s="1106" t="s">
        <v>1388</v>
      </c>
      <c r="C1111" s="1073" t="s">
        <v>1707</v>
      </c>
      <c r="D1111" s="1075"/>
      <c r="E1111" s="427"/>
      <c r="F1111" s="427"/>
      <c r="G1111" s="423"/>
      <c r="H1111" s="101"/>
      <c r="I1111" s="101">
        <v>100000</v>
      </c>
      <c r="J1111" s="101">
        <v>100000</v>
      </c>
      <c r="K1111" s="102">
        <v>100000</v>
      </c>
      <c r="L1111" s="193"/>
    </row>
    <row r="1112" spans="1:12" s="146" customFormat="1" ht="17.25" customHeight="1" x14ac:dyDescent="0.25">
      <c r="A1112" s="154" t="s">
        <v>2019</v>
      </c>
      <c r="B1112" s="1106" t="s">
        <v>1388</v>
      </c>
      <c r="C1112" s="180" t="s">
        <v>1708</v>
      </c>
      <c r="D1112" s="1187"/>
      <c r="E1112" s="180"/>
      <c r="F1112" s="38"/>
      <c r="G1112" s="205"/>
      <c r="H1112" s="102"/>
      <c r="I1112" s="102">
        <v>6000000</v>
      </c>
      <c r="J1112" s="102">
        <v>6000000</v>
      </c>
      <c r="K1112" s="102">
        <v>6000000</v>
      </c>
      <c r="L1112" s="10"/>
    </row>
    <row r="1113" spans="1:12" s="313" customFormat="1" ht="18" customHeight="1" x14ac:dyDescent="0.25">
      <c r="A1113" s="154" t="s">
        <v>2019</v>
      </c>
      <c r="B1113" s="1106" t="s">
        <v>1388</v>
      </c>
      <c r="C1113" s="1073" t="s">
        <v>1709</v>
      </c>
      <c r="D1113" s="1068"/>
      <c r="E1113" s="180"/>
      <c r="F1113" s="180"/>
      <c r="G1113" s="312"/>
      <c r="H1113" s="102"/>
      <c r="I1113" s="102">
        <v>2000000</v>
      </c>
      <c r="J1113" s="102">
        <v>2000000</v>
      </c>
      <c r="K1113" s="102">
        <v>2000000</v>
      </c>
      <c r="L1113" s="193"/>
    </row>
    <row r="1114" spans="1:12" s="48" customFormat="1" ht="18" customHeight="1" x14ac:dyDescent="0.25">
      <c r="A1114" s="1051" t="s">
        <v>201</v>
      </c>
      <c r="B1114" s="1106" t="s">
        <v>1388</v>
      </c>
      <c r="C1114" s="1042" t="s">
        <v>203</v>
      </c>
      <c r="D1114" s="1047"/>
      <c r="E1114" s="1047"/>
      <c r="F1114" s="1047"/>
      <c r="G1114" s="97"/>
      <c r="H1114" s="101"/>
      <c r="I1114" s="101">
        <v>80000</v>
      </c>
      <c r="J1114" s="101"/>
      <c r="K1114" s="102">
        <v>80000</v>
      </c>
      <c r="L1114" s="6"/>
    </row>
    <row r="1115" spans="1:12" ht="18" customHeight="1" x14ac:dyDescent="0.25">
      <c r="A1115" s="1051" t="s">
        <v>123</v>
      </c>
      <c r="B1115" s="1106" t="s">
        <v>1388</v>
      </c>
      <c r="C1115" s="1602" t="s">
        <v>124</v>
      </c>
      <c r="D1115" s="1603"/>
      <c r="E1115" s="1603"/>
      <c r="F1115" s="1603"/>
      <c r="G1115" s="131" t="s">
        <v>125</v>
      </c>
      <c r="H1115" s="101"/>
      <c r="I1115" s="101">
        <v>1360296</v>
      </c>
      <c r="J1115" s="101">
        <v>1360296</v>
      </c>
      <c r="K1115" s="102">
        <v>1296636</v>
      </c>
    </row>
    <row r="1116" spans="1:12" ht="18" customHeight="1" x14ac:dyDescent="0.25">
      <c r="A1116" s="1051" t="s">
        <v>123</v>
      </c>
      <c r="B1116" s="1106" t="s">
        <v>1388</v>
      </c>
      <c r="C1116" s="1602" t="s">
        <v>129</v>
      </c>
      <c r="D1116" s="1603"/>
      <c r="E1116" s="1603"/>
      <c r="F1116" s="1603"/>
      <c r="G1116" s="132" t="s">
        <v>130</v>
      </c>
      <c r="H1116" s="101"/>
      <c r="I1116" s="101">
        <v>72000</v>
      </c>
      <c r="J1116" s="101">
        <v>72000</v>
      </c>
      <c r="K1116" s="102">
        <v>72000</v>
      </c>
    </row>
    <row r="1117" spans="1:12" s="146" customFormat="1" ht="18" customHeight="1" x14ac:dyDescent="0.25">
      <c r="A1117" s="1051" t="s">
        <v>123</v>
      </c>
      <c r="B1117" s="1106" t="s">
        <v>1388</v>
      </c>
      <c r="C1117" s="1602" t="s">
        <v>131</v>
      </c>
      <c r="D1117" s="1603"/>
      <c r="E1117" s="1603"/>
      <c r="F1117" s="1603"/>
      <c r="G1117" s="131" t="s">
        <v>132</v>
      </c>
      <c r="H1117" s="101"/>
      <c r="I1117" s="101">
        <v>72000</v>
      </c>
      <c r="J1117" s="101">
        <v>72000</v>
      </c>
      <c r="K1117" s="102">
        <v>72000</v>
      </c>
      <c r="L1117" s="10"/>
    </row>
    <row r="1118" spans="1:12" s="146" customFormat="1" ht="18" customHeight="1" x14ac:dyDescent="0.25">
      <c r="A1118" s="1051" t="s">
        <v>123</v>
      </c>
      <c r="B1118" s="1106" t="s">
        <v>1388</v>
      </c>
      <c r="C1118" s="1602" t="s">
        <v>133</v>
      </c>
      <c r="D1118" s="1603"/>
      <c r="E1118" s="1603"/>
      <c r="F1118" s="1603"/>
      <c r="G1118" s="131" t="s">
        <v>134</v>
      </c>
      <c r="H1118" s="101"/>
      <c r="I1118" s="101">
        <v>72000</v>
      </c>
      <c r="J1118" s="101">
        <v>72000</v>
      </c>
      <c r="K1118" s="102">
        <v>72000</v>
      </c>
      <c r="L1118" s="10"/>
    </row>
    <row r="1119" spans="1:12" s="146" customFormat="1" ht="18" customHeight="1" x14ac:dyDescent="0.25">
      <c r="A1119" s="1051" t="s">
        <v>123</v>
      </c>
      <c r="B1119" s="1106" t="s">
        <v>1388</v>
      </c>
      <c r="C1119" s="1602" t="s">
        <v>135</v>
      </c>
      <c r="D1119" s="1603"/>
      <c r="E1119" s="1603"/>
      <c r="F1119" s="1603"/>
      <c r="G1119" s="131" t="s">
        <v>136</v>
      </c>
      <c r="H1119" s="101"/>
      <c r="I1119" s="101">
        <v>41554.69</v>
      </c>
      <c r="J1119" s="101">
        <v>41554.69</v>
      </c>
      <c r="K1119" s="102">
        <v>41554.69</v>
      </c>
      <c r="L1119" s="10"/>
    </row>
    <row r="1120" spans="1:12" s="146" customFormat="1" ht="18" customHeight="1" x14ac:dyDescent="0.25">
      <c r="A1120" s="1051" t="s">
        <v>123</v>
      </c>
      <c r="B1120" s="1106" t="s">
        <v>1388</v>
      </c>
      <c r="C1120" s="1602" t="s">
        <v>137</v>
      </c>
      <c r="D1120" s="1603"/>
      <c r="E1120" s="1603"/>
      <c r="F1120" s="1603"/>
      <c r="G1120" s="131" t="s">
        <v>138</v>
      </c>
      <c r="H1120" s="101"/>
      <c r="I1120" s="101">
        <v>18000</v>
      </c>
      <c r="J1120" s="101">
        <v>18000</v>
      </c>
      <c r="K1120" s="102">
        <v>18000</v>
      </c>
      <c r="L1120" s="10"/>
    </row>
    <row r="1121" spans="1:12" s="146" customFormat="1" ht="18" customHeight="1" x14ac:dyDescent="0.25">
      <c r="A1121" s="1051" t="s">
        <v>123</v>
      </c>
      <c r="B1121" s="1106" t="s">
        <v>1388</v>
      </c>
      <c r="C1121" s="1602" t="s">
        <v>1567</v>
      </c>
      <c r="D1121" s="1603"/>
      <c r="E1121" s="1603"/>
      <c r="F1121" s="1603"/>
      <c r="G1121" s="131" t="s">
        <v>329</v>
      </c>
      <c r="H1121" s="101"/>
      <c r="I1121" s="101">
        <v>1801733.3</v>
      </c>
      <c r="J1121" s="101">
        <v>1801733.3</v>
      </c>
      <c r="K1121" s="102"/>
      <c r="L1121" s="10"/>
    </row>
    <row r="1122" spans="1:12" s="146" customFormat="1" ht="18" customHeight="1" x14ac:dyDescent="0.25">
      <c r="A1122" s="1051" t="s">
        <v>123</v>
      </c>
      <c r="B1122" s="1106" t="s">
        <v>1388</v>
      </c>
      <c r="C1122" s="1602" t="s">
        <v>1541</v>
      </c>
      <c r="D1122" s="1603"/>
      <c r="E1122" s="1603"/>
      <c r="F1122" s="1603"/>
      <c r="G1122" s="131" t="s">
        <v>140</v>
      </c>
      <c r="H1122" s="101"/>
      <c r="I1122" s="101">
        <v>113358</v>
      </c>
      <c r="J1122" s="101">
        <v>113358</v>
      </c>
      <c r="K1122" s="102">
        <v>108053</v>
      </c>
      <c r="L1122" s="10"/>
    </row>
    <row r="1123" spans="1:12" s="146" customFormat="1" ht="18" customHeight="1" x14ac:dyDescent="0.25">
      <c r="A1123" s="1051" t="s">
        <v>123</v>
      </c>
      <c r="B1123" s="1106" t="s">
        <v>1388</v>
      </c>
      <c r="C1123" s="1602" t="s">
        <v>141</v>
      </c>
      <c r="D1123" s="1603"/>
      <c r="E1123" s="1603"/>
      <c r="F1123" s="1603"/>
      <c r="G1123" s="131" t="s">
        <v>142</v>
      </c>
      <c r="H1123" s="101"/>
      <c r="I1123" s="101">
        <v>113358</v>
      </c>
      <c r="J1123" s="101">
        <v>113358</v>
      </c>
      <c r="K1123" s="102">
        <v>108053</v>
      </c>
      <c r="L1123" s="10"/>
    </row>
    <row r="1124" spans="1:12" s="146" customFormat="1" ht="18" customHeight="1" x14ac:dyDescent="0.25">
      <c r="A1124" s="1051" t="s">
        <v>123</v>
      </c>
      <c r="B1124" s="1106" t="s">
        <v>1388</v>
      </c>
      <c r="C1124" s="1602" t="s">
        <v>1710</v>
      </c>
      <c r="D1124" s="1603"/>
      <c r="E1124" s="1603"/>
      <c r="F1124" s="1603"/>
      <c r="G1124" s="131"/>
      <c r="H1124" s="101"/>
      <c r="I1124" s="101"/>
      <c r="J1124" s="101"/>
      <c r="K1124" s="102"/>
      <c r="L1124" s="10"/>
    </row>
    <row r="1125" spans="1:12" s="146" customFormat="1" ht="18" customHeight="1" x14ac:dyDescent="0.25">
      <c r="A1125" s="1051" t="s">
        <v>123</v>
      </c>
      <c r="B1125" s="1106" t="s">
        <v>1388</v>
      </c>
      <c r="C1125" s="1602" t="s">
        <v>143</v>
      </c>
      <c r="D1125" s="1603"/>
      <c r="E1125" s="1603"/>
      <c r="F1125" s="1603"/>
      <c r="G1125" s="131" t="s">
        <v>144</v>
      </c>
      <c r="H1125" s="101"/>
      <c r="I1125" s="101">
        <v>15000</v>
      </c>
      <c r="J1125" s="101">
        <v>15000</v>
      </c>
      <c r="K1125" s="102">
        <v>15000</v>
      </c>
      <c r="L1125" s="10"/>
    </row>
    <row r="1126" spans="1:12" s="146" customFormat="1" ht="18" customHeight="1" x14ac:dyDescent="0.25">
      <c r="A1126" s="1051" t="s">
        <v>123</v>
      </c>
      <c r="B1126" s="1106" t="s">
        <v>1388</v>
      </c>
      <c r="C1126" s="1602" t="s">
        <v>1543</v>
      </c>
      <c r="D1126" s="1603"/>
      <c r="E1126" s="1603"/>
      <c r="F1126" s="1603"/>
      <c r="G1126" s="131" t="s">
        <v>146</v>
      </c>
      <c r="H1126" s="101"/>
      <c r="I1126" s="101">
        <v>15000</v>
      </c>
      <c r="J1126" s="101">
        <v>15000</v>
      </c>
      <c r="K1126" s="102">
        <v>15000</v>
      </c>
      <c r="L1126" s="10"/>
    </row>
    <row r="1127" spans="1:12" s="146" customFormat="1" ht="18" customHeight="1" x14ac:dyDescent="0.25">
      <c r="A1127" s="1051" t="s">
        <v>123</v>
      </c>
      <c r="B1127" s="1106" t="s">
        <v>1388</v>
      </c>
      <c r="C1127" s="1062" t="s">
        <v>147</v>
      </c>
      <c r="D1127" s="1041"/>
      <c r="E1127" s="1041"/>
      <c r="F1127" s="1039"/>
      <c r="G1127" s="131" t="s">
        <v>148</v>
      </c>
      <c r="H1127" s="101"/>
      <c r="I1127" s="101"/>
      <c r="J1127" s="101"/>
      <c r="K1127" s="102"/>
      <c r="L1127" s="10"/>
    </row>
    <row r="1128" spans="1:12" s="146" customFormat="1" ht="18" customHeight="1" x14ac:dyDescent="0.25">
      <c r="A1128" s="1051" t="s">
        <v>123</v>
      </c>
      <c r="B1128" s="1106" t="s">
        <v>1388</v>
      </c>
      <c r="C1128" s="1045" t="s">
        <v>149</v>
      </c>
      <c r="D1128" s="1041"/>
      <c r="E1128" s="1041"/>
      <c r="F1128" s="1039"/>
      <c r="G1128" s="131" t="s">
        <v>150</v>
      </c>
      <c r="H1128" s="101"/>
      <c r="I1128" s="101"/>
      <c r="J1128" s="101"/>
      <c r="K1128" s="102"/>
      <c r="L1128" s="10"/>
    </row>
    <row r="1129" spans="1:12" s="146" customFormat="1" ht="18" customHeight="1" x14ac:dyDescent="0.25">
      <c r="A1129" s="1051" t="s">
        <v>123</v>
      </c>
      <c r="B1129" s="1106" t="s">
        <v>1388</v>
      </c>
      <c r="C1129" s="1602" t="s">
        <v>1544</v>
      </c>
      <c r="D1129" s="1603"/>
      <c r="E1129" s="1603"/>
      <c r="F1129" s="1603"/>
      <c r="G1129" s="131" t="s">
        <v>148</v>
      </c>
      <c r="H1129" s="101"/>
      <c r="I1129" s="101"/>
      <c r="J1129" s="101"/>
      <c r="K1129" s="102"/>
      <c r="L1129" s="10"/>
    </row>
    <row r="1130" spans="1:12" s="146" customFormat="1" ht="18" customHeight="1" x14ac:dyDescent="0.25">
      <c r="A1130" s="1051" t="s">
        <v>123</v>
      </c>
      <c r="B1130" s="1106" t="s">
        <v>1388</v>
      </c>
      <c r="C1130" s="1602" t="s">
        <v>1545</v>
      </c>
      <c r="D1130" s="1603"/>
      <c r="E1130" s="1603"/>
      <c r="F1130" s="1603"/>
      <c r="G1130" s="131" t="s">
        <v>154</v>
      </c>
      <c r="H1130" s="101"/>
      <c r="I1130" s="101">
        <v>163235.51999999999</v>
      </c>
      <c r="J1130" s="101">
        <v>163235.51999999999</v>
      </c>
      <c r="K1130" s="102">
        <v>155596.32</v>
      </c>
      <c r="L1130" s="10"/>
    </row>
    <row r="1131" spans="1:12" s="146" customFormat="1" ht="18" customHeight="1" x14ac:dyDescent="0.25">
      <c r="A1131" s="1051" t="s">
        <v>123</v>
      </c>
      <c r="B1131" s="1106" t="s">
        <v>1388</v>
      </c>
      <c r="C1131" s="1602" t="s">
        <v>155</v>
      </c>
      <c r="D1131" s="1603"/>
      <c r="E1131" s="1603"/>
      <c r="F1131" s="1603"/>
      <c r="G1131" s="131" t="s">
        <v>156</v>
      </c>
      <c r="H1131" s="101"/>
      <c r="I1131" s="101">
        <v>3600</v>
      </c>
      <c r="J1131" s="101">
        <v>3600</v>
      </c>
      <c r="K1131" s="102">
        <v>3600</v>
      </c>
      <c r="L1131" s="10"/>
    </row>
    <row r="1132" spans="1:12" s="146" customFormat="1" ht="18" customHeight="1" x14ac:dyDescent="0.25">
      <c r="A1132" s="1051" t="s">
        <v>123</v>
      </c>
      <c r="B1132" s="1106" t="s">
        <v>1388</v>
      </c>
      <c r="C1132" s="1602" t="s">
        <v>157</v>
      </c>
      <c r="D1132" s="1603"/>
      <c r="E1132" s="1603"/>
      <c r="F1132" s="1603"/>
      <c r="G1132" s="131" t="s">
        <v>158</v>
      </c>
      <c r="H1132" s="101"/>
      <c r="I1132" s="101">
        <v>30606.66</v>
      </c>
      <c r="J1132" s="101">
        <v>30606.66</v>
      </c>
      <c r="K1132" s="102">
        <v>29174.31</v>
      </c>
      <c r="L1132" s="10"/>
    </row>
    <row r="1133" spans="1:12" ht="18" customHeight="1" x14ac:dyDescent="0.25">
      <c r="A1133" s="1051" t="s">
        <v>123</v>
      </c>
      <c r="B1133" s="1106" t="s">
        <v>1388</v>
      </c>
      <c r="C1133" s="1602" t="s">
        <v>1546</v>
      </c>
      <c r="D1133" s="1603"/>
      <c r="E1133" s="1603"/>
      <c r="F1133" s="1603"/>
      <c r="G1133" s="131" t="s">
        <v>160</v>
      </c>
      <c r="H1133" s="101"/>
      <c r="I1133" s="101">
        <v>3600</v>
      </c>
      <c r="J1133" s="101">
        <v>3600</v>
      </c>
      <c r="K1133" s="102">
        <v>3600</v>
      </c>
    </row>
    <row r="1134" spans="1:12" ht="18" customHeight="1" x14ac:dyDescent="0.25">
      <c r="A1134" s="1051" t="s">
        <v>163</v>
      </c>
      <c r="B1134" s="1106" t="s">
        <v>1388</v>
      </c>
      <c r="C1134" s="44" t="s">
        <v>353</v>
      </c>
      <c r="D1134" s="113"/>
      <c r="E1134" s="113"/>
      <c r="F1134" s="114"/>
      <c r="G1134" s="131" t="s">
        <v>165</v>
      </c>
      <c r="H1134" s="101"/>
      <c r="I1134" s="101">
        <v>50000</v>
      </c>
      <c r="J1134" s="101">
        <v>50000</v>
      </c>
      <c r="K1134" s="102">
        <v>50000</v>
      </c>
    </row>
    <row r="1135" spans="1:12" ht="18" customHeight="1" x14ac:dyDescent="0.25">
      <c r="A1135" s="1051" t="s">
        <v>163</v>
      </c>
      <c r="B1135" s="1106" t="s">
        <v>1388</v>
      </c>
      <c r="C1135" s="44" t="s">
        <v>166</v>
      </c>
      <c r="D1135" s="113"/>
      <c r="E1135" s="113"/>
      <c r="F1135" s="114"/>
      <c r="G1135" s="131"/>
      <c r="H1135" s="101"/>
      <c r="I1135" s="101"/>
      <c r="J1135" s="101"/>
      <c r="K1135" s="102">
        <v>50000</v>
      </c>
    </row>
    <row r="1136" spans="1:12" ht="18" customHeight="1" x14ac:dyDescent="0.25">
      <c r="A1136" s="1051" t="s">
        <v>163</v>
      </c>
      <c r="B1136" s="1106" t="s">
        <v>1388</v>
      </c>
      <c r="C1136" s="44" t="s">
        <v>168</v>
      </c>
      <c r="D1136" s="113"/>
      <c r="E1136" s="113"/>
      <c r="F1136" s="114"/>
      <c r="G1136" s="131" t="s">
        <v>169</v>
      </c>
      <c r="H1136" s="101"/>
      <c r="I1136" s="101">
        <v>200000</v>
      </c>
      <c r="J1136" s="101">
        <v>200000</v>
      </c>
      <c r="K1136" s="102">
        <v>200000</v>
      </c>
    </row>
    <row r="1137" spans="1:12" ht="18" customHeight="1" x14ac:dyDescent="0.25">
      <c r="A1137" s="1051" t="s">
        <v>163</v>
      </c>
      <c r="B1137" s="1106" t="s">
        <v>1388</v>
      </c>
      <c r="C1137" s="44" t="s">
        <v>248</v>
      </c>
      <c r="D1137" s="113"/>
      <c r="E1137" s="113"/>
      <c r="F1137" s="114"/>
      <c r="G1137" s="131" t="s">
        <v>171</v>
      </c>
      <c r="H1137" s="102"/>
      <c r="I1137" s="102">
        <v>372500</v>
      </c>
      <c r="J1137" s="102">
        <v>372500</v>
      </c>
      <c r="K1137" s="102">
        <v>372500</v>
      </c>
    </row>
    <row r="1138" spans="1:12" ht="18" customHeight="1" x14ac:dyDescent="0.25">
      <c r="A1138" s="1051" t="s">
        <v>163</v>
      </c>
      <c r="B1138" s="1106" t="s">
        <v>1388</v>
      </c>
      <c r="C1138" s="44" t="s">
        <v>178</v>
      </c>
      <c r="D1138" s="113"/>
      <c r="E1138" s="113"/>
      <c r="F1138" s="114"/>
      <c r="G1138" s="131" t="s">
        <v>179</v>
      </c>
      <c r="H1138" s="101"/>
      <c r="I1138" s="101">
        <v>42000</v>
      </c>
      <c r="J1138" s="101">
        <v>42000</v>
      </c>
      <c r="K1138" s="102">
        <v>42000</v>
      </c>
    </row>
    <row r="1139" spans="1:12" ht="18" customHeight="1" x14ac:dyDescent="0.25">
      <c r="A1139" s="1051" t="s">
        <v>163</v>
      </c>
      <c r="B1139" s="1106" t="s">
        <v>1388</v>
      </c>
      <c r="C1139" s="44" t="s">
        <v>186</v>
      </c>
      <c r="D1139" s="113"/>
      <c r="E1139" s="113"/>
      <c r="F1139" s="114"/>
      <c r="G1139" s="131"/>
      <c r="H1139" s="101"/>
      <c r="I1139" s="101">
        <v>10000</v>
      </c>
      <c r="J1139" s="101">
        <v>10000</v>
      </c>
      <c r="K1139" s="102">
        <v>10000</v>
      </c>
    </row>
    <row r="1140" spans="1:12" ht="18" customHeight="1" x14ac:dyDescent="0.25">
      <c r="A1140" s="1051" t="s">
        <v>163</v>
      </c>
      <c r="B1140" s="1106" t="s">
        <v>1388</v>
      </c>
      <c r="C1140" s="44" t="s">
        <v>393</v>
      </c>
      <c r="D1140" s="113"/>
      <c r="E1140" s="113"/>
      <c r="F1140" s="114"/>
      <c r="G1140" s="131" t="s">
        <v>189</v>
      </c>
      <c r="H1140" s="101"/>
      <c r="I1140" s="101">
        <v>10000</v>
      </c>
      <c r="J1140" s="101">
        <v>10000</v>
      </c>
      <c r="K1140" s="102">
        <v>10000</v>
      </c>
    </row>
    <row r="1141" spans="1:12" ht="18" customHeight="1" x14ac:dyDescent="0.25">
      <c r="A1141" s="1051" t="s">
        <v>163</v>
      </c>
      <c r="B1141" s="1106" t="s">
        <v>1388</v>
      </c>
      <c r="C1141" s="44" t="s">
        <v>198</v>
      </c>
      <c r="D1141" s="170"/>
      <c r="E1141" s="170"/>
      <c r="F1141" s="171"/>
      <c r="G1141" s="172" t="s">
        <v>199</v>
      </c>
      <c r="H1141" s="102"/>
      <c r="I1141" s="102">
        <v>600000</v>
      </c>
      <c r="J1141" s="102">
        <v>600000</v>
      </c>
      <c r="K1141" s="102">
        <v>600000</v>
      </c>
    </row>
    <row r="1142" spans="1:12" s="146" customFormat="1" ht="18" x14ac:dyDescent="0.25">
      <c r="A1142" s="1051" t="s">
        <v>2019</v>
      </c>
      <c r="B1142" s="1106" t="s">
        <v>1388</v>
      </c>
      <c r="C1142" s="38" t="s">
        <v>1711</v>
      </c>
      <c r="D1142" s="199"/>
      <c r="E1142" s="199"/>
      <c r="F1142" s="199"/>
      <c r="G1142" s="100"/>
      <c r="H1142" s="101"/>
      <c r="I1142" s="101">
        <v>1000000</v>
      </c>
      <c r="J1142" s="101">
        <v>1000000</v>
      </c>
      <c r="K1142" s="102">
        <v>1000000</v>
      </c>
      <c r="L1142" s="10"/>
    </row>
    <row r="1143" spans="1:12" s="146" customFormat="1" ht="18" x14ac:dyDescent="0.25">
      <c r="A1143" s="1051" t="s">
        <v>2019</v>
      </c>
      <c r="B1143" s="1106" t="s">
        <v>1388</v>
      </c>
      <c r="C1143" s="38" t="s">
        <v>1712</v>
      </c>
      <c r="D1143" s="199"/>
      <c r="E1143" s="199"/>
      <c r="F1143" s="199"/>
      <c r="G1143" s="100"/>
      <c r="H1143" s="101"/>
      <c r="I1143" s="101">
        <v>350000</v>
      </c>
      <c r="J1143" s="101">
        <v>350000</v>
      </c>
      <c r="K1143" s="102">
        <v>350000</v>
      </c>
      <c r="L1143" s="10"/>
    </row>
    <row r="1144" spans="1:12" s="203" customFormat="1" ht="18" x14ac:dyDescent="0.25">
      <c r="A1144" s="1051" t="s">
        <v>2019</v>
      </c>
      <c r="B1144" s="1106" t="s">
        <v>1388</v>
      </c>
      <c r="C1144" s="38" t="s">
        <v>1713</v>
      </c>
      <c r="D1144" s="199"/>
      <c r="E1144" s="199"/>
      <c r="F1144" s="199"/>
      <c r="G1144" s="100"/>
      <c r="H1144" s="101"/>
      <c r="I1144" s="101">
        <v>5000000</v>
      </c>
      <c r="J1144" s="101">
        <v>5000000</v>
      </c>
      <c r="K1144" s="102">
        <v>5000000</v>
      </c>
      <c r="L1144" s="10"/>
    </row>
    <row r="1145" spans="1:12" s="146" customFormat="1" ht="18" x14ac:dyDescent="0.25">
      <c r="A1145" s="1051" t="s">
        <v>2019</v>
      </c>
      <c r="B1145" s="1106" t="s">
        <v>1388</v>
      </c>
      <c r="C1145" s="38" t="s">
        <v>1714</v>
      </c>
      <c r="D1145" s="199"/>
      <c r="E1145" s="199"/>
      <c r="F1145" s="199"/>
      <c r="G1145" s="100"/>
      <c r="H1145" s="101"/>
      <c r="I1145" s="101">
        <v>500000</v>
      </c>
      <c r="J1145" s="101">
        <v>500000</v>
      </c>
      <c r="K1145" s="102">
        <v>500000</v>
      </c>
      <c r="L1145" s="10"/>
    </row>
    <row r="1146" spans="1:12" s="203" customFormat="1" ht="18" x14ac:dyDescent="0.25">
      <c r="A1146" s="1051" t="s">
        <v>2019</v>
      </c>
      <c r="B1146" s="1106" t="s">
        <v>1388</v>
      </c>
      <c r="C1146" s="38" t="s">
        <v>1715</v>
      </c>
      <c r="D1146" s="199"/>
      <c r="E1146" s="199"/>
      <c r="F1146" s="199"/>
      <c r="G1146" s="100"/>
      <c r="H1146" s="101"/>
      <c r="I1146" s="101">
        <v>6000000</v>
      </c>
      <c r="J1146" s="101">
        <v>6000000</v>
      </c>
      <c r="K1146" s="102">
        <v>1000000</v>
      </c>
      <c r="L1146" s="10"/>
    </row>
    <row r="1147" spans="1:12" s="146" customFormat="1" ht="18" x14ac:dyDescent="0.25">
      <c r="A1147" s="1051" t="s">
        <v>2019</v>
      </c>
      <c r="B1147" s="1106" t="s">
        <v>1388</v>
      </c>
      <c r="C1147" s="38" t="s">
        <v>1716</v>
      </c>
      <c r="D1147" s="199"/>
      <c r="E1147" s="199"/>
      <c r="F1147" s="199"/>
      <c r="G1147" s="100"/>
      <c r="H1147" s="101"/>
      <c r="I1147" s="101">
        <v>500000</v>
      </c>
      <c r="J1147" s="101">
        <v>500000</v>
      </c>
      <c r="K1147" s="102">
        <v>500000</v>
      </c>
      <c r="L1147" s="10"/>
    </row>
    <row r="1148" spans="1:12" s="146" customFormat="1" ht="35.25" customHeight="1" x14ac:dyDescent="0.25">
      <c r="A1148" s="1051" t="s">
        <v>2019</v>
      </c>
      <c r="B1148" s="1106" t="s">
        <v>1388</v>
      </c>
      <c r="C1148" s="1617" t="s">
        <v>1717</v>
      </c>
      <c r="D1148" s="1617"/>
      <c r="E1148" s="199"/>
      <c r="F1148" s="199"/>
      <c r="G1148" s="100"/>
      <c r="H1148" s="101"/>
      <c r="I1148" s="101">
        <v>500000</v>
      </c>
      <c r="J1148" s="101">
        <v>500000</v>
      </c>
      <c r="K1148" s="102">
        <v>500000</v>
      </c>
      <c r="L1148" s="10"/>
    </row>
    <row r="1149" spans="1:12" s="146" customFormat="1" ht="17.25" customHeight="1" x14ac:dyDescent="0.25">
      <c r="A1149" s="1051" t="s">
        <v>2019</v>
      </c>
      <c r="B1149" s="1106" t="s">
        <v>1388</v>
      </c>
      <c r="C1149" s="1628" t="s">
        <v>1718</v>
      </c>
      <c r="D1149" s="1628"/>
      <c r="E1149" s="199"/>
      <c r="F1149" s="199"/>
      <c r="G1149" s="100"/>
      <c r="H1149" s="101"/>
      <c r="I1149" s="101"/>
      <c r="J1149" s="101"/>
      <c r="K1149" s="102">
        <v>1500000</v>
      </c>
      <c r="L1149" s="10"/>
    </row>
    <row r="1150" spans="1:12" s="146" customFormat="1" ht="18" x14ac:dyDescent="0.25">
      <c r="A1150" s="1051" t="s">
        <v>123</v>
      </c>
      <c r="B1150" s="1106" t="s">
        <v>1388</v>
      </c>
      <c r="C1150" s="1611" t="s">
        <v>124</v>
      </c>
      <c r="D1150" s="1611"/>
      <c r="E1150" s="1611"/>
      <c r="F1150" s="1602"/>
      <c r="G1150" s="131" t="s">
        <v>125</v>
      </c>
      <c r="H1150" s="101"/>
      <c r="I1150" s="101">
        <v>9608892</v>
      </c>
      <c r="J1150" s="101">
        <v>9608892</v>
      </c>
      <c r="K1150" s="102">
        <f>9242292+1180</f>
        <v>9243472</v>
      </c>
      <c r="L1150" s="10"/>
    </row>
    <row r="1151" spans="1:12" s="146" customFormat="1" ht="18" x14ac:dyDescent="0.25">
      <c r="A1151" s="1051" t="s">
        <v>123</v>
      </c>
      <c r="B1151" s="1106" t="s">
        <v>1388</v>
      </c>
      <c r="C1151" s="1611" t="s">
        <v>126</v>
      </c>
      <c r="D1151" s="1611"/>
      <c r="E1151" s="1611"/>
      <c r="F1151" s="1602"/>
      <c r="G1151" s="131" t="s">
        <v>127</v>
      </c>
      <c r="H1151" s="101"/>
      <c r="I1151" s="101">
        <v>1285584</v>
      </c>
      <c r="J1151" s="101">
        <v>1285584</v>
      </c>
      <c r="K1151" s="102">
        <v>1237056</v>
      </c>
      <c r="L1151" s="10"/>
    </row>
    <row r="1152" spans="1:12" s="146" customFormat="1" ht="18" x14ac:dyDescent="0.25">
      <c r="A1152" s="1051" t="s">
        <v>123</v>
      </c>
      <c r="B1152" s="1106" t="s">
        <v>1388</v>
      </c>
      <c r="C1152" s="1611" t="s">
        <v>129</v>
      </c>
      <c r="D1152" s="1611"/>
      <c r="E1152" s="1611"/>
      <c r="F1152" s="1602"/>
      <c r="G1152" s="132" t="s">
        <v>130</v>
      </c>
      <c r="H1152" s="101"/>
      <c r="I1152" s="101">
        <v>1296000</v>
      </c>
      <c r="J1152" s="101">
        <v>1296000</v>
      </c>
      <c r="K1152" s="102">
        <v>1296000</v>
      </c>
      <c r="L1152" s="10"/>
    </row>
    <row r="1153" spans="1:12" s="146" customFormat="1" ht="18" x14ac:dyDescent="0.25">
      <c r="A1153" s="1051" t="s">
        <v>123</v>
      </c>
      <c r="B1153" s="1106" t="s">
        <v>1388</v>
      </c>
      <c r="C1153" s="1611" t="s">
        <v>131</v>
      </c>
      <c r="D1153" s="1611"/>
      <c r="E1153" s="1611"/>
      <c r="F1153" s="1602"/>
      <c r="G1153" s="131" t="s">
        <v>132</v>
      </c>
      <c r="H1153" s="101"/>
      <c r="I1153" s="101">
        <v>72000</v>
      </c>
      <c r="J1153" s="101">
        <v>72000</v>
      </c>
      <c r="K1153" s="102">
        <v>72000</v>
      </c>
      <c r="L1153" s="10"/>
    </row>
    <row r="1154" spans="1:12" s="146" customFormat="1" ht="18" x14ac:dyDescent="0.25">
      <c r="A1154" s="1051" t="s">
        <v>123</v>
      </c>
      <c r="B1154" s="1106" t="s">
        <v>1388</v>
      </c>
      <c r="C1154" s="1611" t="s">
        <v>133</v>
      </c>
      <c r="D1154" s="1611"/>
      <c r="E1154" s="1611"/>
      <c r="F1154" s="1602"/>
      <c r="G1154" s="131" t="s">
        <v>134</v>
      </c>
      <c r="H1154" s="101"/>
      <c r="I1154" s="101">
        <v>72000</v>
      </c>
      <c r="J1154" s="101">
        <v>72000</v>
      </c>
      <c r="K1154" s="102">
        <v>72000</v>
      </c>
      <c r="L1154" s="10"/>
    </row>
    <row r="1155" spans="1:12" s="146" customFormat="1" ht="18" x14ac:dyDescent="0.25">
      <c r="A1155" s="1051" t="s">
        <v>123</v>
      </c>
      <c r="B1155" s="1106" t="s">
        <v>1388</v>
      </c>
      <c r="C1155" s="1611" t="s">
        <v>135</v>
      </c>
      <c r="D1155" s="1611"/>
      <c r="E1155" s="1611"/>
      <c r="F1155" s="1602"/>
      <c r="G1155" s="131" t="s">
        <v>136</v>
      </c>
      <c r="H1155" s="102"/>
      <c r="I1155" s="1154">
        <v>372794.2</v>
      </c>
      <c r="J1155" s="1154">
        <v>372794.2</v>
      </c>
      <c r="K1155" s="102">
        <v>372794.2</v>
      </c>
      <c r="L1155" s="10"/>
    </row>
    <row r="1156" spans="1:12" s="146" customFormat="1" ht="18" x14ac:dyDescent="0.25">
      <c r="A1156" s="1051" t="s">
        <v>123</v>
      </c>
      <c r="B1156" s="1106" t="s">
        <v>1388</v>
      </c>
      <c r="C1156" s="1611" t="s">
        <v>137</v>
      </c>
      <c r="D1156" s="1611"/>
      <c r="E1156" s="1611"/>
      <c r="F1156" s="1602"/>
      <c r="G1156" s="131" t="s">
        <v>138</v>
      </c>
      <c r="H1156" s="101"/>
      <c r="I1156" s="101">
        <v>324000</v>
      </c>
      <c r="J1156" s="101">
        <v>324000</v>
      </c>
      <c r="K1156" s="102">
        <v>324000</v>
      </c>
      <c r="L1156" s="10"/>
    </row>
    <row r="1157" spans="1:12" s="146" customFormat="1" ht="18" x14ac:dyDescent="0.25">
      <c r="A1157" s="1051" t="s">
        <v>123</v>
      </c>
      <c r="B1157" s="1106" t="s">
        <v>1388</v>
      </c>
      <c r="C1157" s="1042" t="s">
        <v>1567</v>
      </c>
      <c r="D1157" s="1041"/>
      <c r="E1157" s="1041"/>
      <c r="F1157" s="1039"/>
      <c r="G1157" s="131"/>
      <c r="H1157" s="101"/>
      <c r="I1157" s="101">
        <v>181975.71</v>
      </c>
      <c r="J1157" s="101">
        <v>181975.71</v>
      </c>
      <c r="K1157" s="102"/>
      <c r="L1157" s="10"/>
    </row>
    <row r="1158" spans="1:12" s="146" customFormat="1" ht="18" customHeight="1" x14ac:dyDescent="0.25">
      <c r="A1158" s="1051" t="s">
        <v>123</v>
      </c>
      <c r="B1158" s="1106" t="s">
        <v>1388</v>
      </c>
      <c r="C1158" s="1602" t="s">
        <v>1541</v>
      </c>
      <c r="D1158" s="1603"/>
      <c r="E1158" s="1603"/>
      <c r="F1158" s="1603"/>
      <c r="G1158" s="131" t="s">
        <v>140</v>
      </c>
      <c r="H1158" s="101"/>
      <c r="I1158" s="101">
        <v>907873</v>
      </c>
      <c r="J1158" s="101">
        <v>907873</v>
      </c>
      <c r="K1158" s="102">
        <v>873279</v>
      </c>
      <c r="L1158" s="10"/>
    </row>
    <row r="1159" spans="1:12" s="146" customFormat="1" ht="18" x14ac:dyDescent="0.25">
      <c r="A1159" s="1051" t="s">
        <v>123</v>
      </c>
      <c r="B1159" s="1106" t="s">
        <v>1388</v>
      </c>
      <c r="C1159" s="1611" t="s">
        <v>141</v>
      </c>
      <c r="D1159" s="1611"/>
      <c r="E1159" s="1611"/>
      <c r="F1159" s="1602"/>
      <c r="G1159" s="131" t="s">
        <v>142</v>
      </c>
      <c r="H1159" s="101"/>
      <c r="I1159" s="101">
        <v>907873</v>
      </c>
      <c r="J1159" s="101">
        <v>907873</v>
      </c>
      <c r="K1159" s="102">
        <v>873574</v>
      </c>
      <c r="L1159" s="10"/>
    </row>
    <row r="1160" spans="1:12" s="146" customFormat="1" ht="18" x14ac:dyDescent="0.25">
      <c r="A1160" s="1051" t="s">
        <v>123</v>
      </c>
      <c r="B1160" s="1106" t="s">
        <v>1388</v>
      </c>
      <c r="C1160" s="1602" t="s">
        <v>1542</v>
      </c>
      <c r="D1160" s="1603"/>
      <c r="E1160" s="1603"/>
      <c r="F1160" s="1603"/>
      <c r="G1160" s="131"/>
      <c r="H1160" s="101"/>
      <c r="I1160" s="101"/>
      <c r="J1160" s="101"/>
      <c r="K1160" s="102"/>
      <c r="L1160" s="10"/>
    </row>
    <row r="1161" spans="1:12" s="146" customFormat="1" ht="18" x14ac:dyDescent="0.25">
      <c r="A1161" s="1051" t="s">
        <v>123</v>
      </c>
      <c r="B1161" s="1106" t="s">
        <v>1388</v>
      </c>
      <c r="C1161" s="1611" t="s">
        <v>143</v>
      </c>
      <c r="D1161" s="1611"/>
      <c r="E1161" s="1611"/>
      <c r="F1161" s="1602"/>
      <c r="G1161" s="131" t="s">
        <v>144</v>
      </c>
      <c r="H1161" s="101"/>
      <c r="I1161" s="101">
        <v>270000</v>
      </c>
      <c r="J1161" s="101">
        <v>270000</v>
      </c>
      <c r="K1161" s="102">
        <v>270000</v>
      </c>
      <c r="L1161" s="10"/>
    </row>
    <row r="1162" spans="1:12" s="146" customFormat="1" ht="18" x14ac:dyDescent="0.25">
      <c r="A1162" s="1051" t="s">
        <v>123</v>
      </c>
      <c r="B1162" s="1106" t="s">
        <v>1388</v>
      </c>
      <c r="C1162" s="1611" t="s">
        <v>1543</v>
      </c>
      <c r="D1162" s="1611"/>
      <c r="E1162" s="1611"/>
      <c r="F1162" s="1602"/>
      <c r="G1162" s="131" t="s">
        <v>146</v>
      </c>
      <c r="H1162" s="101"/>
      <c r="I1162" s="101">
        <v>270000</v>
      </c>
      <c r="J1162" s="101">
        <v>270000</v>
      </c>
      <c r="K1162" s="102">
        <v>270000</v>
      </c>
      <c r="L1162" s="10"/>
    </row>
    <row r="1163" spans="1:12" s="146" customFormat="1" ht="18" x14ac:dyDescent="0.25">
      <c r="A1163" s="1051" t="s">
        <v>123</v>
      </c>
      <c r="B1163" s="1106" t="s">
        <v>1388</v>
      </c>
      <c r="C1163" s="1574" t="s">
        <v>1568</v>
      </c>
      <c r="D1163" s="1574"/>
      <c r="E1163" s="1574"/>
      <c r="F1163" s="1618"/>
      <c r="G1163" s="131" t="s">
        <v>232</v>
      </c>
      <c r="H1163" s="101"/>
      <c r="I1163" s="101"/>
      <c r="J1163" s="101"/>
      <c r="K1163" s="102">
        <v>15000</v>
      </c>
      <c r="L1163" s="10"/>
    </row>
    <row r="1164" spans="1:12" s="146" customFormat="1" ht="18" x14ac:dyDescent="0.25">
      <c r="A1164" s="1051" t="s">
        <v>123</v>
      </c>
      <c r="B1164" s="1106" t="s">
        <v>1388</v>
      </c>
      <c r="C1164" s="1062" t="s">
        <v>147</v>
      </c>
      <c r="D1164" s="1041"/>
      <c r="E1164" s="1041"/>
      <c r="F1164" s="1039"/>
      <c r="G1164" s="131" t="s">
        <v>148</v>
      </c>
      <c r="H1164" s="101"/>
      <c r="I1164" s="101"/>
      <c r="J1164" s="101"/>
      <c r="K1164" s="102"/>
      <c r="L1164" s="10"/>
    </row>
    <row r="1165" spans="1:12" s="146" customFormat="1" ht="18" x14ac:dyDescent="0.25">
      <c r="A1165" s="1051" t="s">
        <v>123</v>
      </c>
      <c r="B1165" s="1106" t="s">
        <v>1388</v>
      </c>
      <c r="C1165" s="1045" t="s">
        <v>149</v>
      </c>
      <c r="D1165" s="1041"/>
      <c r="E1165" s="1041"/>
      <c r="F1165" s="1039"/>
      <c r="G1165" s="131" t="s">
        <v>150</v>
      </c>
      <c r="H1165" s="101"/>
      <c r="I1165" s="101"/>
      <c r="J1165" s="101"/>
      <c r="K1165" s="102"/>
      <c r="L1165" s="10"/>
    </row>
    <row r="1166" spans="1:12" s="146" customFormat="1" ht="18" x14ac:dyDescent="0.25">
      <c r="A1166" s="1051" t="s">
        <v>123</v>
      </c>
      <c r="B1166" s="1106" t="s">
        <v>1388</v>
      </c>
      <c r="C1166" s="1602" t="s">
        <v>1544</v>
      </c>
      <c r="D1166" s="1603"/>
      <c r="E1166" s="1603"/>
      <c r="F1166" s="1603"/>
      <c r="G1166" s="131" t="s">
        <v>148</v>
      </c>
      <c r="H1166" s="101"/>
      <c r="I1166" s="101"/>
      <c r="J1166" s="101"/>
      <c r="K1166" s="102"/>
      <c r="L1166" s="10"/>
    </row>
    <row r="1167" spans="1:12" ht="18" x14ac:dyDescent="0.25">
      <c r="A1167" s="1051" t="s">
        <v>123</v>
      </c>
      <c r="B1167" s="1106" t="s">
        <v>1388</v>
      </c>
      <c r="C1167" s="1611" t="s">
        <v>1545</v>
      </c>
      <c r="D1167" s="1611"/>
      <c r="E1167" s="1611"/>
      <c r="F1167" s="1602"/>
      <c r="G1167" s="131" t="s">
        <v>154</v>
      </c>
      <c r="H1167" s="101"/>
      <c r="I1167" s="101">
        <v>1307337.1200000001</v>
      </c>
      <c r="J1167" s="101">
        <v>1307337.1200000001</v>
      </c>
      <c r="K1167" s="102">
        <v>1257663.3600000001</v>
      </c>
    </row>
    <row r="1168" spans="1:12" ht="18" x14ac:dyDescent="0.25">
      <c r="A1168" s="1051" t="s">
        <v>123</v>
      </c>
      <c r="B1168" s="1106" t="s">
        <v>1388</v>
      </c>
      <c r="C1168" s="1611" t="s">
        <v>155</v>
      </c>
      <c r="D1168" s="1611"/>
      <c r="E1168" s="1611"/>
      <c r="F1168" s="1602"/>
      <c r="G1168" s="131" t="s">
        <v>156</v>
      </c>
      <c r="H1168" s="101"/>
      <c r="I1168" s="101">
        <v>64800</v>
      </c>
      <c r="J1168" s="101">
        <v>64800</v>
      </c>
      <c r="K1168" s="102">
        <v>64800</v>
      </c>
    </row>
    <row r="1169" spans="1:12" ht="18" x14ac:dyDescent="0.25">
      <c r="A1169" s="1051" t="s">
        <v>123</v>
      </c>
      <c r="B1169" s="1106" t="s">
        <v>1388</v>
      </c>
      <c r="C1169" s="1611" t="s">
        <v>157</v>
      </c>
      <c r="D1169" s="1611"/>
      <c r="E1169" s="1611"/>
      <c r="F1169" s="1602"/>
      <c r="G1169" s="131" t="s">
        <v>158</v>
      </c>
      <c r="H1169" s="101"/>
      <c r="I1169" s="101">
        <v>244981.8</v>
      </c>
      <c r="J1169" s="101">
        <v>244981.8</v>
      </c>
      <c r="K1169" s="102">
        <v>235811.88</v>
      </c>
    </row>
    <row r="1170" spans="1:12" ht="18" x14ac:dyDescent="0.25">
      <c r="A1170" s="1051" t="s">
        <v>123</v>
      </c>
      <c r="B1170" s="1106" t="s">
        <v>1388</v>
      </c>
      <c r="C1170" s="1611" t="s">
        <v>1546</v>
      </c>
      <c r="D1170" s="1611"/>
      <c r="E1170" s="1611"/>
      <c r="F1170" s="1602"/>
      <c r="G1170" s="131" t="s">
        <v>160</v>
      </c>
      <c r="H1170" s="101"/>
      <c r="I1170" s="101">
        <v>64800</v>
      </c>
      <c r="J1170" s="101">
        <v>64800</v>
      </c>
      <c r="K1170" s="102">
        <v>64800</v>
      </c>
    </row>
    <row r="1171" spans="1:12" ht="18" customHeight="1" x14ac:dyDescent="0.25">
      <c r="A1171" s="1051" t="s">
        <v>163</v>
      </c>
      <c r="B1171" s="1106" t="s">
        <v>1388</v>
      </c>
      <c r="C1171" s="44" t="s">
        <v>353</v>
      </c>
      <c r="D1171" s="113"/>
      <c r="E1171" s="113"/>
      <c r="F1171" s="114"/>
      <c r="G1171" s="131" t="s">
        <v>165</v>
      </c>
      <c r="H1171" s="101"/>
      <c r="I1171" s="101">
        <v>200000</v>
      </c>
      <c r="J1171" s="101">
        <v>200000</v>
      </c>
      <c r="K1171" s="102">
        <v>200000</v>
      </c>
    </row>
    <row r="1172" spans="1:12" ht="18" customHeight="1" x14ac:dyDescent="0.25">
      <c r="A1172" s="1051" t="s">
        <v>163</v>
      </c>
      <c r="B1172" s="1106" t="s">
        <v>1388</v>
      </c>
      <c r="C1172" s="44" t="s">
        <v>166</v>
      </c>
      <c r="D1172" s="113"/>
      <c r="E1172" s="113"/>
      <c r="F1172" s="114"/>
      <c r="G1172" s="131"/>
      <c r="H1172" s="101"/>
      <c r="I1172" s="101"/>
      <c r="J1172" s="101"/>
      <c r="K1172" s="102">
        <v>50000</v>
      </c>
    </row>
    <row r="1173" spans="1:12" ht="18" customHeight="1" x14ac:dyDescent="0.25">
      <c r="A1173" s="1051" t="s">
        <v>163</v>
      </c>
      <c r="B1173" s="1106" t="s">
        <v>1388</v>
      </c>
      <c r="C1173" s="44" t="s">
        <v>555</v>
      </c>
      <c r="D1173" s="113"/>
      <c r="E1173" s="113"/>
      <c r="F1173" s="114"/>
      <c r="G1173" s="131" t="s">
        <v>169</v>
      </c>
      <c r="H1173" s="101"/>
      <c r="I1173" s="101">
        <v>285834.5</v>
      </c>
      <c r="J1173" s="101">
        <v>285834.5</v>
      </c>
      <c r="K1173" s="102">
        <v>285834.5</v>
      </c>
    </row>
    <row r="1174" spans="1:12" ht="18" customHeight="1" x14ac:dyDescent="0.25">
      <c r="A1174" s="1051" t="s">
        <v>163</v>
      </c>
      <c r="B1174" s="1106" t="s">
        <v>1388</v>
      </c>
      <c r="C1174" s="44" t="s">
        <v>213</v>
      </c>
      <c r="D1174" s="113"/>
      <c r="E1174" s="113"/>
      <c r="F1174" s="114"/>
      <c r="G1174" s="131" t="s">
        <v>171</v>
      </c>
      <c r="H1174" s="101"/>
      <c r="I1174" s="101">
        <v>553297.5</v>
      </c>
      <c r="J1174" s="101">
        <v>553297.5</v>
      </c>
      <c r="K1174" s="102">
        <v>553297.5</v>
      </c>
    </row>
    <row r="1175" spans="1:12" ht="18" customHeight="1" x14ac:dyDescent="0.25">
      <c r="A1175" s="1051" t="s">
        <v>163</v>
      </c>
      <c r="B1175" s="1106" t="s">
        <v>1388</v>
      </c>
      <c r="C1175" s="44" t="s">
        <v>382</v>
      </c>
      <c r="D1175" s="113"/>
      <c r="E1175" s="113"/>
      <c r="F1175" s="114"/>
      <c r="G1175" s="131" t="s">
        <v>383</v>
      </c>
      <c r="H1175" s="101"/>
      <c r="I1175" s="101">
        <v>35000</v>
      </c>
      <c r="J1175" s="101">
        <v>35000</v>
      </c>
      <c r="K1175" s="102">
        <v>35000</v>
      </c>
    </row>
    <row r="1176" spans="1:12" s="146" customFormat="1" ht="18" customHeight="1" x14ac:dyDescent="0.25">
      <c r="A1176" s="1051" t="s">
        <v>163</v>
      </c>
      <c r="B1176" s="1106" t="s">
        <v>1388</v>
      </c>
      <c r="C1176" s="44" t="s">
        <v>178</v>
      </c>
      <c r="D1176" s="113"/>
      <c r="E1176" s="113"/>
      <c r="F1176" s="114"/>
      <c r="G1176" s="131" t="s">
        <v>179</v>
      </c>
      <c r="H1176" s="101"/>
      <c r="I1176" s="101">
        <v>72000</v>
      </c>
      <c r="J1176" s="101">
        <v>72000</v>
      </c>
      <c r="K1176" s="102">
        <v>72000</v>
      </c>
      <c r="L1176" s="10"/>
    </row>
    <row r="1177" spans="1:12" s="146" customFormat="1" ht="18" customHeight="1" x14ac:dyDescent="0.25">
      <c r="A1177" s="1051" t="s">
        <v>163</v>
      </c>
      <c r="B1177" s="1106" t="s">
        <v>1388</v>
      </c>
      <c r="C1177" s="44" t="s">
        <v>182</v>
      </c>
      <c r="D1177" s="113"/>
      <c r="E1177" s="113"/>
      <c r="F1177" s="114"/>
      <c r="G1177" s="131" t="s">
        <v>179</v>
      </c>
      <c r="H1177" s="101"/>
      <c r="I1177" s="101"/>
      <c r="J1177" s="101"/>
      <c r="K1177" s="102"/>
      <c r="L1177" s="10"/>
    </row>
    <row r="1178" spans="1:12" s="146" customFormat="1" ht="18" customHeight="1" x14ac:dyDescent="0.25">
      <c r="A1178" s="1051" t="s">
        <v>163</v>
      </c>
      <c r="B1178" s="1106" t="s">
        <v>1388</v>
      </c>
      <c r="C1178" s="44" t="s">
        <v>1519</v>
      </c>
      <c r="D1178" s="113"/>
      <c r="E1178" s="113"/>
      <c r="F1178" s="114"/>
      <c r="G1178" s="131"/>
      <c r="H1178" s="101"/>
      <c r="I1178" s="101"/>
      <c r="J1178" s="101"/>
      <c r="K1178" s="102">
        <f>50000+2500000+4000000</f>
        <v>6550000</v>
      </c>
      <c r="L1178" s="10"/>
    </row>
    <row r="1179" spans="1:12" s="146" customFormat="1" ht="18" customHeight="1" x14ac:dyDescent="0.25">
      <c r="A1179" s="1051" t="s">
        <v>163</v>
      </c>
      <c r="B1179" s="1106" t="s">
        <v>1388</v>
      </c>
      <c r="C1179" s="44" t="s">
        <v>457</v>
      </c>
      <c r="D1179" s="113"/>
      <c r="E1179" s="113"/>
      <c r="F1179" s="114"/>
      <c r="G1179" s="131" t="s">
        <v>237</v>
      </c>
      <c r="H1179" s="101"/>
      <c r="I1179" s="101">
        <v>7000</v>
      </c>
      <c r="J1179" s="101">
        <v>7000</v>
      </c>
      <c r="K1179" s="102"/>
      <c r="L1179" s="10"/>
    </row>
    <row r="1180" spans="1:12" s="146" customFormat="1" ht="18" customHeight="1" x14ac:dyDescent="0.25">
      <c r="A1180" s="1051" t="s">
        <v>163</v>
      </c>
      <c r="B1180" s="1106" t="s">
        <v>1388</v>
      </c>
      <c r="C1180" s="44" t="s">
        <v>198</v>
      </c>
      <c r="D1180" s="113"/>
      <c r="E1180" s="170"/>
      <c r="F1180" s="114"/>
      <c r="G1180" s="131" t="s">
        <v>199</v>
      </c>
      <c r="H1180" s="101"/>
      <c r="I1180" s="101">
        <v>3102637.44</v>
      </c>
      <c r="J1180" s="101">
        <v>3102637.44</v>
      </c>
      <c r="K1180" s="102">
        <v>3102637.44</v>
      </c>
      <c r="L1180" s="10"/>
    </row>
    <row r="1181" spans="1:12" s="1172" customFormat="1" ht="50.25" customHeight="1" x14ac:dyDescent="0.25">
      <c r="A1181" s="154" t="s">
        <v>201</v>
      </c>
      <c r="B1181" s="1106" t="s">
        <v>1388</v>
      </c>
      <c r="C1181" s="1724" t="s">
        <v>1719</v>
      </c>
      <c r="D1181" s="1724"/>
      <c r="E1181" s="1191"/>
      <c r="F1181" s="1191"/>
      <c r="G1181" s="1192"/>
      <c r="H1181" s="1160"/>
      <c r="I1181" s="1160">
        <v>400000</v>
      </c>
      <c r="J1181" s="1160">
        <v>400000</v>
      </c>
      <c r="K1181" s="1161">
        <v>400000</v>
      </c>
      <c r="L1181" s="207"/>
    </row>
    <row r="1182" spans="1:12" s="146" customFormat="1" ht="18" x14ac:dyDescent="0.25">
      <c r="A1182" s="1051" t="s">
        <v>123</v>
      </c>
      <c r="B1182" s="1106" t="s">
        <v>1388</v>
      </c>
      <c r="C1182" s="1602" t="s">
        <v>124</v>
      </c>
      <c r="D1182" s="1603"/>
      <c r="E1182" s="1603"/>
      <c r="F1182" s="1603"/>
      <c r="G1182" s="131" t="s">
        <v>125</v>
      </c>
      <c r="H1182" s="101"/>
      <c r="I1182" s="101">
        <v>1918824</v>
      </c>
      <c r="J1182" s="101">
        <v>1918824</v>
      </c>
      <c r="K1182" s="102">
        <v>1856772</v>
      </c>
      <c r="L1182" s="10"/>
    </row>
    <row r="1183" spans="1:12" s="146" customFormat="1" ht="18" x14ac:dyDescent="0.25">
      <c r="A1183" s="1051" t="s">
        <v>123</v>
      </c>
      <c r="B1183" s="1106" t="s">
        <v>1388</v>
      </c>
      <c r="C1183" s="1602" t="s">
        <v>126</v>
      </c>
      <c r="D1183" s="1603"/>
      <c r="E1183" s="1603"/>
      <c r="F1183" s="1603"/>
      <c r="G1183" s="131" t="s">
        <v>127</v>
      </c>
      <c r="H1183" s="101"/>
      <c r="I1183" s="101">
        <v>149628</v>
      </c>
      <c r="J1183" s="101">
        <v>149628</v>
      </c>
      <c r="K1183" s="102">
        <v>143928</v>
      </c>
      <c r="L1183" s="10"/>
    </row>
    <row r="1184" spans="1:12" s="146" customFormat="1" ht="18" x14ac:dyDescent="0.25">
      <c r="A1184" s="1051" t="s">
        <v>123</v>
      </c>
      <c r="B1184" s="1106" t="s">
        <v>1388</v>
      </c>
      <c r="C1184" s="1602" t="s">
        <v>129</v>
      </c>
      <c r="D1184" s="1603"/>
      <c r="E1184" s="1603"/>
      <c r="F1184" s="1603"/>
      <c r="G1184" s="132" t="s">
        <v>130</v>
      </c>
      <c r="H1184" s="101"/>
      <c r="I1184" s="101">
        <v>144000</v>
      </c>
      <c r="J1184" s="101">
        <v>144000</v>
      </c>
      <c r="K1184" s="102">
        <v>144000</v>
      </c>
      <c r="L1184" s="10"/>
    </row>
    <row r="1185" spans="1:12" s="146" customFormat="1" ht="18" x14ac:dyDescent="0.25">
      <c r="A1185" s="1051" t="s">
        <v>123</v>
      </c>
      <c r="B1185" s="1106" t="s">
        <v>1388</v>
      </c>
      <c r="C1185" s="1602" t="s">
        <v>131</v>
      </c>
      <c r="D1185" s="1603"/>
      <c r="E1185" s="1603"/>
      <c r="F1185" s="1603"/>
      <c r="G1185" s="131" t="s">
        <v>132</v>
      </c>
      <c r="H1185" s="101"/>
      <c r="I1185" s="101">
        <v>72000</v>
      </c>
      <c r="J1185" s="101">
        <v>72000</v>
      </c>
      <c r="K1185" s="102">
        <v>72000</v>
      </c>
      <c r="L1185" s="10"/>
    </row>
    <row r="1186" spans="1:12" s="146" customFormat="1" ht="18" x14ac:dyDescent="0.25">
      <c r="A1186" s="1051" t="s">
        <v>123</v>
      </c>
      <c r="B1186" s="1106" t="s">
        <v>1388</v>
      </c>
      <c r="C1186" s="1602" t="s">
        <v>133</v>
      </c>
      <c r="D1186" s="1603"/>
      <c r="E1186" s="1603"/>
      <c r="F1186" s="1603"/>
      <c r="G1186" s="131" t="s">
        <v>134</v>
      </c>
      <c r="H1186" s="101"/>
      <c r="I1186" s="101">
        <v>72000</v>
      </c>
      <c r="J1186" s="101">
        <v>72000</v>
      </c>
      <c r="K1186" s="102">
        <v>72000</v>
      </c>
      <c r="L1186" s="10"/>
    </row>
    <row r="1187" spans="1:12" s="146" customFormat="1" ht="18" x14ac:dyDescent="0.25">
      <c r="A1187" s="1051" t="s">
        <v>123</v>
      </c>
      <c r="B1187" s="1106" t="s">
        <v>1388</v>
      </c>
      <c r="C1187" s="1611" t="s">
        <v>135</v>
      </c>
      <c r="D1187" s="1611"/>
      <c r="E1187" s="1611"/>
      <c r="F1187" s="1602"/>
      <c r="G1187" s="131" t="s">
        <v>136</v>
      </c>
      <c r="H1187" s="102"/>
      <c r="I1187" s="102">
        <v>70035.53</v>
      </c>
      <c r="J1187" s="102">
        <v>70035.53</v>
      </c>
      <c r="K1187" s="102">
        <v>70035.53</v>
      </c>
      <c r="L1187" s="10"/>
    </row>
    <row r="1188" spans="1:12" s="146" customFormat="1" ht="18" x14ac:dyDescent="0.25">
      <c r="A1188" s="1051" t="s">
        <v>123</v>
      </c>
      <c r="B1188" s="1106" t="s">
        <v>1388</v>
      </c>
      <c r="C1188" s="1602" t="s">
        <v>137</v>
      </c>
      <c r="D1188" s="1603"/>
      <c r="E1188" s="1603"/>
      <c r="F1188" s="1603"/>
      <c r="G1188" s="131" t="s">
        <v>138</v>
      </c>
      <c r="H1188" s="101"/>
      <c r="I1188" s="101">
        <v>36000</v>
      </c>
      <c r="J1188" s="101">
        <v>36000</v>
      </c>
      <c r="K1188" s="102">
        <v>36000</v>
      </c>
      <c r="L1188" s="10"/>
    </row>
    <row r="1189" spans="1:12" s="146" customFormat="1" ht="18" customHeight="1" x14ac:dyDescent="0.25">
      <c r="A1189" s="1051" t="s">
        <v>123</v>
      </c>
      <c r="B1189" s="1106" t="s">
        <v>1388</v>
      </c>
      <c r="C1189" s="1602" t="s">
        <v>1541</v>
      </c>
      <c r="D1189" s="1603"/>
      <c r="E1189" s="1603"/>
      <c r="F1189" s="1603"/>
      <c r="G1189" s="131" t="s">
        <v>140</v>
      </c>
      <c r="H1189" s="101"/>
      <c r="I1189" s="101">
        <v>172371</v>
      </c>
      <c r="J1189" s="101">
        <v>172371</v>
      </c>
      <c r="K1189" s="102">
        <v>166725</v>
      </c>
      <c r="L1189" s="10"/>
    </row>
    <row r="1190" spans="1:12" s="146" customFormat="1" ht="18" x14ac:dyDescent="0.25">
      <c r="A1190" s="1051" t="s">
        <v>123</v>
      </c>
      <c r="B1190" s="1106" t="s">
        <v>1388</v>
      </c>
      <c r="C1190" s="1602" t="s">
        <v>141</v>
      </c>
      <c r="D1190" s="1603"/>
      <c r="E1190" s="1603"/>
      <c r="F1190" s="1603"/>
      <c r="G1190" s="131" t="s">
        <v>142</v>
      </c>
      <c r="H1190" s="101"/>
      <c r="I1190" s="101">
        <v>172371</v>
      </c>
      <c r="J1190" s="101">
        <v>172371</v>
      </c>
      <c r="K1190" s="102">
        <v>166725</v>
      </c>
      <c r="L1190" s="10"/>
    </row>
    <row r="1191" spans="1:12" s="146" customFormat="1" ht="18" x14ac:dyDescent="0.25">
      <c r="A1191" s="1051" t="s">
        <v>123</v>
      </c>
      <c r="B1191" s="1106" t="s">
        <v>1388</v>
      </c>
      <c r="C1191" s="1602" t="s">
        <v>1542</v>
      </c>
      <c r="D1191" s="1603"/>
      <c r="E1191" s="1603"/>
      <c r="F1191" s="1603"/>
      <c r="G1191" s="131"/>
      <c r="H1191" s="101"/>
      <c r="I1191" s="101"/>
      <c r="J1191" s="101"/>
      <c r="K1191" s="102"/>
      <c r="L1191" s="10"/>
    </row>
    <row r="1192" spans="1:12" s="146" customFormat="1" ht="18" x14ac:dyDescent="0.25">
      <c r="A1192" s="1051" t="s">
        <v>123</v>
      </c>
      <c r="B1192" s="1106" t="s">
        <v>1388</v>
      </c>
      <c r="C1192" s="1602" t="s">
        <v>143</v>
      </c>
      <c r="D1192" s="1603"/>
      <c r="E1192" s="1603"/>
      <c r="F1192" s="1603"/>
      <c r="G1192" s="131" t="s">
        <v>144</v>
      </c>
      <c r="H1192" s="101"/>
      <c r="I1192" s="101">
        <v>30000</v>
      </c>
      <c r="J1192" s="101">
        <v>30000</v>
      </c>
      <c r="K1192" s="102">
        <v>30000</v>
      </c>
      <c r="L1192" s="10"/>
    </row>
    <row r="1193" spans="1:12" s="146" customFormat="1" ht="18" x14ac:dyDescent="0.25">
      <c r="A1193" s="1051" t="s">
        <v>123</v>
      </c>
      <c r="B1193" s="1106" t="s">
        <v>1388</v>
      </c>
      <c r="C1193" s="1602" t="s">
        <v>1543</v>
      </c>
      <c r="D1193" s="1603"/>
      <c r="E1193" s="1603"/>
      <c r="F1193" s="1603"/>
      <c r="G1193" s="131" t="s">
        <v>146</v>
      </c>
      <c r="H1193" s="101"/>
      <c r="I1193" s="101">
        <v>30000</v>
      </c>
      <c r="J1193" s="101">
        <v>30000</v>
      </c>
      <c r="K1193" s="102">
        <v>30000</v>
      </c>
      <c r="L1193" s="10"/>
    </row>
    <row r="1194" spans="1:12" s="146" customFormat="1" ht="18" x14ac:dyDescent="0.25">
      <c r="A1194" s="1051" t="s">
        <v>123</v>
      </c>
      <c r="B1194" s="1106" t="s">
        <v>1388</v>
      </c>
      <c r="C1194" s="1062" t="s">
        <v>147</v>
      </c>
      <c r="D1194" s="1041"/>
      <c r="E1194" s="1041"/>
      <c r="F1194" s="1039"/>
      <c r="G1194" s="131" t="s">
        <v>148</v>
      </c>
      <c r="H1194" s="101"/>
      <c r="I1194" s="101"/>
      <c r="J1194" s="101"/>
      <c r="K1194" s="102"/>
      <c r="L1194" s="10"/>
    </row>
    <row r="1195" spans="1:12" s="146" customFormat="1" ht="18" x14ac:dyDescent="0.25">
      <c r="A1195" s="1051" t="s">
        <v>123</v>
      </c>
      <c r="B1195" s="1106" t="s">
        <v>1388</v>
      </c>
      <c r="C1195" s="1045" t="s">
        <v>149</v>
      </c>
      <c r="D1195" s="1041"/>
      <c r="E1195" s="1041"/>
      <c r="F1195" s="1039"/>
      <c r="G1195" s="131" t="s">
        <v>150</v>
      </c>
      <c r="H1195" s="101"/>
      <c r="I1195" s="101"/>
      <c r="J1195" s="101"/>
      <c r="K1195" s="102"/>
      <c r="L1195" s="10"/>
    </row>
    <row r="1196" spans="1:12" s="146" customFormat="1" ht="18" x14ac:dyDescent="0.25">
      <c r="A1196" s="1051" t="s">
        <v>123</v>
      </c>
      <c r="B1196" s="1106" t="s">
        <v>1388</v>
      </c>
      <c r="C1196" s="1602" t="s">
        <v>1544</v>
      </c>
      <c r="D1196" s="1603"/>
      <c r="E1196" s="1603"/>
      <c r="F1196" s="1603"/>
      <c r="G1196" s="131" t="s">
        <v>148</v>
      </c>
      <c r="H1196" s="101"/>
      <c r="I1196" s="101"/>
      <c r="J1196" s="101"/>
      <c r="K1196" s="102"/>
      <c r="L1196" s="10"/>
    </row>
    <row r="1197" spans="1:12" s="146" customFormat="1" ht="18" x14ac:dyDescent="0.25">
      <c r="A1197" s="1051" t="s">
        <v>123</v>
      </c>
      <c r="B1197" s="1106" t="s">
        <v>1388</v>
      </c>
      <c r="C1197" s="1602" t="s">
        <v>1545</v>
      </c>
      <c r="D1197" s="1603"/>
      <c r="E1197" s="1603"/>
      <c r="F1197" s="1603"/>
      <c r="G1197" s="131" t="s">
        <v>154</v>
      </c>
      <c r="H1197" s="101"/>
      <c r="I1197" s="101">
        <v>246847.68</v>
      </c>
      <c r="J1197" s="101">
        <v>246847.68</v>
      </c>
      <c r="K1197" s="102">
        <v>239401.44</v>
      </c>
      <c r="L1197" s="10"/>
    </row>
    <row r="1198" spans="1:12" s="146" customFormat="1" ht="18" x14ac:dyDescent="0.25">
      <c r="A1198" s="1051" t="s">
        <v>123</v>
      </c>
      <c r="B1198" s="1106" t="s">
        <v>1388</v>
      </c>
      <c r="C1198" s="1602" t="s">
        <v>155</v>
      </c>
      <c r="D1198" s="1603"/>
      <c r="E1198" s="1603"/>
      <c r="F1198" s="1603"/>
      <c r="G1198" s="131" t="s">
        <v>156</v>
      </c>
      <c r="H1198" s="101"/>
      <c r="I1198" s="101">
        <v>7200</v>
      </c>
      <c r="J1198" s="101">
        <v>7200</v>
      </c>
      <c r="K1198" s="102">
        <v>7200</v>
      </c>
      <c r="L1198" s="10"/>
    </row>
    <row r="1199" spans="1:12" s="146" customFormat="1" ht="18" x14ac:dyDescent="0.25">
      <c r="A1199" s="1051" t="s">
        <v>123</v>
      </c>
      <c r="B1199" s="1106" t="s">
        <v>1388</v>
      </c>
      <c r="C1199" s="1602" t="s">
        <v>157</v>
      </c>
      <c r="D1199" s="1603"/>
      <c r="E1199" s="1603"/>
      <c r="F1199" s="1603"/>
      <c r="G1199" s="131" t="s">
        <v>158</v>
      </c>
      <c r="H1199" s="101"/>
      <c r="I1199" s="101">
        <v>46540.17</v>
      </c>
      <c r="J1199" s="101">
        <v>46540.17</v>
      </c>
      <c r="K1199" s="102">
        <v>45015.75</v>
      </c>
      <c r="L1199" s="10"/>
    </row>
    <row r="1200" spans="1:12" s="146" customFormat="1" ht="18" x14ac:dyDescent="0.25">
      <c r="A1200" s="1051" t="s">
        <v>123</v>
      </c>
      <c r="B1200" s="1106" t="s">
        <v>1388</v>
      </c>
      <c r="C1200" s="1602" t="s">
        <v>1546</v>
      </c>
      <c r="D1200" s="1603"/>
      <c r="E1200" s="1603"/>
      <c r="F1200" s="1603"/>
      <c r="G1200" s="131" t="s">
        <v>160</v>
      </c>
      <c r="H1200" s="101"/>
      <c r="I1200" s="101">
        <v>7200</v>
      </c>
      <c r="J1200" s="101">
        <v>7200</v>
      </c>
      <c r="K1200" s="102">
        <v>7200</v>
      </c>
      <c r="L1200" s="10"/>
    </row>
    <row r="1201" spans="1:12" s="229" customFormat="1" ht="18" customHeight="1" x14ac:dyDescent="0.25">
      <c r="A1201" s="154" t="s">
        <v>163</v>
      </c>
      <c r="B1201" s="1106" t="s">
        <v>1388</v>
      </c>
      <c r="C1201" s="44" t="s">
        <v>353</v>
      </c>
      <c r="D1201" s="125"/>
      <c r="E1201" s="125"/>
      <c r="F1201" s="134"/>
      <c r="G1201" s="131" t="s">
        <v>165</v>
      </c>
      <c r="H1201" s="101"/>
      <c r="I1201" s="101">
        <v>115800</v>
      </c>
      <c r="J1201" s="101">
        <v>115800</v>
      </c>
      <c r="K1201" s="102">
        <v>115800</v>
      </c>
      <c r="L1201" s="207"/>
    </row>
    <row r="1202" spans="1:12" s="229" customFormat="1" ht="18" customHeight="1" x14ac:dyDescent="0.25">
      <c r="A1202" s="154" t="s">
        <v>163</v>
      </c>
      <c r="B1202" s="1106" t="s">
        <v>1388</v>
      </c>
      <c r="C1202" s="44" t="s">
        <v>166</v>
      </c>
      <c r="D1202" s="125"/>
      <c r="E1202" s="125"/>
      <c r="F1202" s="134"/>
      <c r="G1202" s="131"/>
      <c r="H1202" s="101"/>
      <c r="I1202" s="101"/>
      <c r="J1202" s="101"/>
      <c r="K1202" s="102">
        <v>50000</v>
      </c>
      <c r="L1202" s="207"/>
    </row>
    <row r="1203" spans="1:12" s="229" customFormat="1" ht="18" customHeight="1" x14ac:dyDescent="0.25">
      <c r="A1203" s="154" t="s">
        <v>163</v>
      </c>
      <c r="B1203" s="1106" t="s">
        <v>1388</v>
      </c>
      <c r="C1203" s="44" t="s">
        <v>555</v>
      </c>
      <c r="D1203" s="125"/>
      <c r="E1203" s="125"/>
      <c r="F1203" s="134"/>
      <c r="G1203" s="131" t="s">
        <v>169</v>
      </c>
      <c r="H1203" s="101"/>
      <c r="I1203" s="101">
        <v>179814</v>
      </c>
      <c r="J1203" s="101">
        <v>179814</v>
      </c>
      <c r="K1203" s="102">
        <v>179814</v>
      </c>
      <c r="L1203" s="207"/>
    </row>
    <row r="1204" spans="1:12" s="229" customFormat="1" ht="18" customHeight="1" x14ac:dyDescent="0.25">
      <c r="A1204" s="154" t="s">
        <v>163</v>
      </c>
      <c r="B1204" s="1106" t="s">
        <v>1388</v>
      </c>
      <c r="C1204" s="44" t="s">
        <v>213</v>
      </c>
      <c r="D1204" s="125"/>
      <c r="E1204" s="125"/>
      <c r="F1204" s="134"/>
      <c r="G1204" s="131" t="s">
        <v>171</v>
      </c>
      <c r="H1204" s="101"/>
      <c r="I1204" s="101">
        <v>164420</v>
      </c>
      <c r="J1204" s="101">
        <v>164420</v>
      </c>
      <c r="K1204" s="102">
        <v>164420</v>
      </c>
      <c r="L1204" s="207"/>
    </row>
    <row r="1205" spans="1:12" s="229" customFormat="1" ht="18" customHeight="1" x14ac:dyDescent="0.25">
      <c r="A1205" s="154" t="s">
        <v>163</v>
      </c>
      <c r="B1205" s="1106" t="s">
        <v>1388</v>
      </c>
      <c r="C1205" s="44" t="s">
        <v>176</v>
      </c>
      <c r="D1205" s="125"/>
      <c r="E1205" s="125"/>
      <c r="F1205" s="134"/>
      <c r="G1205" s="131" t="s">
        <v>177</v>
      </c>
      <c r="H1205" s="101"/>
      <c r="I1205" s="101">
        <v>7800</v>
      </c>
      <c r="J1205" s="101">
        <v>7800</v>
      </c>
      <c r="K1205" s="102">
        <v>7800</v>
      </c>
      <c r="L1205" s="207"/>
    </row>
    <row r="1206" spans="1:12" s="229" customFormat="1" ht="18" customHeight="1" x14ac:dyDescent="0.25">
      <c r="A1206" s="154" t="s">
        <v>163</v>
      </c>
      <c r="B1206" s="1106" t="s">
        <v>1388</v>
      </c>
      <c r="C1206" s="44" t="s">
        <v>567</v>
      </c>
      <c r="D1206" s="125"/>
      <c r="E1206" s="125"/>
      <c r="F1206" s="134"/>
      <c r="G1206" s="131" t="s">
        <v>179</v>
      </c>
      <c r="H1206" s="102"/>
      <c r="I1206" s="102">
        <v>60000</v>
      </c>
      <c r="J1206" s="102">
        <v>60000</v>
      </c>
      <c r="K1206" s="102">
        <v>60000</v>
      </c>
      <c r="L1206" s="207"/>
    </row>
    <row r="1207" spans="1:12" s="229" customFormat="1" ht="18" customHeight="1" x14ac:dyDescent="0.25">
      <c r="A1207" s="154" t="s">
        <v>163</v>
      </c>
      <c r="B1207" s="1106" t="s">
        <v>1388</v>
      </c>
      <c r="C1207" s="44" t="s">
        <v>178</v>
      </c>
      <c r="D1207" s="125"/>
      <c r="E1207" s="125"/>
      <c r="F1207" s="134"/>
      <c r="G1207" s="131" t="s">
        <v>179</v>
      </c>
      <c r="H1207" s="101"/>
      <c r="I1207" s="101">
        <v>42000</v>
      </c>
      <c r="J1207" s="101">
        <v>42000</v>
      </c>
      <c r="K1207" s="102">
        <v>42000</v>
      </c>
      <c r="L1207" s="207"/>
    </row>
    <row r="1208" spans="1:12" s="229" customFormat="1" ht="18" customHeight="1" x14ac:dyDescent="0.25">
      <c r="A1208" s="154" t="s">
        <v>163</v>
      </c>
      <c r="B1208" s="1106" t="s">
        <v>1388</v>
      </c>
      <c r="C1208" s="44" t="s">
        <v>186</v>
      </c>
      <c r="D1208" s="125"/>
      <c r="E1208" s="125"/>
      <c r="F1208" s="134"/>
      <c r="G1208" s="131"/>
      <c r="H1208" s="101"/>
      <c r="I1208" s="101">
        <f>75000+12000</f>
        <v>87000</v>
      </c>
      <c r="J1208" s="101">
        <f>75000+12000</f>
        <v>87000</v>
      </c>
      <c r="K1208" s="102">
        <f>75000+12000+28000</f>
        <v>115000</v>
      </c>
      <c r="L1208" s="207"/>
    </row>
    <row r="1209" spans="1:12" s="229" customFormat="1" ht="18" customHeight="1" x14ac:dyDescent="0.25">
      <c r="A1209" s="154" t="s">
        <v>163</v>
      </c>
      <c r="B1209" s="1106" t="s">
        <v>1388</v>
      </c>
      <c r="C1209" s="44" t="s">
        <v>457</v>
      </c>
      <c r="D1209" s="125"/>
      <c r="E1209" s="125"/>
      <c r="F1209" s="134"/>
      <c r="G1209" s="131" t="s">
        <v>199</v>
      </c>
      <c r="H1209" s="101"/>
      <c r="I1209" s="101">
        <v>7000</v>
      </c>
      <c r="J1209" s="101">
        <v>7000</v>
      </c>
      <c r="K1209" s="102"/>
      <c r="L1209" s="207"/>
    </row>
    <row r="1210" spans="1:12" s="229" customFormat="1" ht="18" customHeight="1" x14ac:dyDescent="0.25">
      <c r="A1210" s="154" t="s">
        <v>163</v>
      </c>
      <c r="B1210" s="1106" t="s">
        <v>1388</v>
      </c>
      <c r="C1210" s="44" t="s">
        <v>198</v>
      </c>
      <c r="D1210" s="125"/>
      <c r="E1210" s="125"/>
      <c r="F1210" s="134"/>
      <c r="G1210" s="131" t="s">
        <v>199</v>
      </c>
      <c r="H1210" s="101"/>
      <c r="I1210" s="101">
        <v>1214740.3500000001</v>
      </c>
      <c r="J1210" s="101">
        <v>1214740.3500000001</v>
      </c>
      <c r="K1210" s="102">
        <v>1214740.3500000001</v>
      </c>
      <c r="L1210" s="207"/>
    </row>
    <row r="1211" spans="1:12" s="229" customFormat="1" ht="36" customHeight="1" x14ac:dyDescent="0.25">
      <c r="A1211" s="154" t="s">
        <v>2019</v>
      </c>
      <c r="B1211" s="1106" t="s">
        <v>1388</v>
      </c>
      <c r="C1211" s="1628" t="s">
        <v>1720</v>
      </c>
      <c r="D1211" s="1628"/>
      <c r="E1211" s="125"/>
      <c r="F1211" s="134"/>
      <c r="G1211" s="131"/>
      <c r="H1211" s="101"/>
      <c r="I1211" s="101"/>
      <c r="J1211" s="101"/>
      <c r="K1211" s="102">
        <v>100000</v>
      </c>
      <c r="L1211" s="207"/>
    </row>
    <row r="1212" spans="1:12" s="146" customFormat="1" ht="18" x14ac:dyDescent="0.25">
      <c r="A1212" s="1051" t="s">
        <v>123</v>
      </c>
      <c r="B1212" s="1106" t="s">
        <v>1388</v>
      </c>
      <c r="C1212" s="1602" t="s">
        <v>124</v>
      </c>
      <c r="D1212" s="1603"/>
      <c r="E1212" s="1603"/>
      <c r="F1212" s="1603"/>
      <c r="G1212" s="100" t="s">
        <v>125</v>
      </c>
      <c r="H1212" s="101"/>
      <c r="I1212" s="101">
        <v>3285960</v>
      </c>
      <c r="J1212" s="101">
        <v>3285960</v>
      </c>
      <c r="K1212" s="102">
        <f>3160656+178</f>
        <v>3160834</v>
      </c>
      <c r="L1212" s="10"/>
    </row>
    <row r="1213" spans="1:12" s="146" customFormat="1" ht="18" x14ac:dyDescent="0.25">
      <c r="A1213" s="1105" t="s">
        <v>123</v>
      </c>
      <c r="B1213" s="1106" t="s">
        <v>1388</v>
      </c>
      <c r="C1213" s="1602" t="s">
        <v>126</v>
      </c>
      <c r="D1213" s="1603"/>
      <c r="E1213" s="1603"/>
      <c r="F1213" s="1603"/>
      <c r="G1213" s="100" t="s">
        <v>127</v>
      </c>
      <c r="H1213" s="101"/>
      <c r="I1213" s="101">
        <v>845424</v>
      </c>
      <c r="J1213" s="101">
        <v>845424</v>
      </c>
      <c r="K1213" s="102">
        <v>813600</v>
      </c>
      <c r="L1213" s="10"/>
    </row>
    <row r="1214" spans="1:12" s="146" customFormat="1" ht="18" x14ac:dyDescent="0.25">
      <c r="A1214" s="1105" t="s">
        <v>123</v>
      </c>
      <c r="B1214" s="1106" t="s">
        <v>1388</v>
      </c>
      <c r="C1214" s="1602" t="s">
        <v>129</v>
      </c>
      <c r="D1214" s="1603"/>
      <c r="E1214" s="1603"/>
      <c r="F1214" s="1603"/>
      <c r="G1214" s="103" t="s">
        <v>130</v>
      </c>
      <c r="H1214" s="101"/>
      <c r="I1214" s="101">
        <v>576000</v>
      </c>
      <c r="J1214" s="101">
        <v>576000</v>
      </c>
      <c r="K1214" s="102">
        <v>576000</v>
      </c>
      <c r="L1214" s="10"/>
    </row>
    <row r="1215" spans="1:12" s="146" customFormat="1" ht="18" x14ac:dyDescent="0.25">
      <c r="A1215" s="1105" t="s">
        <v>123</v>
      </c>
      <c r="B1215" s="1106" t="s">
        <v>1388</v>
      </c>
      <c r="C1215" s="1602" t="s">
        <v>135</v>
      </c>
      <c r="D1215" s="1603"/>
      <c r="E1215" s="1603"/>
      <c r="F1215" s="1603"/>
      <c r="G1215" s="100" t="s">
        <v>136</v>
      </c>
      <c r="H1215" s="101"/>
      <c r="I1215" s="101">
        <v>662351.80000000005</v>
      </c>
      <c r="J1215" s="101">
        <v>662351.80000000005</v>
      </c>
      <c r="K1215" s="102">
        <v>662351.80000000005</v>
      </c>
      <c r="L1215" s="10"/>
    </row>
    <row r="1216" spans="1:12" s="146" customFormat="1" ht="18" x14ac:dyDescent="0.25">
      <c r="A1216" s="1105" t="s">
        <v>123</v>
      </c>
      <c r="B1216" s="1106" t="s">
        <v>1388</v>
      </c>
      <c r="C1216" s="1602" t="s">
        <v>137</v>
      </c>
      <c r="D1216" s="1603"/>
      <c r="E1216" s="1603"/>
      <c r="F1216" s="1603"/>
      <c r="G1216" s="100" t="s">
        <v>138</v>
      </c>
      <c r="H1216" s="101"/>
      <c r="I1216" s="101">
        <v>144000</v>
      </c>
      <c r="J1216" s="101">
        <v>144000</v>
      </c>
      <c r="K1216" s="102">
        <v>144000</v>
      </c>
      <c r="L1216" s="10"/>
    </row>
    <row r="1217" spans="1:12" s="146" customFormat="1" ht="18" customHeight="1" x14ac:dyDescent="0.25">
      <c r="A1217" s="1105" t="s">
        <v>123</v>
      </c>
      <c r="B1217" s="1106" t="s">
        <v>1388</v>
      </c>
      <c r="C1217" s="1602" t="s">
        <v>1541</v>
      </c>
      <c r="D1217" s="1603"/>
      <c r="E1217" s="1603"/>
      <c r="F1217" s="1603"/>
      <c r="G1217" s="100" t="s">
        <v>140</v>
      </c>
      <c r="H1217" s="101"/>
      <c r="I1217" s="101">
        <v>344282</v>
      </c>
      <c r="J1217" s="101">
        <v>344282</v>
      </c>
      <c r="K1217" s="102">
        <v>331188</v>
      </c>
      <c r="L1217" s="10"/>
    </row>
    <row r="1218" spans="1:12" s="146" customFormat="1" ht="18" x14ac:dyDescent="0.25">
      <c r="A1218" s="1105" t="s">
        <v>123</v>
      </c>
      <c r="B1218" s="1106" t="s">
        <v>1388</v>
      </c>
      <c r="C1218" s="1602" t="s">
        <v>141</v>
      </c>
      <c r="D1218" s="1603"/>
      <c r="E1218" s="1603"/>
      <c r="F1218" s="1603"/>
      <c r="G1218" s="100" t="s">
        <v>142</v>
      </c>
      <c r="H1218" s="101"/>
      <c r="I1218" s="101">
        <v>344282</v>
      </c>
      <c r="J1218" s="101">
        <v>344282</v>
      </c>
      <c r="K1218" s="102">
        <v>331277</v>
      </c>
      <c r="L1218" s="10"/>
    </row>
    <row r="1219" spans="1:12" s="146" customFormat="1" ht="18" x14ac:dyDescent="0.25">
      <c r="A1219" s="1105" t="s">
        <v>123</v>
      </c>
      <c r="B1219" s="1106" t="s">
        <v>1388</v>
      </c>
      <c r="C1219" s="1602" t="s">
        <v>1542</v>
      </c>
      <c r="D1219" s="1603"/>
      <c r="E1219" s="1603"/>
      <c r="F1219" s="1603"/>
      <c r="G1219" s="100"/>
      <c r="H1219" s="101"/>
      <c r="I1219" s="101"/>
      <c r="J1219" s="101"/>
      <c r="K1219" s="102"/>
      <c r="L1219" s="10"/>
    </row>
    <row r="1220" spans="1:12" s="146" customFormat="1" ht="18" x14ac:dyDescent="0.25">
      <c r="A1220" s="1105" t="s">
        <v>123</v>
      </c>
      <c r="B1220" s="1106" t="s">
        <v>1388</v>
      </c>
      <c r="C1220" s="1602" t="s">
        <v>143</v>
      </c>
      <c r="D1220" s="1603"/>
      <c r="E1220" s="1603"/>
      <c r="F1220" s="1603"/>
      <c r="G1220" s="100" t="s">
        <v>144</v>
      </c>
      <c r="H1220" s="101"/>
      <c r="I1220" s="101">
        <v>120000</v>
      </c>
      <c r="J1220" s="101">
        <v>120000</v>
      </c>
      <c r="K1220" s="102">
        <v>120000</v>
      </c>
      <c r="L1220" s="10"/>
    </row>
    <row r="1221" spans="1:12" s="146" customFormat="1" ht="18" x14ac:dyDescent="0.25">
      <c r="A1221" s="1105" t="s">
        <v>123</v>
      </c>
      <c r="B1221" s="1106" t="s">
        <v>1388</v>
      </c>
      <c r="C1221" s="1602" t="s">
        <v>1543</v>
      </c>
      <c r="D1221" s="1603"/>
      <c r="E1221" s="1603"/>
      <c r="F1221" s="1603"/>
      <c r="G1221" s="100" t="s">
        <v>146</v>
      </c>
      <c r="H1221" s="101"/>
      <c r="I1221" s="101">
        <v>120000</v>
      </c>
      <c r="J1221" s="101">
        <v>120000</v>
      </c>
      <c r="K1221" s="102">
        <v>120000</v>
      </c>
      <c r="L1221" s="10"/>
    </row>
    <row r="1222" spans="1:12" s="146" customFormat="1" ht="18" x14ac:dyDescent="0.25">
      <c r="A1222" s="1105" t="s">
        <v>123</v>
      </c>
      <c r="B1222" s="1106" t="s">
        <v>1388</v>
      </c>
      <c r="C1222" s="1041" t="s">
        <v>1568</v>
      </c>
      <c r="D1222" s="1041"/>
      <c r="E1222" s="1041"/>
      <c r="F1222" s="1039"/>
      <c r="G1222" s="100"/>
      <c r="H1222" s="101"/>
      <c r="I1222" s="101"/>
      <c r="J1222" s="101"/>
      <c r="K1222" s="102">
        <v>15000</v>
      </c>
      <c r="L1222" s="10"/>
    </row>
    <row r="1223" spans="1:12" s="146" customFormat="1" ht="18" x14ac:dyDescent="0.25">
      <c r="A1223" s="1105" t="s">
        <v>123</v>
      </c>
      <c r="B1223" s="1106" t="s">
        <v>1388</v>
      </c>
      <c r="C1223" s="1045" t="s">
        <v>149</v>
      </c>
      <c r="D1223" s="1041"/>
      <c r="E1223" s="1041"/>
      <c r="F1223" s="1039"/>
      <c r="G1223" s="100" t="s">
        <v>150</v>
      </c>
      <c r="H1223" s="101"/>
      <c r="I1223" s="101"/>
      <c r="J1223" s="101"/>
      <c r="K1223" s="102"/>
      <c r="L1223" s="10"/>
    </row>
    <row r="1224" spans="1:12" s="146" customFormat="1" ht="18" x14ac:dyDescent="0.25">
      <c r="A1224" s="1105" t="s">
        <v>123</v>
      </c>
      <c r="B1224" s="1106" t="s">
        <v>1388</v>
      </c>
      <c r="C1224" s="1602" t="s">
        <v>1544</v>
      </c>
      <c r="D1224" s="1603"/>
      <c r="E1224" s="1603"/>
      <c r="F1224" s="1603"/>
      <c r="G1224" s="100" t="s">
        <v>148</v>
      </c>
      <c r="H1224" s="101"/>
      <c r="I1224" s="101"/>
      <c r="J1224" s="101"/>
      <c r="K1224" s="102"/>
      <c r="L1224" s="10"/>
    </row>
    <row r="1225" spans="1:12" s="146" customFormat="1" ht="18" x14ac:dyDescent="0.25">
      <c r="A1225" s="1105" t="s">
        <v>123</v>
      </c>
      <c r="B1225" s="1106" t="s">
        <v>1388</v>
      </c>
      <c r="C1225" s="1045" t="s">
        <v>1568</v>
      </c>
      <c r="D1225" s="1041"/>
      <c r="E1225" s="1041"/>
      <c r="F1225" s="1039"/>
      <c r="G1225" s="100" t="s">
        <v>232</v>
      </c>
      <c r="H1225" s="101"/>
      <c r="I1225" s="101"/>
      <c r="J1225" s="101"/>
      <c r="K1225" s="102"/>
      <c r="L1225" s="10"/>
    </row>
    <row r="1226" spans="1:12" s="146" customFormat="1" ht="18" x14ac:dyDescent="0.25">
      <c r="A1226" s="1105" t="s">
        <v>123</v>
      </c>
      <c r="B1226" s="1106" t="s">
        <v>1388</v>
      </c>
      <c r="C1226" s="1062" t="s">
        <v>147</v>
      </c>
      <c r="D1226" s="1041"/>
      <c r="E1226" s="1041"/>
      <c r="F1226" s="1039"/>
      <c r="G1226" s="100" t="s">
        <v>148</v>
      </c>
      <c r="H1226" s="101"/>
      <c r="I1226" s="101"/>
      <c r="J1226" s="101"/>
      <c r="K1226" s="102"/>
      <c r="L1226" s="10"/>
    </row>
    <row r="1227" spans="1:12" s="146" customFormat="1" ht="18" x14ac:dyDescent="0.25">
      <c r="A1227" s="1105" t="s">
        <v>123</v>
      </c>
      <c r="B1227" s="1106" t="s">
        <v>1388</v>
      </c>
      <c r="C1227" s="1611" t="s">
        <v>1545</v>
      </c>
      <c r="D1227" s="1611"/>
      <c r="E1227" s="1611"/>
      <c r="F1227" s="1602"/>
      <c r="G1227" s="100" t="s">
        <v>154</v>
      </c>
      <c r="H1227" s="101"/>
      <c r="I1227" s="101">
        <v>495766.08</v>
      </c>
      <c r="J1227" s="101">
        <v>495766.08</v>
      </c>
      <c r="K1227" s="102">
        <v>476932.08</v>
      </c>
      <c r="L1227" s="10"/>
    </row>
    <row r="1228" spans="1:12" s="146" customFormat="1" ht="18" x14ac:dyDescent="0.25">
      <c r="A1228" s="1105" t="s">
        <v>123</v>
      </c>
      <c r="B1228" s="1106" t="s">
        <v>1388</v>
      </c>
      <c r="C1228" s="1611" t="s">
        <v>155</v>
      </c>
      <c r="D1228" s="1611"/>
      <c r="E1228" s="1611"/>
      <c r="F1228" s="1602"/>
      <c r="G1228" s="100" t="s">
        <v>156</v>
      </c>
      <c r="H1228" s="101"/>
      <c r="I1228" s="101">
        <v>28800</v>
      </c>
      <c r="J1228" s="101">
        <v>28800</v>
      </c>
      <c r="K1228" s="102">
        <v>28800</v>
      </c>
      <c r="L1228" s="10"/>
    </row>
    <row r="1229" spans="1:12" s="146" customFormat="1" ht="18" x14ac:dyDescent="0.25">
      <c r="A1229" s="1105" t="s">
        <v>123</v>
      </c>
      <c r="B1229" s="1106" t="s">
        <v>1388</v>
      </c>
      <c r="C1229" s="1611" t="s">
        <v>157</v>
      </c>
      <c r="D1229" s="1611"/>
      <c r="E1229" s="1611"/>
      <c r="F1229" s="1602"/>
      <c r="G1229" s="100" t="s">
        <v>158</v>
      </c>
      <c r="H1229" s="101"/>
      <c r="I1229" s="101">
        <v>92956.14</v>
      </c>
      <c r="J1229" s="101">
        <v>92956.14</v>
      </c>
      <c r="K1229" s="102">
        <v>89424.77</v>
      </c>
      <c r="L1229" s="10"/>
    </row>
    <row r="1230" spans="1:12" s="146" customFormat="1" ht="18" x14ac:dyDescent="0.25">
      <c r="A1230" s="1105" t="s">
        <v>123</v>
      </c>
      <c r="B1230" s="1106" t="s">
        <v>1388</v>
      </c>
      <c r="C1230" s="1611" t="s">
        <v>1546</v>
      </c>
      <c r="D1230" s="1611"/>
      <c r="E1230" s="1611"/>
      <c r="F1230" s="1602"/>
      <c r="G1230" s="100" t="s">
        <v>160</v>
      </c>
      <c r="H1230" s="105"/>
      <c r="I1230" s="105">
        <v>28800</v>
      </c>
      <c r="J1230" s="105">
        <v>28800</v>
      </c>
      <c r="K1230" s="106">
        <v>28800</v>
      </c>
      <c r="L1230" s="10"/>
    </row>
    <row r="1231" spans="1:12" s="146" customFormat="1" ht="18" x14ac:dyDescent="0.25">
      <c r="A1231" s="1051"/>
      <c r="B1231" s="1041"/>
      <c r="C1231" s="1620" t="s">
        <v>161</v>
      </c>
      <c r="D1231" s="1620"/>
      <c r="E1231" s="1620"/>
      <c r="F1231" s="1621"/>
      <c r="G1231" s="376"/>
      <c r="H1231" s="119">
        <f>SUM(H1212:H1230)</f>
        <v>0</v>
      </c>
      <c r="I1231" s="119">
        <f>SUM(I1212:I1230)</f>
        <v>7088622.0199999996</v>
      </c>
      <c r="J1231" s="119">
        <f>SUM(J1212:J1230)</f>
        <v>7088622.0199999996</v>
      </c>
      <c r="K1231" s="150">
        <f>SUM(K1212:K1230)</f>
        <v>6898207.6499999994</v>
      </c>
      <c r="L1231" s="10"/>
    </row>
    <row r="1232" spans="1:12" s="146" customFormat="1" ht="18" x14ac:dyDescent="0.25">
      <c r="A1232" s="1051"/>
      <c r="B1232" s="1041"/>
      <c r="C1232" s="1047"/>
      <c r="D1232" s="1047"/>
      <c r="E1232" s="1047"/>
      <c r="F1232" s="1048"/>
      <c r="G1232" s="376"/>
      <c r="H1232" s="155"/>
      <c r="I1232" s="155"/>
      <c r="J1232" s="155"/>
      <c r="K1232" s="156"/>
      <c r="L1232" s="10"/>
    </row>
    <row r="1233" spans="1:12" s="146" customFormat="1" ht="18" x14ac:dyDescent="0.25">
      <c r="A1233" s="1071"/>
      <c r="B1233" s="1047"/>
      <c r="C1233" s="1620" t="s">
        <v>162</v>
      </c>
      <c r="D1233" s="1620"/>
      <c r="E1233" s="1620"/>
      <c r="F1233" s="1621"/>
      <c r="G1233" s="376"/>
      <c r="H1233" s="101"/>
      <c r="I1233" s="101"/>
      <c r="J1233" s="101"/>
      <c r="K1233" s="102"/>
      <c r="L1233" s="10"/>
    </row>
    <row r="1234" spans="1:12" s="194" customFormat="1" ht="18" x14ac:dyDescent="0.25">
      <c r="A1234" s="1051" t="s">
        <v>163</v>
      </c>
      <c r="B1234" s="1106" t="s">
        <v>1388</v>
      </c>
      <c r="C1234" s="1042" t="s">
        <v>353</v>
      </c>
      <c r="D1234" s="1041"/>
      <c r="E1234" s="1041"/>
      <c r="F1234" s="1039"/>
      <c r="G1234" s="376"/>
      <c r="H1234" s="101"/>
      <c r="I1234" s="101"/>
      <c r="J1234" s="101"/>
      <c r="K1234" s="102">
        <v>50000</v>
      </c>
      <c r="L1234" s="10"/>
    </row>
    <row r="1235" spans="1:12" s="194" customFormat="1" ht="18" x14ac:dyDescent="0.25">
      <c r="A1235" s="1105" t="s">
        <v>163</v>
      </c>
      <c r="B1235" s="1106" t="s">
        <v>1388</v>
      </c>
      <c r="C1235" s="1042" t="s">
        <v>166</v>
      </c>
      <c r="D1235" s="1041"/>
      <c r="E1235" s="1041"/>
      <c r="F1235" s="1039"/>
      <c r="G1235" s="376"/>
      <c r="H1235" s="101"/>
      <c r="I1235" s="101"/>
      <c r="J1235" s="101"/>
      <c r="K1235" s="102">
        <v>50000</v>
      </c>
      <c r="L1235" s="10"/>
    </row>
    <row r="1236" spans="1:12" s="229" customFormat="1" ht="18" customHeight="1" x14ac:dyDescent="0.25">
      <c r="A1236" s="1105" t="s">
        <v>163</v>
      </c>
      <c r="B1236" s="1106" t="s">
        <v>1388</v>
      </c>
      <c r="C1236" s="44" t="s">
        <v>168</v>
      </c>
      <c r="D1236" s="125"/>
      <c r="E1236" s="125"/>
      <c r="F1236" s="134"/>
      <c r="G1236" s="100" t="s">
        <v>169</v>
      </c>
      <c r="H1236" s="101"/>
      <c r="I1236" s="101">
        <v>95183.5</v>
      </c>
      <c r="J1236" s="101">
        <v>95183.5</v>
      </c>
      <c r="K1236" s="102">
        <v>95183.5</v>
      </c>
      <c r="L1236" s="207"/>
    </row>
    <row r="1237" spans="1:12" s="229" customFormat="1" ht="18" customHeight="1" x14ac:dyDescent="0.25">
      <c r="A1237" s="1105" t="s">
        <v>163</v>
      </c>
      <c r="B1237" s="1106" t="s">
        <v>1388</v>
      </c>
      <c r="C1237" s="44" t="s">
        <v>172</v>
      </c>
      <c r="D1237" s="125"/>
      <c r="E1237" s="125"/>
      <c r="F1237" s="134"/>
      <c r="G1237" s="100" t="s">
        <v>173</v>
      </c>
      <c r="H1237" s="101"/>
      <c r="I1237" s="101">
        <v>2507520</v>
      </c>
      <c r="J1237" s="101">
        <v>2507520</v>
      </c>
      <c r="K1237" s="102">
        <v>2507520</v>
      </c>
      <c r="L1237" s="207"/>
    </row>
    <row r="1238" spans="1:12" s="229" customFormat="1" ht="18" customHeight="1" x14ac:dyDescent="0.25">
      <c r="A1238" s="1105" t="s">
        <v>163</v>
      </c>
      <c r="B1238" s="1106" t="s">
        <v>1388</v>
      </c>
      <c r="C1238" s="44" t="s">
        <v>170</v>
      </c>
      <c r="D1238" s="125"/>
      <c r="E1238" s="125"/>
      <c r="F1238" s="1043"/>
      <c r="G1238" s="100" t="s">
        <v>171</v>
      </c>
      <c r="H1238" s="101"/>
      <c r="I1238" s="101">
        <v>3910200</v>
      </c>
      <c r="J1238" s="101">
        <v>2882415</v>
      </c>
      <c r="K1238" s="102">
        <v>2882415</v>
      </c>
      <c r="L1238" s="207"/>
    </row>
    <row r="1239" spans="1:12" s="229" customFormat="1" ht="18" customHeight="1" x14ac:dyDescent="0.25">
      <c r="A1239" s="1105" t="s">
        <v>163</v>
      </c>
      <c r="B1239" s="1106" t="s">
        <v>1388</v>
      </c>
      <c r="C1239" s="44" t="s">
        <v>384</v>
      </c>
      <c r="D1239" s="125"/>
      <c r="E1239" s="125"/>
      <c r="F1239" s="134"/>
      <c r="G1239" s="100" t="s">
        <v>385</v>
      </c>
      <c r="H1239" s="101"/>
      <c r="I1239" s="101">
        <v>3000000</v>
      </c>
      <c r="J1239" s="101">
        <v>3000000</v>
      </c>
      <c r="K1239" s="102">
        <v>3000000</v>
      </c>
      <c r="L1239" s="207"/>
    </row>
    <row r="1240" spans="1:12" s="229" customFormat="1" ht="18" customHeight="1" x14ac:dyDescent="0.25">
      <c r="A1240" s="1105" t="s">
        <v>163</v>
      </c>
      <c r="B1240" s="1106" t="s">
        <v>1388</v>
      </c>
      <c r="C1240" s="44" t="s">
        <v>178</v>
      </c>
      <c r="D1240" s="125"/>
      <c r="E1240" s="125"/>
      <c r="F1240" s="134"/>
      <c r="G1240" s="100"/>
      <c r="H1240" s="101"/>
      <c r="I1240" s="101">
        <v>30000</v>
      </c>
      <c r="J1240" s="101">
        <v>30000</v>
      </c>
      <c r="K1240" s="102">
        <v>30000</v>
      </c>
      <c r="L1240" s="207"/>
    </row>
    <row r="1241" spans="1:12" s="229" customFormat="1" ht="18" customHeight="1" x14ac:dyDescent="0.25">
      <c r="A1241" s="1105" t="s">
        <v>163</v>
      </c>
      <c r="B1241" s="1106" t="s">
        <v>1388</v>
      </c>
      <c r="C1241" s="44" t="s">
        <v>1981</v>
      </c>
      <c r="D1241" s="125"/>
      <c r="E1241" s="125"/>
      <c r="F1241" s="134"/>
      <c r="G1241" s="100" t="s">
        <v>308</v>
      </c>
      <c r="H1241" s="101"/>
      <c r="I1241" s="101">
        <v>1000000</v>
      </c>
      <c r="J1241" s="101">
        <v>1000000</v>
      </c>
      <c r="K1241" s="102">
        <v>1000000</v>
      </c>
      <c r="L1241" s="207"/>
    </row>
    <row r="1242" spans="1:12" s="229" customFormat="1" ht="18" customHeight="1" x14ac:dyDescent="0.25">
      <c r="A1242" s="1105" t="s">
        <v>163</v>
      </c>
      <c r="B1242" s="1106" t="s">
        <v>1388</v>
      </c>
      <c r="C1242" s="44" t="s">
        <v>186</v>
      </c>
      <c r="D1242" s="125"/>
      <c r="E1242" s="125"/>
      <c r="F1242" s="125"/>
      <c r="G1242" s="100" t="s">
        <v>187</v>
      </c>
      <c r="H1242" s="101"/>
      <c r="I1242" s="101">
        <v>100000</v>
      </c>
      <c r="J1242" s="101">
        <v>50000</v>
      </c>
      <c r="K1242" s="102">
        <v>50000</v>
      </c>
      <c r="L1242" s="207"/>
    </row>
    <row r="1243" spans="1:12" s="229" customFormat="1" ht="18" customHeight="1" x14ac:dyDescent="0.25">
      <c r="A1243" s="1105" t="s">
        <v>163</v>
      </c>
      <c r="B1243" s="1106" t="s">
        <v>1388</v>
      </c>
      <c r="C1243" s="44" t="s">
        <v>1518</v>
      </c>
      <c r="D1243" s="125"/>
      <c r="E1243" s="1042"/>
      <c r="F1243" s="1043"/>
      <c r="G1243" s="100" t="s">
        <v>189</v>
      </c>
      <c r="H1243" s="101"/>
      <c r="I1243" s="101">
        <v>200000</v>
      </c>
      <c r="J1243" s="101">
        <v>200000</v>
      </c>
      <c r="K1243" s="102">
        <v>200000</v>
      </c>
      <c r="L1243" s="207"/>
    </row>
    <row r="1244" spans="1:12" s="229" customFormat="1" ht="18" customHeight="1" x14ac:dyDescent="0.25">
      <c r="A1244" s="1105" t="s">
        <v>163</v>
      </c>
      <c r="B1244" s="1106" t="s">
        <v>1388</v>
      </c>
      <c r="C1244" s="44" t="s">
        <v>198</v>
      </c>
      <c r="D1244" s="125"/>
      <c r="E1244" s="125"/>
      <c r="F1244" s="134"/>
      <c r="G1244" s="100" t="s">
        <v>199</v>
      </c>
      <c r="H1244" s="105"/>
      <c r="I1244" s="105">
        <v>2148478.7999999998</v>
      </c>
      <c r="J1244" s="105">
        <v>1864446.48</v>
      </c>
      <c r="K1244" s="106">
        <v>1864446.48</v>
      </c>
      <c r="L1244" s="207"/>
    </row>
    <row r="1245" spans="1:12" s="146" customFormat="1" ht="18" customHeight="1" x14ac:dyDescent="0.25">
      <c r="A1245" s="1051"/>
      <c r="B1245" s="1041"/>
      <c r="C1245" s="1621" t="s">
        <v>200</v>
      </c>
      <c r="D1245" s="1666"/>
      <c r="E1245" s="1666"/>
      <c r="F1245" s="1666"/>
      <c r="G1245" s="376"/>
      <c r="H1245" s="119">
        <f>SUM(H1236:H1244)</f>
        <v>0</v>
      </c>
      <c r="I1245" s="119">
        <f>SUM(I1236:I1244)</f>
        <v>12991382.300000001</v>
      </c>
      <c r="J1245" s="119">
        <f>SUM(J1236:J1244)</f>
        <v>11629564.98</v>
      </c>
      <c r="K1245" s="150">
        <f>SUM(K1234:K1244)</f>
        <v>11729564.98</v>
      </c>
      <c r="L1245" s="10"/>
    </row>
    <row r="1246" spans="1:12" s="146" customFormat="1" ht="18" customHeight="1" x14ac:dyDescent="0.25">
      <c r="A1246" s="1051"/>
      <c r="B1246" s="1041"/>
      <c r="C1246" s="1047"/>
      <c r="D1246" s="1047"/>
      <c r="E1246" s="1047"/>
      <c r="F1246" s="1048"/>
      <c r="G1246" s="376"/>
      <c r="H1246" s="155"/>
      <c r="I1246" s="155"/>
      <c r="J1246" s="155"/>
      <c r="K1246" s="156"/>
      <c r="L1246" s="10"/>
    </row>
    <row r="1247" spans="1:12" s="146" customFormat="1" ht="18" customHeight="1" x14ac:dyDescent="0.25">
      <c r="A1247" s="1667" t="s">
        <v>1872</v>
      </c>
      <c r="B1247" s="1620"/>
      <c r="C1247" s="1620"/>
      <c r="D1247" s="1620"/>
      <c r="E1247" s="1620"/>
      <c r="F1247" s="1621"/>
      <c r="G1247" s="376"/>
      <c r="H1247" s="101"/>
      <c r="I1247" s="101"/>
      <c r="J1247" s="101"/>
      <c r="K1247" s="102"/>
      <c r="L1247" s="10"/>
    </row>
    <row r="1248" spans="1:12" s="146" customFormat="1" ht="37.5" customHeight="1" x14ac:dyDescent="0.25">
      <c r="A1248" s="1105" t="s">
        <v>201</v>
      </c>
      <c r="B1248" s="1106" t="s">
        <v>1388</v>
      </c>
      <c r="C1248" s="1611" t="s">
        <v>1982</v>
      </c>
      <c r="D1248" s="1611"/>
      <c r="E1248" s="1047"/>
      <c r="F1248" s="1047"/>
      <c r="G1248" s="376"/>
      <c r="H1248" s="101"/>
      <c r="I1248" s="101">
        <v>176000</v>
      </c>
      <c r="J1248" s="101">
        <v>176000</v>
      </c>
      <c r="K1248" s="102">
        <v>176000</v>
      </c>
      <c r="L1248" s="10"/>
    </row>
    <row r="1249" spans="1:12" s="146" customFormat="1" ht="18" customHeight="1" x14ac:dyDescent="0.25">
      <c r="A1249" s="1105" t="s">
        <v>201</v>
      </c>
      <c r="B1249" s="1106" t="s">
        <v>1388</v>
      </c>
      <c r="C1249" s="1042" t="s">
        <v>1983</v>
      </c>
      <c r="D1249" s="1047"/>
      <c r="E1249" s="1047"/>
      <c r="F1249" s="1047"/>
      <c r="G1249" s="376"/>
      <c r="H1249" s="101"/>
      <c r="I1249" s="101">
        <v>172000</v>
      </c>
      <c r="J1249" s="101">
        <v>86000</v>
      </c>
      <c r="K1249" s="102">
        <v>86000</v>
      </c>
      <c r="L1249" s="10"/>
    </row>
    <row r="1250" spans="1:12" s="146" customFormat="1" ht="18" customHeight="1" x14ac:dyDescent="0.25">
      <c r="A1250" s="1105" t="s">
        <v>201</v>
      </c>
      <c r="B1250" s="1106" t="s">
        <v>1388</v>
      </c>
      <c r="C1250" s="1042" t="s">
        <v>1984</v>
      </c>
      <c r="D1250" s="1047"/>
      <c r="E1250" s="1047"/>
      <c r="F1250" s="1047"/>
      <c r="G1250" s="376"/>
      <c r="H1250" s="101"/>
      <c r="I1250" s="101">
        <v>60000</v>
      </c>
      <c r="J1250" s="101">
        <v>60000</v>
      </c>
      <c r="K1250" s="102">
        <v>60000</v>
      </c>
      <c r="L1250" s="10"/>
    </row>
    <row r="1251" spans="1:12" s="146" customFormat="1" ht="18" customHeight="1" x14ac:dyDescent="0.25">
      <c r="A1251" s="1071"/>
      <c r="B1251" s="1106" t="s">
        <v>1388</v>
      </c>
      <c r="C1251" s="1062" t="s">
        <v>203</v>
      </c>
      <c r="D1251" s="1041"/>
      <c r="E1251" s="1041"/>
      <c r="F1251" s="1041"/>
      <c r="G1251" s="376"/>
      <c r="H1251" s="101"/>
      <c r="I1251" s="101"/>
      <c r="J1251" s="101"/>
      <c r="K1251" s="102"/>
      <c r="L1251" s="10"/>
    </row>
    <row r="1252" spans="1:12" s="313" customFormat="1" ht="36.75" customHeight="1" x14ac:dyDescent="0.25">
      <c r="A1252" s="332"/>
      <c r="B1252" s="1077"/>
      <c r="C1252" s="1622" t="s">
        <v>1269</v>
      </c>
      <c r="D1252" s="1622"/>
      <c r="E1252" s="1044"/>
      <c r="F1252" s="1044"/>
      <c r="G1252" s="238"/>
      <c r="H1252" s="101"/>
      <c r="I1252" s="101"/>
      <c r="J1252" s="101"/>
      <c r="K1252" s="102"/>
      <c r="L1252" s="193"/>
    </row>
    <row r="1253" spans="1:12" s="313" customFormat="1" ht="18" customHeight="1" x14ac:dyDescent="0.25">
      <c r="A1253" s="332"/>
      <c r="B1253" s="1077"/>
      <c r="C1253" s="1073" t="s">
        <v>1270</v>
      </c>
      <c r="D1253" s="1044"/>
      <c r="E1253" s="1044"/>
      <c r="F1253" s="1044"/>
      <c r="G1253" s="238"/>
      <c r="H1253" s="101"/>
      <c r="I1253" s="101"/>
      <c r="J1253" s="101"/>
      <c r="K1253" s="102"/>
      <c r="L1253" s="193"/>
    </row>
    <row r="1254" spans="1:12" s="313" customFormat="1" ht="18" customHeight="1" x14ac:dyDescent="0.25">
      <c r="A1254" s="332"/>
      <c r="B1254" s="1077"/>
      <c r="C1254" s="1073" t="s">
        <v>1271</v>
      </c>
      <c r="D1254" s="1044"/>
      <c r="E1254" s="1044"/>
      <c r="F1254" s="1044"/>
      <c r="G1254" s="238"/>
      <c r="H1254" s="101"/>
      <c r="I1254" s="101"/>
      <c r="J1254" s="101"/>
      <c r="K1254" s="102"/>
      <c r="L1254" s="193"/>
    </row>
    <row r="1255" spans="1:12" s="313" customFormat="1" ht="18" customHeight="1" x14ac:dyDescent="0.25">
      <c r="A1255" s="332"/>
      <c r="B1255" s="1077"/>
      <c r="C1255" s="1073" t="s">
        <v>1272</v>
      </c>
      <c r="D1255" s="1044"/>
      <c r="E1255" s="1044"/>
      <c r="F1255" s="1044"/>
      <c r="G1255" s="238"/>
      <c r="H1255" s="101"/>
      <c r="I1255" s="101"/>
      <c r="J1255" s="101"/>
      <c r="K1255" s="102"/>
      <c r="L1255" s="193"/>
    </row>
    <row r="1256" spans="1:12" s="313" customFormat="1" ht="53.25" customHeight="1" x14ac:dyDescent="0.25">
      <c r="A1256" s="332"/>
      <c r="B1256" s="1077"/>
      <c r="C1256" s="1622" t="s">
        <v>1273</v>
      </c>
      <c r="D1256" s="1622"/>
      <c r="E1256" s="1044"/>
      <c r="F1256" s="1044"/>
      <c r="G1256" s="238"/>
      <c r="H1256" s="101"/>
      <c r="I1256" s="101"/>
      <c r="J1256" s="101"/>
      <c r="K1256" s="102"/>
      <c r="L1256" s="193"/>
    </row>
    <row r="1257" spans="1:12" s="146" customFormat="1" ht="18" customHeight="1" x14ac:dyDescent="0.25">
      <c r="A1257" s="1071"/>
      <c r="B1257" s="1047"/>
      <c r="C1257" s="1062" t="s">
        <v>1278</v>
      </c>
      <c r="D1257" s="1047"/>
      <c r="E1257" s="1047"/>
      <c r="F1257" s="1047"/>
      <c r="G1257" s="376"/>
      <c r="H1257" s="101"/>
      <c r="I1257" s="105"/>
      <c r="J1257" s="105"/>
      <c r="K1257" s="106"/>
      <c r="L1257" s="10"/>
    </row>
    <row r="1258" spans="1:12" ht="15.75" customHeight="1" x14ac:dyDescent="0.25">
      <c r="A1258" s="1071"/>
      <c r="B1258" s="1047"/>
      <c r="C1258" s="1047" t="s">
        <v>200</v>
      </c>
      <c r="E1258" s="1047"/>
      <c r="F1258" s="1048"/>
      <c r="G1258" s="377"/>
      <c r="H1258" s="119">
        <f>SUM(H1248:H1257)</f>
        <v>0</v>
      </c>
      <c r="I1258" s="119">
        <f>SUM(I1248:I1257)</f>
        <v>408000</v>
      </c>
      <c r="J1258" s="119">
        <f>SUM(J1248:J1257)</f>
        <v>322000</v>
      </c>
      <c r="K1258" s="150">
        <f>SUM(K1248:K1257)</f>
        <v>322000</v>
      </c>
    </row>
    <row r="1259" spans="1:12" ht="15.75" customHeight="1" thickBot="1" x14ac:dyDescent="0.3">
      <c r="A1259" s="1071"/>
      <c r="B1259" s="1047"/>
      <c r="C1259" s="1047" t="s">
        <v>15</v>
      </c>
      <c r="E1259" s="1047"/>
      <c r="F1259" s="1048"/>
      <c r="G1259" s="379"/>
      <c r="H1259" s="123">
        <f>SUM(H1258+H1245+H1231)</f>
        <v>0</v>
      </c>
      <c r="I1259" s="123">
        <f>SUM(I1258+I1245+I1231)</f>
        <v>20488004.32</v>
      </c>
      <c r="J1259" s="123">
        <f>SUM(J1258+J1245+J1231)</f>
        <v>19040187</v>
      </c>
      <c r="K1259" s="158">
        <f>SUM(K1258+K1245+K1231)</f>
        <v>18949772.629999999</v>
      </c>
    </row>
    <row r="1260" spans="1:12" ht="15.75" customHeight="1" x14ac:dyDescent="0.25">
      <c r="A1260" s="1071"/>
      <c r="B1260" s="1047"/>
      <c r="D1260" s="1047"/>
      <c r="E1260" s="1047"/>
      <c r="F1260" s="1048"/>
      <c r="G1260" s="380"/>
      <c r="H1260" s="155"/>
      <c r="I1260" s="155"/>
      <c r="J1260" s="155"/>
      <c r="K1260" s="156"/>
    </row>
    <row r="1261" spans="1:12" s="458" customFormat="1" ht="15.75" customHeight="1" x14ac:dyDescent="0.2">
      <c r="A1261" s="1071"/>
      <c r="B1261" s="1047"/>
      <c r="C1261" s="1058"/>
      <c r="D1261" s="1047"/>
      <c r="E1261" s="1047"/>
      <c r="F1261" s="1048"/>
      <c r="G1261" s="380"/>
      <c r="H1261" s="155"/>
      <c r="I1261" s="155"/>
      <c r="J1261" s="155"/>
      <c r="K1261" s="156"/>
      <c r="L1261" s="10"/>
    </row>
    <row r="1262" spans="1:12" s="458" customFormat="1" ht="15.75" customHeight="1" thickBot="1" x14ac:dyDescent="0.25">
      <c r="A1262" s="1095"/>
      <c r="B1262" s="1096"/>
      <c r="C1262" s="228"/>
      <c r="D1262" s="1096"/>
      <c r="E1262" s="1096"/>
      <c r="F1262" s="660"/>
      <c r="G1262" s="379"/>
      <c r="H1262" s="182"/>
      <c r="I1262" s="182"/>
      <c r="J1262" s="182"/>
      <c r="K1262" s="183"/>
      <c r="L1262" s="10"/>
    </row>
    <row r="1263" spans="1:12" ht="15.75" customHeight="1" x14ac:dyDescent="0.25">
      <c r="A1263" s="1047"/>
      <c r="B1263" s="1047"/>
      <c r="C1263" s="1058"/>
      <c r="D1263" s="1047"/>
      <c r="E1263" s="1047"/>
      <c r="F1263" s="1047"/>
      <c r="G1263" s="380"/>
      <c r="H1263" s="126"/>
      <c r="I1263" s="126"/>
      <c r="J1263" s="126"/>
      <c r="K1263" s="127"/>
    </row>
    <row r="1264" spans="1:12" ht="15.75" customHeight="1" x14ac:dyDescent="0.25">
      <c r="A1264" s="1047"/>
      <c r="B1264" s="1047"/>
      <c r="C1264" s="1058"/>
      <c r="D1264" s="1047"/>
      <c r="E1264" s="1047"/>
      <c r="F1264" s="1047"/>
      <c r="G1264" s="380"/>
      <c r="H1264" s="126"/>
      <c r="I1264" s="126"/>
      <c r="J1264" s="126"/>
      <c r="K1264" s="127"/>
    </row>
    <row r="1265" spans="1:12" ht="15.75" customHeight="1" x14ac:dyDescent="0.25">
      <c r="A1265" s="1047"/>
      <c r="B1265" s="1047"/>
      <c r="C1265" s="1058"/>
      <c r="D1265" s="1047"/>
      <c r="E1265" s="1047"/>
      <c r="F1265" s="1047"/>
      <c r="G1265" s="380"/>
      <c r="H1265" s="126"/>
      <c r="I1265" s="126"/>
      <c r="J1265" s="126"/>
      <c r="K1265" s="127"/>
    </row>
    <row r="1266" spans="1:12" ht="15.75" customHeight="1" x14ac:dyDescent="0.25">
      <c r="A1266" s="1047"/>
      <c r="B1266" s="1047"/>
      <c r="C1266" s="1058"/>
      <c r="D1266" s="1047"/>
      <c r="E1266" s="1047"/>
      <c r="F1266" s="1047"/>
      <c r="G1266" s="380"/>
      <c r="H1266" s="126"/>
      <c r="I1266" s="126"/>
      <c r="J1266" s="126"/>
      <c r="K1266" s="127"/>
    </row>
    <row r="1267" spans="1:12" ht="15.75" customHeight="1" x14ac:dyDescent="0.25">
      <c r="A1267" s="1047"/>
      <c r="B1267" s="1047"/>
      <c r="C1267" s="1058"/>
      <c r="D1267" s="1047"/>
      <c r="E1267" s="1047"/>
      <c r="F1267" s="1047"/>
      <c r="G1267" s="380"/>
      <c r="H1267" s="126"/>
      <c r="I1267" s="126"/>
      <c r="J1267" s="126"/>
      <c r="K1267" s="127"/>
    </row>
    <row r="1268" spans="1:12" ht="15.75" customHeight="1" x14ac:dyDescent="0.25">
      <c r="A1268" s="1047"/>
      <c r="B1268" s="1047"/>
      <c r="C1268" s="1058"/>
      <c r="D1268" s="1047"/>
      <c r="E1268" s="1047"/>
      <c r="F1268" s="1047"/>
      <c r="G1268" s="380"/>
      <c r="H1268" s="126"/>
      <c r="I1268" s="126"/>
      <c r="J1268" s="126"/>
      <c r="K1268" s="127"/>
    </row>
    <row r="1269" spans="1:12" ht="15.75" customHeight="1" x14ac:dyDescent="0.25">
      <c r="A1269" s="1047"/>
      <c r="B1269" s="1047"/>
      <c r="C1269" s="1058"/>
      <c r="D1269" s="1047"/>
      <c r="E1269" s="1047"/>
      <c r="F1269" s="1047"/>
      <c r="G1269" s="380"/>
      <c r="H1269" s="126"/>
      <c r="I1269" s="126"/>
      <c r="J1269" s="126"/>
      <c r="K1269" s="127"/>
    </row>
    <row r="1270" spans="1:12" ht="15.75" customHeight="1" x14ac:dyDescent="0.25">
      <c r="A1270" s="1047"/>
      <c r="B1270" s="1047"/>
      <c r="C1270" s="1058"/>
      <c r="D1270" s="1047"/>
      <c r="E1270" s="1047"/>
      <c r="F1270" s="1047"/>
      <c r="G1270" s="380"/>
      <c r="H1270" s="126"/>
      <c r="I1270" s="126"/>
      <c r="J1270" s="126"/>
      <c r="K1270" s="127"/>
    </row>
    <row r="1271" spans="1:12" ht="18" customHeight="1" x14ac:dyDescent="0.25">
      <c r="A1271" s="8" t="s">
        <v>112</v>
      </c>
    </row>
    <row r="1272" spans="1:12" ht="18" customHeight="1" x14ac:dyDescent="0.25">
      <c r="A1272" s="8" t="s">
        <v>1377</v>
      </c>
    </row>
    <row r="1273" spans="1:12" ht="18" customHeight="1" x14ac:dyDescent="0.25">
      <c r="A1273" s="1636" t="s">
        <v>113</v>
      </c>
      <c r="B1273" s="1636"/>
      <c r="C1273" s="1636"/>
      <c r="D1273" s="1636"/>
      <c r="E1273" s="1636"/>
      <c r="F1273" s="1636"/>
      <c r="G1273" s="1636"/>
      <c r="H1273" s="1636"/>
      <c r="I1273" s="1636"/>
      <c r="J1273" s="1636"/>
      <c r="K1273" s="1060"/>
    </row>
    <row r="1274" spans="1:12" s="7" customFormat="1" ht="18" customHeight="1" x14ac:dyDescent="0.25">
      <c r="A1274" s="1624" t="s">
        <v>114</v>
      </c>
      <c r="B1274" s="1624"/>
      <c r="C1274" s="1624"/>
      <c r="D1274" s="1624"/>
      <c r="E1274" s="1624"/>
      <c r="F1274" s="1624"/>
      <c r="G1274" s="1624"/>
      <c r="H1274" s="1624"/>
      <c r="I1274" s="1624"/>
      <c r="J1274" s="1624"/>
      <c r="K1274" s="159"/>
      <c r="L1274" s="6"/>
    </row>
    <row r="1275" spans="1:12" s="146" customFormat="1" ht="18" x14ac:dyDescent="0.25">
      <c r="A1275" s="3"/>
      <c r="B1275" s="3"/>
      <c r="C1275" s="2"/>
      <c r="D1275" s="8"/>
      <c r="E1275" s="3"/>
      <c r="F1275" s="3"/>
      <c r="G1275" s="3"/>
      <c r="H1275" s="4"/>
      <c r="I1275" s="4"/>
      <c r="J1275" s="4"/>
      <c r="K1275" s="5"/>
      <c r="L1275" s="10"/>
    </row>
    <row r="1276" spans="1:12" s="146" customFormat="1" ht="18" x14ac:dyDescent="0.25">
      <c r="A1276" s="3"/>
      <c r="B1276" s="3"/>
      <c r="C1276" s="2"/>
      <c r="D1276" s="8"/>
      <c r="E1276" s="3"/>
      <c r="F1276" s="3"/>
      <c r="G1276" s="3"/>
      <c r="H1276" s="4"/>
      <c r="I1276" s="4"/>
      <c r="J1276" s="4"/>
      <c r="K1276" s="5"/>
      <c r="L1276" s="10"/>
    </row>
    <row r="1277" spans="1:12" s="146" customFormat="1" ht="18.75" thickBot="1" x14ac:dyDescent="0.3">
      <c r="A1277" s="1" t="s">
        <v>1283</v>
      </c>
      <c r="B1277" s="1"/>
      <c r="C1277" s="2"/>
      <c r="D1277" s="3"/>
      <c r="E1277" s="3"/>
      <c r="F1277" s="3"/>
      <c r="G1277" s="3"/>
      <c r="H1277" s="4"/>
      <c r="I1277" s="4"/>
      <c r="J1277" s="4"/>
      <c r="K1277" s="5"/>
      <c r="L1277" s="10"/>
    </row>
    <row r="1278" spans="1:12" s="48" customFormat="1" ht="21.75" customHeight="1" thickBot="1" x14ac:dyDescent="0.3">
      <c r="A1278" s="1655" t="s">
        <v>115</v>
      </c>
      <c r="B1278" s="1655"/>
      <c r="C1278" s="1655"/>
      <c r="D1278" s="1655"/>
      <c r="E1278" s="1655"/>
      <c r="F1278" s="1655"/>
      <c r="G1278" s="1151"/>
      <c r="H1278" s="1708" t="s">
        <v>1537</v>
      </c>
      <c r="I1278" s="1710" t="s">
        <v>1538</v>
      </c>
      <c r="J1278" s="1710" t="s">
        <v>1539</v>
      </c>
      <c r="K1278" s="1710" t="s">
        <v>1540</v>
      </c>
      <c r="L1278" s="47"/>
    </row>
    <row r="1279" spans="1:12" s="1153" customFormat="1" ht="31.5" customHeight="1" thickBot="1" x14ac:dyDescent="0.3">
      <c r="A1279" s="1655"/>
      <c r="B1279" s="1655"/>
      <c r="C1279" s="1655"/>
      <c r="D1279" s="1655"/>
      <c r="E1279" s="1655"/>
      <c r="F1279" s="1655"/>
      <c r="G1279" s="1067" t="s">
        <v>116</v>
      </c>
      <c r="H1279" s="1709"/>
      <c r="I1279" s="1710"/>
      <c r="J1279" s="1710"/>
      <c r="K1279" s="1710"/>
      <c r="L1279" s="1152"/>
    </row>
    <row r="1280" spans="1:12" s="146" customFormat="1" ht="18" x14ac:dyDescent="0.25">
      <c r="A1280" s="1670" t="s">
        <v>121</v>
      </c>
      <c r="B1280" s="1670"/>
      <c r="C1280" s="1670"/>
      <c r="D1280" s="1670"/>
      <c r="E1280" s="1670"/>
      <c r="F1280" s="1670"/>
      <c r="G1280" s="94"/>
      <c r="H1280" s="95"/>
      <c r="I1280" s="95"/>
      <c r="J1280" s="95"/>
      <c r="K1280" s="96"/>
      <c r="L1280" s="10"/>
    </row>
    <row r="1281" spans="1:12" s="146" customFormat="1" ht="18" x14ac:dyDescent="0.25">
      <c r="A1281" s="1071"/>
      <c r="B1281" s="1047"/>
      <c r="C1281" s="1621" t="s">
        <v>122</v>
      </c>
      <c r="D1281" s="1666"/>
      <c r="E1281" s="1666"/>
      <c r="F1281" s="1666"/>
      <c r="G1281" s="97"/>
      <c r="H1281" s="98"/>
      <c r="I1281" s="98"/>
      <c r="J1281" s="98"/>
      <c r="K1281" s="99"/>
      <c r="L1281" s="10"/>
    </row>
    <row r="1282" spans="1:12" s="146" customFormat="1" ht="18" x14ac:dyDescent="0.25">
      <c r="A1282" s="1051" t="s">
        <v>123</v>
      </c>
      <c r="B1282" s="1106" t="s">
        <v>1388</v>
      </c>
      <c r="C1282" s="1611" t="s">
        <v>124</v>
      </c>
      <c r="D1282" s="1611"/>
      <c r="E1282" s="1611"/>
      <c r="F1282" s="1602"/>
      <c r="G1282" s="100" t="s">
        <v>125</v>
      </c>
      <c r="H1282" s="101"/>
      <c r="I1282" s="101">
        <v>1357020</v>
      </c>
      <c r="J1282" s="101">
        <v>1357020</v>
      </c>
      <c r="K1282" s="102">
        <v>1304328</v>
      </c>
      <c r="L1282" s="10"/>
    </row>
    <row r="1283" spans="1:12" s="146" customFormat="1" ht="18" x14ac:dyDescent="0.25">
      <c r="A1283" s="1105" t="s">
        <v>123</v>
      </c>
      <c r="B1283" s="1106" t="s">
        <v>1388</v>
      </c>
      <c r="C1283" s="1611" t="s">
        <v>126</v>
      </c>
      <c r="D1283" s="1611"/>
      <c r="E1283" s="1611"/>
      <c r="F1283" s="1602"/>
      <c r="G1283" s="100" t="s">
        <v>127</v>
      </c>
      <c r="H1283" s="101"/>
      <c r="I1283" s="101">
        <v>563616</v>
      </c>
      <c r="J1283" s="101">
        <v>563616</v>
      </c>
      <c r="K1283" s="102">
        <v>542400</v>
      </c>
      <c r="L1283" s="10"/>
    </row>
    <row r="1284" spans="1:12" s="146" customFormat="1" ht="18" customHeight="1" x14ac:dyDescent="0.25">
      <c r="A1284" s="1105" t="s">
        <v>123</v>
      </c>
      <c r="B1284" s="1106" t="s">
        <v>1388</v>
      </c>
      <c r="C1284" s="1611" t="s">
        <v>129</v>
      </c>
      <c r="D1284" s="1611"/>
      <c r="E1284" s="1611"/>
      <c r="F1284" s="1602"/>
      <c r="G1284" s="103" t="s">
        <v>130</v>
      </c>
      <c r="H1284" s="101"/>
      <c r="I1284" s="101">
        <v>288000</v>
      </c>
      <c r="J1284" s="101">
        <v>288000</v>
      </c>
      <c r="K1284" s="102">
        <v>288000</v>
      </c>
      <c r="L1284" s="10"/>
    </row>
    <row r="1285" spans="1:12" s="146" customFormat="1" ht="18" x14ac:dyDescent="0.25">
      <c r="A1285" s="1105" t="s">
        <v>123</v>
      </c>
      <c r="B1285" s="1106" t="s">
        <v>1388</v>
      </c>
      <c r="C1285" s="1611" t="s">
        <v>135</v>
      </c>
      <c r="D1285" s="1611"/>
      <c r="E1285" s="1611"/>
      <c r="F1285" s="1602"/>
      <c r="G1285" s="100" t="s">
        <v>136</v>
      </c>
      <c r="H1285" s="101"/>
      <c r="I1285" s="101">
        <v>507722.97</v>
      </c>
      <c r="J1285" s="101">
        <v>507722.97</v>
      </c>
      <c r="K1285" s="102">
        <v>507722.97</v>
      </c>
      <c r="L1285" s="10"/>
    </row>
    <row r="1286" spans="1:12" s="146" customFormat="1" ht="18" x14ac:dyDescent="0.25">
      <c r="A1286" s="1105" t="s">
        <v>123</v>
      </c>
      <c r="B1286" s="1106" t="s">
        <v>1388</v>
      </c>
      <c r="C1286" s="1602" t="s">
        <v>137</v>
      </c>
      <c r="D1286" s="1603"/>
      <c r="E1286" s="1603"/>
      <c r="F1286" s="1603"/>
      <c r="G1286" s="100" t="s">
        <v>138</v>
      </c>
      <c r="H1286" s="101"/>
      <c r="I1286" s="101">
        <v>72000</v>
      </c>
      <c r="J1286" s="101">
        <v>72000</v>
      </c>
      <c r="K1286" s="102">
        <v>72000</v>
      </c>
      <c r="L1286" s="10"/>
    </row>
    <row r="1287" spans="1:12" s="146" customFormat="1" ht="18" customHeight="1" x14ac:dyDescent="0.25">
      <c r="A1287" s="1105" t="s">
        <v>123</v>
      </c>
      <c r="B1287" s="1106" t="s">
        <v>1388</v>
      </c>
      <c r="C1287" s="1602" t="s">
        <v>1541</v>
      </c>
      <c r="D1287" s="1603"/>
      <c r="E1287" s="1603"/>
      <c r="F1287" s="1603"/>
      <c r="G1287" s="100" t="s">
        <v>140</v>
      </c>
      <c r="H1287" s="101"/>
      <c r="I1287" s="101">
        <v>160053</v>
      </c>
      <c r="J1287" s="101">
        <v>160053</v>
      </c>
      <c r="K1287" s="102">
        <v>153894</v>
      </c>
      <c r="L1287" s="10"/>
    </row>
    <row r="1288" spans="1:12" ht="18" x14ac:dyDescent="0.25">
      <c r="A1288" s="1105" t="s">
        <v>123</v>
      </c>
      <c r="B1288" s="1106" t="s">
        <v>1388</v>
      </c>
      <c r="C1288" s="1602" t="s">
        <v>141</v>
      </c>
      <c r="D1288" s="1603"/>
      <c r="E1288" s="1603"/>
      <c r="F1288" s="1603"/>
      <c r="G1288" s="100" t="s">
        <v>142</v>
      </c>
      <c r="H1288" s="101"/>
      <c r="I1288" s="101">
        <v>160053</v>
      </c>
      <c r="J1288" s="101">
        <v>160053</v>
      </c>
      <c r="K1288" s="102">
        <v>153894</v>
      </c>
    </row>
    <row r="1289" spans="1:12" ht="18" x14ac:dyDescent="0.25">
      <c r="A1289" s="1105" t="s">
        <v>123</v>
      </c>
      <c r="B1289" s="1106" t="s">
        <v>1388</v>
      </c>
      <c r="C1289" s="1602" t="s">
        <v>1542</v>
      </c>
      <c r="D1289" s="1603"/>
      <c r="E1289" s="1603"/>
      <c r="F1289" s="1603"/>
      <c r="G1289" s="100"/>
      <c r="H1289" s="101"/>
      <c r="I1289" s="101"/>
      <c r="J1289" s="101"/>
      <c r="K1289" s="102"/>
    </row>
    <row r="1290" spans="1:12" ht="18" x14ac:dyDescent="0.25">
      <c r="A1290" s="1105" t="s">
        <v>123</v>
      </c>
      <c r="B1290" s="1106" t="s">
        <v>1388</v>
      </c>
      <c r="C1290" s="1602" t="s">
        <v>143</v>
      </c>
      <c r="D1290" s="1603"/>
      <c r="E1290" s="1603"/>
      <c r="F1290" s="1603"/>
      <c r="G1290" s="100" t="s">
        <v>144</v>
      </c>
      <c r="H1290" s="101"/>
      <c r="I1290" s="101">
        <v>60000</v>
      </c>
      <c r="J1290" s="101">
        <v>60000</v>
      </c>
      <c r="K1290" s="102">
        <v>60000</v>
      </c>
    </row>
    <row r="1291" spans="1:12" ht="18" x14ac:dyDescent="0.25">
      <c r="A1291" s="1105" t="s">
        <v>123</v>
      </c>
      <c r="B1291" s="1106" t="s">
        <v>1388</v>
      </c>
      <c r="C1291" s="1602" t="s">
        <v>1543</v>
      </c>
      <c r="D1291" s="1603"/>
      <c r="E1291" s="1603"/>
      <c r="F1291" s="1603"/>
      <c r="G1291" s="100" t="s">
        <v>146</v>
      </c>
      <c r="H1291" s="101"/>
      <c r="I1291" s="101">
        <v>60000</v>
      </c>
      <c r="J1291" s="101">
        <v>60000</v>
      </c>
      <c r="K1291" s="102">
        <v>60000</v>
      </c>
    </row>
    <row r="1292" spans="1:12" ht="18" x14ac:dyDescent="0.25">
      <c r="A1292" s="1105" t="s">
        <v>123</v>
      </c>
      <c r="B1292" s="1106" t="s">
        <v>1388</v>
      </c>
      <c r="C1292" s="1045" t="s">
        <v>1568</v>
      </c>
      <c r="D1292" s="1041"/>
      <c r="E1292" s="1041"/>
      <c r="F1292" s="1041"/>
      <c r="G1292" s="100" t="s">
        <v>232</v>
      </c>
      <c r="H1292" s="101"/>
      <c r="I1292" s="101"/>
      <c r="J1292" s="101"/>
      <c r="K1292" s="102">
        <v>10000</v>
      </c>
    </row>
    <row r="1293" spans="1:12" ht="18" x14ac:dyDescent="0.25">
      <c r="A1293" s="1105" t="s">
        <v>123</v>
      </c>
      <c r="B1293" s="1106" t="s">
        <v>1388</v>
      </c>
      <c r="C1293" s="1062" t="s">
        <v>147</v>
      </c>
      <c r="D1293" s="1041"/>
      <c r="E1293" s="1041"/>
      <c r="F1293" s="1041"/>
      <c r="G1293" s="100" t="s">
        <v>148</v>
      </c>
      <c r="H1293" s="101"/>
      <c r="I1293" s="101"/>
      <c r="J1293" s="101"/>
      <c r="K1293" s="102"/>
    </row>
    <row r="1294" spans="1:12" s="146" customFormat="1" ht="18" x14ac:dyDescent="0.25">
      <c r="A1294" s="1105" t="s">
        <v>123</v>
      </c>
      <c r="B1294" s="1106" t="s">
        <v>1388</v>
      </c>
      <c r="C1294" s="1611" t="s">
        <v>210</v>
      </c>
      <c r="D1294" s="1611"/>
      <c r="E1294" s="1611"/>
      <c r="F1294" s="1039"/>
      <c r="G1294" s="100" t="s">
        <v>464</v>
      </c>
      <c r="H1294" s="101"/>
      <c r="I1294" s="101">
        <v>54000</v>
      </c>
      <c r="J1294" s="101">
        <v>54000</v>
      </c>
      <c r="K1294" s="102">
        <v>54000</v>
      </c>
      <c r="L1294" s="10"/>
    </row>
    <row r="1295" spans="1:12" s="146" customFormat="1" ht="18" x14ac:dyDescent="0.25">
      <c r="A1295" s="1105" t="s">
        <v>123</v>
      </c>
      <c r="B1295" s="1106" t="s">
        <v>1388</v>
      </c>
      <c r="C1295" s="1611" t="s">
        <v>211</v>
      </c>
      <c r="D1295" s="1611"/>
      <c r="E1295" s="1041"/>
      <c r="F1295" s="1039"/>
      <c r="G1295" s="100" t="s">
        <v>212</v>
      </c>
      <c r="H1295" s="101"/>
      <c r="I1295" s="101">
        <v>5400</v>
      </c>
      <c r="J1295" s="101">
        <v>5400</v>
      </c>
      <c r="K1295" s="102">
        <v>5400</v>
      </c>
      <c r="L1295" s="10"/>
    </row>
    <row r="1296" spans="1:12" s="146" customFormat="1" ht="18" x14ac:dyDescent="0.25">
      <c r="A1296" s="1105" t="s">
        <v>123</v>
      </c>
      <c r="B1296" s="1106" t="s">
        <v>1388</v>
      </c>
      <c r="C1296" s="1045" t="s">
        <v>149</v>
      </c>
      <c r="D1296" s="1041"/>
      <c r="E1296" s="1041"/>
      <c r="F1296" s="1039"/>
      <c r="G1296" s="100" t="s">
        <v>150</v>
      </c>
      <c r="H1296" s="101"/>
      <c r="I1296" s="1156">
        <v>146931</v>
      </c>
      <c r="J1296" s="1156">
        <v>146931</v>
      </c>
      <c r="K1296" s="102">
        <v>141078</v>
      </c>
      <c r="L1296" s="10"/>
    </row>
    <row r="1297" spans="1:12" s="146" customFormat="1" ht="18" x14ac:dyDescent="0.25">
      <c r="A1297" s="1105" t="s">
        <v>123</v>
      </c>
      <c r="B1297" s="1106" t="s">
        <v>1388</v>
      </c>
      <c r="C1297" s="1611" t="s">
        <v>1284</v>
      </c>
      <c r="D1297" s="1611"/>
      <c r="E1297" s="1611"/>
      <c r="F1297" s="1039"/>
      <c r="G1297" s="100" t="s">
        <v>136</v>
      </c>
      <c r="H1297" s="101"/>
      <c r="I1297" s="1156">
        <v>160988.1</v>
      </c>
      <c r="J1297" s="1156">
        <v>160988.1</v>
      </c>
      <c r="K1297" s="102">
        <v>154923.6</v>
      </c>
      <c r="L1297" s="10"/>
    </row>
    <row r="1298" spans="1:12" s="146" customFormat="1" ht="18" x14ac:dyDescent="0.25">
      <c r="A1298" s="1105" t="s">
        <v>123</v>
      </c>
      <c r="B1298" s="1106" t="s">
        <v>1388</v>
      </c>
      <c r="C1298" s="1602" t="s">
        <v>1544</v>
      </c>
      <c r="D1298" s="1603"/>
      <c r="E1298" s="1603"/>
      <c r="F1298" s="1603"/>
      <c r="G1298" s="100" t="s">
        <v>148</v>
      </c>
      <c r="H1298" s="101"/>
      <c r="I1298" s="101"/>
      <c r="J1298" s="101"/>
      <c r="K1298" s="102"/>
      <c r="L1298" s="10"/>
    </row>
    <row r="1299" spans="1:12" ht="18" x14ac:dyDescent="0.25">
      <c r="A1299" s="1105" t="s">
        <v>123</v>
      </c>
      <c r="B1299" s="1106" t="s">
        <v>1388</v>
      </c>
      <c r="C1299" s="1602" t="s">
        <v>1545</v>
      </c>
      <c r="D1299" s="1603"/>
      <c r="E1299" s="1603"/>
      <c r="F1299" s="1603"/>
      <c r="G1299" s="100" t="s">
        <v>154</v>
      </c>
      <c r="H1299" s="101"/>
      <c r="I1299" s="101">
        <v>230476.32</v>
      </c>
      <c r="J1299" s="101">
        <v>230476.32</v>
      </c>
      <c r="K1299" s="102">
        <v>221607.36</v>
      </c>
    </row>
    <row r="1300" spans="1:12" ht="18" x14ac:dyDescent="0.25">
      <c r="A1300" s="1105" t="s">
        <v>123</v>
      </c>
      <c r="B1300" s="1106" t="s">
        <v>1388</v>
      </c>
      <c r="C1300" s="1602" t="s">
        <v>155</v>
      </c>
      <c r="D1300" s="1603"/>
      <c r="E1300" s="1603"/>
      <c r="F1300" s="1603"/>
      <c r="G1300" s="100" t="s">
        <v>156</v>
      </c>
      <c r="H1300" s="101"/>
      <c r="I1300" s="101">
        <v>14400</v>
      </c>
      <c r="J1300" s="101">
        <v>14400</v>
      </c>
      <c r="K1300" s="102">
        <v>14400</v>
      </c>
    </row>
    <row r="1301" spans="1:12" ht="18" x14ac:dyDescent="0.25">
      <c r="A1301" s="1105" t="s">
        <v>123</v>
      </c>
      <c r="B1301" s="1106" t="s">
        <v>1388</v>
      </c>
      <c r="C1301" s="1611" t="s">
        <v>157</v>
      </c>
      <c r="D1301" s="1611"/>
      <c r="E1301" s="1611"/>
      <c r="F1301" s="1602"/>
      <c r="G1301" s="100" t="s">
        <v>158</v>
      </c>
      <c r="H1301" s="101"/>
      <c r="I1301" s="101">
        <v>43214.31</v>
      </c>
      <c r="J1301" s="101">
        <v>43214.31</v>
      </c>
      <c r="K1301" s="102">
        <v>41551.379999999997</v>
      </c>
    </row>
    <row r="1302" spans="1:12" ht="18" x14ac:dyDescent="0.25">
      <c r="A1302" s="1105" t="s">
        <v>123</v>
      </c>
      <c r="B1302" s="1106" t="s">
        <v>1388</v>
      </c>
      <c r="C1302" s="1611" t="s">
        <v>1546</v>
      </c>
      <c r="D1302" s="1611"/>
      <c r="E1302" s="1611"/>
      <c r="F1302" s="1602"/>
      <c r="G1302" s="100" t="s">
        <v>160</v>
      </c>
      <c r="H1302" s="105"/>
      <c r="I1302" s="105">
        <v>14400</v>
      </c>
      <c r="J1302" s="105">
        <v>14400</v>
      </c>
      <c r="K1302" s="106">
        <v>14400</v>
      </c>
    </row>
    <row r="1303" spans="1:12" ht="18" x14ac:dyDescent="0.25">
      <c r="A1303" s="1051"/>
      <c r="B1303" s="1041"/>
      <c r="C1303" s="1620" t="s">
        <v>200</v>
      </c>
      <c r="D1303" s="1620"/>
      <c r="E1303" s="1620"/>
      <c r="F1303" s="1621"/>
      <c r="G1303" s="376"/>
      <c r="H1303" s="119">
        <f>SUM(H1282:H1302)</f>
        <v>0</v>
      </c>
      <c r="I1303" s="119">
        <f>SUM(I1282:I1302)</f>
        <v>3898274.6999999997</v>
      </c>
      <c r="J1303" s="119">
        <f>SUM(J1282:J1302)</f>
        <v>3898274.6999999997</v>
      </c>
      <c r="K1303" s="150">
        <f>SUM(K1282:K1302)</f>
        <v>3799599.3099999996</v>
      </c>
    </row>
    <row r="1304" spans="1:12" ht="18" x14ac:dyDescent="0.25">
      <c r="A1304" s="1051"/>
      <c r="B1304" s="1041"/>
      <c r="C1304" s="1047"/>
      <c r="D1304" s="1047"/>
      <c r="E1304" s="1047"/>
      <c r="F1304" s="1048"/>
      <c r="G1304" s="376"/>
      <c r="H1304" s="155"/>
      <c r="I1304" s="155"/>
      <c r="J1304" s="155"/>
      <c r="K1304" s="156"/>
    </row>
    <row r="1305" spans="1:12" ht="18" x14ac:dyDescent="0.25">
      <c r="A1305" s="1071"/>
      <c r="B1305" s="1047"/>
      <c r="C1305" s="1620" t="s">
        <v>162</v>
      </c>
      <c r="D1305" s="1620"/>
      <c r="E1305" s="1620"/>
      <c r="F1305" s="1621"/>
      <c r="G1305" s="376"/>
      <c r="H1305" s="101"/>
      <c r="I1305" s="101"/>
      <c r="J1305" s="101"/>
      <c r="K1305" s="102"/>
    </row>
    <row r="1306" spans="1:12" s="212" customFormat="1" ht="18" customHeight="1" x14ac:dyDescent="0.25">
      <c r="A1306" s="154" t="s">
        <v>163</v>
      </c>
      <c r="B1306" s="1106" t="s">
        <v>1388</v>
      </c>
      <c r="C1306" s="44" t="s">
        <v>353</v>
      </c>
      <c r="D1306" s="125"/>
      <c r="E1306" s="125"/>
      <c r="F1306" s="134"/>
      <c r="G1306" s="100" t="s">
        <v>165</v>
      </c>
      <c r="H1306" s="101"/>
      <c r="I1306" s="101">
        <v>30000</v>
      </c>
      <c r="J1306" s="101">
        <v>30000</v>
      </c>
      <c r="K1306" s="102">
        <v>30000</v>
      </c>
      <c r="L1306" s="207"/>
    </row>
    <row r="1307" spans="1:12" s="212" customFormat="1" ht="18" customHeight="1" x14ac:dyDescent="0.25">
      <c r="A1307" s="154" t="s">
        <v>163</v>
      </c>
      <c r="B1307" s="1106" t="s">
        <v>1388</v>
      </c>
      <c r="C1307" s="44" t="s">
        <v>166</v>
      </c>
      <c r="D1307" s="125"/>
      <c r="E1307" s="125"/>
      <c r="F1307" s="134"/>
      <c r="G1307" s="100"/>
      <c r="H1307" s="101"/>
      <c r="I1307" s="101"/>
      <c r="J1307" s="101"/>
      <c r="K1307" s="102">
        <v>50000</v>
      </c>
      <c r="L1307" s="207"/>
    </row>
    <row r="1308" spans="1:12" s="212" customFormat="1" ht="18" customHeight="1" x14ac:dyDescent="0.25">
      <c r="A1308" s="154" t="s">
        <v>163</v>
      </c>
      <c r="B1308" s="1106" t="s">
        <v>1388</v>
      </c>
      <c r="C1308" s="44" t="s">
        <v>384</v>
      </c>
      <c r="D1308" s="125"/>
      <c r="E1308" s="125"/>
      <c r="F1308" s="134"/>
      <c r="G1308" s="100" t="s">
        <v>1285</v>
      </c>
      <c r="H1308" s="101"/>
      <c r="I1308" s="101">
        <v>50000</v>
      </c>
      <c r="J1308" s="101">
        <v>50000</v>
      </c>
      <c r="K1308" s="102">
        <v>50000</v>
      </c>
      <c r="L1308" s="207"/>
    </row>
    <row r="1309" spans="1:12" s="212" customFormat="1" ht="18" customHeight="1" x14ac:dyDescent="0.25">
      <c r="A1309" s="154" t="s">
        <v>163</v>
      </c>
      <c r="B1309" s="1106" t="s">
        <v>1388</v>
      </c>
      <c r="C1309" s="44" t="s">
        <v>168</v>
      </c>
      <c r="D1309" s="125"/>
      <c r="E1309" s="125"/>
      <c r="F1309" s="134"/>
      <c r="G1309" s="100" t="s">
        <v>169</v>
      </c>
      <c r="H1309" s="101"/>
      <c r="I1309" s="101">
        <v>55000</v>
      </c>
      <c r="J1309" s="101">
        <v>55000</v>
      </c>
      <c r="K1309" s="102">
        <v>55000</v>
      </c>
      <c r="L1309" s="207"/>
    </row>
    <row r="1310" spans="1:12" s="212" customFormat="1" ht="18" customHeight="1" x14ac:dyDescent="0.25">
      <c r="A1310" s="154" t="s">
        <v>163</v>
      </c>
      <c r="B1310" s="1106" t="s">
        <v>1388</v>
      </c>
      <c r="C1310" s="44" t="s">
        <v>172</v>
      </c>
      <c r="D1310" s="125"/>
      <c r="E1310" s="125"/>
      <c r="F1310" s="134"/>
      <c r="G1310" s="100" t="s">
        <v>173</v>
      </c>
      <c r="H1310" s="101"/>
      <c r="I1310" s="101">
        <v>600000</v>
      </c>
      <c r="J1310" s="101">
        <v>600000</v>
      </c>
      <c r="K1310" s="102">
        <v>600000</v>
      </c>
      <c r="L1310" s="207"/>
    </row>
    <row r="1311" spans="1:12" s="212" customFormat="1" ht="18" customHeight="1" x14ac:dyDescent="0.25">
      <c r="A1311" s="154" t="s">
        <v>163</v>
      </c>
      <c r="B1311" s="1106" t="s">
        <v>1388</v>
      </c>
      <c r="C1311" s="44" t="s">
        <v>213</v>
      </c>
      <c r="D1311" s="125"/>
      <c r="E1311" s="125"/>
      <c r="F1311" s="1043"/>
      <c r="G1311" s="100" t="s">
        <v>171</v>
      </c>
      <c r="H1311" s="101"/>
      <c r="I1311" s="101">
        <f>500000+30000+70000</f>
        <v>600000</v>
      </c>
      <c r="J1311" s="101">
        <f>500000+30000+70000</f>
        <v>600000</v>
      </c>
      <c r="K1311" s="102">
        <f>500000+30000+70000</f>
        <v>600000</v>
      </c>
      <c r="L1311" s="207"/>
    </row>
    <row r="1312" spans="1:12" s="212" customFormat="1" ht="18" customHeight="1" x14ac:dyDescent="0.25">
      <c r="A1312" s="154" t="s">
        <v>163</v>
      </c>
      <c r="B1312" s="1106" t="s">
        <v>1388</v>
      </c>
      <c r="C1312" s="44" t="s">
        <v>182</v>
      </c>
      <c r="D1312" s="125"/>
      <c r="E1312" s="125"/>
      <c r="F1312" s="134"/>
      <c r="G1312" s="100" t="s">
        <v>183</v>
      </c>
      <c r="H1312" s="101"/>
      <c r="I1312" s="101">
        <v>42000</v>
      </c>
      <c r="J1312" s="101">
        <v>42000</v>
      </c>
      <c r="K1312" s="102">
        <v>42000</v>
      </c>
      <c r="L1312" s="207"/>
    </row>
    <row r="1313" spans="1:13" s="1172" customFormat="1" ht="18" customHeight="1" x14ac:dyDescent="0.25">
      <c r="A1313" s="154" t="s">
        <v>163</v>
      </c>
      <c r="B1313" s="1106" t="s">
        <v>1388</v>
      </c>
      <c r="C1313" s="44" t="s">
        <v>1985</v>
      </c>
      <c r="D1313" s="125"/>
      <c r="E1313" s="125"/>
      <c r="F1313" s="134"/>
      <c r="G1313" s="100" t="s">
        <v>308</v>
      </c>
      <c r="H1313" s="101"/>
      <c r="I1313" s="101">
        <v>500000</v>
      </c>
      <c r="J1313" s="101">
        <v>500000</v>
      </c>
      <c r="K1313" s="102">
        <f>500000+395165.7</f>
        <v>895165.7</v>
      </c>
      <c r="L1313" s="207"/>
    </row>
    <row r="1314" spans="1:13" s="212" customFormat="1" ht="18" customHeight="1" x14ac:dyDescent="0.25">
      <c r="A1314" s="154" t="s">
        <v>163</v>
      </c>
      <c r="B1314" s="1106" t="s">
        <v>1388</v>
      </c>
      <c r="C1314" s="44" t="s">
        <v>1519</v>
      </c>
      <c r="D1314" s="125"/>
      <c r="E1314" s="125"/>
      <c r="F1314" s="134"/>
      <c r="G1314" s="100"/>
      <c r="H1314" s="101"/>
      <c r="I1314" s="101">
        <v>90000</v>
      </c>
      <c r="J1314" s="101">
        <v>90000</v>
      </c>
      <c r="K1314" s="102">
        <v>90000</v>
      </c>
      <c r="L1314" s="207"/>
    </row>
    <row r="1315" spans="1:13" s="212" customFormat="1" ht="18" customHeight="1" x14ac:dyDescent="0.25">
      <c r="A1315" s="154" t="s">
        <v>163</v>
      </c>
      <c r="B1315" s="1106" t="s">
        <v>1388</v>
      </c>
      <c r="C1315" s="44" t="s">
        <v>1518</v>
      </c>
      <c r="D1315" s="125"/>
      <c r="E1315" s="125"/>
      <c r="F1315" s="134"/>
      <c r="G1315" s="100"/>
      <c r="H1315" s="101"/>
      <c r="I1315" s="101">
        <v>100000</v>
      </c>
      <c r="J1315" s="101">
        <v>100000</v>
      </c>
      <c r="K1315" s="102">
        <v>100000</v>
      </c>
      <c r="L1315" s="207"/>
    </row>
    <row r="1316" spans="1:13" s="212" customFormat="1" ht="18" customHeight="1" x14ac:dyDescent="0.25">
      <c r="A1316" s="154" t="s">
        <v>163</v>
      </c>
      <c r="B1316" s="1106" t="s">
        <v>1388</v>
      </c>
      <c r="C1316" s="44" t="s">
        <v>198</v>
      </c>
      <c r="D1316" s="125"/>
      <c r="E1316" s="125"/>
      <c r="F1316" s="134"/>
      <c r="G1316" s="100" t="s">
        <v>199</v>
      </c>
      <c r="H1316" s="105"/>
      <c r="I1316" s="105">
        <v>630808.64</v>
      </c>
      <c r="J1316" s="105">
        <v>630808.64</v>
      </c>
      <c r="K1316" s="106">
        <v>630808.64</v>
      </c>
      <c r="L1316" s="207"/>
    </row>
    <row r="1317" spans="1:13" ht="18" x14ac:dyDescent="0.25">
      <c r="A1317" s="1051"/>
      <c r="B1317" s="1041"/>
      <c r="C1317" s="1621" t="s">
        <v>200</v>
      </c>
      <c r="D1317" s="1666"/>
      <c r="E1317" s="1666"/>
      <c r="F1317" s="1666"/>
      <c r="G1317" s="97"/>
      <c r="H1317" s="119">
        <f>SUM(H1306:H1316)</f>
        <v>0</v>
      </c>
      <c r="I1317" s="119">
        <f>SUM(I1306:I1316)</f>
        <v>2697808.64</v>
      </c>
      <c r="J1317" s="119">
        <f>SUM(J1306:J1316)</f>
        <v>2697808.64</v>
      </c>
      <c r="K1317" s="150">
        <f>SUM(K1306:K1316)</f>
        <v>3142974.3400000003</v>
      </c>
    </row>
    <row r="1318" spans="1:13" ht="18" x14ac:dyDescent="0.25">
      <c r="A1318" s="1051"/>
      <c r="B1318" s="1041"/>
      <c r="C1318" s="1047"/>
      <c r="D1318" s="1047"/>
      <c r="E1318" s="1047"/>
      <c r="F1318" s="1048"/>
      <c r="G1318" s="97"/>
      <c r="H1318" s="155"/>
      <c r="I1318" s="155"/>
      <c r="J1318" s="155"/>
      <c r="K1318" s="156"/>
    </row>
    <row r="1319" spans="1:13" ht="18" customHeight="1" x14ac:dyDescent="0.25">
      <c r="A1319" s="1667" t="s">
        <v>1872</v>
      </c>
      <c r="B1319" s="1620"/>
      <c r="C1319" s="1620"/>
      <c r="D1319" s="1620"/>
      <c r="E1319" s="1620"/>
      <c r="F1319" s="1621"/>
      <c r="G1319" s="97"/>
      <c r="H1319" s="101"/>
      <c r="I1319" s="101"/>
      <c r="J1319" s="101"/>
      <c r="K1319" s="102"/>
    </row>
    <row r="1320" spans="1:13" s="208" customFormat="1" ht="18" customHeight="1" x14ac:dyDescent="0.25">
      <c r="A1320" s="154" t="s">
        <v>201</v>
      </c>
      <c r="B1320" s="1106" t="s">
        <v>1388</v>
      </c>
      <c r="C1320" s="1042" t="s">
        <v>203</v>
      </c>
      <c r="D1320" s="1042"/>
      <c r="E1320" s="1042"/>
      <c r="F1320" s="1043"/>
      <c r="G1320" s="97"/>
      <c r="H1320" s="250"/>
      <c r="I1320" s="250">
        <v>100000</v>
      </c>
      <c r="J1320" s="250">
        <v>100000</v>
      </c>
      <c r="K1320" s="233">
        <v>100000</v>
      </c>
      <c r="L1320" s="207"/>
    </row>
    <row r="1321" spans="1:13" s="208" customFormat="1" ht="18" customHeight="1" x14ac:dyDescent="0.25">
      <c r="A1321" s="154" t="s">
        <v>201</v>
      </c>
      <c r="B1321" s="1106" t="s">
        <v>1388</v>
      </c>
      <c r="C1321" s="1042" t="s">
        <v>1986</v>
      </c>
      <c r="D1321" s="1042"/>
      <c r="E1321" s="1042"/>
      <c r="F1321" s="1043"/>
      <c r="G1321" s="97"/>
      <c r="H1321" s="250"/>
      <c r="I1321" s="250">
        <v>50000</v>
      </c>
      <c r="J1321" s="250">
        <v>50000</v>
      </c>
      <c r="K1321" s="233">
        <v>50000</v>
      </c>
      <c r="L1321" s="207"/>
    </row>
    <row r="1322" spans="1:13" s="191" customFormat="1" ht="18" customHeight="1" x14ac:dyDescent="0.25">
      <c r="A1322" s="1051"/>
      <c r="B1322" s="1041"/>
      <c r="C1322" s="1062" t="s">
        <v>1289</v>
      </c>
      <c r="D1322" s="1041"/>
      <c r="E1322" s="1041"/>
      <c r="F1322" s="1039"/>
      <c r="G1322" s="97"/>
      <c r="H1322" s="250"/>
      <c r="I1322" s="101"/>
      <c r="J1322" s="101"/>
      <c r="K1322" s="102"/>
      <c r="L1322" s="10"/>
    </row>
    <row r="1323" spans="1:13" s="191" customFormat="1" ht="18" customHeight="1" x14ac:dyDescent="0.25">
      <c r="A1323" s="1051"/>
      <c r="B1323" s="1041"/>
      <c r="C1323" s="1062" t="s">
        <v>1290</v>
      </c>
      <c r="D1323" s="1041"/>
      <c r="E1323" s="1041"/>
      <c r="F1323" s="1039"/>
      <c r="G1323" s="97"/>
      <c r="H1323" s="250"/>
      <c r="I1323" s="101"/>
      <c r="J1323" s="101"/>
      <c r="K1323" s="102"/>
      <c r="L1323" s="10"/>
    </row>
    <row r="1324" spans="1:13" s="208" customFormat="1" ht="18" x14ac:dyDescent="0.25">
      <c r="A1324" s="154"/>
      <c r="B1324" s="1042"/>
      <c r="C1324" s="1062" t="s">
        <v>1296</v>
      </c>
      <c r="D1324" s="1042"/>
      <c r="E1324" s="1042"/>
      <c r="F1324" s="1043"/>
      <c r="G1324" s="97"/>
      <c r="H1324" s="250"/>
      <c r="I1324" s="105"/>
      <c r="J1324" s="105"/>
      <c r="K1324" s="106"/>
      <c r="L1324" s="207"/>
    </row>
    <row r="1325" spans="1:13" ht="18" x14ac:dyDescent="0.25">
      <c r="A1325" s="459"/>
      <c r="B1325" s="235"/>
      <c r="C1325" s="1058" t="s">
        <v>200</v>
      </c>
      <c r="D1325" s="235"/>
      <c r="E1325" s="235"/>
      <c r="F1325" s="236"/>
      <c r="G1325" s="97"/>
      <c r="H1325" s="119">
        <f>SUM(H1319:H1324)</f>
        <v>0</v>
      </c>
      <c r="I1325" s="119">
        <f>SUM(I1319:I1324)</f>
        <v>150000</v>
      </c>
      <c r="J1325" s="119">
        <f>SUM(J1319:J1324)</f>
        <v>150000</v>
      </c>
      <c r="K1325" s="150">
        <f>SUM(K1319:K1324)</f>
        <v>150000</v>
      </c>
    </row>
    <row r="1326" spans="1:13" s="281" customFormat="1" ht="18.75" thickBot="1" x14ac:dyDescent="0.3">
      <c r="A1326" s="460"/>
      <c r="B1326" s="461"/>
      <c r="C1326" s="263" t="s">
        <v>15</v>
      </c>
      <c r="D1326" s="461"/>
      <c r="E1326" s="461"/>
      <c r="F1326" s="1267"/>
      <c r="G1326" s="462"/>
      <c r="H1326" s="183">
        <f>SUM(H1325+H1317+H1303)</f>
        <v>0</v>
      </c>
      <c r="I1326" s="183">
        <f>SUM(I1325+I1317+I1303)</f>
        <v>6746083.3399999999</v>
      </c>
      <c r="J1326" s="183">
        <f>SUM(J1325+J1317+J1303)</f>
        <v>6746083.3399999999</v>
      </c>
      <c r="K1326" s="183">
        <f>SUM(K1325+K1317+K1303)</f>
        <v>7092573.6500000004</v>
      </c>
      <c r="L1326" s="280"/>
    </row>
    <row r="1327" spans="1:13" ht="18" x14ac:dyDescent="0.25">
      <c r="A1327" s="235"/>
      <c r="B1327" s="235"/>
      <c r="C1327" s="51"/>
      <c r="D1327" s="235"/>
      <c r="E1327" s="235"/>
      <c r="F1327" s="235"/>
      <c r="G1327" s="125"/>
      <c r="H1327" s="141"/>
      <c r="I1327" s="141"/>
      <c r="J1327" s="141"/>
      <c r="K1327" s="122"/>
    </row>
    <row r="1328" spans="1:13" s="10" customFormat="1" ht="18" x14ac:dyDescent="0.25">
      <c r="A1328" s="235"/>
      <c r="B1328" s="235"/>
      <c r="C1328" s="51"/>
      <c r="D1328" s="235"/>
      <c r="E1328" s="235"/>
      <c r="F1328" s="235"/>
      <c r="G1328" s="125"/>
      <c r="H1328" s="141"/>
      <c r="I1328" s="141"/>
      <c r="J1328" s="141"/>
      <c r="K1328" s="122"/>
      <c r="M1328"/>
    </row>
    <row r="1329" spans="1:13" s="10" customFormat="1" ht="18" x14ac:dyDescent="0.25">
      <c r="A1329" s="235"/>
      <c r="B1329" s="235"/>
      <c r="C1329" s="51"/>
      <c r="D1329" s="235"/>
      <c r="E1329" s="235"/>
      <c r="F1329" s="235"/>
      <c r="G1329" s="125"/>
      <c r="H1329" s="141"/>
      <c r="I1329" s="141"/>
      <c r="J1329" s="141"/>
      <c r="K1329" s="122"/>
      <c r="M1329"/>
    </row>
    <row r="1330" spans="1:13" s="10" customFormat="1" ht="18" x14ac:dyDescent="0.25">
      <c r="A1330" s="235"/>
      <c r="B1330" s="235"/>
      <c r="C1330" s="51"/>
      <c r="D1330" s="235"/>
      <c r="E1330" s="235"/>
      <c r="F1330" s="235"/>
      <c r="G1330" s="125"/>
      <c r="H1330" s="141"/>
      <c r="I1330" s="141"/>
      <c r="J1330" s="141"/>
      <c r="K1330" s="122"/>
      <c r="M1330"/>
    </row>
    <row r="1331" spans="1:13" s="10" customFormat="1" ht="18" x14ac:dyDescent="0.25">
      <c r="A1331" s="235"/>
      <c r="B1331" s="235"/>
      <c r="C1331" s="51"/>
      <c r="D1331" s="235"/>
      <c r="E1331" s="235"/>
      <c r="F1331" s="235"/>
      <c r="G1331" s="125"/>
      <c r="H1331" s="141"/>
      <c r="I1331" s="141"/>
      <c r="J1331" s="141"/>
      <c r="K1331" s="122"/>
      <c r="M1331"/>
    </row>
    <row r="1332" spans="1:13" s="10" customFormat="1" ht="18" x14ac:dyDescent="0.25">
      <c r="A1332" s="235"/>
      <c r="B1332" s="235"/>
      <c r="C1332" s="51"/>
      <c r="D1332" s="235"/>
      <c r="E1332" s="235"/>
      <c r="F1332" s="235"/>
      <c r="G1332" s="125"/>
      <c r="H1332" s="141"/>
      <c r="I1332" s="141"/>
      <c r="J1332" s="141"/>
      <c r="K1332" s="122"/>
      <c r="M1332"/>
    </row>
    <row r="1333" spans="1:13" s="10" customFormat="1" ht="18" x14ac:dyDescent="0.25">
      <c r="A1333" s="235"/>
      <c r="B1333" s="235"/>
      <c r="C1333" s="51"/>
      <c r="D1333" s="235"/>
      <c r="E1333" s="235"/>
      <c r="F1333" s="235"/>
      <c r="G1333" s="125"/>
      <c r="H1333" s="141"/>
      <c r="I1333" s="141"/>
      <c r="J1333" s="141"/>
      <c r="K1333" s="122"/>
      <c r="M1333"/>
    </row>
    <row r="1334" spans="1:13" s="10" customFormat="1" ht="18" x14ac:dyDescent="0.25">
      <c r="A1334" s="235"/>
      <c r="B1334" s="235"/>
      <c r="C1334" s="51"/>
      <c r="D1334" s="235"/>
      <c r="E1334" s="235"/>
      <c r="F1334" s="235"/>
      <c r="G1334" s="125"/>
      <c r="H1334" s="141"/>
      <c r="I1334" s="141"/>
      <c r="J1334" s="141"/>
      <c r="K1334" s="122"/>
      <c r="M1334"/>
    </row>
    <row r="1335" spans="1:13" s="10" customFormat="1" ht="18" x14ac:dyDescent="0.25">
      <c r="A1335" s="235"/>
      <c r="B1335" s="235"/>
      <c r="C1335" s="51"/>
      <c r="D1335" s="235"/>
      <c r="E1335" s="235"/>
      <c r="F1335" s="235"/>
      <c r="G1335" s="125"/>
      <c r="H1335" s="141"/>
      <c r="I1335" s="141"/>
      <c r="J1335" s="141"/>
      <c r="K1335" s="122"/>
      <c r="M1335"/>
    </row>
    <row r="1336" spans="1:13" s="10" customFormat="1" ht="18" x14ac:dyDescent="0.25">
      <c r="A1336" s="235"/>
      <c r="B1336" s="235"/>
      <c r="C1336" s="51"/>
      <c r="D1336" s="235"/>
      <c r="E1336" s="235"/>
      <c r="F1336" s="235"/>
      <c r="G1336" s="125"/>
      <c r="H1336" s="141"/>
      <c r="I1336" s="141"/>
      <c r="J1336" s="141"/>
      <c r="K1336" s="122"/>
      <c r="M1336"/>
    </row>
    <row r="1337" spans="1:13" s="10" customFormat="1" ht="18" x14ac:dyDescent="0.25">
      <c r="A1337" s="235"/>
      <c r="B1337" s="235"/>
      <c r="C1337" s="51"/>
      <c r="D1337" s="235"/>
      <c r="E1337" s="235"/>
      <c r="F1337" s="235"/>
      <c r="G1337" s="125"/>
      <c r="H1337" s="141"/>
      <c r="I1337" s="141"/>
      <c r="J1337" s="141"/>
      <c r="K1337" s="122"/>
      <c r="M1337"/>
    </row>
    <row r="1338" spans="1:13" s="10" customFormat="1" ht="18" x14ac:dyDescent="0.25">
      <c r="A1338" s="235"/>
      <c r="B1338" s="235"/>
      <c r="C1338" s="51"/>
      <c r="D1338" s="235"/>
      <c r="E1338" s="235"/>
      <c r="F1338" s="235"/>
      <c r="G1338" s="125"/>
      <c r="H1338" s="141"/>
      <c r="I1338" s="141"/>
      <c r="J1338" s="141"/>
      <c r="K1338" s="122"/>
      <c r="M1338"/>
    </row>
    <row r="1339" spans="1:13" s="10" customFormat="1" ht="18" x14ac:dyDescent="0.25">
      <c r="A1339" s="235"/>
      <c r="B1339" s="235"/>
      <c r="C1339" s="51"/>
      <c r="D1339" s="235"/>
      <c r="E1339" s="235"/>
      <c r="F1339" s="235"/>
      <c r="G1339" s="125"/>
      <c r="H1339" s="141"/>
      <c r="I1339" s="141"/>
      <c r="J1339" s="141"/>
      <c r="K1339" s="122"/>
      <c r="M1339"/>
    </row>
    <row r="1340" spans="1:13" s="10" customFormat="1" ht="18" x14ac:dyDescent="0.25">
      <c r="A1340" s="235"/>
      <c r="B1340" s="235"/>
      <c r="C1340" s="51"/>
      <c r="D1340" s="235"/>
      <c r="E1340" s="235"/>
      <c r="F1340" s="235"/>
      <c r="G1340" s="125"/>
      <c r="H1340" s="141"/>
      <c r="I1340" s="141"/>
      <c r="J1340" s="141"/>
      <c r="K1340" s="122"/>
      <c r="M1340"/>
    </row>
    <row r="1341" spans="1:13" s="10" customFormat="1" ht="18" x14ac:dyDescent="0.25">
      <c r="A1341" s="235"/>
      <c r="B1341" s="235"/>
      <c r="C1341" s="51"/>
      <c r="D1341" s="235"/>
      <c r="E1341" s="235"/>
      <c r="F1341" s="235"/>
      <c r="G1341" s="125"/>
      <c r="H1341" s="141"/>
      <c r="I1341" s="141"/>
      <c r="J1341" s="141"/>
      <c r="K1341" s="122"/>
      <c r="M1341"/>
    </row>
    <row r="1342" spans="1:13" s="10" customFormat="1" ht="18" x14ac:dyDescent="0.25">
      <c r="A1342" s="235"/>
      <c r="B1342" s="235"/>
      <c r="C1342" s="51"/>
      <c r="D1342" s="235"/>
      <c r="E1342" s="235"/>
      <c r="F1342" s="235"/>
      <c r="G1342" s="125"/>
      <c r="H1342" s="141"/>
      <c r="I1342" s="141"/>
      <c r="J1342" s="141"/>
      <c r="K1342" s="122"/>
      <c r="M1342"/>
    </row>
    <row r="1343" spans="1:13" s="10" customFormat="1" ht="18" x14ac:dyDescent="0.25">
      <c r="A1343" s="235"/>
      <c r="B1343" s="235"/>
      <c r="C1343" s="51"/>
      <c r="D1343" s="235"/>
      <c r="E1343" s="235"/>
      <c r="F1343" s="235"/>
      <c r="G1343" s="125"/>
      <c r="H1343" s="141"/>
      <c r="I1343" s="141"/>
      <c r="J1343" s="141"/>
      <c r="K1343" s="122"/>
      <c r="M1343"/>
    </row>
    <row r="1344" spans="1:13" s="10" customFormat="1" ht="18" x14ac:dyDescent="0.25">
      <c r="A1344" s="235"/>
      <c r="B1344" s="235"/>
      <c r="C1344" s="51"/>
      <c r="D1344" s="235"/>
      <c r="E1344" s="235"/>
      <c r="F1344" s="235"/>
      <c r="G1344" s="125"/>
      <c r="H1344" s="141"/>
      <c r="I1344" s="141"/>
      <c r="J1344" s="141"/>
      <c r="K1344" s="122"/>
      <c r="M1344"/>
    </row>
    <row r="1345" spans="1:13" s="10" customFormat="1" ht="18" customHeight="1" x14ac:dyDescent="0.25">
      <c r="A1345" s="8" t="s">
        <v>112</v>
      </c>
      <c r="B1345" s="8"/>
      <c r="C1345" s="9"/>
      <c r="D1345" s="8"/>
      <c r="E1345" s="8"/>
      <c r="F1345" s="8"/>
      <c r="G1345" s="8"/>
      <c r="H1345" s="4"/>
      <c r="I1345" s="4"/>
      <c r="J1345" s="4"/>
      <c r="K1345" s="5"/>
      <c r="M1345"/>
    </row>
    <row r="1346" spans="1:13" s="10" customFormat="1" ht="18" customHeight="1" x14ac:dyDescent="0.25">
      <c r="A1346" s="8" t="s">
        <v>1987</v>
      </c>
      <c r="B1346" s="8"/>
      <c r="C1346" s="9"/>
      <c r="D1346" s="8"/>
      <c r="E1346" s="8"/>
      <c r="F1346" s="8"/>
      <c r="G1346" s="8"/>
      <c r="H1346" s="4"/>
      <c r="I1346" s="4"/>
      <c r="J1346" s="4"/>
      <c r="K1346" s="5"/>
      <c r="M1346"/>
    </row>
    <row r="1347" spans="1:13" s="10" customFormat="1" ht="18" customHeight="1" x14ac:dyDescent="0.25">
      <c r="A1347" s="1636" t="s">
        <v>113</v>
      </c>
      <c r="B1347" s="1636"/>
      <c r="C1347" s="1636"/>
      <c r="D1347" s="1636"/>
      <c r="E1347" s="1636"/>
      <c r="F1347" s="1636"/>
      <c r="G1347" s="1636"/>
      <c r="H1347" s="1636"/>
      <c r="I1347" s="1636"/>
      <c r="J1347" s="1636"/>
      <c r="K1347" s="1060"/>
      <c r="M1347"/>
    </row>
    <row r="1348" spans="1:13" s="7" customFormat="1" ht="18" customHeight="1" x14ac:dyDescent="0.25">
      <c r="A1348" s="1624" t="s">
        <v>114</v>
      </c>
      <c r="B1348" s="1624"/>
      <c r="C1348" s="1624"/>
      <c r="D1348" s="1624"/>
      <c r="E1348" s="1624"/>
      <c r="F1348" s="1624"/>
      <c r="G1348" s="1624"/>
      <c r="H1348" s="1624"/>
      <c r="I1348" s="1624"/>
      <c r="J1348" s="1624"/>
      <c r="K1348" s="159"/>
      <c r="L1348" s="6"/>
    </row>
    <row r="1349" spans="1:13" ht="18" x14ac:dyDescent="0.25">
      <c r="A1349" s="235"/>
      <c r="B1349" s="235"/>
      <c r="C1349" s="51"/>
      <c r="D1349" s="235"/>
      <c r="E1349" s="235"/>
      <c r="F1349" s="235"/>
      <c r="G1349" s="125"/>
      <c r="H1349" s="141"/>
      <c r="I1349" s="141"/>
      <c r="J1349" s="141"/>
      <c r="K1349" s="122"/>
    </row>
    <row r="1350" spans="1:13" ht="18" x14ac:dyDescent="0.25">
      <c r="A1350" s="235"/>
      <c r="B1350" s="235"/>
      <c r="C1350" s="51"/>
      <c r="D1350" s="235"/>
      <c r="E1350" s="235"/>
      <c r="F1350" s="235"/>
      <c r="G1350" s="125"/>
      <c r="H1350" s="141"/>
      <c r="I1350" s="141"/>
      <c r="J1350" s="141"/>
      <c r="K1350" s="122"/>
    </row>
    <row r="1351" spans="1:13" s="146" customFormat="1" ht="18.75" thickBot="1" x14ac:dyDescent="0.3">
      <c r="A1351" s="1" t="s">
        <v>1298</v>
      </c>
      <c r="B1351" s="1"/>
      <c r="C1351" s="2"/>
      <c r="D1351" s="3"/>
      <c r="E1351" s="3"/>
      <c r="F1351" s="3"/>
      <c r="G1351" s="3"/>
      <c r="H1351" s="4"/>
      <c r="I1351" s="4"/>
      <c r="J1351" s="4"/>
      <c r="K1351" s="5"/>
      <c r="L1351" s="10"/>
    </row>
    <row r="1352" spans="1:13" s="48" customFormat="1" ht="21.75" customHeight="1" thickBot="1" x14ac:dyDescent="0.3">
      <c r="A1352" s="1655" t="s">
        <v>115</v>
      </c>
      <c r="B1352" s="1655"/>
      <c r="C1352" s="1655"/>
      <c r="D1352" s="1655"/>
      <c r="E1352" s="1655"/>
      <c r="F1352" s="1655"/>
      <c r="G1352" s="1151"/>
      <c r="H1352" s="1708" t="s">
        <v>1537</v>
      </c>
      <c r="I1352" s="1710" t="s">
        <v>1538</v>
      </c>
      <c r="J1352" s="1710" t="s">
        <v>1539</v>
      </c>
      <c r="K1352" s="1710" t="s">
        <v>1540</v>
      </c>
      <c r="L1352" s="47"/>
    </row>
    <row r="1353" spans="1:13" s="1153" customFormat="1" ht="31.5" customHeight="1" thickBot="1" x14ac:dyDescent="0.3">
      <c r="A1353" s="1655"/>
      <c r="B1353" s="1655"/>
      <c r="C1353" s="1655"/>
      <c r="D1353" s="1655"/>
      <c r="E1353" s="1655"/>
      <c r="F1353" s="1655"/>
      <c r="G1353" s="1067" t="s">
        <v>116</v>
      </c>
      <c r="H1353" s="1709"/>
      <c r="I1353" s="1710"/>
      <c r="J1353" s="1710"/>
      <c r="K1353" s="1710"/>
      <c r="L1353" s="1152"/>
    </row>
    <row r="1354" spans="1:13" s="146" customFormat="1" ht="18" x14ac:dyDescent="0.25">
      <c r="A1354" s="1670" t="s">
        <v>121</v>
      </c>
      <c r="B1354" s="1670"/>
      <c r="C1354" s="1670"/>
      <c r="D1354" s="1670"/>
      <c r="E1354" s="1670"/>
      <c r="F1354" s="1670"/>
      <c r="G1354" s="94"/>
      <c r="H1354" s="95"/>
      <c r="I1354" s="95"/>
      <c r="J1354" s="95"/>
      <c r="K1354" s="96"/>
      <c r="L1354" s="10"/>
    </row>
    <row r="1355" spans="1:13" s="146" customFormat="1" ht="18" x14ac:dyDescent="0.25">
      <c r="A1355" s="1071"/>
      <c r="B1355" s="1047"/>
      <c r="C1355" s="1621" t="s">
        <v>122</v>
      </c>
      <c r="D1355" s="1666"/>
      <c r="E1355" s="1666"/>
      <c r="F1355" s="1666"/>
      <c r="G1355" s="97"/>
      <c r="H1355" s="98"/>
      <c r="I1355" s="98"/>
      <c r="J1355" s="98"/>
      <c r="K1355" s="99"/>
      <c r="L1355" s="10"/>
    </row>
    <row r="1356" spans="1:13" s="146" customFormat="1" ht="18" x14ac:dyDescent="0.25">
      <c r="A1356" s="1051" t="s">
        <v>123</v>
      </c>
      <c r="B1356" s="1106" t="s">
        <v>1388</v>
      </c>
      <c r="C1356" s="1602" t="s">
        <v>124</v>
      </c>
      <c r="D1356" s="1603"/>
      <c r="E1356" s="1603"/>
      <c r="F1356" s="1603"/>
      <c r="G1356" s="100" t="s">
        <v>125</v>
      </c>
      <c r="H1356" s="101"/>
      <c r="I1356" s="101">
        <v>3301044</v>
      </c>
      <c r="J1356" s="101">
        <v>3301044</v>
      </c>
      <c r="K1356" s="102">
        <f>3168372+456</f>
        <v>3168828</v>
      </c>
      <c r="L1356" s="10"/>
    </row>
    <row r="1357" spans="1:13" s="146" customFormat="1" ht="18" x14ac:dyDescent="0.25">
      <c r="A1357" s="1105" t="s">
        <v>123</v>
      </c>
      <c r="B1357" s="1106" t="s">
        <v>1388</v>
      </c>
      <c r="C1357" s="1602" t="s">
        <v>129</v>
      </c>
      <c r="D1357" s="1603"/>
      <c r="E1357" s="1603"/>
      <c r="F1357" s="1603"/>
      <c r="G1357" s="103" t="s">
        <v>130</v>
      </c>
      <c r="H1357" s="101"/>
      <c r="I1357" s="101">
        <v>432000</v>
      </c>
      <c r="J1357" s="101">
        <v>432000</v>
      </c>
      <c r="K1357" s="102">
        <v>432000</v>
      </c>
      <c r="L1357" s="10"/>
    </row>
    <row r="1358" spans="1:13" s="146" customFormat="1" ht="18" x14ac:dyDescent="0.25">
      <c r="A1358" s="1105" t="s">
        <v>123</v>
      </c>
      <c r="B1358" s="1106" t="s">
        <v>1388</v>
      </c>
      <c r="C1358" s="1602" t="s">
        <v>135</v>
      </c>
      <c r="D1358" s="1603"/>
      <c r="E1358" s="1603"/>
      <c r="F1358" s="1603"/>
      <c r="G1358" s="100" t="s">
        <v>136</v>
      </c>
      <c r="H1358" s="102"/>
      <c r="I1358" s="1154">
        <v>720902.73</v>
      </c>
      <c r="J1358" s="1154">
        <v>720902.73</v>
      </c>
      <c r="K1358" s="102">
        <v>720902.73</v>
      </c>
      <c r="L1358" s="10"/>
    </row>
    <row r="1359" spans="1:13" s="146" customFormat="1" ht="18" x14ac:dyDescent="0.25">
      <c r="A1359" s="1105" t="s">
        <v>123</v>
      </c>
      <c r="B1359" s="1106" t="s">
        <v>1388</v>
      </c>
      <c r="C1359" s="1602" t="s">
        <v>137</v>
      </c>
      <c r="D1359" s="1603"/>
      <c r="E1359" s="1603"/>
      <c r="F1359" s="1603"/>
      <c r="G1359" s="100" t="s">
        <v>138</v>
      </c>
      <c r="H1359" s="101"/>
      <c r="I1359" s="101">
        <v>108000</v>
      </c>
      <c r="J1359" s="101">
        <v>108000</v>
      </c>
      <c r="K1359" s="102">
        <v>108000</v>
      </c>
      <c r="L1359" s="10"/>
    </row>
    <row r="1360" spans="1:13" s="146" customFormat="1" ht="18" customHeight="1" x14ac:dyDescent="0.25">
      <c r="A1360" s="1105" t="s">
        <v>123</v>
      </c>
      <c r="B1360" s="1106" t="s">
        <v>1388</v>
      </c>
      <c r="C1360" s="1602" t="s">
        <v>1541</v>
      </c>
      <c r="D1360" s="1603"/>
      <c r="E1360" s="1603"/>
      <c r="F1360" s="1603"/>
      <c r="G1360" s="100" t="s">
        <v>140</v>
      </c>
      <c r="H1360" s="101"/>
      <c r="I1360" s="101">
        <v>275087</v>
      </c>
      <c r="J1360" s="101">
        <v>275087</v>
      </c>
      <c r="K1360" s="102">
        <v>264031</v>
      </c>
      <c r="L1360" s="10"/>
    </row>
    <row r="1361" spans="1:12" s="146" customFormat="1" ht="18" x14ac:dyDescent="0.25">
      <c r="A1361" s="1105" t="s">
        <v>123</v>
      </c>
      <c r="B1361" s="1106" t="s">
        <v>1388</v>
      </c>
      <c r="C1361" s="1602" t="s">
        <v>141</v>
      </c>
      <c r="D1361" s="1603"/>
      <c r="E1361" s="1603"/>
      <c r="F1361" s="1603"/>
      <c r="G1361" s="100" t="s">
        <v>142</v>
      </c>
      <c r="H1361" s="101"/>
      <c r="I1361" s="101">
        <v>275087</v>
      </c>
      <c r="J1361" s="101">
        <v>275087</v>
      </c>
      <c r="K1361" s="102">
        <v>264145</v>
      </c>
      <c r="L1361" s="10"/>
    </row>
    <row r="1362" spans="1:12" s="146" customFormat="1" ht="18" x14ac:dyDescent="0.25">
      <c r="A1362" s="1105" t="s">
        <v>123</v>
      </c>
      <c r="B1362" s="1106" t="s">
        <v>1388</v>
      </c>
      <c r="C1362" s="1602" t="s">
        <v>1542</v>
      </c>
      <c r="D1362" s="1603"/>
      <c r="E1362" s="1603"/>
      <c r="F1362" s="1603"/>
      <c r="G1362" s="100"/>
      <c r="H1362" s="101"/>
      <c r="I1362" s="101"/>
      <c r="J1362" s="101"/>
      <c r="K1362" s="102"/>
      <c r="L1362" s="10"/>
    </row>
    <row r="1363" spans="1:12" s="146" customFormat="1" ht="18" x14ac:dyDescent="0.25">
      <c r="A1363" s="1105" t="s">
        <v>123</v>
      </c>
      <c r="B1363" s="1106" t="s">
        <v>1388</v>
      </c>
      <c r="C1363" s="1602" t="s">
        <v>143</v>
      </c>
      <c r="D1363" s="1603"/>
      <c r="E1363" s="1603"/>
      <c r="F1363" s="1603"/>
      <c r="G1363" s="100" t="s">
        <v>144</v>
      </c>
      <c r="H1363" s="101"/>
      <c r="I1363" s="101">
        <v>90000</v>
      </c>
      <c r="J1363" s="101">
        <v>90000</v>
      </c>
      <c r="K1363" s="102">
        <v>90000</v>
      </c>
      <c r="L1363" s="10"/>
    </row>
    <row r="1364" spans="1:12" s="146" customFormat="1" ht="18" x14ac:dyDescent="0.25">
      <c r="A1364" s="1105" t="s">
        <v>123</v>
      </c>
      <c r="B1364" s="1106" t="s">
        <v>1388</v>
      </c>
      <c r="C1364" s="1611" t="s">
        <v>1543</v>
      </c>
      <c r="D1364" s="1611"/>
      <c r="E1364" s="1611"/>
      <c r="F1364" s="1602"/>
      <c r="G1364" s="100" t="s">
        <v>146</v>
      </c>
      <c r="H1364" s="101"/>
      <c r="I1364" s="101">
        <v>90000</v>
      </c>
      <c r="J1364" s="101">
        <v>90000</v>
      </c>
      <c r="K1364" s="102">
        <v>90000</v>
      </c>
      <c r="L1364" s="10"/>
    </row>
    <row r="1365" spans="1:12" s="146" customFormat="1" ht="18" x14ac:dyDescent="0.25">
      <c r="A1365" s="1105" t="s">
        <v>123</v>
      </c>
      <c r="B1365" s="1106" t="s">
        <v>1388</v>
      </c>
      <c r="C1365" s="1041" t="s">
        <v>1568</v>
      </c>
      <c r="D1365" s="1041"/>
      <c r="E1365" s="1041"/>
      <c r="F1365" s="1039"/>
      <c r="G1365" s="100"/>
      <c r="H1365" s="101"/>
      <c r="I1365" s="101"/>
      <c r="J1365" s="101"/>
      <c r="K1365" s="102">
        <v>5000</v>
      </c>
      <c r="L1365" s="10"/>
    </row>
    <row r="1366" spans="1:12" s="146" customFormat="1" ht="18" x14ac:dyDescent="0.25">
      <c r="A1366" s="1105" t="s">
        <v>123</v>
      </c>
      <c r="B1366" s="1106" t="s">
        <v>1388</v>
      </c>
      <c r="C1366" s="1062" t="s">
        <v>147</v>
      </c>
      <c r="D1366" s="1041"/>
      <c r="E1366" s="1041"/>
      <c r="F1366" s="1039"/>
      <c r="G1366" s="100" t="s">
        <v>148</v>
      </c>
      <c r="H1366" s="101"/>
      <c r="I1366" s="101"/>
      <c r="J1366" s="101"/>
      <c r="K1366" s="102"/>
      <c r="L1366" s="10"/>
    </row>
    <row r="1367" spans="1:12" s="146" customFormat="1" ht="18" x14ac:dyDescent="0.25">
      <c r="A1367" s="1105" t="s">
        <v>123</v>
      </c>
      <c r="B1367" s="1106" t="s">
        <v>1388</v>
      </c>
      <c r="C1367" s="1611" t="s">
        <v>1544</v>
      </c>
      <c r="D1367" s="1611"/>
      <c r="E1367" s="1611"/>
      <c r="F1367" s="1602"/>
      <c r="G1367" s="100" t="s">
        <v>148</v>
      </c>
      <c r="H1367" s="101"/>
      <c r="I1367" s="101"/>
      <c r="J1367" s="101"/>
      <c r="K1367" s="102"/>
      <c r="L1367" s="10"/>
    </row>
    <row r="1368" spans="1:12" s="146" customFormat="1" ht="18" x14ac:dyDescent="0.25">
      <c r="A1368" s="1105" t="s">
        <v>123</v>
      </c>
      <c r="B1368" s="1106" t="s">
        <v>1388</v>
      </c>
      <c r="C1368" s="1045" t="s">
        <v>149</v>
      </c>
      <c r="D1368" s="1041"/>
      <c r="E1368" s="1041"/>
      <c r="F1368" s="1039"/>
      <c r="G1368" s="100" t="s">
        <v>150</v>
      </c>
      <c r="H1368" s="101"/>
      <c r="I1368" s="101"/>
      <c r="J1368" s="101"/>
      <c r="K1368" s="102"/>
      <c r="L1368" s="10"/>
    </row>
    <row r="1369" spans="1:12" s="146" customFormat="1" ht="18" x14ac:dyDescent="0.25">
      <c r="A1369" s="1105" t="s">
        <v>123</v>
      </c>
      <c r="B1369" s="1106" t="s">
        <v>1388</v>
      </c>
      <c r="C1369" s="1611" t="s">
        <v>1545</v>
      </c>
      <c r="D1369" s="1611"/>
      <c r="E1369" s="1611"/>
      <c r="F1369" s="1602"/>
      <c r="G1369" s="100" t="s">
        <v>154</v>
      </c>
      <c r="H1369" s="101"/>
      <c r="I1369" s="101">
        <v>396125.28</v>
      </c>
      <c r="J1369" s="101">
        <v>396125.28</v>
      </c>
      <c r="K1369" s="102">
        <v>380259.36</v>
      </c>
      <c r="L1369" s="10"/>
    </row>
    <row r="1370" spans="1:12" s="146" customFormat="1" ht="18" x14ac:dyDescent="0.25">
      <c r="A1370" s="1105" t="s">
        <v>123</v>
      </c>
      <c r="B1370" s="1106" t="s">
        <v>1388</v>
      </c>
      <c r="C1370" s="1611" t="s">
        <v>155</v>
      </c>
      <c r="D1370" s="1611"/>
      <c r="E1370" s="1611"/>
      <c r="F1370" s="1602"/>
      <c r="G1370" s="100" t="s">
        <v>156</v>
      </c>
      <c r="H1370" s="101"/>
      <c r="I1370" s="101">
        <v>21600</v>
      </c>
      <c r="J1370" s="101">
        <v>21600</v>
      </c>
      <c r="K1370" s="102">
        <v>21600</v>
      </c>
      <c r="L1370" s="10"/>
    </row>
    <row r="1371" spans="1:12" s="146" customFormat="1" ht="18" x14ac:dyDescent="0.25">
      <c r="A1371" s="1105" t="s">
        <v>123</v>
      </c>
      <c r="B1371" s="1106" t="s">
        <v>1388</v>
      </c>
      <c r="C1371" s="1611" t="s">
        <v>157</v>
      </c>
      <c r="D1371" s="1611"/>
      <c r="E1371" s="1611"/>
      <c r="F1371" s="1602"/>
      <c r="G1371" s="100" t="s">
        <v>158</v>
      </c>
      <c r="H1371" s="101"/>
      <c r="I1371" s="101">
        <v>74273.490000000005</v>
      </c>
      <c r="J1371" s="101">
        <v>74273.490000000005</v>
      </c>
      <c r="K1371" s="102">
        <v>71298.63</v>
      </c>
      <c r="L1371" s="10"/>
    </row>
    <row r="1372" spans="1:12" s="146" customFormat="1" ht="18" x14ac:dyDescent="0.25">
      <c r="A1372" s="1105" t="s">
        <v>123</v>
      </c>
      <c r="B1372" s="1106" t="s">
        <v>1388</v>
      </c>
      <c r="C1372" s="1611" t="s">
        <v>1546</v>
      </c>
      <c r="D1372" s="1611"/>
      <c r="E1372" s="1611"/>
      <c r="F1372" s="1602"/>
      <c r="G1372" s="100" t="s">
        <v>160</v>
      </c>
      <c r="H1372" s="105"/>
      <c r="I1372" s="105">
        <v>21600</v>
      </c>
      <c r="J1372" s="105">
        <v>21600</v>
      </c>
      <c r="K1372" s="106">
        <v>21600</v>
      </c>
      <c r="L1372" s="10"/>
    </row>
    <row r="1373" spans="1:12" s="146" customFormat="1" ht="18" x14ac:dyDescent="0.25">
      <c r="A1373" s="1051"/>
      <c r="B1373" s="1041"/>
      <c r="C1373" s="1620" t="s">
        <v>161</v>
      </c>
      <c r="D1373" s="1620"/>
      <c r="E1373" s="1620"/>
      <c r="F1373" s="1621"/>
      <c r="G1373" s="376"/>
      <c r="H1373" s="119">
        <f>SUM(H1356:H1372)</f>
        <v>0</v>
      </c>
      <c r="I1373" s="119">
        <f>SUM(I1356:I1372)</f>
        <v>5805719.5000000009</v>
      </c>
      <c r="J1373" s="119">
        <f>SUM(J1356:J1372)</f>
        <v>5805719.5000000009</v>
      </c>
      <c r="K1373" s="150">
        <f>SUM(K1356:K1372)</f>
        <v>5637664.7200000007</v>
      </c>
      <c r="L1373" s="10"/>
    </row>
    <row r="1374" spans="1:12" s="146" customFormat="1" ht="18" x14ac:dyDescent="0.25">
      <c r="A1374" s="1051"/>
      <c r="B1374" s="1041"/>
      <c r="C1374" s="1047"/>
      <c r="D1374" s="1047"/>
      <c r="E1374" s="1047"/>
      <c r="F1374" s="1048"/>
      <c r="G1374" s="376"/>
      <c r="H1374" s="155"/>
      <c r="I1374" s="155"/>
      <c r="J1374" s="155"/>
      <c r="K1374" s="156"/>
      <c r="L1374" s="10"/>
    </row>
    <row r="1375" spans="1:12" s="146" customFormat="1" ht="18" x14ac:dyDescent="0.25">
      <c r="A1375" s="1071"/>
      <c r="B1375" s="1047"/>
      <c r="C1375" s="1620" t="s">
        <v>162</v>
      </c>
      <c r="D1375" s="1620"/>
      <c r="E1375" s="1620"/>
      <c r="F1375" s="1621"/>
      <c r="G1375" s="376"/>
      <c r="H1375" s="101"/>
      <c r="I1375" s="101"/>
      <c r="J1375" s="101"/>
      <c r="K1375" s="102"/>
      <c r="L1375" s="10"/>
    </row>
    <row r="1376" spans="1:12" s="229" customFormat="1" ht="18" customHeight="1" x14ac:dyDescent="0.25">
      <c r="A1376" s="154" t="s">
        <v>163</v>
      </c>
      <c r="B1376" s="1106" t="s">
        <v>1388</v>
      </c>
      <c r="C1376" s="44" t="s">
        <v>353</v>
      </c>
      <c r="D1376" s="125"/>
      <c r="E1376" s="125"/>
      <c r="F1376" s="134"/>
      <c r="G1376" s="100" t="s">
        <v>165</v>
      </c>
      <c r="H1376" s="101"/>
      <c r="I1376" s="101">
        <v>30000</v>
      </c>
      <c r="J1376" s="101">
        <v>30000</v>
      </c>
      <c r="K1376" s="102">
        <v>30000</v>
      </c>
      <c r="L1376" s="207"/>
    </row>
    <row r="1377" spans="1:12" s="229" customFormat="1" ht="18" customHeight="1" x14ac:dyDescent="0.25">
      <c r="A1377" s="154" t="s">
        <v>163</v>
      </c>
      <c r="B1377" s="1106" t="s">
        <v>1388</v>
      </c>
      <c r="C1377" s="44" t="s">
        <v>166</v>
      </c>
      <c r="D1377" s="125"/>
      <c r="E1377" s="125"/>
      <c r="F1377" s="134"/>
      <c r="G1377" s="100"/>
      <c r="H1377" s="101"/>
      <c r="I1377" s="101"/>
      <c r="J1377" s="101"/>
      <c r="K1377" s="102">
        <v>50000</v>
      </c>
      <c r="L1377" s="207"/>
    </row>
    <row r="1378" spans="1:12" s="229" customFormat="1" ht="18" customHeight="1" x14ac:dyDescent="0.25">
      <c r="A1378" s="154" t="s">
        <v>163</v>
      </c>
      <c r="B1378" s="1106" t="s">
        <v>1388</v>
      </c>
      <c r="C1378" s="44" t="s">
        <v>168</v>
      </c>
      <c r="D1378" s="125"/>
      <c r="E1378" s="125"/>
      <c r="F1378" s="134"/>
      <c r="G1378" s="100" t="s">
        <v>169</v>
      </c>
      <c r="H1378" s="101"/>
      <c r="I1378" s="101">
        <v>142839</v>
      </c>
      <c r="J1378" s="101">
        <v>142839</v>
      </c>
      <c r="K1378" s="102">
        <v>142839</v>
      </c>
      <c r="L1378" s="207"/>
    </row>
    <row r="1379" spans="1:12" s="229" customFormat="1" ht="18" customHeight="1" x14ac:dyDescent="0.25">
      <c r="A1379" s="154" t="s">
        <v>163</v>
      </c>
      <c r="B1379" s="1106" t="s">
        <v>1388</v>
      </c>
      <c r="C1379" s="44" t="s">
        <v>1299</v>
      </c>
      <c r="D1379" s="125"/>
      <c r="E1379" s="125"/>
      <c r="F1379" s="1043"/>
      <c r="G1379" s="100" t="s">
        <v>427</v>
      </c>
      <c r="H1379" s="101"/>
      <c r="I1379" s="101">
        <v>401800</v>
      </c>
      <c r="J1379" s="101">
        <v>401800</v>
      </c>
      <c r="K1379" s="102">
        <v>401800</v>
      </c>
      <c r="L1379" s="207"/>
    </row>
    <row r="1380" spans="1:12" s="229" customFormat="1" ht="18" customHeight="1" x14ac:dyDescent="0.25">
      <c r="A1380" s="154" t="s">
        <v>163</v>
      </c>
      <c r="B1380" s="1106" t="s">
        <v>1388</v>
      </c>
      <c r="C1380" s="44" t="s">
        <v>172</v>
      </c>
      <c r="D1380" s="125"/>
      <c r="E1380" s="125"/>
      <c r="F1380" s="134"/>
      <c r="G1380" s="100" t="s">
        <v>173</v>
      </c>
      <c r="H1380" s="101"/>
      <c r="I1380" s="101">
        <v>26000</v>
      </c>
      <c r="J1380" s="101">
        <v>26000</v>
      </c>
      <c r="K1380" s="102">
        <v>26000</v>
      </c>
      <c r="L1380" s="207"/>
    </row>
    <row r="1381" spans="1:12" s="229" customFormat="1" ht="18" customHeight="1" x14ac:dyDescent="0.25">
      <c r="A1381" s="154" t="s">
        <v>163</v>
      </c>
      <c r="B1381" s="1106" t="s">
        <v>1388</v>
      </c>
      <c r="C1381" s="1062" t="s">
        <v>170</v>
      </c>
      <c r="D1381" s="1042"/>
      <c r="E1381" s="1042"/>
      <c r="F1381" s="1043"/>
      <c r="G1381" s="100" t="s">
        <v>171</v>
      </c>
      <c r="H1381" s="101"/>
      <c r="I1381" s="101">
        <f>94367+12000+30000+32000+32000+32000+22000</f>
        <v>254367</v>
      </c>
      <c r="J1381" s="101">
        <f>94367+12000+30000+32000+32000+32000+22000</f>
        <v>254367</v>
      </c>
      <c r="K1381" s="102">
        <f>94367+12000+30000+32000+32000+32000+22000</f>
        <v>254367</v>
      </c>
      <c r="L1381" s="207"/>
    </row>
    <row r="1382" spans="1:12" s="229" customFormat="1" ht="18" customHeight="1" x14ac:dyDescent="0.25">
      <c r="A1382" s="154" t="s">
        <v>163</v>
      </c>
      <c r="B1382" s="1106" t="s">
        <v>1388</v>
      </c>
      <c r="C1382" s="44" t="s">
        <v>182</v>
      </c>
      <c r="D1382" s="125"/>
      <c r="E1382" s="125"/>
      <c r="F1382" s="134"/>
      <c r="G1382" s="100" t="s">
        <v>183</v>
      </c>
      <c r="H1382" s="101"/>
      <c r="I1382" s="101">
        <v>42000</v>
      </c>
      <c r="J1382" s="101">
        <v>42000</v>
      </c>
      <c r="K1382" s="102">
        <v>42000</v>
      </c>
      <c r="L1382" s="207"/>
    </row>
    <row r="1383" spans="1:12" s="229" customFormat="1" ht="18" customHeight="1" x14ac:dyDescent="0.25">
      <c r="A1383" s="154" t="s">
        <v>163</v>
      </c>
      <c r="B1383" s="1106" t="s">
        <v>1388</v>
      </c>
      <c r="C1383" s="44" t="s">
        <v>186</v>
      </c>
      <c r="D1383" s="125"/>
      <c r="E1383" s="125"/>
      <c r="F1383" s="134"/>
      <c r="G1383" s="100"/>
      <c r="H1383" s="101"/>
      <c r="I1383" s="105">
        <v>20000</v>
      </c>
      <c r="J1383" s="105">
        <v>20000</v>
      </c>
      <c r="K1383" s="106">
        <v>20000</v>
      </c>
      <c r="L1383" s="207"/>
    </row>
    <row r="1384" spans="1:12" s="146" customFormat="1" ht="18" x14ac:dyDescent="0.25">
      <c r="A1384" s="1051"/>
      <c r="B1384" s="1041"/>
      <c r="C1384" s="1621" t="s">
        <v>200</v>
      </c>
      <c r="D1384" s="1666"/>
      <c r="E1384" s="1666"/>
      <c r="F1384" s="1666"/>
      <c r="G1384" s="97"/>
      <c r="H1384" s="119">
        <f>SUM(H1376:H1383)</f>
        <v>0</v>
      </c>
      <c r="I1384" s="119">
        <f>SUM(I1376:I1383)</f>
        <v>917006</v>
      </c>
      <c r="J1384" s="119">
        <f>SUM(J1376:J1383)</f>
        <v>917006</v>
      </c>
      <c r="K1384" s="150">
        <f>SUM(K1376:K1383)</f>
        <v>967006</v>
      </c>
      <c r="L1384" s="10"/>
    </row>
    <row r="1385" spans="1:12" s="146" customFormat="1" ht="18" x14ac:dyDescent="0.25">
      <c r="A1385" s="1051"/>
      <c r="B1385" s="1041"/>
      <c r="C1385" s="1047"/>
      <c r="D1385" s="1047"/>
      <c r="E1385" s="1047"/>
      <c r="F1385" s="1048"/>
      <c r="G1385" s="97"/>
      <c r="H1385" s="155"/>
      <c r="I1385" s="155"/>
      <c r="J1385" s="155"/>
      <c r="K1385" s="156"/>
      <c r="L1385" s="10"/>
    </row>
    <row r="1386" spans="1:12" s="146" customFormat="1" ht="18" customHeight="1" x14ac:dyDescent="0.25">
      <c r="A1386" s="1667" t="s">
        <v>1872</v>
      </c>
      <c r="B1386" s="1620"/>
      <c r="C1386" s="1620"/>
      <c r="D1386" s="1620"/>
      <c r="E1386" s="1620"/>
      <c r="F1386" s="1621"/>
      <c r="G1386" s="97"/>
      <c r="H1386" s="101"/>
      <c r="I1386" s="101"/>
      <c r="J1386" s="101"/>
      <c r="K1386" s="102"/>
      <c r="L1386" s="10"/>
    </row>
    <row r="1387" spans="1:12" s="146" customFormat="1" ht="18" customHeight="1" x14ac:dyDescent="0.25">
      <c r="A1387" s="1105" t="s">
        <v>201</v>
      </c>
      <c r="B1387" s="1106" t="s">
        <v>1388</v>
      </c>
      <c r="C1387" s="1042" t="s">
        <v>516</v>
      </c>
      <c r="D1387" s="1047"/>
      <c r="E1387" s="1047"/>
      <c r="F1387" s="1047"/>
      <c r="G1387" s="97"/>
      <c r="H1387" s="101"/>
      <c r="I1387" s="101">
        <v>200000</v>
      </c>
      <c r="J1387" s="101">
        <v>200000</v>
      </c>
      <c r="K1387" s="102">
        <v>200000</v>
      </c>
      <c r="L1387" s="10"/>
    </row>
    <row r="1388" spans="1:12" s="146" customFormat="1" ht="18" customHeight="1" x14ac:dyDescent="0.25">
      <c r="A1388" s="1105" t="s">
        <v>201</v>
      </c>
      <c r="B1388" s="1106" t="s">
        <v>1388</v>
      </c>
      <c r="C1388" s="1042" t="s">
        <v>1988</v>
      </c>
      <c r="D1388" s="1047"/>
      <c r="E1388" s="1047"/>
      <c r="F1388" s="1047"/>
      <c r="G1388" s="97"/>
      <c r="H1388" s="101"/>
      <c r="I1388" s="101">
        <v>170000</v>
      </c>
      <c r="J1388" s="101">
        <v>170000</v>
      </c>
      <c r="K1388" s="102">
        <v>170000</v>
      </c>
      <c r="L1388" s="10"/>
    </row>
    <row r="1389" spans="1:12" s="229" customFormat="1" ht="36" customHeight="1" x14ac:dyDescent="0.25">
      <c r="A1389" s="1107"/>
      <c r="B1389" s="1106"/>
      <c r="C1389" s="1117"/>
      <c r="D1389" s="1117"/>
      <c r="E1389" s="125"/>
      <c r="F1389" s="125"/>
      <c r="G1389" s="221"/>
      <c r="H1389" s="141"/>
      <c r="I1389" s="141"/>
      <c r="J1389" s="141"/>
      <c r="K1389" s="122"/>
      <c r="L1389" s="207"/>
    </row>
    <row r="1390" spans="1:12" s="229" customFormat="1" ht="36" customHeight="1" x14ac:dyDescent="0.25">
      <c r="A1390" s="1107"/>
      <c r="B1390" s="1106"/>
      <c r="C1390" s="1117"/>
      <c r="D1390" s="1117"/>
      <c r="E1390" s="125"/>
      <c r="F1390" s="125"/>
      <c r="G1390" s="221"/>
      <c r="H1390" s="141"/>
      <c r="I1390" s="141"/>
      <c r="J1390" s="141"/>
      <c r="K1390" s="122"/>
      <c r="L1390" s="207"/>
    </row>
    <row r="1391" spans="1:12" s="229" customFormat="1" ht="36" customHeight="1" x14ac:dyDescent="0.25">
      <c r="A1391" s="1107"/>
      <c r="B1391" s="1106"/>
      <c r="C1391" s="1117"/>
      <c r="D1391" s="1117"/>
      <c r="E1391" s="125"/>
      <c r="F1391" s="125"/>
      <c r="G1391" s="221"/>
      <c r="H1391" s="141"/>
      <c r="I1391" s="141"/>
      <c r="J1391" s="141"/>
      <c r="K1391" s="122"/>
      <c r="L1391" s="207"/>
    </row>
    <row r="1392" spans="1:12" ht="16.5" thickBot="1" x14ac:dyDescent="0.3">
      <c r="A1392" s="256"/>
      <c r="B1392" s="256"/>
      <c r="C1392" s="255"/>
      <c r="D1392" s="256"/>
      <c r="E1392" s="256"/>
      <c r="F1392" s="256"/>
      <c r="G1392" s="256"/>
      <c r="H1392" s="266"/>
      <c r="I1392" s="266"/>
      <c r="J1392" s="266"/>
      <c r="K1392" s="267"/>
    </row>
    <row r="1393" spans="1:12" s="48" customFormat="1" ht="21.75" customHeight="1" thickBot="1" x14ac:dyDescent="0.3">
      <c r="A1393" s="1655" t="s">
        <v>115</v>
      </c>
      <c r="B1393" s="1655"/>
      <c r="C1393" s="1655"/>
      <c r="D1393" s="1655"/>
      <c r="E1393" s="1655"/>
      <c r="F1393" s="1655"/>
      <c r="G1393" s="1151"/>
      <c r="H1393" s="1708" t="s">
        <v>1537</v>
      </c>
      <c r="I1393" s="1710" t="s">
        <v>1538</v>
      </c>
      <c r="J1393" s="1710" t="s">
        <v>1539</v>
      </c>
      <c r="K1393" s="1710" t="s">
        <v>1540</v>
      </c>
      <c r="L1393" s="47"/>
    </row>
    <row r="1394" spans="1:12" s="1153" customFormat="1" ht="31.5" customHeight="1" thickBot="1" x14ac:dyDescent="0.3">
      <c r="A1394" s="1655"/>
      <c r="B1394" s="1655"/>
      <c r="C1394" s="1655"/>
      <c r="D1394" s="1655"/>
      <c r="E1394" s="1655"/>
      <c r="F1394" s="1655"/>
      <c r="G1394" s="1067" t="s">
        <v>116</v>
      </c>
      <c r="H1394" s="1709"/>
      <c r="I1394" s="1710"/>
      <c r="J1394" s="1710"/>
      <c r="K1394" s="1710"/>
      <c r="L1394" s="1152"/>
    </row>
    <row r="1395" spans="1:12" ht="18" x14ac:dyDescent="0.25">
      <c r="A1395" s="268" t="s">
        <v>575</v>
      </c>
      <c r="B1395" s="606"/>
      <c r="C1395" s="36" t="s">
        <v>1453</v>
      </c>
      <c r="D1395" s="75"/>
      <c r="E1395" s="75"/>
      <c r="F1395" s="269"/>
      <c r="G1395" s="253"/>
      <c r="H1395" s="250"/>
      <c r="I1395" s="250"/>
      <c r="J1395" s="250"/>
      <c r="K1395" s="233"/>
    </row>
    <row r="1396" spans="1:12" ht="18" x14ac:dyDescent="0.25">
      <c r="A1396" s="251"/>
      <c r="B1396" s="75"/>
      <c r="C1396" s="36" t="s">
        <v>577</v>
      </c>
      <c r="D1396" s="75"/>
      <c r="E1396" s="75"/>
      <c r="F1396" s="269"/>
      <c r="G1396" s="253"/>
      <c r="H1396" s="101"/>
      <c r="I1396" s="101"/>
      <c r="J1396" s="101"/>
      <c r="K1396" s="102"/>
    </row>
    <row r="1397" spans="1:12" s="146" customFormat="1" ht="18" x14ac:dyDescent="0.25">
      <c r="A1397" s="270"/>
      <c r="B1397" s="557"/>
      <c r="C1397" s="38" t="s">
        <v>578</v>
      </c>
      <c r="D1397" s="271"/>
      <c r="E1397" s="271"/>
      <c r="F1397" s="272"/>
      <c r="G1397" s="273"/>
      <c r="H1397" s="101"/>
      <c r="I1397" s="101"/>
      <c r="J1397" s="101"/>
      <c r="K1397" s="102"/>
      <c r="L1397" s="10"/>
    </row>
    <row r="1398" spans="1:12" s="146" customFormat="1" ht="18" x14ac:dyDescent="0.25">
      <c r="A1398" s="270"/>
      <c r="B1398" s="557"/>
      <c r="C1398" s="36" t="s">
        <v>579</v>
      </c>
      <c r="D1398" s="271"/>
      <c r="E1398" s="271"/>
      <c r="F1398" s="272"/>
      <c r="G1398" s="273"/>
      <c r="H1398" s="101"/>
      <c r="I1398" s="101"/>
      <c r="J1398" s="101"/>
      <c r="K1398" s="102"/>
      <c r="L1398" s="10"/>
    </row>
    <row r="1399" spans="1:12" s="146" customFormat="1" ht="36.75" customHeight="1" x14ac:dyDescent="0.25">
      <c r="A1399" s="270"/>
      <c r="B1399" s="557"/>
      <c r="C1399" s="1617" t="s">
        <v>580</v>
      </c>
      <c r="D1399" s="1617"/>
      <c r="E1399" s="271"/>
      <c r="F1399" s="272"/>
      <c r="G1399" s="273"/>
      <c r="H1399" s="101"/>
      <c r="I1399" s="101"/>
      <c r="J1399" s="101"/>
      <c r="K1399" s="102">
        <v>500000</v>
      </c>
      <c r="L1399" s="10"/>
    </row>
    <row r="1400" spans="1:12" s="146" customFormat="1" ht="18" x14ac:dyDescent="0.25">
      <c r="A1400" s="270"/>
      <c r="B1400" s="557"/>
      <c r="C1400" s="38" t="s">
        <v>581</v>
      </c>
      <c r="D1400" s="271"/>
      <c r="E1400" s="271"/>
      <c r="F1400" s="272"/>
      <c r="G1400" s="273"/>
      <c r="H1400" s="101"/>
      <c r="I1400" s="101"/>
      <c r="J1400" s="101"/>
      <c r="K1400" s="102">
        <v>1290000</v>
      </c>
      <c r="L1400" s="10"/>
    </row>
    <row r="1401" spans="1:12" s="146" customFormat="1" ht="35.25" customHeight="1" x14ac:dyDescent="0.25">
      <c r="A1401" s="270"/>
      <c r="B1401" s="557"/>
      <c r="C1401" s="1617" t="s">
        <v>582</v>
      </c>
      <c r="D1401" s="1617"/>
      <c r="E1401" s="271"/>
      <c r="F1401" s="272"/>
      <c r="G1401" s="273"/>
      <c r="H1401" s="101"/>
      <c r="I1401" s="101"/>
      <c r="J1401" s="101"/>
      <c r="K1401" s="102">
        <v>2000000</v>
      </c>
      <c r="L1401" s="10"/>
    </row>
    <row r="1402" spans="1:12" s="282" customFormat="1" ht="16.5" customHeight="1" x14ac:dyDescent="0.25">
      <c r="A1402" s="274"/>
      <c r="B1402" s="607"/>
      <c r="C1402" s="275" t="s">
        <v>583</v>
      </c>
      <c r="E1402" s="275"/>
      <c r="F1402" s="276"/>
      <c r="G1402" s="277"/>
      <c r="H1402" s="119">
        <f>SUM(H1399:H1401)</f>
        <v>0</v>
      </c>
      <c r="I1402" s="119">
        <f>SUM(I1399:I1401)</f>
        <v>0</v>
      </c>
      <c r="J1402" s="119">
        <f>SUM(J1399:J1401)</f>
        <v>0</v>
      </c>
      <c r="K1402" s="150">
        <f>SUM(K1399:K1401)</f>
        <v>3790000</v>
      </c>
      <c r="L1402" s="280"/>
    </row>
    <row r="1403" spans="1:12" s="146" customFormat="1" ht="18" x14ac:dyDescent="0.25">
      <c r="A1403" s="270"/>
      <c r="B1403" s="557"/>
      <c r="C1403" s="36" t="s">
        <v>584</v>
      </c>
      <c r="D1403" s="271"/>
      <c r="E1403" s="271"/>
      <c r="F1403" s="272"/>
      <c r="G1403" s="273"/>
      <c r="H1403" s="101"/>
      <c r="I1403" s="101"/>
      <c r="J1403" s="101"/>
      <c r="K1403" s="102"/>
      <c r="L1403" s="10"/>
    </row>
    <row r="1404" spans="1:12" s="146" customFormat="1" ht="57" customHeight="1" x14ac:dyDescent="0.25">
      <c r="A1404" s="270"/>
      <c r="B1404" s="557"/>
      <c r="C1404" s="1628" t="s">
        <v>585</v>
      </c>
      <c r="D1404" s="1628"/>
      <c r="E1404" s="271"/>
      <c r="F1404" s="272"/>
      <c r="G1404" s="273"/>
      <c r="H1404" s="101"/>
      <c r="I1404" s="101"/>
      <c r="J1404" s="101"/>
      <c r="K1404" s="102">
        <v>800000</v>
      </c>
      <c r="L1404" s="10"/>
    </row>
    <row r="1405" spans="1:12" s="146" customFormat="1" ht="15.75" customHeight="1" x14ac:dyDescent="0.25">
      <c r="A1405" s="270"/>
      <c r="B1405" s="557"/>
      <c r="C1405" s="1088" t="s">
        <v>586</v>
      </c>
      <c r="D1405" s="653"/>
      <c r="E1405" s="271"/>
      <c r="F1405" s="272"/>
      <c r="G1405" s="273"/>
      <c r="H1405" s="101"/>
      <c r="I1405" s="101"/>
      <c r="J1405" s="101"/>
      <c r="K1405" s="102">
        <v>100000</v>
      </c>
      <c r="L1405" s="10"/>
    </row>
    <row r="1406" spans="1:12" s="146" customFormat="1" ht="35.25" customHeight="1" x14ac:dyDescent="0.25">
      <c r="A1406" s="270"/>
      <c r="B1406" s="557"/>
      <c r="C1406" s="1617" t="s">
        <v>587</v>
      </c>
      <c r="D1406" s="1617"/>
      <c r="E1406" s="271"/>
      <c r="F1406" s="272"/>
      <c r="G1406" s="273"/>
      <c r="H1406" s="101"/>
      <c r="I1406" s="101"/>
      <c r="J1406" s="101"/>
      <c r="K1406" s="102">
        <v>100000</v>
      </c>
      <c r="L1406" s="10"/>
    </row>
    <row r="1407" spans="1:12" s="146" customFormat="1" ht="108.75" customHeight="1" x14ac:dyDescent="0.25">
      <c r="A1407" s="270"/>
      <c r="B1407" s="557"/>
      <c r="C1407" s="1628" t="s">
        <v>588</v>
      </c>
      <c r="D1407" s="1628"/>
      <c r="E1407" s="271"/>
      <c r="F1407" s="272"/>
      <c r="G1407" s="273"/>
      <c r="H1407" s="101"/>
      <c r="I1407" s="101"/>
      <c r="J1407" s="101"/>
      <c r="K1407" s="102">
        <v>100000</v>
      </c>
      <c r="L1407" s="10"/>
    </row>
    <row r="1408" spans="1:12" s="146" customFormat="1" ht="18" x14ac:dyDescent="0.25">
      <c r="A1408" s="270"/>
      <c r="B1408" s="557"/>
      <c r="C1408" s="38" t="s">
        <v>589</v>
      </c>
      <c r="D1408" s="271"/>
      <c r="E1408" s="271"/>
      <c r="F1408" s="272"/>
      <c r="G1408" s="273"/>
      <c r="H1408" s="101"/>
      <c r="I1408" s="101"/>
      <c r="J1408" s="101"/>
      <c r="K1408" s="102">
        <v>450000</v>
      </c>
      <c r="L1408" s="10"/>
    </row>
    <row r="1409" spans="1:12" s="146" customFormat="1" ht="37.5" customHeight="1" x14ac:dyDescent="0.25">
      <c r="A1409" s="270"/>
      <c r="B1409" s="557"/>
      <c r="C1409" s="1628" t="s">
        <v>590</v>
      </c>
      <c r="D1409" s="1628"/>
      <c r="E1409" s="271"/>
      <c r="F1409" s="272"/>
      <c r="G1409" s="273"/>
      <c r="H1409" s="101"/>
      <c r="I1409" s="101"/>
      <c r="J1409" s="101"/>
      <c r="K1409" s="102">
        <v>2000000</v>
      </c>
      <c r="L1409" s="10"/>
    </row>
    <row r="1410" spans="1:12" s="146" customFormat="1" ht="74.25" customHeight="1" x14ac:dyDescent="0.25">
      <c r="A1410" s="270"/>
      <c r="B1410" s="557"/>
      <c r="C1410" s="1628" t="s">
        <v>591</v>
      </c>
      <c r="D1410" s="1628"/>
      <c r="E1410" s="271"/>
      <c r="F1410" s="272"/>
      <c r="G1410" s="273"/>
      <c r="H1410" s="101"/>
      <c r="I1410" s="101"/>
      <c r="J1410" s="101"/>
      <c r="K1410" s="102">
        <v>600000</v>
      </c>
      <c r="L1410" s="10"/>
    </row>
    <row r="1411" spans="1:12" s="146" customFormat="1" ht="17.45" customHeight="1" x14ac:dyDescent="0.25">
      <c r="A1411" s="270"/>
      <c r="B1411" s="557"/>
      <c r="C1411" s="1073" t="s">
        <v>204</v>
      </c>
      <c r="D1411" s="1068"/>
      <c r="E1411" s="271"/>
      <c r="F1411" s="272"/>
      <c r="G1411" s="273"/>
      <c r="H1411" s="101"/>
      <c r="I1411" s="101"/>
      <c r="J1411" s="101"/>
      <c r="K1411" s="102">
        <v>135000</v>
      </c>
      <c r="L1411" s="10"/>
    </row>
    <row r="1412" spans="1:12" s="146" customFormat="1" ht="17.45" customHeight="1" x14ac:dyDescent="0.25">
      <c r="A1412" s="270"/>
      <c r="B1412" s="557"/>
      <c r="C1412" s="1073" t="s">
        <v>203</v>
      </c>
      <c r="D1412" s="1068"/>
      <c r="E1412" s="271"/>
      <c r="F1412" s="272"/>
      <c r="G1412" s="273"/>
      <c r="H1412" s="101"/>
      <c r="I1412" s="101"/>
      <c r="J1412" s="101"/>
      <c r="K1412" s="102">
        <v>115000</v>
      </c>
      <c r="L1412" s="10"/>
    </row>
    <row r="1413" spans="1:12" s="146" customFormat="1" ht="17.45" customHeight="1" x14ac:dyDescent="0.25">
      <c r="A1413" s="270"/>
      <c r="B1413" s="557"/>
      <c r="C1413" s="1073" t="s">
        <v>1721</v>
      </c>
      <c r="D1413" s="1068"/>
      <c r="E1413" s="271"/>
      <c r="F1413" s="272"/>
      <c r="G1413" s="273"/>
      <c r="H1413" s="101"/>
      <c r="I1413" s="101"/>
      <c r="J1413" s="101"/>
      <c r="K1413" s="102">
        <v>3000000</v>
      </c>
      <c r="L1413" s="10"/>
    </row>
    <row r="1414" spans="1:12" s="146" customFormat="1" ht="17.45" customHeight="1" x14ac:dyDescent="0.25">
      <c r="A1414" s="270"/>
      <c r="B1414" s="557"/>
      <c r="C1414" s="1073" t="s">
        <v>1722</v>
      </c>
      <c r="D1414" s="1068"/>
      <c r="E1414" s="271"/>
      <c r="F1414" s="272"/>
      <c r="G1414" s="273"/>
      <c r="H1414" s="101"/>
      <c r="I1414" s="101"/>
      <c r="J1414" s="101"/>
      <c r="K1414" s="102">
        <v>330000</v>
      </c>
      <c r="L1414" s="10"/>
    </row>
    <row r="1415" spans="1:12" s="146" customFormat="1" ht="17.45" customHeight="1" x14ac:dyDescent="0.25">
      <c r="A1415" s="270"/>
      <c r="B1415" s="557"/>
      <c r="C1415" s="1073" t="s">
        <v>1723</v>
      </c>
      <c r="D1415" s="1068"/>
      <c r="E1415" s="271"/>
      <c r="F1415" s="272"/>
      <c r="G1415" s="273"/>
      <c r="H1415" s="101"/>
      <c r="I1415" s="101"/>
      <c r="J1415" s="101"/>
      <c r="K1415" s="102">
        <v>1882000</v>
      </c>
      <c r="L1415" s="10"/>
    </row>
    <row r="1416" spans="1:12" s="146" customFormat="1" ht="17.45" customHeight="1" x14ac:dyDescent="0.25">
      <c r="A1416" s="270"/>
      <c r="B1416" s="557"/>
      <c r="C1416" s="1073" t="s">
        <v>1724</v>
      </c>
      <c r="D1416" s="1068"/>
      <c r="E1416" s="271"/>
      <c r="F1416" s="272"/>
      <c r="G1416" s="273"/>
      <c r="H1416" s="101"/>
      <c r="I1416" s="101"/>
      <c r="J1416" s="101"/>
      <c r="K1416" s="102">
        <v>274000</v>
      </c>
      <c r="L1416" s="10"/>
    </row>
    <row r="1417" spans="1:12" s="146" customFormat="1" ht="55.5" customHeight="1" x14ac:dyDescent="0.25">
      <c r="A1417" s="270"/>
      <c r="B1417" s="557"/>
      <c r="C1417" s="1628" t="s">
        <v>1725</v>
      </c>
      <c r="D1417" s="1628"/>
      <c r="E1417" s="271"/>
      <c r="F1417" s="272"/>
      <c r="G1417" s="273"/>
      <c r="H1417" s="101"/>
      <c r="I1417" s="101"/>
      <c r="J1417" s="101"/>
      <c r="K1417" s="102"/>
      <c r="L1417" s="10"/>
    </row>
    <row r="1418" spans="1:12" s="146" customFormat="1" ht="38.25" customHeight="1" x14ac:dyDescent="0.25">
      <c r="A1418" s="270"/>
      <c r="B1418" s="557"/>
      <c r="C1418" s="1628" t="s">
        <v>1726</v>
      </c>
      <c r="D1418" s="1628"/>
      <c r="E1418" s="271"/>
      <c r="F1418" s="272"/>
      <c r="G1418" s="273"/>
      <c r="H1418" s="101"/>
      <c r="I1418" s="101"/>
      <c r="J1418" s="101"/>
      <c r="K1418" s="102"/>
      <c r="L1418" s="10"/>
    </row>
    <row r="1419" spans="1:12" s="146" customFormat="1" ht="17.45" customHeight="1" x14ac:dyDescent="0.25">
      <c r="A1419" s="270"/>
      <c r="B1419" s="557"/>
      <c r="C1419" s="38" t="s">
        <v>592</v>
      </c>
      <c r="D1419" s="271"/>
      <c r="E1419" s="271"/>
      <c r="F1419" s="272"/>
      <c r="G1419" s="273"/>
      <c r="H1419" s="101"/>
      <c r="I1419" s="101"/>
      <c r="J1419" s="101"/>
      <c r="K1419" s="102"/>
      <c r="L1419" s="10"/>
    </row>
    <row r="1420" spans="1:12" s="146" customFormat="1" ht="17.45" customHeight="1" x14ac:dyDescent="0.25">
      <c r="A1420" s="270"/>
      <c r="B1420" s="557"/>
      <c r="C1420" s="38" t="s">
        <v>241</v>
      </c>
      <c r="D1420" s="271"/>
      <c r="E1420" s="271"/>
      <c r="F1420" s="272"/>
      <c r="G1420" s="273"/>
      <c r="H1420" s="101"/>
      <c r="I1420" s="101"/>
      <c r="J1420" s="101"/>
      <c r="K1420" s="102"/>
      <c r="L1420" s="10"/>
    </row>
    <row r="1421" spans="1:12" s="146" customFormat="1" ht="17.45" customHeight="1" x14ac:dyDescent="0.25">
      <c r="A1421" s="270"/>
      <c r="B1421" s="557"/>
      <c r="C1421" s="38" t="s">
        <v>593</v>
      </c>
      <c r="D1421" s="271"/>
      <c r="E1421" s="271"/>
      <c r="F1421" s="272"/>
      <c r="G1421" s="273"/>
      <c r="H1421" s="101"/>
      <c r="I1421" s="101"/>
      <c r="J1421" s="101"/>
      <c r="K1421" s="102"/>
      <c r="L1421" s="10"/>
    </row>
    <row r="1422" spans="1:12" s="146" customFormat="1" ht="17.45" customHeight="1" x14ac:dyDescent="0.25">
      <c r="A1422" s="270"/>
      <c r="B1422" s="557"/>
      <c r="C1422" s="38" t="s">
        <v>594</v>
      </c>
      <c r="D1422" s="271"/>
      <c r="E1422" s="271"/>
      <c r="F1422" s="272"/>
      <c r="G1422" s="273"/>
      <c r="H1422" s="101"/>
      <c r="I1422" s="101"/>
      <c r="J1422" s="101"/>
      <c r="K1422" s="102"/>
      <c r="L1422" s="10"/>
    </row>
    <row r="1423" spans="1:12" s="146" customFormat="1" ht="17.45" customHeight="1" x14ac:dyDescent="0.25">
      <c r="A1423" s="270"/>
      <c r="B1423" s="557"/>
      <c r="C1423" s="38" t="s">
        <v>595</v>
      </c>
      <c r="D1423" s="271"/>
      <c r="E1423" s="271"/>
      <c r="F1423" s="272"/>
      <c r="G1423" s="273"/>
      <c r="H1423" s="101"/>
      <c r="I1423" s="101"/>
      <c r="J1423" s="101"/>
      <c r="K1423" s="102"/>
      <c r="L1423" s="10"/>
    </row>
    <row r="1424" spans="1:12" s="146" customFormat="1" ht="17.45" customHeight="1" x14ac:dyDescent="0.25">
      <c r="A1424" s="270"/>
      <c r="B1424" s="557"/>
      <c r="C1424" s="38" t="s">
        <v>596</v>
      </c>
      <c r="D1424" s="271"/>
      <c r="E1424" s="271"/>
      <c r="F1424" s="272"/>
      <c r="G1424" s="273"/>
      <c r="H1424" s="101"/>
      <c r="I1424" s="101"/>
      <c r="J1424" s="101"/>
      <c r="K1424" s="102"/>
      <c r="L1424" s="10"/>
    </row>
    <row r="1425" spans="1:13" s="282" customFormat="1" ht="17.45" customHeight="1" x14ac:dyDescent="0.25">
      <c r="A1425" s="274"/>
      <c r="B1425" s="607"/>
      <c r="C1425" s="275" t="s">
        <v>583</v>
      </c>
      <c r="E1425" s="275"/>
      <c r="F1425" s="276"/>
      <c r="G1425" s="277"/>
      <c r="H1425" s="119">
        <f>SUM(H1404:H1424)</f>
        <v>0</v>
      </c>
      <c r="I1425" s="119">
        <f>SUM(I1404:I1424)</f>
        <v>0</v>
      </c>
      <c r="J1425" s="119">
        <f>SUM(J1404:J1424)</f>
        <v>0</v>
      </c>
      <c r="K1425" s="150">
        <f>SUM(K1404:K1424)</f>
        <v>9886000</v>
      </c>
      <c r="L1425" s="280"/>
    </row>
    <row r="1426" spans="1:13" s="146" customFormat="1" ht="18" x14ac:dyDescent="0.25">
      <c r="A1426" s="270"/>
      <c r="B1426" s="557"/>
      <c r="C1426" s="36" t="s">
        <v>597</v>
      </c>
      <c r="D1426" s="271"/>
      <c r="E1426" s="271"/>
      <c r="F1426" s="272"/>
      <c r="G1426" s="273"/>
      <c r="H1426" s="101"/>
      <c r="I1426" s="101"/>
      <c r="J1426" s="101"/>
      <c r="K1426" s="102"/>
      <c r="L1426" s="10"/>
    </row>
    <row r="1427" spans="1:13" s="146" customFormat="1" ht="18" x14ac:dyDescent="0.25">
      <c r="A1427" s="270"/>
      <c r="B1427" s="557"/>
      <c r="C1427" s="1088" t="s">
        <v>598</v>
      </c>
      <c r="D1427" s="283"/>
      <c r="E1427" s="271"/>
      <c r="F1427" s="272"/>
      <c r="G1427" s="273"/>
      <c r="H1427" s="101"/>
      <c r="I1427" s="101">
        <v>37522199.079999998</v>
      </c>
      <c r="J1427" s="101">
        <v>37522199.079999998</v>
      </c>
      <c r="K1427" s="102">
        <v>11311184.720000001</v>
      </c>
      <c r="L1427" s="10"/>
    </row>
    <row r="1428" spans="1:13" s="146" customFormat="1" ht="54" customHeight="1" x14ac:dyDescent="0.25">
      <c r="A1428" s="270"/>
      <c r="B1428" s="557"/>
      <c r="C1428" s="1617" t="s">
        <v>599</v>
      </c>
      <c r="D1428" s="1617"/>
      <c r="E1428" s="271"/>
      <c r="F1428" s="272"/>
      <c r="G1428" s="273"/>
      <c r="H1428" s="101"/>
      <c r="I1428" s="101"/>
      <c r="J1428" s="101"/>
      <c r="K1428" s="102">
        <v>1000000</v>
      </c>
      <c r="L1428" s="10"/>
    </row>
    <row r="1429" spans="1:13" s="313" customFormat="1" ht="75" customHeight="1" x14ac:dyDescent="0.25">
      <c r="A1429" s="1195"/>
      <c r="B1429" s="1297"/>
      <c r="C1429" s="1628" t="s">
        <v>600</v>
      </c>
      <c r="D1429" s="1628"/>
      <c r="E1429" s="225"/>
      <c r="F1429" s="226"/>
      <c r="G1429" s="333"/>
      <c r="H1429" s="101"/>
      <c r="I1429" s="101"/>
      <c r="J1429" s="101"/>
      <c r="K1429" s="102"/>
      <c r="L1429" s="193"/>
    </row>
    <row r="1430" spans="1:13" s="146" customFormat="1" ht="18" x14ac:dyDescent="0.25">
      <c r="A1430" s="270"/>
      <c r="B1430" s="557"/>
      <c r="C1430" s="1088" t="s">
        <v>601</v>
      </c>
      <c r="D1430" s="283"/>
      <c r="E1430" s="271"/>
      <c r="F1430" s="272"/>
      <c r="G1430" s="273"/>
      <c r="H1430" s="101"/>
      <c r="I1430" s="101"/>
      <c r="J1430" s="101"/>
      <c r="K1430" s="102"/>
      <c r="L1430" s="10"/>
    </row>
    <row r="1431" spans="1:13" s="146" customFormat="1" ht="18.75" thickBot="1" x14ac:dyDescent="0.3">
      <c r="A1431" s="1196"/>
      <c r="B1431" s="1298"/>
      <c r="C1431" s="1197" t="s">
        <v>602</v>
      </c>
      <c r="D1431" s="1198"/>
      <c r="E1431" s="374"/>
      <c r="F1431" s="1199"/>
      <c r="G1431" s="386"/>
      <c r="H1431" s="219"/>
      <c r="I1431" s="219"/>
      <c r="J1431" s="219"/>
      <c r="K1431" s="220">
        <v>1290000</v>
      </c>
      <c r="L1431" s="10"/>
    </row>
    <row r="1432" spans="1:13" s="146" customFormat="1" ht="18" x14ac:dyDescent="0.25">
      <c r="A1432" s="557"/>
      <c r="B1432" s="557"/>
      <c r="C1432" s="1088"/>
      <c r="D1432" s="283"/>
      <c r="E1432" s="271"/>
      <c r="F1432" s="271"/>
      <c r="G1432" s="271"/>
      <c r="H1432" s="141"/>
      <c r="I1432" s="141"/>
      <c r="J1432" s="141"/>
      <c r="K1432" s="122"/>
      <c r="L1432" s="10"/>
    </row>
    <row r="1433" spans="1:13" s="146" customFormat="1" ht="18" x14ac:dyDescent="0.25">
      <c r="A1433" s="557"/>
      <c r="B1433" s="557"/>
      <c r="C1433" s="1088"/>
      <c r="D1433" s="283"/>
      <c r="E1433" s="271"/>
      <c r="F1433" s="271"/>
      <c r="G1433" s="271"/>
      <c r="H1433" s="141"/>
      <c r="I1433" s="141"/>
      <c r="J1433" s="141"/>
      <c r="K1433" s="122"/>
      <c r="L1433" s="10"/>
    </row>
    <row r="1434" spans="1:13" s="146" customFormat="1" ht="18" x14ac:dyDescent="0.25">
      <c r="A1434" s="557"/>
      <c r="B1434" s="557"/>
      <c r="C1434" s="1088"/>
      <c r="D1434" s="283"/>
      <c r="E1434" s="271"/>
      <c r="F1434" s="271"/>
      <c r="G1434" s="271"/>
      <c r="H1434" s="141"/>
      <c r="I1434" s="141"/>
      <c r="J1434" s="141"/>
      <c r="K1434" s="122"/>
      <c r="L1434" s="10"/>
    </row>
    <row r="1435" spans="1:13" s="146" customFormat="1" ht="18" x14ac:dyDescent="0.25">
      <c r="A1435" s="557"/>
      <c r="B1435" s="557"/>
      <c r="C1435" s="1088"/>
      <c r="D1435" s="283"/>
      <c r="E1435" s="271"/>
      <c r="F1435" s="271"/>
      <c r="G1435" s="271"/>
      <c r="H1435" s="141"/>
      <c r="I1435" s="141"/>
      <c r="J1435" s="141"/>
      <c r="K1435" s="122"/>
      <c r="L1435" s="10"/>
    </row>
    <row r="1436" spans="1:13" s="146" customFormat="1" ht="18" x14ac:dyDescent="0.25">
      <c r="A1436" s="557"/>
      <c r="B1436" s="557"/>
      <c r="C1436" s="1088"/>
      <c r="D1436" s="283"/>
      <c r="E1436" s="271"/>
      <c r="F1436" s="271"/>
      <c r="G1436" s="271"/>
      <c r="H1436" s="141"/>
      <c r="I1436" s="141"/>
      <c r="J1436" s="141"/>
      <c r="K1436" s="122"/>
      <c r="L1436" s="10"/>
    </row>
    <row r="1437" spans="1:13" s="146" customFormat="1" ht="18" x14ac:dyDescent="0.25">
      <c r="A1437" s="557"/>
      <c r="B1437" s="557"/>
      <c r="C1437" s="1088"/>
      <c r="D1437" s="283"/>
      <c r="E1437" s="271"/>
      <c r="F1437" s="271"/>
      <c r="G1437" s="271"/>
      <c r="H1437" s="141"/>
      <c r="I1437" s="141"/>
      <c r="J1437" s="141"/>
      <c r="K1437" s="122"/>
      <c r="L1437" s="10"/>
    </row>
    <row r="1438" spans="1:13" s="146" customFormat="1" ht="18" x14ac:dyDescent="0.25">
      <c r="A1438" s="557"/>
      <c r="B1438" s="557"/>
      <c r="C1438" s="1088"/>
      <c r="D1438" s="283"/>
      <c r="E1438" s="271"/>
      <c r="F1438" s="271"/>
      <c r="G1438" s="271"/>
      <c r="H1438" s="141"/>
      <c r="I1438" s="141"/>
      <c r="J1438" s="141"/>
      <c r="K1438" s="122"/>
      <c r="L1438" s="10"/>
    </row>
    <row r="1439" spans="1:13" s="10" customFormat="1" ht="18" customHeight="1" x14ac:dyDescent="0.25">
      <c r="A1439" s="8" t="s">
        <v>112</v>
      </c>
      <c r="B1439" s="8"/>
      <c r="C1439" s="9"/>
      <c r="D1439" s="8"/>
      <c r="E1439" s="8"/>
      <c r="F1439" s="8"/>
      <c r="G1439" s="8"/>
      <c r="H1439" s="4"/>
      <c r="I1439" s="4"/>
      <c r="J1439" s="4"/>
      <c r="K1439" s="5"/>
      <c r="M1439"/>
    </row>
    <row r="1440" spans="1:13" ht="18" customHeight="1" x14ac:dyDescent="0.25">
      <c r="A1440" s="8" t="s">
        <v>651</v>
      </c>
    </row>
    <row r="1441" spans="1:12" ht="18" customHeight="1" x14ac:dyDescent="0.25">
      <c r="A1441" s="1636" t="s">
        <v>113</v>
      </c>
      <c r="B1441" s="1636"/>
      <c r="C1441" s="1636"/>
      <c r="D1441" s="1636"/>
      <c r="E1441" s="1636"/>
      <c r="F1441" s="1636"/>
      <c r="G1441" s="1636"/>
      <c r="H1441" s="1636"/>
      <c r="I1441" s="1636"/>
      <c r="J1441" s="1636"/>
      <c r="K1441" s="1060"/>
    </row>
    <row r="1442" spans="1:12" s="7" customFormat="1" ht="18" customHeight="1" x14ac:dyDescent="0.25">
      <c r="A1442" s="1624" t="s">
        <v>114</v>
      </c>
      <c r="B1442" s="1624"/>
      <c r="C1442" s="1624"/>
      <c r="D1442" s="1624"/>
      <c r="E1442" s="1624"/>
      <c r="F1442" s="1624"/>
      <c r="G1442" s="1624"/>
      <c r="H1442" s="1624"/>
      <c r="I1442" s="1624"/>
      <c r="J1442" s="1624"/>
      <c r="K1442" s="159"/>
      <c r="L1442" s="6"/>
    </row>
    <row r="1443" spans="1:12" x14ac:dyDescent="0.25">
      <c r="A1443" s="75"/>
      <c r="B1443" s="75"/>
      <c r="C1443" s="252"/>
      <c r="D1443" s="75"/>
      <c r="E1443" s="75"/>
      <c r="F1443" s="75"/>
      <c r="G1443" s="75"/>
      <c r="H1443" s="141"/>
      <c r="I1443" s="141"/>
      <c r="J1443" s="141"/>
      <c r="K1443" s="122"/>
    </row>
    <row r="1444" spans="1:12" ht="16.5" thickBot="1" x14ac:dyDescent="0.3">
      <c r="A1444" s="256"/>
      <c r="B1444" s="256"/>
      <c r="C1444" s="255"/>
      <c r="D1444" s="256"/>
      <c r="E1444" s="256"/>
      <c r="F1444" s="256"/>
      <c r="G1444" s="256"/>
      <c r="H1444" s="266"/>
      <c r="I1444" s="266"/>
      <c r="J1444" s="266"/>
      <c r="K1444" s="267"/>
    </row>
    <row r="1445" spans="1:12" s="48" customFormat="1" ht="21.75" customHeight="1" thickBot="1" x14ac:dyDescent="0.3">
      <c r="A1445" s="1655" t="s">
        <v>115</v>
      </c>
      <c r="B1445" s="1655"/>
      <c r="C1445" s="1655"/>
      <c r="D1445" s="1655"/>
      <c r="E1445" s="1655"/>
      <c r="F1445" s="1655"/>
      <c r="G1445" s="1151"/>
      <c r="H1445" s="1708" t="s">
        <v>1537</v>
      </c>
      <c r="I1445" s="1710" t="s">
        <v>1538</v>
      </c>
      <c r="J1445" s="1710" t="s">
        <v>1539</v>
      </c>
      <c r="K1445" s="1710" t="s">
        <v>1540</v>
      </c>
      <c r="L1445" s="47"/>
    </row>
    <row r="1446" spans="1:12" s="1153" customFormat="1" ht="31.5" customHeight="1" thickBot="1" x14ac:dyDescent="0.3">
      <c r="A1446" s="1655"/>
      <c r="B1446" s="1655"/>
      <c r="C1446" s="1655"/>
      <c r="D1446" s="1655"/>
      <c r="E1446" s="1655"/>
      <c r="F1446" s="1655"/>
      <c r="G1446" s="1067" t="s">
        <v>116</v>
      </c>
      <c r="H1446" s="1709"/>
      <c r="I1446" s="1710"/>
      <c r="J1446" s="1710"/>
      <c r="K1446" s="1710"/>
      <c r="L1446" s="1152"/>
    </row>
    <row r="1447" spans="1:12" s="313" customFormat="1" ht="54.75" customHeight="1" x14ac:dyDescent="0.25">
      <c r="A1447" s="1195"/>
      <c r="B1447" s="1297"/>
      <c r="C1447" s="1628" t="s">
        <v>1727</v>
      </c>
      <c r="D1447" s="1628"/>
      <c r="E1447" s="225"/>
      <c r="F1447" s="226"/>
      <c r="G1447" s="333"/>
      <c r="H1447" s="101"/>
      <c r="I1447" s="101"/>
      <c r="J1447" s="101"/>
      <c r="K1447" s="102">
        <v>5426764.3600000003</v>
      </c>
      <c r="L1447" s="193"/>
    </row>
    <row r="1448" spans="1:12" s="146" customFormat="1" ht="36.75" customHeight="1" x14ac:dyDescent="0.25">
      <c r="A1448" s="270"/>
      <c r="B1448" s="557"/>
      <c r="C1448" s="1617" t="s">
        <v>603</v>
      </c>
      <c r="D1448" s="1617"/>
      <c r="E1448" s="271"/>
      <c r="F1448" s="272"/>
      <c r="G1448" s="273"/>
      <c r="H1448" s="101"/>
      <c r="I1448" s="101"/>
      <c r="J1448" s="101"/>
      <c r="K1448" s="102"/>
      <c r="L1448" s="10"/>
    </row>
    <row r="1449" spans="1:12" s="313" customFormat="1" ht="23.25" customHeight="1" x14ac:dyDescent="0.25">
      <c r="A1449" s="1195"/>
      <c r="B1449" s="1297"/>
      <c r="C1449" s="1073" t="s">
        <v>604</v>
      </c>
      <c r="D1449" s="1044"/>
      <c r="E1449" s="225"/>
      <c r="F1449" s="226"/>
      <c r="G1449" s="333"/>
      <c r="H1449" s="101"/>
      <c r="I1449" s="101"/>
      <c r="J1449" s="101"/>
      <c r="K1449" s="102">
        <v>1000000</v>
      </c>
      <c r="L1449" s="193"/>
    </row>
    <row r="1450" spans="1:12" s="146" customFormat="1" ht="35.25" customHeight="1" x14ac:dyDescent="0.25">
      <c r="A1450" s="270"/>
      <c r="B1450" s="557"/>
      <c r="C1450" s="1628" t="s">
        <v>605</v>
      </c>
      <c r="D1450" s="1628"/>
      <c r="E1450" s="271"/>
      <c r="F1450" s="272"/>
      <c r="G1450" s="273"/>
      <c r="H1450" s="101"/>
      <c r="I1450" s="101"/>
      <c r="J1450" s="101"/>
      <c r="K1450" s="102">
        <v>1500000</v>
      </c>
      <c r="L1450" s="10"/>
    </row>
    <row r="1451" spans="1:12" s="146" customFormat="1" ht="36.75" customHeight="1" x14ac:dyDescent="0.25">
      <c r="A1451" s="270"/>
      <c r="B1451" s="557"/>
      <c r="C1451" s="1628" t="s">
        <v>606</v>
      </c>
      <c r="D1451" s="1628"/>
      <c r="E1451" s="271"/>
      <c r="F1451" s="272"/>
      <c r="G1451" s="273"/>
      <c r="H1451" s="101"/>
      <c r="I1451" s="101"/>
      <c r="J1451" s="101"/>
      <c r="K1451" s="102">
        <v>1500000</v>
      </c>
      <c r="L1451" s="10"/>
    </row>
    <row r="1452" spans="1:12" s="146" customFormat="1" ht="18" x14ac:dyDescent="0.25">
      <c r="A1452" s="1200"/>
      <c r="B1452" s="1299"/>
      <c r="C1452" s="1088" t="s">
        <v>1728</v>
      </c>
      <c r="D1452" s="1050"/>
      <c r="E1452" s="38"/>
      <c r="F1452" s="941"/>
      <c r="G1452" s="1201"/>
      <c r="H1452" s="102"/>
      <c r="I1452" s="102"/>
      <c r="J1452" s="102"/>
      <c r="K1452" s="102">
        <v>1000000</v>
      </c>
      <c r="L1452" s="10"/>
    </row>
    <row r="1453" spans="1:12" s="146" customFormat="1" ht="37.5" customHeight="1" x14ac:dyDescent="0.25">
      <c r="A1453" s="270"/>
      <c r="B1453" s="557"/>
      <c r="C1453" s="1628" t="s">
        <v>608</v>
      </c>
      <c r="D1453" s="1628"/>
      <c r="E1453" s="271"/>
      <c r="F1453" s="272"/>
      <c r="G1453" s="1202"/>
      <c r="H1453" s="105"/>
      <c r="I1453" s="105"/>
      <c r="J1453" s="105"/>
      <c r="K1453" s="106"/>
      <c r="L1453" s="10"/>
    </row>
    <row r="1454" spans="1:12" s="282" customFormat="1" ht="18" x14ac:dyDescent="0.25">
      <c r="A1454" s="274"/>
      <c r="B1454" s="607"/>
      <c r="C1454" s="275" t="s">
        <v>583</v>
      </c>
      <c r="D1454" s="1203"/>
      <c r="E1454" s="275"/>
      <c r="F1454" s="276"/>
      <c r="G1454" s="277"/>
      <c r="H1454" s="109">
        <f>SUM(H1427:H1453)</f>
        <v>0</v>
      </c>
      <c r="I1454" s="109">
        <f>SUM(I1427:I1453)</f>
        <v>37522199.079999998</v>
      </c>
      <c r="J1454" s="109">
        <f>SUM(J1427:J1453)</f>
        <v>37522199.079999998</v>
      </c>
      <c r="K1454" s="109">
        <f>SUM(K1427:K1453)</f>
        <v>24027949.080000002</v>
      </c>
      <c r="L1454" s="280"/>
    </row>
    <row r="1455" spans="1:12" s="282" customFormat="1" ht="18.75" thickBot="1" x14ac:dyDescent="0.3">
      <c r="A1455" s="274"/>
      <c r="B1455" s="607"/>
      <c r="C1455" s="275" t="s">
        <v>609</v>
      </c>
      <c r="D1455" s="1203"/>
      <c r="E1455" s="275"/>
      <c r="F1455" s="276"/>
      <c r="G1455" s="277"/>
      <c r="H1455" s="1158">
        <f>H1454+H1425+H1402</f>
        <v>0</v>
      </c>
      <c r="I1455" s="1158">
        <f>I1454+I1425+I1402</f>
        <v>37522199.079999998</v>
      </c>
      <c r="J1455" s="1158">
        <f>J1454+J1425+J1402</f>
        <v>37522199.079999998</v>
      </c>
      <c r="K1455" s="1157">
        <f>K1454+K1425+K1402</f>
        <v>37703949.079999998</v>
      </c>
      <c r="L1455" s="280"/>
    </row>
    <row r="1456" spans="1:12" s="146" customFormat="1" ht="18" x14ac:dyDescent="0.25">
      <c r="A1456" s="270"/>
      <c r="B1456" s="557"/>
      <c r="C1456" s="38"/>
      <c r="D1456" s="271"/>
      <c r="E1456" s="271"/>
      <c r="F1456" s="271"/>
      <c r="G1456" s="288"/>
      <c r="H1456" s="209"/>
      <c r="I1456" s="209"/>
      <c r="J1456" s="209"/>
      <c r="K1456" s="210"/>
      <c r="L1456" s="10"/>
    </row>
    <row r="1457" spans="1:12" ht="18" x14ac:dyDescent="0.25">
      <c r="A1457" s="270"/>
      <c r="B1457" s="557"/>
      <c r="C1457" s="38" t="s">
        <v>611</v>
      </c>
      <c r="D1457" s="75"/>
      <c r="E1457" s="75"/>
      <c r="F1457" s="269"/>
      <c r="G1457" s="253"/>
      <c r="H1457" s="101"/>
      <c r="I1457" s="101">
        <v>215000</v>
      </c>
      <c r="J1457" s="101">
        <v>215000</v>
      </c>
      <c r="K1457" s="102">
        <v>215000</v>
      </c>
    </row>
    <row r="1458" spans="1:12" ht="18" x14ac:dyDescent="0.25">
      <c r="A1458" s="270"/>
      <c r="B1458" s="557"/>
      <c r="C1458" s="38" t="s">
        <v>1729</v>
      </c>
      <c r="D1458" s="75"/>
      <c r="E1458" s="75"/>
      <c r="F1458" s="269"/>
      <c r="G1458" s="253"/>
      <c r="H1458" s="101"/>
      <c r="I1458" s="101"/>
      <c r="J1458" s="101"/>
      <c r="K1458" s="102">
        <v>750000</v>
      </c>
    </row>
    <row r="1459" spans="1:12" ht="18" x14ac:dyDescent="0.25">
      <c r="A1459" s="270"/>
      <c r="B1459" s="557"/>
      <c r="C1459" s="38" t="s">
        <v>1730</v>
      </c>
      <c r="D1459" s="75"/>
      <c r="E1459" s="75"/>
      <c r="F1459" s="269"/>
      <c r="G1459" s="253"/>
      <c r="H1459" s="101"/>
      <c r="I1459" s="101"/>
      <c r="J1459" s="101"/>
      <c r="K1459" s="102">
        <v>650000</v>
      </c>
    </row>
    <row r="1460" spans="1:12" ht="18" x14ac:dyDescent="0.25">
      <c r="A1460" s="270"/>
      <c r="B1460" s="557"/>
      <c r="C1460" s="38" t="s">
        <v>1731</v>
      </c>
      <c r="D1460" s="75"/>
      <c r="E1460" s="75"/>
      <c r="F1460" s="269"/>
      <c r="G1460" s="253"/>
      <c r="H1460" s="101"/>
      <c r="I1460" s="101"/>
      <c r="J1460" s="101"/>
      <c r="K1460" s="102">
        <v>150000</v>
      </c>
    </row>
    <row r="1461" spans="1:12" ht="18" x14ac:dyDescent="0.25">
      <c r="A1461" s="270"/>
      <c r="B1461" s="557"/>
      <c r="C1461" s="38" t="s">
        <v>1732</v>
      </c>
      <c r="D1461" s="75"/>
      <c r="E1461" s="75"/>
      <c r="F1461" s="269"/>
      <c r="G1461" s="253"/>
      <c r="H1461" s="101"/>
      <c r="I1461" s="101"/>
      <c r="J1461" s="101"/>
      <c r="K1461" s="102">
        <v>20000000</v>
      </c>
    </row>
    <row r="1462" spans="1:12" s="191" customFormat="1" ht="18" x14ac:dyDescent="0.25">
      <c r="A1462" s="270"/>
      <c r="B1462" s="557"/>
      <c r="C1462" s="36" t="s">
        <v>583</v>
      </c>
      <c r="D1462" s="75"/>
      <c r="E1462" s="75"/>
      <c r="F1462" s="269"/>
      <c r="G1462" s="253"/>
      <c r="H1462" s="150">
        <f>SUM(H1457:H1460)</f>
        <v>0</v>
      </c>
      <c r="I1462" s="150">
        <f>SUM(I1457:I1460)</f>
        <v>215000</v>
      </c>
      <c r="J1462" s="150">
        <f>SUM(J1457:J1460)</f>
        <v>215000</v>
      </c>
      <c r="K1462" s="150">
        <f>SUM(K1457:K1461)</f>
        <v>21765000</v>
      </c>
      <c r="L1462" s="10"/>
    </row>
    <row r="1463" spans="1:12" s="146" customFormat="1" ht="18.75" thickBot="1" x14ac:dyDescent="0.3">
      <c r="A1463" s="254"/>
      <c r="B1463" s="271"/>
      <c r="C1463" s="1673" t="s">
        <v>612</v>
      </c>
      <c r="D1463" s="1673"/>
      <c r="E1463" s="1673"/>
      <c r="F1463" s="1674"/>
      <c r="G1463" s="292"/>
      <c r="H1463" s="1204">
        <f>H1462+H1455</f>
        <v>0</v>
      </c>
      <c r="I1463" s="1204">
        <f>I1462+I1455</f>
        <v>37737199.079999998</v>
      </c>
      <c r="J1463" s="1204">
        <f>J1462+J1455</f>
        <v>37737199.079999998</v>
      </c>
      <c r="K1463" s="1204">
        <f>K1462+K1455</f>
        <v>59468949.079999998</v>
      </c>
      <c r="L1463" s="10"/>
    </row>
    <row r="1464" spans="1:12" s="146" customFormat="1" ht="16.5" customHeight="1" x14ac:dyDescent="0.25">
      <c r="A1464" s="254"/>
      <c r="B1464" s="271"/>
      <c r="C1464" s="1069"/>
      <c r="D1464" s="1069"/>
      <c r="E1464" s="1069"/>
      <c r="F1464" s="1070"/>
      <c r="G1464" s="292"/>
      <c r="H1464" s="1205"/>
      <c r="I1464" s="1205"/>
      <c r="J1464" s="1205"/>
      <c r="K1464" s="1206"/>
      <c r="L1464" s="10"/>
    </row>
    <row r="1465" spans="1:12" s="146" customFormat="1" ht="18" x14ac:dyDescent="0.25">
      <c r="A1465" s="1170" t="s">
        <v>1453</v>
      </c>
      <c r="B1465" s="275"/>
      <c r="C1465" s="1069"/>
      <c r="D1465" s="1069"/>
      <c r="E1465" s="1069"/>
      <c r="F1465" s="1070"/>
      <c r="G1465" s="292"/>
      <c r="H1465" s="1205"/>
      <c r="I1465" s="1205"/>
      <c r="J1465" s="1205"/>
      <c r="K1465" s="1206"/>
      <c r="L1465" s="10"/>
    </row>
    <row r="1466" spans="1:12" s="146" customFormat="1" ht="18" x14ac:dyDescent="0.25">
      <c r="A1466" s="1170" t="s">
        <v>1733</v>
      </c>
      <c r="B1466" s="275"/>
      <c r="C1466" s="1069"/>
      <c r="D1466" s="1069"/>
      <c r="E1466" s="1069"/>
      <c r="F1466" s="1070"/>
      <c r="G1466" s="292"/>
      <c r="H1466" s="1205"/>
      <c r="I1466" s="1205"/>
      <c r="J1466" s="1205"/>
      <c r="K1466" s="1206"/>
      <c r="L1466" s="10"/>
    </row>
    <row r="1467" spans="1:12" s="146" customFormat="1" ht="17.25" customHeight="1" x14ac:dyDescent="0.25">
      <c r="A1467" s="254"/>
      <c r="B1467" s="271"/>
      <c r="C1467" s="1628" t="s">
        <v>1734</v>
      </c>
      <c r="D1467" s="1628"/>
      <c r="E1467" s="1628"/>
      <c r="F1467" s="1070"/>
      <c r="G1467" s="292"/>
      <c r="H1467" s="1205"/>
      <c r="I1467" s="1205"/>
      <c r="J1467" s="1205"/>
      <c r="K1467" s="1206"/>
      <c r="L1467" s="10"/>
    </row>
    <row r="1468" spans="1:12" s="146" customFormat="1" ht="18" x14ac:dyDescent="0.25">
      <c r="A1468" s="254"/>
      <c r="B1468" s="271"/>
      <c r="C1468" s="1617" t="s">
        <v>1735</v>
      </c>
      <c r="D1468" s="1617"/>
      <c r="E1468" s="1069"/>
      <c r="F1468" s="1070"/>
      <c r="G1468" s="292"/>
      <c r="H1468" s="1205"/>
      <c r="I1468" s="1205"/>
      <c r="J1468" s="1205"/>
      <c r="K1468" s="1206"/>
      <c r="L1468" s="10"/>
    </row>
    <row r="1469" spans="1:12" s="146" customFormat="1" ht="58.5" customHeight="1" x14ac:dyDescent="0.25">
      <c r="A1469" s="254"/>
      <c r="B1469" s="271"/>
      <c r="C1469" s="1628" t="s">
        <v>1736</v>
      </c>
      <c r="D1469" s="1628"/>
      <c r="E1469" s="1628"/>
      <c r="F1469" s="1070"/>
      <c r="G1469" s="292"/>
      <c r="H1469" s="1205"/>
      <c r="I1469" s="1205"/>
      <c r="J1469" s="1205"/>
      <c r="K1469" s="1206"/>
      <c r="L1469" s="10"/>
    </row>
    <row r="1470" spans="1:12" s="146" customFormat="1" ht="37.5" customHeight="1" x14ac:dyDescent="0.25">
      <c r="A1470" s="254"/>
      <c r="B1470" s="271"/>
      <c r="C1470" s="1617" t="s">
        <v>1737</v>
      </c>
      <c r="D1470" s="1617"/>
      <c r="E1470" s="1069"/>
      <c r="F1470" s="1070"/>
      <c r="G1470" s="292"/>
      <c r="H1470" s="1205"/>
      <c r="I1470" s="1205"/>
      <c r="J1470" s="1205"/>
      <c r="K1470" s="1206"/>
      <c r="L1470" s="10"/>
    </row>
    <row r="1471" spans="1:12" s="146" customFormat="1" ht="36" customHeight="1" x14ac:dyDescent="0.25">
      <c r="A1471" s="254"/>
      <c r="B1471" s="271"/>
      <c r="C1471" s="1617" t="s">
        <v>1738</v>
      </c>
      <c r="D1471" s="1617"/>
      <c r="E1471" s="1069"/>
      <c r="F1471" s="1070"/>
      <c r="G1471" s="292"/>
      <c r="H1471" s="1205"/>
      <c r="I1471" s="1205"/>
      <c r="J1471" s="1205"/>
      <c r="K1471" s="1206"/>
      <c r="L1471" s="10"/>
    </row>
    <row r="1472" spans="1:12" s="146" customFormat="1" ht="38.25" customHeight="1" x14ac:dyDescent="0.25">
      <c r="A1472" s="254"/>
      <c r="B1472" s="271"/>
      <c r="C1472" s="1617" t="s">
        <v>1739</v>
      </c>
      <c r="D1472" s="1617"/>
      <c r="E1472" s="1069"/>
      <c r="F1472" s="1070"/>
      <c r="G1472" s="292"/>
      <c r="H1472" s="1205"/>
      <c r="I1472" s="1205"/>
      <c r="J1472" s="1205"/>
      <c r="K1472" s="1206"/>
      <c r="L1472" s="10"/>
    </row>
    <row r="1473" spans="1:12" s="146" customFormat="1" ht="36" customHeight="1" x14ac:dyDescent="0.25">
      <c r="A1473" s="254"/>
      <c r="B1473" s="271"/>
      <c r="C1473" s="1617" t="s">
        <v>1740</v>
      </c>
      <c r="D1473" s="1617"/>
      <c r="E1473" s="1069"/>
      <c r="F1473" s="1070"/>
      <c r="G1473" s="292"/>
      <c r="H1473" s="1205"/>
      <c r="I1473" s="1205"/>
      <c r="J1473" s="1205"/>
      <c r="K1473" s="1206"/>
      <c r="L1473" s="10"/>
    </row>
    <row r="1474" spans="1:12" s="146" customFormat="1" ht="37.5" customHeight="1" x14ac:dyDescent="0.25">
      <c r="A1474" s="254"/>
      <c r="B1474" s="271"/>
      <c r="C1474" s="1617" t="s">
        <v>1741</v>
      </c>
      <c r="D1474" s="1617"/>
      <c r="E1474" s="1069"/>
      <c r="F1474" s="1070"/>
      <c r="G1474" s="292"/>
      <c r="H1474" s="1205"/>
      <c r="I1474" s="1205"/>
      <c r="J1474" s="1205"/>
      <c r="K1474" s="1206"/>
      <c r="L1474" s="10"/>
    </row>
    <row r="1475" spans="1:12" s="146" customFormat="1" ht="37.5" customHeight="1" x14ac:dyDescent="0.25">
      <c r="A1475" s="254"/>
      <c r="B1475" s="271"/>
      <c r="C1475" s="1617" t="s">
        <v>1742</v>
      </c>
      <c r="D1475" s="1617"/>
      <c r="E1475" s="1069"/>
      <c r="F1475" s="1070"/>
      <c r="G1475" s="292"/>
      <c r="H1475" s="1205"/>
      <c r="I1475" s="1205"/>
      <c r="J1475" s="1205"/>
      <c r="K1475" s="1206"/>
      <c r="L1475" s="10"/>
    </row>
    <row r="1476" spans="1:12" s="146" customFormat="1" ht="70.5" customHeight="1" x14ac:dyDescent="0.25">
      <c r="A1476" s="254"/>
      <c r="B1476" s="271"/>
      <c r="C1476" s="1617" t="s">
        <v>1743</v>
      </c>
      <c r="D1476" s="1617"/>
      <c r="E1476" s="1069"/>
      <c r="F1476" s="1070"/>
      <c r="G1476" s="292"/>
      <c r="H1476" s="1205"/>
      <c r="I1476" s="1205"/>
      <c r="J1476" s="1205"/>
      <c r="K1476" s="1206"/>
      <c r="L1476" s="10"/>
    </row>
    <row r="1477" spans="1:12" s="146" customFormat="1" ht="18" x14ac:dyDescent="0.25">
      <c r="A1477" s="254"/>
      <c r="B1477" s="271"/>
      <c r="C1477" s="1069" t="s">
        <v>1744</v>
      </c>
      <c r="D1477" s="1069"/>
      <c r="E1477" s="1069"/>
      <c r="F1477" s="1070"/>
      <c r="G1477" s="292"/>
      <c r="H1477" s="119">
        <f>SUM(H1467:H1476)</f>
        <v>0</v>
      </c>
      <c r="I1477" s="119">
        <f>SUM(I1467:I1476)</f>
        <v>0</v>
      </c>
      <c r="J1477" s="119">
        <f>SUM(J1467:J1476)</f>
        <v>0</v>
      </c>
      <c r="K1477" s="150">
        <f>SUM(K1467:K1476)</f>
        <v>0</v>
      </c>
      <c r="L1477" s="10"/>
    </row>
    <row r="1478" spans="1:12" s="146" customFormat="1" ht="18" x14ac:dyDescent="0.25">
      <c r="A1478" s="270"/>
      <c r="B1478" s="557"/>
      <c r="C1478" s="38"/>
      <c r="D1478" s="271"/>
      <c r="E1478" s="271"/>
      <c r="F1478" s="271"/>
      <c r="G1478" s="271"/>
      <c r="H1478" s="101"/>
      <c r="I1478" s="101"/>
      <c r="J1478" s="101"/>
      <c r="K1478" s="102"/>
      <c r="L1478" s="10"/>
    </row>
    <row r="1479" spans="1:12" s="146" customFormat="1" ht="18" x14ac:dyDescent="0.25">
      <c r="A1479" s="270"/>
      <c r="B1479" s="557"/>
      <c r="C1479" s="38"/>
      <c r="D1479" s="271"/>
      <c r="E1479" s="271"/>
      <c r="F1479" s="271"/>
      <c r="G1479" s="271"/>
      <c r="H1479" s="101"/>
      <c r="I1479" s="101"/>
      <c r="J1479" s="101"/>
      <c r="K1479" s="102"/>
      <c r="L1479" s="10"/>
    </row>
    <row r="1480" spans="1:12" s="146" customFormat="1" ht="18.75" thickBot="1" x14ac:dyDescent="0.3">
      <c r="A1480" s="1196"/>
      <c r="B1480" s="1298"/>
      <c r="C1480" s="358"/>
      <c r="D1480" s="374"/>
      <c r="E1480" s="374"/>
      <c r="F1480" s="374"/>
      <c r="G1480" s="374"/>
      <c r="H1480" s="219"/>
      <c r="I1480" s="219"/>
      <c r="J1480" s="219"/>
      <c r="K1480" s="220"/>
      <c r="L1480" s="10"/>
    </row>
    <row r="1481" spans="1:12" s="146" customFormat="1" ht="18" x14ac:dyDescent="0.25">
      <c r="A1481" s="557"/>
      <c r="B1481" s="557"/>
      <c r="C1481" s="38"/>
      <c r="D1481" s="271"/>
      <c r="E1481" s="271"/>
      <c r="F1481" s="271"/>
      <c r="G1481" s="271"/>
      <c r="H1481" s="141"/>
      <c r="I1481" s="141"/>
      <c r="J1481" s="141"/>
      <c r="K1481" s="122"/>
      <c r="L1481" s="10"/>
    </row>
    <row r="1482" spans="1:12" s="146" customFormat="1" ht="18" x14ac:dyDescent="0.25">
      <c r="A1482" s="557"/>
      <c r="B1482" s="557"/>
      <c r="C1482" s="38"/>
      <c r="D1482" s="271"/>
      <c r="E1482" s="271"/>
      <c r="F1482" s="271"/>
      <c r="G1482" s="271"/>
      <c r="H1482" s="141"/>
      <c r="I1482" s="141"/>
      <c r="J1482" s="141"/>
      <c r="K1482" s="122"/>
      <c r="L1482" s="10"/>
    </row>
    <row r="1483" spans="1:12" s="146" customFormat="1" ht="18" x14ac:dyDescent="0.25">
      <c r="A1483" s="557"/>
      <c r="B1483" s="557"/>
      <c r="C1483" s="38"/>
      <c r="D1483" s="271"/>
      <c r="E1483" s="271"/>
      <c r="F1483" s="271"/>
      <c r="G1483" s="271"/>
      <c r="H1483" s="141"/>
      <c r="I1483" s="141"/>
      <c r="J1483" s="141"/>
      <c r="K1483" s="122"/>
      <c r="L1483" s="10"/>
    </row>
    <row r="1484" spans="1:12" s="146" customFormat="1" ht="18" x14ac:dyDescent="0.25">
      <c r="A1484" s="557"/>
      <c r="B1484" s="557"/>
      <c r="C1484" s="38"/>
      <c r="D1484" s="271"/>
      <c r="E1484" s="271"/>
      <c r="F1484" s="271"/>
      <c r="G1484" s="271"/>
      <c r="H1484" s="141"/>
      <c r="I1484" s="141"/>
      <c r="J1484" s="141"/>
      <c r="K1484" s="122"/>
      <c r="L1484" s="10"/>
    </row>
    <row r="1485" spans="1:12" s="146" customFormat="1" ht="18" x14ac:dyDescent="0.25">
      <c r="A1485" s="557"/>
      <c r="B1485" s="557"/>
      <c r="C1485" s="38"/>
      <c r="D1485" s="271"/>
      <c r="E1485" s="271"/>
      <c r="F1485" s="271"/>
      <c r="G1485" s="271"/>
      <c r="H1485" s="141"/>
      <c r="I1485" s="141"/>
      <c r="J1485" s="141"/>
      <c r="K1485" s="122"/>
      <c r="L1485" s="10"/>
    </row>
    <row r="1486" spans="1:12" s="146" customFormat="1" ht="18" x14ac:dyDescent="0.25">
      <c r="A1486" s="557"/>
      <c r="B1486" s="557"/>
      <c r="C1486" s="38"/>
      <c r="D1486" s="271"/>
      <c r="E1486" s="271"/>
      <c r="F1486" s="271"/>
      <c r="G1486" s="271"/>
      <c r="H1486" s="141"/>
      <c r="I1486" s="141"/>
      <c r="J1486" s="141"/>
      <c r="K1486" s="122"/>
      <c r="L1486" s="10"/>
    </row>
    <row r="1487" spans="1:12" s="146" customFormat="1" ht="18" x14ac:dyDescent="0.25">
      <c r="A1487" s="557"/>
      <c r="B1487" s="557"/>
      <c r="C1487" s="38"/>
      <c r="D1487" s="271"/>
      <c r="E1487" s="271"/>
      <c r="F1487" s="271"/>
      <c r="G1487" s="271"/>
      <c r="H1487" s="141"/>
      <c r="I1487" s="141"/>
      <c r="J1487" s="141"/>
      <c r="K1487" s="122"/>
      <c r="L1487" s="10"/>
    </row>
    <row r="1488" spans="1:12" s="146" customFormat="1" ht="18" x14ac:dyDescent="0.25">
      <c r="A1488" s="557"/>
      <c r="B1488" s="557"/>
      <c r="C1488" s="38"/>
      <c r="D1488" s="271"/>
      <c r="E1488" s="271"/>
      <c r="F1488" s="271"/>
      <c r="G1488" s="271"/>
      <c r="H1488" s="141"/>
      <c r="I1488" s="141"/>
      <c r="J1488" s="141"/>
      <c r="K1488" s="122"/>
      <c r="L1488" s="10"/>
    </row>
    <row r="1489" spans="1:12" s="146" customFormat="1" ht="18" x14ac:dyDescent="0.25">
      <c r="A1489" s="557"/>
      <c r="B1489" s="557"/>
      <c r="C1489" s="38"/>
      <c r="D1489" s="271"/>
      <c r="E1489" s="271"/>
      <c r="F1489" s="271"/>
      <c r="G1489" s="271"/>
      <c r="H1489" s="141"/>
      <c r="I1489" s="141"/>
      <c r="J1489" s="141"/>
      <c r="K1489" s="122"/>
      <c r="L1489" s="10"/>
    </row>
    <row r="1490" spans="1:12" s="146" customFormat="1" ht="18" x14ac:dyDescent="0.25">
      <c r="A1490" s="557"/>
      <c r="B1490" s="557"/>
      <c r="C1490" s="38"/>
      <c r="D1490" s="271"/>
      <c r="E1490" s="271"/>
      <c r="F1490" s="271"/>
      <c r="G1490" s="271"/>
      <c r="H1490" s="141"/>
      <c r="I1490" s="141"/>
      <c r="J1490" s="141"/>
      <c r="K1490" s="122"/>
      <c r="L1490" s="10"/>
    </row>
    <row r="1491" spans="1:12" s="146" customFormat="1" ht="18" x14ac:dyDescent="0.25">
      <c r="A1491" s="557"/>
      <c r="B1491" s="557"/>
      <c r="C1491" s="38"/>
      <c r="D1491" s="271"/>
      <c r="E1491" s="271"/>
      <c r="F1491" s="271"/>
      <c r="G1491" s="271"/>
      <c r="H1491" s="141"/>
      <c r="I1491" s="141"/>
      <c r="J1491" s="141"/>
      <c r="K1491" s="122"/>
      <c r="L1491" s="10"/>
    </row>
    <row r="1492" spans="1:12" s="146" customFormat="1" ht="18" x14ac:dyDescent="0.25">
      <c r="A1492" s="557"/>
      <c r="B1492" s="557"/>
      <c r="C1492" s="38"/>
      <c r="D1492" s="271"/>
      <c r="E1492" s="271"/>
      <c r="F1492" s="271"/>
      <c r="G1492" s="271"/>
      <c r="H1492" s="141"/>
      <c r="I1492" s="141"/>
      <c r="J1492" s="141"/>
      <c r="K1492" s="122"/>
      <c r="L1492" s="10"/>
    </row>
    <row r="1493" spans="1:12" s="146" customFormat="1" ht="18" x14ac:dyDescent="0.25">
      <c r="A1493" s="557"/>
      <c r="B1493" s="557"/>
      <c r="C1493" s="38"/>
      <c r="D1493" s="271"/>
      <c r="E1493" s="271"/>
      <c r="F1493" s="271"/>
      <c r="G1493" s="271"/>
      <c r="H1493" s="141"/>
      <c r="I1493" s="141"/>
      <c r="J1493" s="141"/>
      <c r="K1493" s="122"/>
      <c r="L1493" s="10"/>
    </row>
    <row r="1494" spans="1:12" s="146" customFormat="1" ht="18" x14ac:dyDescent="0.25">
      <c r="A1494" s="557"/>
      <c r="B1494" s="557"/>
      <c r="C1494" s="38"/>
      <c r="D1494" s="271"/>
      <c r="E1494" s="271"/>
      <c r="F1494" s="271"/>
      <c r="G1494" s="271"/>
      <c r="H1494" s="141"/>
      <c r="I1494" s="141"/>
      <c r="J1494" s="141"/>
      <c r="K1494" s="122"/>
      <c r="L1494" s="10"/>
    </row>
    <row r="1495" spans="1:12" ht="18" customHeight="1" x14ac:dyDescent="0.25">
      <c r="A1495" s="8" t="s">
        <v>112</v>
      </c>
    </row>
    <row r="1496" spans="1:12" ht="18" customHeight="1" x14ac:dyDescent="0.25">
      <c r="A1496" s="8" t="s">
        <v>690</v>
      </c>
    </row>
    <row r="1497" spans="1:12" ht="18" customHeight="1" x14ac:dyDescent="0.25">
      <c r="A1497" s="1636" t="s">
        <v>113</v>
      </c>
      <c r="B1497" s="1636"/>
      <c r="C1497" s="1636"/>
      <c r="D1497" s="1636"/>
      <c r="E1497" s="1636"/>
      <c r="F1497" s="1636"/>
      <c r="G1497" s="1636"/>
      <c r="H1497" s="1636"/>
      <c r="I1497" s="1636"/>
      <c r="J1497" s="1636"/>
      <c r="K1497" s="1060"/>
    </row>
    <row r="1498" spans="1:12" s="7" customFormat="1" ht="18" customHeight="1" x14ac:dyDescent="0.25">
      <c r="A1498" s="1686" t="s">
        <v>114</v>
      </c>
      <c r="B1498" s="1686"/>
      <c r="C1498" s="1686"/>
      <c r="D1498" s="1686"/>
      <c r="E1498" s="1686"/>
      <c r="F1498" s="1686"/>
      <c r="G1498" s="1686"/>
      <c r="H1498" s="1686"/>
      <c r="I1498" s="1686"/>
      <c r="J1498" s="1686"/>
      <c r="K1498" s="956"/>
      <c r="L1498" s="6"/>
    </row>
    <row r="1499" spans="1:12" x14ac:dyDescent="0.25">
      <c r="A1499" s="75"/>
      <c r="B1499" s="75"/>
      <c r="C1499" s="252"/>
      <c r="D1499" s="75"/>
      <c r="E1499" s="75"/>
      <c r="F1499" s="75"/>
      <c r="G1499" s="75"/>
      <c r="H1499" s="141"/>
      <c r="I1499" s="141"/>
      <c r="J1499" s="141"/>
      <c r="K1499" s="122"/>
    </row>
    <row r="1500" spans="1:12" ht="16.5" thickBot="1" x14ac:dyDescent="0.3">
      <c r="A1500" s="256"/>
      <c r="B1500" s="256"/>
      <c r="C1500" s="255"/>
      <c r="D1500" s="256"/>
      <c r="E1500" s="256"/>
      <c r="F1500" s="256"/>
      <c r="G1500" s="256"/>
      <c r="H1500" s="266"/>
      <c r="I1500" s="266"/>
      <c r="J1500" s="266"/>
      <c r="K1500" s="267"/>
    </row>
    <row r="1501" spans="1:12" s="48" customFormat="1" ht="21.75" customHeight="1" thickBot="1" x14ac:dyDescent="0.3">
      <c r="A1501" s="1655" t="s">
        <v>115</v>
      </c>
      <c r="B1501" s="1655"/>
      <c r="C1501" s="1655"/>
      <c r="D1501" s="1655"/>
      <c r="E1501" s="1655"/>
      <c r="F1501" s="1655"/>
      <c r="G1501" s="1151"/>
      <c r="H1501" s="1708" t="s">
        <v>1537</v>
      </c>
      <c r="I1501" s="1710" t="s">
        <v>1538</v>
      </c>
      <c r="J1501" s="1710" t="s">
        <v>1539</v>
      </c>
      <c r="K1501" s="1710" t="s">
        <v>1540</v>
      </c>
      <c r="L1501" s="47"/>
    </row>
    <row r="1502" spans="1:12" s="1153" customFormat="1" ht="31.5" customHeight="1" thickBot="1" x14ac:dyDescent="0.3">
      <c r="A1502" s="1655"/>
      <c r="B1502" s="1655"/>
      <c r="C1502" s="1655"/>
      <c r="D1502" s="1655"/>
      <c r="E1502" s="1655"/>
      <c r="F1502" s="1655"/>
      <c r="G1502" s="1067" t="s">
        <v>116</v>
      </c>
      <c r="H1502" s="1709"/>
      <c r="I1502" s="1710"/>
      <c r="J1502" s="1710"/>
      <c r="K1502" s="1710"/>
      <c r="L1502" s="1152"/>
    </row>
    <row r="1503" spans="1:12" s="146" customFormat="1" ht="10.5" customHeight="1" x14ac:dyDescent="0.25">
      <c r="A1503" s="254"/>
      <c r="B1503" s="271"/>
      <c r="C1503" s="36"/>
      <c r="D1503" s="271"/>
      <c r="E1503" s="271"/>
      <c r="F1503" s="272"/>
      <c r="G1503" s="273"/>
      <c r="H1503" s="250"/>
      <c r="I1503" s="250"/>
      <c r="J1503" s="250"/>
      <c r="K1503" s="233"/>
      <c r="L1503" s="10"/>
    </row>
    <row r="1504" spans="1:12" ht="18" customHeight="1" x14ac:dyDescent="0.25">
      <c r="A1504" s="1667" t="s">
        <v>613</v>
      </c>
      <c r="B1504" s="1620"/>
      <c r="C1504" s="1620"/>
      <c r="D1504" s="1620"/>
      <c r="E1504" s="235"/>
      <c r="F1504" s="236"/>
      <c r="G1504" s="237"/>
      <c r="H1504" s="238"/>
      <c r="I1504" s="238"/>
      <c r="J1504" s="238"/>
      <c r="K1504" s="294"/>
    </row>
    <row r="1505" spans="1:12" s="146" customFormat="1" ht="18" x14ac:dyDescent="0.25">
      <c r="A1505" s="1667"/>
      <c r="B1505" s="1620"/>
      <c r="C1505" s="1620"/>
      <c r="D1505" s="1620"/>
      <c r="E1505" s="152"/>
      <c r="F1505" s="295"/>
      <c r="G1505" s="100"/>
      <c r="H1505" s="101"/>
      <c r="I1505" s="101"/>
      <c r="J1505" s="101"/>
      <c r="K1505" s="102"/>
      <c r="L1505" s="10"/>
    </row>
    <row r="1506" spans="1:12" s="146" customFormat="1" ht="18" x14ac:dyDescent="0.25">
      <c r="A1506" s="296" t="s">
        <v>614</v>
      </c>
      <c r="B1506" s="198"/>
      <c r="C1506" s="38"/>
      <c r="D1506" s="199"/>
      <c r="E1506" s="199"/>
      <c r="F1506" s="297"/>
      <c r="G1506" s="100"/>
      <c r="H1506" s="101"/>
      <c r="I1506" s="101"/>
      <c r="J1506" s="101"/>
      <c r="K1506" s="102"/>
      <c r="L1506" s="10"/>
    </row>
    <row r="1507" spans="1:12" s="146" customFormat="1" ht="36.75" customHeight="1" x14ac:dyDescent="0.25">
      <c r="A1507" s="296"/>
      <c r="B1507" s="198"/>
      <c r="C1507" s="1628" t="s">
        <v>616</v>
      </c>
      <c r="D1507" s="1628"/>
      <c r="E1507" s="199"/>
      <c r="F1507" s="297"/>
      <c r="G1507" s="100"/>
      <c r="H1507" s="101"/>
      <c r="I1507" s="101">
        <v>126807843.8</v>
      </c>
      <c r="J1507" s="101">
        <v>126807843.8</v>
      </c>
      <c r="K1507" s="102"/>
      <c r="L1507" s="10"/>
    </row>
    <row r="1508" spans="1:12" s="146" customFormat="1" ht="18" x14ac:dyDescent="0.25">
      <c r="A1508" s="296"/>
      <c r="B1508" s="198"/>
      <c r="C1508" s="180" t="s">
        <v>615</v>
      </c>
      <c r="D1508" s="427"/>
      <c r="E1508" s="199"/>
      <c r="F1508" s="297"/>
      <c r="G1508" s="100"/>
      <c r="H1508" s="105"/>
      <c r="I1508" s="105"/>
      <c r="J1508" s="105"/>
      <c r="K1508" s="106">
        <v>1157843.8</v>
      </c>
      <c r="L1508" s="10"/>
    </row>
    <row r="1509" spans="1:12" s="146" customFormat="1" ht="18" x14ac:dyDescent="0.25">
      <c r="A1509" s="298"/>
      <c r="B1509" s="199"/>
      <c r="C1509" s="1184" t="s">
        <v>200</v>
      </c>
      <c r="D1509" s="313"/>
      <c r="E1509" s="299"/>
      <c r="F1509" s="300"/>
      <c r="G1509" s="301"/>
      <c r="H1509" s="150">
        <f>SUM(H1507:H1508)</f>
        <v>0</v>
      </c>
      <c r="I1509" s="150">
        <f>SUM(I1507:I1508)</f>
        <v>126807843.8</v>
      </c>
      <c r="J1509" s="150">
        <f>SUM(J1507:J1508)</f>
        <v>126807843.8</v>
      </c>
      <c r="K1509" s="150">
        <f>SUM(K1507:K1508)</f>
        <v>1157843.8</v>
      </c>
      <c r="L1509" s="10"/>
    </row>
    <row r="1510" spans="1:12" s="146" customFormat="1" ht="18" x14ac:dyDescent="0.25">
      <c r="A1510" s="296" t="s">
        <v>617</v>
      </c>
      <c r="B1510" s="198"/>
      <c r="C1510" s="38"/>
      <c r="D1510" s="199"/>
      <c r="E1510" s="199"/>
      <c r="F1510" s="297"/>
      <c r="G1510" s="100"/>
      <c r="H1510" s="101"/>
      <c r="I1510" s="101"/>
      <c r="J1510" s="101"/>
      <c r="K1510" s="102"/>
      <c r="L1510" s="10"/>
    </row>
    <row r="1511" spans="1:12" ht="17.25" customHeight="1" x14ac:dyDescent="0.25">
      <c r="A1511" s="296"/>
      <c r="B1511" s="198"/>
      <c r="C1511" s="180" t="s">
        <v>618</v>
      </c>
      <c r="D1511" s="427"/>
      <c r="E1511" s="427"/>
      <c r="F1511" s="1207"/>
      <c r="G1511" s="423"/>
      <c r="H1511" s="101"/>
      <c r="I1511" s="101"/>
      <c r="J1511" s="101"/>
      <c r="K1511" s="102"/>
    </row>
    <row r="1512" spans="1:12" ht="18" x14ac:dyDescent="0.25">
      <c r="A1512" s="296"/>
      <c r="B1512" s="198"/>
      <c r="C1512" s="180" t="s">
        <v>619</v>
      </c>
      <c r="D1512" s="427"/>
      <c r="E1512" s="427"/>
      <c r="F1512" s="1207"/>
      <c r="G1512" s="423"/>
      <c r="H1512" s="101"/>
      <c r="I1512" s="101"/>
      <c r="J1512" s="101"/>
      <c r="K1512" s="102"/>
    </row>
    <row r="1513" spans="1:12" ht="18" x14ac:dyDescent="0.25">
      <c r="A1513" s="296"/>
      <c r="B1513" s="198"/>
      <c r="C1513" s="180" t="s">
        <v>620</v>
      </c>
      <c r="D1513" s="427"/>
      <c r="E1513" s="427"/>
      <c r="F1513" s="1207"/>
      <c r="G1513" s="423"/>
      <c r="H1513" s="101"/>
      <c r="I1513" s="101"/>
      <c r="J1513" s="101"/>
      <c r="K1513" s="102"/>
    </row>
    <row r="1514" spans="1:12" ht="18" x14ac:dyDescent="0.25">
      <c r="A1514" s="296"/>
      <c r="B1514" s="198"/>
      <c r="C1514" s="180" t="s">
        <v>621</v>
      </c>
      <c r="D1514" s="427"/>
      <c r="E1514" s="427"/>
      <c r="F1514" s="1207"/>
      <c r="G1514" s="423"/>
      <c r="H1514" s="101"/>
      <c r="I1514" s="101"/>
      <c r="J1514" s="101"/>
      <c r="K1514" s="102"/>
    </row>
    <row r="1515" spans="1:12" ht="18" x14ac:dyDescent="0.25">
      <c r="A1515" s="296"/>
      <c r="B1515" s="198"/>
      <c r="C1515" s="180" t="s">
        <v>623</v>
      </c>
      <c r="D1515" s="427"/>
      <c r="E1515" s="427"/>
      <c r="F1515" s="1207"/>
      <c r="G1515" s="423"/>
      <c r="H1515" s="101"/>
      <c r="I1515" s="101"/>
      <c r="J1515" s="101"/>
      <c r="K1515" s="102"/>
    </row>
    <row r="1516" spans="1:12" ht="19.5" customHeight="1" x14ac:dyDescent="0.25">
      <c r="A1516" s="302"/>
      <c r="B1516" s="608"/>
      <c r="C1516" s="1634" t="s">
        <v>624</v>
      </c>
      <c r="D1516" s="1634"/>
      <c r="E1516" s="1634"/>
      <c r="F1516" s="1653"/>
      <c r="G1516" s="423"/>
      <c r="H1516" s="101"/>
      <c r="I1516" s="101"/>
      <c r="J1516" s="101"/>
      <c r="K1516" s="102"/>
    </row>
    <row r="1517" spans="1:12" ht="18" x14ac:dyDescent="0.25">
      <c r="A1517" s="296"/>
      <c r="B1517" s="198"/>
      <c r="C1517" s="180" t="s">
        <v>625</v>
      </c>
      <c r="D1517" s="427"/>
      <c r="E1517" s="427"/>
      <c r="F1517" s="1207"/>
      <c r="G1517" s="423"/>
      <c r="H1517" s="101"/>
      <c r="I1517" s="101"/>
      <c r="J1517" s="101"/>
      <c r="K1517" s="102"/>
    </row>
    <row r="1518" spans="1:12" ht="18" x14ac:dyDescent="0.25">
      <c r="A1518" s="296"/>
      <c r="B1518" s="198"/>
      <c r="C1518" s="180" t="s">
        <v>626</v>
      </c>
      <c r="D1518" s="427"/>
      <c r="E1518" s="427"/>
      <c r="F1518" s="1207"/>
      <c r="G1518" s="423"/>
      <c r="H1518" s="101"/>
      <c r="I1518" s="101"/>
      <c r="J1518" s="101"/>
      <c r="K1518" s="102"/>
    </row>
    <row r="1519" spans="1:12" ht="18" x14ac:dyDescent="0.25">
      <c r="A1519" s="296"/>
      <c r="B1519" s="198"/>
      <c r="C1519" s="180" t="s">
        <v>627</v>
      </c>
      <c r="D1519" s="427"/>
      <c r="E1519" s="427"/>
      <c r="F1519" s="1207"/>
      <c r="G1519" s="423"/>
      <c r="H1519" s="101"/>
      <c r="I1519" s="101"/>
      <c r="J1519" s="101"/>
      <c r="K1519" s="102"/>
    </row>
    <row r="1520" spans="1:12" ht="18" x14ac:dyDescent="0.25">
      <c r="A1520" s="296"/>
      <c r="B1520" s="198"/>
      <c r="C1520" s="180" t="s">
        <v>628</v>
      </c>
      <c r="D1520" s="427"/>
      <c r="E1520" s="427"/>
      <c r="F1520" s="1207"/>
      <c r="G1520" s="423"/>
      <c r="H1520" s="101"/>
      <c r="I1520" s="101"/>
      <c r="J1520" s="101"/>
      <c r="K1520" s="102"/>
    </row>
    <row r="1521" spans="1:12" s="146" customFormat="1" ht="18" x14ac:dyDescent="0.25">
      <c r="A1521" s="304"/>
      <c r="B1521" s="609"/>
      <c r="C1521" s="180" t="s">
        <v>633</v>
      </c>
      <c r="D1521" s="427"/>
      <c r="E1521" s="427"/>
      <c r="F1521" s="1207"/>
      <c r="G1521" s="423"/>
      <c r="H1521" s="101"/>
      <c r="I1521" s="101"/>
      <c r="J1521" s="101"/>
      <c r="K1521" s="102"/>
      <c r="L1521" s="10"/>
    </row>
    <row r="1522" spans="1:12" s="208" customFormat="1" ht="18" customHeight="1" x14ac:dyDescent="0.25">
      <c r="A1522" s="154"/>
      <c r="B1522" s="1042"/>
      <c r="C1522" s="652" t="s">
        <v>1745</v>
      </c>
      <c r="D1522" s="652"/>
      <c r="E1522" s="652"/>
      <c r="F1522" s="717"/>
      <c r="G1522" s="333"/>
      <c r="H1522" s="250"/>
      <c r="I1522" s="250">
        <v>150000</v>
      </c>
      <c r="J1522" s="250">
        <v>150000</v>
      </c>
      <c r="K1522" s="233">
        <v>150000</v>
      </c>
      <c r="L1522" s="233"/>
    </row>
    <row r="1523" spans="1:12" s="146" customFormat="1" ht="18" x14ac:dyDescent="0.25">
      <c r="A1523" s="1051"/>
      <c r="B1523" s="1041"/>
      <c r="C1523" s="180" t="s">
        <v>1246</v>
      </c>
      <c r="D1523" s="481"/>
      <c r="E1523" s="427"/>
      <c r="F1523" s="427"/>
      <c r="G1523" s="423"/>
      <c r="H1523" s="101"/>
      <c r="I1523" s="101">
        <v>80000000</v>
      </c>
      <c r="J1523" s="101">
        <v>80000000</v>
      </c>
      <c r="K1523" s="102">
        <v>80000000</v>
      </c>
      <c r="L1523" s="10"/>
    </row>
    <row r="1524" spans="1:12" s="313" customFormat="1" ht="18" customHeight="1" x14ac:dyDescent="0.25">
      <c r="A1524" s="1081"/>
      <c r="B1524" s="1044"/>
      <c r="C1524" s="1073" t="s">
        <v>1247</v>
      </c>
      <c r="D1524" s="1075"/>
      <c r="E1524" s="427"/>
      <c r="F1524" s="427"/>
      <c r="G1524" s="423"/>
      <c r="H1524" s="101"/>
      <c r="I1524" s="101">
        <v>20000000</v>
      </c>
      <c r="J1524" s="101">
        <v>20000000</v>
      </c>
      <c r="K1524" s="102">
        <v>20000000</v>
      </c>
      <c r="L1524" s="193"/>
    </row>
    <row r="1525" spans="1:12" s="146" customFormat="1" ht="38.25" customHeight="1" x14ac:dyDescent="0.25">
      <c r="A1525" s="1051"/>
      <c r="B1525" s="1041"/>
      <c r="C1525" s="1634" t="s">
        <v>1249</v>
      </c>
      <c r="D1525" s="1634"/>
      <c r="E1525" s="427"/>
      <c r="F1525" s="427"/>
      <c r="G1525" s="423"/>
      <c r="H1525" s="101"/>
      <c r="I1525" s="101">
        <v>2000000</v>
      </c>
      <c r="J1525" s="101">
        <v>2000000</v>
      </c>
      <c r="K1525" s="102">
        <v>2000000</v>
      </c>
      <c r="L1525" s="10"/>
    </row>
    <row r="1526" spans="1:12" s="203" customFormat="1" ht="53.25" customHeight="1" x14ac:dyDescent="0.25">
      <c r="A1526" s="1051"/>
      <c r="B1526" s="1041"/>
      <c r="C1526" s="1622" t="s">
        <v>1747</v>
      </c>
      <c r="D1526" s="1622"/>
      <c r="E1526" s="427"/>
      <c r="F1526" s="427"/>
      <c r="G1526" s="423"/>
      <c r="H1526" s="101"/>
      <c r="I1526" s="101"/>
      <c r="J1526" s="101"/>
      <c r="K1526" s="102">
        <v>500000</v>
      </c>
      <c r="L1526" s="10"/>
    </row>
    <row r="1527" spans="1:12" s="146" customFormat="1" ht="36" customHeight="1" x14ac:dyDescent="0.25">
      <c r="A1527" s="1051"/>
      <c r="B1527" s="1041"/>
      <c r="C1527" s="1622" t="s">
        <v>1746</v>
      </c>
      <c r="D1527" s="1622"/>
      <c r="E1527" s="427"/>
      <c r="F1527" s="427"/>
      <c r="G1527" s="423"/>
      <c r="H1527" s="101"/>
      <c r="I1527" s="101"/>
      <c r="J1527" s="101"/>
      <c r="K1527" s="102">
        <v>1000000</v>
      </c>
      <c r="L1527" s="10"/>
    </row>
    <row r="1528" spans="1:12" s="146" customFormat="1" ht="21" customHeight="1" x14ac:dyDescent="0.25">
      <c r="A1528" s="1051"/>
      <c r="B1528" s="1041"/>
      <c r="C1528" s="1073" t="s">
        <v>1748</v>
      </c>
      <c r="D1528" s="1091"/>
      <c r="E1528" s="427"/>
      <c r="F1528" s="180"/>
      <c r="G1528" s="423"/>
      <c r="H1528" s="101"/>
      <c r="I1528" s="105">
        <v>3000000</v>
      </c>
      <c r="J1528" s="105">
        <v>3000000</v>
      </c>
      <c r="K1528" s="106">
        <v>1000000</v>
      </c>
      <c r="L1528" s="10"/>
    </row>
    <row r="1529" spans="1:12" s="146" customFormat="1" ht="18" x14ac:dyDescent="0.25">
      <c r="A1529" s="298"/>
      <c r="B1529" s="199"/>
      <c r="C1529" s="1085" t="s">
        <v>200</v>
      </c>
      <c r="E1529" s="303"/>
      <c r="F1529" s="309"/>
      <c r="G1529" s="100"/>
      <c r="H1529" s="119">
        <f>SUM(H1511:H1528)</f>
        <v>0</v>
      </c>
      <c r="I1529" s="119">
        <f>SUM(I1511:I1528)</f>
        <v>105150000</v>
      </c>
      <c r="J1529" s="119">
        <f>SUM(J1511:J1528)</f>
        <v>105150000</v>
      </c>
      <c r="K1529" s="119">
        <f>SUM(K1511:K1528)</f>
        <v>104650000</v>
      </c>
      <c r="L1529" s="10"/>
    </row>
    <row r="1530" spans="1:12" ht="18" x14ac:dyDescent="0.25">
      <c r="A1530" s="296" t="s">
        <v>634</v>
      </c>
      <c r="B1530" s="198"/>
      <c r="C1530" s="36"/>
      <c r="D1530" s="198"/>
      <c r="E1530" s="198"/>
      <c r="F1530" s="310"/>
      <c r="G1530" s="100"/>
      <c r="H1530" s="101"/>
      <c r="I1530" s="101"/>
      <c r="J1530" s="101"/>
      <c r="K1530" s="102"/>
    </row>
    <row r="1531" spans="1:12" s="313" customFormat="1" ht="18" x14ac:dyDescent="0.25">
      <c r="A1531" s="1081"/>
      <c r="B1531" s="1044"/>
      <c r="C1531" s="180" t="s">
        <v>1029</v>
      </c>
      <c r="D1531" s="174"/>
      <c r="E1531" s="174"/>
      <c r="F1531" s="174"/>
      <c r="G1531" s="423"/>
      <c r="H1531" s="102"/>
      <c r="I1531" s="102"/>
      <c r="J1531" s="102"/>
      <c r="K1531" s="102"/>
      <c r="L1531" s="193"/>
    </row>
    <row r="1532" spans="1:12" s="388" customFormat="1" ht="18" x14ac:dyDescent="0.25">
      <c r="A1532" s="154"/>
      <c r="B1532" s="1042"/>
      <c r="C1532" s="180" t="s">
        <v>1749</v>
      </c>
      <c r="D1532" s="427"/>
      <c r="E1532" s="225"/>
      <c r="F1532" s="226"/>
      <c r="G1532" s="100"/>
      <c r="H1532" s="101"/>
      <c r="I1532" s="101">
        <v>2500000</v>
      </c>
      <c r="J1532" s="101">
        <v>2500000</v>
      </c>
      <c r="K1532" s="102">
        <v>5000000</v>
      </c>
      <c r="L1532" s="180"/>
    </row>
    <row r="1533" spans="1:12" s="388" customFormat="1" ht="18" x14ac:dyDescent="0.25">
      <c r="A1533" s="154"/>
      <c r="B1533" s="1042"/>
      <c r="C1533" s="180" t="s">
        <v>1750</v>
      </c>
      <c r="D1533" s="427"/>
      <c r="E1533" s="225"/>
      <c r="F1533" s="226"/>
      <c r="G1533" s="100"/>
      <c r="H1533" s="101"/>
      <c r="I1533" s="101"/>
      <c r="J1533" s="101"/>
      <c r="K1533" s="102">
        <v>10000000</v>
      </c>
      <c r="L1533" s="207"/>
    </row>
    <row r="1534" spans="1:12" s="388" customFormat="1" ht="18" x14ac:dyDescent="0.25">
      <c r="A1534" s="154"/>
      <c r="B1534" s="1042"/>
      <c r="C1534" s="180" t="s">
        <v>1751</v>
      </c>
      <c r="D1534" s="427"/>
      <c r="E1534" s="225"/>
      <c r="F1534" s="226"/>
      <c r="G1534" s="100"/>
      <c r="H1534" s="101"/>
      <c r="I1534" s="101"/>
      <c r="J1534" s="101"/>
      <c r="K1534" s="102">
        <v>6000000</v>
      </c>
      <c r="L1534" s="180"/>
    </row>
    <row r="1535" spans="1:12" ht="18" x14ac:dyDescent="0.25">
      <c r="A1535" s="298"/>
      <c r="B1535" s="199"/>
      <c r="C1535" s="180" t="s">
        <v>635</v>
      </c>
      <c r="D1535" s="427"/>
      <c r="E1535" s="427"/>
      <c r="F1535" s="1207"/>
      <c r="G1535" s="100"/>
      <c r="H1535" s="101"/>
      <c r="I1535" s="101"/>
      <c r="J1535" s="101"/>
      <c r="K1535" s="102"/>
    </row>
    <row r="1536" spans="1:12" ht="18.75" customHeight="1" x14ac:dyDescent="0.25">
      <c r="A1536" s="298"/>
      <c r="B1536" s="199"/>
      <c r="C1536" s="1628" t="s">
        <v>1752</v>
      </c>
      <c r="D1536" s="1628"/>
      <c r="E1536" s="1628"/>
      <c r="F1536" s="1647"/>
      <c r="G1536" s="100"/>
      <c r="H1536" s="101"/>
      <c r="I1536" s="101"/>
      <c r="J1536" s="101"/>
      <c r="K1536" s="102"/>
    </row>
    <row r="1537" spans="1:12" ht="37.5" customHeight="1" x14ac:dyDescent="0.25">
      <c r="A1537" s="298"/>
      <c r="B1537" s="199"/>
      <c r="C1537" s="1628" t="s">
        <v>1753</v>
      </c>
      <c r="D1537" s="1628"/>
      <c r="E1537" s="1628"/>
      <c r="F1537" s="1647"/>
      <c r="G1537" s="100"/>
      <c r="H1537" s="101"/>
      <c r="I1537" s="101"/>
      <c r="J1537" s="101"/>
      <c r="K1537" s="102"/>
    </row>
    <row r="1538" spans="1:12" ht="18.75" customHeight="1" x14ac:dyDescent="0.25">
      <c r="A1538" s="298"/>
      <c r="B1538" s="199"/>
      <c r="C1538" s="1628" t="s">
        <v>1754</v>
      </c>
      <c r="D1538" s="1628"/>
      <c r="E1538" s="427"/>
      <c r="F1538" s="1207"/>
      <c r="G1538" s="100"/>
      <c r="H1538" s="101"/>
      <c r="I1538" s="101"/>
      <c r="J1538" s="101"/>
      <c r="K1538" s="102"/>
    </row>
    <row r="1539" spans="1:12" s="313" customFormat="1" ht="18" customHeight="1" x14ac:dyDescent="0.25">
      <c r="A1539" s="1081"/>
      <c r="B1539" s="1044"/>
      <c r="C1539" s="1073" t="s">
        <v>642</v>
      </c>
      <c r="D1539" s="1073"/>
      <c r="E1539" s="1087"/>
      <c r="F1539" s="311"/>
      <c r="G1539" s="312"/>
      <c r="H1539" s="102"/>
      <c r="I1539" s="102"/>
      <c r="J1539" s="102"/>
      <c r="K1539" s="102"/>
      <c r="L1539" s="193"/>
    </row>
    <row r="1540" spans="1:12" ht="18" x14ac:dyDescent="0.25">
      <c r="A1540" s="298"/>
      <c r="B1540" s="199"/>
      <c r="C1540" s="180" t="s">
        <v>648</v>
      </c>
      <c r="D1540" s="1208"/>
      <c r="E1540" s="427"/>
      <c r="F1540" s="1207"/>
      <c r="G1540" s="100"/>
      <c r="H1540" s="105"/>
      <c r="I1540" s="105"/>
      <c r="J1540" s="105"/>
      <c r="K1540" s="106"/>
    </row>
    <row r="1541" spans="1:12" s="146" customFormat="1" ht="18" x14ac:dyDescent="0.25">
      <c r="A1541" s="1051"/>
      <c r="B1541" s="1041"/>
      <c r="C1541" s="1085" t="s">
        <v>200</v>
      </c>
      <c r="D1541" s="305"/>
      <c r="E1541" s="1047"/>
      <c r="F1541" s="1048"/>
      <c r="G1541" s="301"/>
      <c r="H1541" s="189">
        <f>SUM(H1531:H1540)</f>
        <v>0</v>
      </c>
      <c r="I1541" s="189">
        <f>SUM(I1531:I1540)</f>
        <v>2500000</v>
      </c>
      <c r="J1541" s="189">
        <f>SUM(J1531:J1540)</f>
        <v>2500000</v>
      </c>
      <c r="K1541" s="189">
        <f>SUM(K1531:K1540)</f>
        <v>21000000</v>
      </c>
      <c r="L1541" s="127"/>
    </row>
    <row r="1542" spans="1:12" s="146" customFormat="1" ht="18" x14ac:dyDescent="0.25">
      <c r="A1542" s="107"/>
      <c r="B1542" s="1182"/>
      <c r="C1542" s="1209" t="s">
        <v>649</v>
      </c>
      <c r="D1542" s="1181"/>
      <c r="E1542" s="1186"/>
      <c r="F1542" s="1210"/>
      <c r="G1542" s="1211"/>
      <c r="H1542" s="316">
        <f>SUM(H1541+H1529+H1509)</f>
        <v>0</v>
      </c>
      <c r="I1542" s="316">
        <f>SUM(I1541+I1529+I1509)</f>
        <v>234457843.80000001</v>
      </c>
      <c r="J1542" s="316">
        <f>SUM(J1541+J1529+J1509)</f>
        <v>234457843.80000001</v>
      </c>
      <c r="K1542" s="316">
        <f>SUM(K1541+K1529+K1509)</f>
        <v>126807843.8</v>
      </c>
      <c r="L1542" s="201"/>
    </row>
    <row r="1543" spans="1:12" s="146" customFormat="1" ht="18.75" thickBot="1" x14ac:dyDescent="0.3">
      <c r="A1543" s="317"/>
      <c r="B1543" s="318"/>
      <c r="C1543" s="560" t="s">
        <v>650</v>
      </c>
      <c r="D1543" s="561"/>
      <c r="E1543" s="228"/>
      <c r="F1543" s="319"/>
      <c r="G1543" s="320"/>
      <c r="H1543" s="321">
        <f>H1542+H1463+H1477</f>
        <v>0</v>
      </c>
      <c r="I1543" s="321">
        <f>I1542+I1463+I1477</f>
        <v>272195042.88</v>
      </c>
      <c r="J1543" s="321">
        <f>J1542+J1463+J1477</f>
        <v>272195042.88</v>
      </c>
      <c r="K1543" s="321">
        <f>K1542+K1463+K1477</f>
        <v>186276792.88</v>
      </c>
      <c r="L1543" s="10"/>
    </row>
    <row r="1544" spans="1:12" s="146" customFormat="1" ht="18" x14ac:dyDescent="0.25">
      <c r="A1544" s="1041"/>
      <c r="B1544" s="1041"/>
      <c r="C1544" s="1045"/>
      <c r="D1544" s="1047"/>
      <c r="E1544" s="1047"/>
      <c r="F1544" s="1047"/>
      <c r="G1544" s="322"/>
      <c r="H1544" s="126"/>
      <c r="I1544" s="126"/>
      <c r="J1544" s="126"/>
      <c r="K1544" s="127"/>
      <c r="L1544" s="10"/>
    </row>
    <row r="1545" spans="1:12" s="146" customFormat="1" ht="18" x14ac:dyDescent="0.25">
      <c r="A1545" s="1041"/>
      <c r="B1545" s="1041"/>
      <c r="C1545" s="1045"/>
      <c r="D1545" s="1047"/>
      <c r="E1545" s="1047"/>
      <c r="F1545" s="1047"/>
      <c r="G1545" s="322"/>
      <c r="H1545" s="126"/>
      <c r="I1545" s="126"/>
      <c r="J1545" s="126"/>
      <c r="K1545" s="127"/>
      <c r="L1545" s="10"/>
    </row>
    <row r="1546" spans="1:12" s="146" customFormat="1" ht="18" x14ac:dyDescent="0.25">
      <c r="A1546" s="1041"/>
      <c r="B1546" s="1041"/>
      <c r="C1546" s="1045"/>
      <c r="D1546" s="1047"/>
      <c r="E1546" s="1047"/>
      <c r="F1546" s="1047"/>
      <c r="G1546" s="322"/>
      <c r="H1546" s="126"/>
      <c r="I1546" s="126"/>
      <c r="J1546" s="126"/>
      <c r="K1546" s="127"/>
      <c r="L1546" s="10"/>
    </row>
    <row r="1547" spans="1:12" s="146" customFormat="1" ht="18" x14ac:dyDescent="0.25">
      <c r="A1547" s="1041"/>
      <c r="B1547" s="1041"/>
      <c r="C1547" s="1045"/>
      <c r="D1547" s="1047"/>
      <c r="E1547" s="1047"/>
      <c r="F1547" s="1047"/>
      <c r="G1547" s="322"/>
      <c r="H1547" s="126"/>
      <c r="I1547" s="126"/>
      <c r="J1547" s="126"/>
      <c r="K1547" s="127"/>
      <c r="L1547" s="10"/>
    </row>
    <row r="1548" spans="1:12" s="146" customFormat="1" ht="18" x14ac:dyDescent="0.25">
      <c r="A1548" s="1041"/>
      <c r="B1548" s="1041"/>
      <c r="C1548" s="1045"/>
      <c r="D1548" s="1047"/>
      <c r="E1548" s="1047"/>
      <c r="F1548" s="1047"/>
      <c r="G1548" s="322"/>
      <c r="H1548" s="126"/>
      <c r="I1548" s="126"/>
      <c r="J1548" s="126"/>
      <c r="K1548" s="127"/>
      <c r="L1548" s="10"/>
    </row>
    <row r="1549" spans="1:12" s="146" customFormat="1" ht="18" x14ac:dyDescent="0.25">
      <c r="A1549" s="1041"/>
      <c r="B1549" s="1041"/>
      <c r="C1549" s="1045"/>
      <c r="D1549" s="1047"/>
      <c r="E1549" s="1047"/>
      <c r="F1549" s="1047"/>
      <c r="G1549" s="322"/>
      <c r="H1549" s="126"/>
      <c r="I1549" s="126"/>
      <c r="J1549" s="126"/>
      <c r="K1549" s="127"/>
      <c r="L1549" s="10"/>
    </row>
    <row r="1550" spans="1:12" s="146" customFormat="1" ht="18" x14ac:dyDescent="0.25">
      <c r="A1550" s="1041"/>
      <c r="B1550" s="1041"/>
      <c r="C1550" s="1045"/>
      <c r="D1550" s="1047"/>
      <c r="E1550" s="1047"/>
      <c r="F1550" s="1047"/>
      <c r="G1550" s="322"/>
      <c r="H1550" s="126"/>
      <c r="I1550" s="126"/>
      <c r="J1550" s="126"/>
      <c r="K1550" s="127"/>
      <c r="L1550" s="10"/>
    </row>
    <row r="1551" spans="1:12" s="146" customFormat="1" ht="18" x14ac:dyDescent="0.25">
      <c r="A1551" s="1041"/>
      <c r="B1551" s="1041"/>
      <c r="C1551" s="1045"/>
      <c r="D1551" s="1047"/>
      <c r="E1551" s="1047"/>
      <c r="F1551" s="1047"/>
      <c r="G1551" s="322"/>
      <c r="H1551" s="126"/>
      <c r="I1551" s="126"/>
      <c r="J1551" s="126"/>
      <c r="K1551" s="127"/>
      <c r="L1551" s="10"/>
    </row>
    <row r="1552" spans="1:12" s="146" customFormat="1" ht="18" x14ac:dyDescent="0.25">
      <c r="A1552" s="1041"/>
      <c r="B1552" s="1041"/>
      <c r="C1552" s="1045"/>
      <c r="D1552" s="1047"/>
      <c r="E1552" s="1047"/>
      <c r="F1552" s="1047"/>
      <c r="G1552" s="322"/>
      <c r="H1552" s="126"/>
      <c r="I1552" s="126"/>
      <c r="J1552" s="126"/>
      <c r="K1552" s="127"/>
      <c r="L1552" s="10"/>
    </row>
    <row r="1553" spans="1:12" s="146" customFormat="1" ht="18" x14ac:dyDescent="0.25">
      <c r="A1553" s="1041"/>
      <c r="B1553" s="1041"/>
      <c r="C1553" s="1045"/>
      <c r="D1553" s="1047"/>
      <c r="E1553" s="1047"/>
      <c r="F1553" s="1047"/>
      <c r="G1553" s="322"/>
      <c r="H1553" s="126"/>
      <c r="I1553" s="126"/>
      <c r="J1553" s="126"/>
      <c r="K1553" s="127"/>
      <c r="L1553" s="10"/>
    </row>
    <row r="1554" spans="1:12" s="146" customFormat="1" ht="18" x14ac:dyDescent="0.25">
      <c r="A1554" s="1041"/>
      <c r="B1554" s="1041"/>
      <c r="C1554" s="1045"/>
      <c r="D1554" s="1047"/>
      <c r="E1554" s="1047"/>
      <c r="F1554" s="1047"/>
      <c r="G1554" s="322"/>
      <c r="H1554" s="126"/>
      <c r="I1554" s="126"/>
      <c r="J1554" s="126"/>
      <c r="K1554" s="127"/>
      <c r="L1554" s="10"/>
    </row>
    <row r="1555" spans="1:12" s="146" customFormat="1" ht="18" x14ac:dyDescent="0.25">
      <c r="A1555" s="1041"/>
      <c r="B1555" s="1041"/>
      <c r="C1555" s="1045"/>
      <c r="D1555" s="1047"/>
      <c r="E1555" s="1047"/>
      <c r="F1555" s="1047"/>
      <c r="G1555" s="322"/>
      <c r="H1555" s="126"/>
      <c r="I1555" s="126"/>
      <c r="J1555" s="126"/>
      <c r="K1555" s="127"/>
      <c r="L1555" s="10"/>
    </row>
    <row r="1556" spans="1:12" s="146" customFormat="1" ht="18" x14ac:dyDescent="0.25">
      <c r="A1556" s="1041"/>
      <c r="B1556" s="1041"/>
      <c r="C1556" s="1045"/>
      <c r="D1556" s="1047"/>
      <c r="E1556" s="1047"/>
      <c r="F1556" s="1047"/>
      <c r="G1556" s="322"/>
      <c r="H1556" s="126"/>
      <c r="I1556" s="126"/>
      <c r="J1556" s="126"/>
      <c r="K1556" s="127"/>
      <c r="L1556" s="10"/>
    </row>
    <row r="1557" spans="1:12" s="146" customFormat="1" ht="18" x14ac:dyDescent="0.25">
      <c r="A1557" s="1041"/>
      <c r="B1557" s="1041"/>
      <c r="C1557" s="1045"/>
      <c r="D1557" s="1047"/>
      <c r="E1557" s="1047"/>
      <c r="F1557" s="1047"/>
      <c r="G1557" s="322"/>
      <c r="H1557" s="126"/>
      <c r="I1557" s="126"/>
      <c r="J1557" s="126"/>
      <c r="K1557" s="127"/>
      <c r="L1557" s="10"/>
    </row>
    <row r="1558" spans="1:12" s="146" customFormat="1" ht="18" x14ac:dyDescent="0.25">
      <c r="A1558" s="1041"/>
      <c r="B1558" s="1041"/>
      <c r="C1558" s="1045"/>
      <c r="D1558" s="1047"/>
      <c r="E1558" s="1047"/>
      <c r="F1558" s="1047"/>
      <c r="G1558" s="322"/>
      <c r="H1558" s="126"/>
      <c r="I1558" s="126"/>
      <c r="J1558" s="126"/>
      <c r="K1558" s="127"/>
      <c r="L1558" s="10"/>
    </row>
    <row r="1559" spans="1:12" s="146" customFormat="1" ht="18" x14ac:dyDescent="0.25">
      <c r="A1559" s="1041"/>
      <c r="B1559" s="1041"/>
      <c r="C1559" s="1045"/>
      <c r="D1559" s="1047"/>
      <c r="E1559" s="1047"/>
      <c r="F1559" s="1047"/>
      <c r="G1559" s="322"/>
      <c r="H1559" s="126"/>
      <c r="I1559" s="126"/>
      <c r="J1559" s="126"/>
      <c r="K1559" s="127"/>
      <c r="L1559" s="10"/>
    </row>
    <row r="1560" spans="1:12" s="146" customFormat="1" ht="18" x14ac:dyDescent="0.25">
      <c r="A1560" s="1041"/>
      <c r="B1560" s="1041"/>
      <c r="C1560" s="1045"/>
      <c r="D1560" s="1047"/>
      <c r="E1560" s="1047"/>
      <c r="F1560" s="1047"/>
      <c r="G1560" s="322"/>
      <c r="H1560" s="126"/>
      <c r="I1560" s="126"/>
      <c r="J1560" s="126"/>
      <c r="K1560" s="127"/>
      <c r="L1560" s="10"/>
    </row>
    <row r="1561" spans="1:12" s="146" customFormat="1" ht="18" x14ac:dyDescent="0.25">
      <c r="A1561" s="1041"/>
      <c r="B1561" s="1041"/>
      <c r="C1561" s="1045"/>
      <c r="D1561" s="1047"/>
      <c r="E1561" s="1047"/>
      <c r="F1561" s="1047"/>
      <c r="G1561" s="322"/>
      <c r="H1561" s="126"/>
      <c r="I1561" s="126"/>
      <c r="J1561" s="126"/>
      <c r="K1561" s="127"/>
      <c r="L1561" s="10"/>
    </row>
    <row r="1562" spans="1:12" s="146" customFormat="1" ht="18" x14ac:dyDescent="0.25">
      <c r="A1562" s="1041"/>
      <c r="B1562" s="1041"/>
      <c r="C1562" s="1045"/>
      <c r="D1562" s="1047"/>
      <c r="E1562" s="1047"/>
      <c r="F1562" s="1047"/>
      <c r="G1562" s="322"/>
      <c r="H1562" s="126"/>
      <c r="I1562" s="126"/>
      <c r="J1562" s="126"/>
      <c r="K1562" s="127"/>
      <c r="L1562" s="10"/>
    </row>
    <row r="1563" spans="1:12" ht="18" customHeight="1" x14ac:dyDescent="0.25">
      <c r="A1563" s="8" t="s">
        <v>112</v>
      </c>
    </row>
    <row r="1564" spans="1:12" ht="18" customHeight="1" x14ac:dyDescent="0.25">
      <c r="A1564" s="8" t="s">
        <v>718</v>
      </c>
    </row>
    <row r="1565" spans="1:12" ht="18" customHeight="1" x14ac:dyDescent="0.25">
      <c r="A1565" s="1636" t="s">
        <v>113</v>
      </c>
      <c r="B1565" s="1636"/>
      <c r="C1565" s="1636"/>
      <c r="D1565" s="1636"/>
      <c r="E1565" s="1636"/>
      <c r="F1565" s="1636"/>
      <c r="G1565" s="1636"/>
      <c r="H1565" s="1636"/>
      <c r="I1565" s="1636"/>
      <c r="J1565" s="1636"/>
      <c r="K1565" s="1060"/>
    </row>
    <row r="1566" spans="1:12" s="7" customFormat="1" ht="18" customHeight="1" x14ac:dyDescent="0.25">
      <c r="A1566" s="1686" t="s">
        <v>114</v>
      </c>
      <c r="B1566" s="1686"/>
      <c r="C1566" s="1686"/>
      <c r="D1566" s="1686"/>
      <c r="E1566" s="1686"/>
      <c r="F1566" s="1686"/>
      <c r="G1566" s="1686"/>
      <c r="H1566" s="1686"/>
      <c r="I1566" s="1686"/>
      <c r="J1566" s="1686"/>
      <c r="K1566" s="956"/>
      <c r="L1566" s="6"/>
    </row>
    <row r="1567" spans="1:12" x14ac:dyDescent="0.25">
      <c r="A1567" s="75"/>
      <c r="B1567" s="75"/>
      <c r="C1567" s="252"/>
      <c r="D1567" s="75"/>
      <c r="E1567" s="75"/>
      <c r="F1567" s="75"/>
      <c r="G1567" s="75"/>
      <c r="H1567" s="141"/>
      <c r="I1567" s="141"/>
      <c r="J1567" s="141"/>
      <c r="K1567" s="122"/>
    </row>
    <row r="1568" spans="1:12" ht="16.5" thickBot="1" x14ac:dyDescent="0.3">
      <c r="A1568" s="256"/>
      <c r="B1568" s="256"/>
      <c r="C1568" s="255"/>
      <c r="D1568" s="256"/>
      <c r="E1568" s="256"/>
      <c r="F1568" s="256"/>
      <c r="G1568" s="256"/>
      <c r="H1568" s="266"/>
      <c r="I1568" s="266"/>
      <c r="J1568" s="266"/>
      <c r="K1568" s="267"/>
    </row>
    <row r="1569" spans="1:12" s="48" customFormat="1" ht="21.75" customHeight="1" thickBot="1" x14ac:dyDescent="0.3">
      <c r="A1569" s="1655" t="s">
        <v>115</v>
      </c>
      <c r="B1569" s="1655"/>
      <c r="C1569" s="1655"/>
      <c r="D1569" s="1655"/>
      <c r="E1569" s="1655"/>
      <c r="F1569" s="1655"/>
      <c r="G1569" s="1212"/>
      <c r="H1569" s="1708" t="s">
        <v>1537</v>
      </c>
      <c r="I1569" s="1710" t="s">
        <v>1538</v>
      </c>
      <c r="J1569" s="1710" t="s">
        <v>1539</v>
      </c>
      <c r="K1569" s="1710" t="s">
        <v>1540</v>
      </c>
      <c r="L1569" s="47"/>
    </row>
    <row r="1570" spans="1:12" s="1153" customFormat="1" ht="31.5" customHeight="1" thickBot="1" x14ac:dyDescent="0.3">
      <c r="A1570" s="1655"/>
      <c r="B1570" s="1655"/>
      <c r="C1570" s="1655"/>
      <c r="D1570" s="1655"/>
      <c r="E1570" s="1655"/>
      <c r="F1570" s="1655"/>
      <c r="G1570" s="1078" t="s">
        <v>116</v>
      </c>
      <c r="H1570" s="1709"/>
      <c r="I1570" s="1710"/>
      <c r="J1570" s="1710"/>
      <c r="K1570" s="1710"/>
      <c r="L1570" s="1152"/>
    </row>
    <row r="1571" spans="1:12" s="146" customFormat="1" ht="18" x14ac:dyDescent="0.25">
      <c r="A1571" s="211" t="s">
        <v>1755</v>
      </c>
      <c r="B1571" s="124"/>
      <c r="C1571" s="1045"/>
      <c r="D1571" s="1047"/>
      <c r="E1571" s="1047"/>
      <c r="F1571" s="1048"/>
      <c r="G1571" s="322"/>
      <c r="H1571" s="383"/>
      <c r="I1571" s="383"/>
      <c r="J1571" s="383"/>
      <c r="K1571" s="468"/>
      <c r="L1571" s="10"/>
    </row>
    <row r="1572" spans="1:12" s="146" customFormat="1" ht="18" x14ac:dyDescent="0.25">
      <c r="A1572" s="211" t="s">
        <v>1756</v>
      </c>
      <c r="B1572" s="124"/>
      <c r="C1572" s="1045"/>
      <c r="D1572" s="1047"/>
      <c r="E1572" s="1047"/>
      <c r="F1572" s="1048"/>
      <c r="G1572" s="322"/>
      <c r="H1572" s="155"/>
      <c r="I1572" s="155"/>
      <c r="J1572" s="155"/>
      <c r="K1572" s="156"/>
      <c r="L1572" s="10"/>
    </row>
    <row r="1573" spans="1:12" s="146" customFormat="1" ht="54" customHeight="1" x14ac:dyDescent="0.25">
      <c r="A1573" s="1213"/>
      <c r="B1573" s="1300"/>
      <c r="C1573" s="1628" t="s">
        <v>1757</v>
      </c>
      <c r="D1573" s="1628"/>
      <c r="E1573" s="1047"/>
      <c r="F1573" s="1048"/>
      <c r="G1573" s="322"/>
      <c r="H1573" s="155"/>
      <c r="I1573" s="155"/>
      <c r="J1573" s="155"/>
      <c r="K1573" s="156"/>
      <c r="L1573" s="10"/>
    </row>
    <row r="1574" spans="1:12" s="146" customFormat="1" ht="36.75" customHeight="1" x14ac:dyDescent="0.25">
      <c r="A1574" s="1213"/>
      <c r="B1574" s="1300"/>
      <c r="C1574" s="1628" t="s">
        <v>1758</v>
      </c>
      <c r="D1574" s="1628"/>
      <c r="E1574" s="1047"/>
      <c r="F1574" s="1048"/>
      <c r="G1574" s="322"/>
      <c r="H1574" s="155"/>
      <c r="I1574" s="155"/>
      <c r="J1574" s="155"/>
      <c r="K1574" s="156"/>
      <c r="L1574" s="10"/>
    </row>
    <row r="1575" spans="1:12" s="146" customFormat="1" ht="73.5" customHeight="1" x14ac:dyDescent="0.25">
      <c r="A1575" s="1213"/>
      <c r="B1575" s="1300"/>
      <c r="C1575" s="1628" t="s">
        <v>1759</v>
      </c>
      <c r="D1575" s="1628"/>
      <c r="E1575" s="1047"/>
      <c r="F1575" s="1048"/>
      <c r="G1575" s="322"/>
      <c r="H1575" s="155"/>
      <c r="I1575" s="155"/>
      <c r="J1575" s="155"/>
      <c r="K1575" s="156"/>
      <c r="L1575" s="10"/>
    </row>
    <row r="1576" spans="1:12" s="146" customFormat="1" ht="36.75" customHeight="1" x14ac:dyDescent="0.25">
      <c r="A1576" s="1213"/>
      <c r="B1576" s="1300"/>
      <c r="C1576" s="1628" t="s">
        <v>1760</v>
      </c>
      <c r="D1576" s="1628"/>
      <c r="E1576" s="1047"/>
      <c r="F1576" s="1048"/>
      <c r="G1576" s="322"/>
      <c r="H1576" s="155"/>
      <c r="I1576" s="155"/>
      <c r="J1576" s="155"/>
      <c r="K1576" s="156"/>
      <c r="L1576" s="10"/>
    </row>
    <row r="1577" spans="1:12" s="146" customFormat="1" ht="36.75" customHeight="1" x14ac:dyDescent="0.25">
      <c r="A1577" s="1213"/>
      <c r="B1577" s="1300"/>
      <c r="C1577" s="1628" t="s">
        <v>1761</v>
      </c>
      <c r="D1577" s="1628"/>
      <c r="E1577" s="1047"/>
      <c r="F1577" s="1048"/>
      <c r="G1577" s="322"/>
      <c r="H1577" s="155"/>
      <c r="I1577" s="155"/>
      <c r="J1577" s="155"/>
      <c r="K1577" s="156"/>
      <c r="L1577" s="10"/>
    </row>
    <row r="1578" spans="1:12" s="146" customFormat="1" ht="36.75" customHeight="1" x14ac:dyDescent="0.25">
      <c r="A1578" s="1213"/>
      <c r="B1578" s="1300"/>
      <c r="C1578" s="1628" t="s">
        <v>1762</v>
      </c>
      <c r="D1578" s="1628"/>
      <c r="E1578" s="1047"/>
      <c r="F1578" s="1048"/>
      <c r="G1578" s="322"/>
      <c r="H1578" s="155"/>
      <c r="I1578" s="155"/>
      <c r="J1578" s="155"/>
      <c r="K1578" s="156"/>
      <c r="L1578" s="10"/>
    </row>
    <row r="1579" spans="1:12" s="146" customFormat="1" ht="36.75" customHeight="1" x14ac:dyDescent="0.25">
      <c r="A1579" s="1214"/>
      <c r="B1579" s="1301"/>
      <c r="C1579" s="1628" t="s">
        <v>1763</v>
      </c>
      <c r="D1579" s="1628"/>
      <c r="E1579" s="1047"/>
      <c r="F1579" s="1048"/>
      <c r="G1579" s="322"/>
      <c r="H1579" s="155"/>
      <c r="I1579" s="155"/>
      <c r="J1579" s="155"/>
      <c r="K1579" s="156"/>
      <c r="L1579" s="10"/>
    </row>
    <row r="1580" spans="1:12" s="146" customFormat="1" ht="18" x14ac:dyDescent="0.25">
      <c r="A1580" s="1174"/>
      <c r="B1580" s="1062"/>
      <c r="C1580" s="1632" t="s">
        <v>823</v>
      </c>
      <c r="D1580" s="1632"/>
      <c r="E1580" s="1047"/>
      <c r="F1580" s="1048"/>
      <c r="G1580" s="322"/>
      <c r="H1580" s="150">
        <f>SUM(H1573:H1579)</f>
        <v>0</v>
      </c>
      <c r="I1580" s="150">
        <f>SUM(I1573:I1579)</f>
        <v>0</v>
      </c>
      <c r="J1580" s="150">
        <f>SUM(J1573:J1579)</f>
        <v>0</v>
      </c>
      <c r="K1580" s="150">
        <f>SUM(K1573:K1579)</f>
        <v>0</v>
      </c>
      <c r="L1580" s="10"/>
    </row>
    <row r="1581" spans="1:12" s="146" customFormat="1" ht="18" x14ac:dyDescent="0.25">
      <c r="A1581" s="1174"/>
      <c r="B1581" s="1062"/>
      <c r="C1581" s="1092"/>
      <c r="D1581" s="1092"/>
      <c r="E1581" s="1047"/>
      <c r="F1581" s="1048"/>
      <c r="G1581" s="322"/>
      <c r="H1581" s="156"/>
      <c r="I1581" s="156"/>
      <c r="J1581" s="156"/>
      <c r="K1581" s="156"/>
      <c r="L1581" s="10"/>
    </row>
    <row r="1582" spans="1:12" s="146" customFormat="1" ht="18" x14ac:dyDescent="0.25">
      <c r="A1582" s="327" t="s">
        <v>1764</v>
      </c>
      <c r="B1582" s="369"/>
      <c r="C1582" s="1087"/>
      <c r="D1582" s="1087"/>
      <c r="E1582" s="1047"/>
      <c r="F1582" s="1048"/>
      <c r="G1582" s="322"/>
      <c r="H1582" s="155"/>
      <c r="I1582" s="155"/>
      <c r="J1582" s="155"/>
      <c r="K1582" s="156"/>
      <c r="L1582" s="10"/>
    </row>
    <row r="1583" spans="1:12" s="146" customFormat="1" ht="20.25" customHeight="1" x14ac:dyDescent="0.25">
      <c r="A1583" s="1214"/>
      <c r="B1583" s="1301"/>
      <c r="C1583" s="1628" t="s">
        <v>1765</v>
      </c>
      <c r="D1583" s="1628"/>
      <c r="E1583" s="1628"/>
      <c r="F1583" s="1647"/>
      <c r="G1583" s="322"/>
      <c r="H1583" s="155"/>
      <c r="I1583" s="155"/>
      <c r="J1583" s="155"/>
      <c r="K1583" s="156"/>
      <c r="L1583" s="10"/>
    </row>
    <row r="1584" spans="1:12" s="146" customFormat="1" ht="20.25" customHeight="1" x14ac:dyDescent="0.25">
      <c r="A1584" s="1214"/>
      <c r="B1584" s="1301"/>
      <c r="C1584" s="1628" t="s">
        <v>1766</v>
      </c>
      <c r="D1584" s="1628"/>
      <c r="E1584" s="1628"/>
      <c r="F1584" s="1647"/>
      <c r="G1584" s="322"/>
      <c r="H1584" s="155"/>
      <c r="I1584" s="155"/>
      <c r="J1584" s="155"/>
      <c r="K1584" s="156"/>
      <c r="L1584" s="10"/>
    </row>
    <row r="1585" spans="1:12" s="146" customFormat="1" ht="20.25" customHeight="1" x14ac:dyDescent="0.25">
      <c r="A1585" s="1214"/>
      <c r="B1585" s="1301"/>
      <c r="C1585" s="1628" t="s">
        <v>1767</v>
      </c>
      <c r="D1585" s="1628"/>
      <c r="E1585" s="1628"/>
      <c r="F1585" s="1647"/>
      <c r="G1585" s="322"/>
      <c r="H1585" s="155"/>
      <c r="I1585" s="155"/>
      <c r="J1585" s="155"/>
      <c r="K1585" s="156"/>
      <c r="L1585" s="10"/>
    </row>
    <row r="1586" spans="1:12" s="146" customFormat="1" ht="20.25" customHeight="1" x14ac:dyDescent="0.25">
      <c r="A1586" s="1214"/>
      <c r="B1586" s="1301"/>
      <c r="C1586" s="1628" t="s">
        <v>1768</v>
      </c>
      <c r="D1586" s="1628"/>
      <c r="E1586" s="1628"/>
      <c r="F1586" s="1647"/>
      <c r="G1586" s="322"/>
      <c r="H1586" s="155"/>
      <c r="I1586" s="155"/>
      <c r="J1586" s="155"/>
      <c r="K1586" s="156"/>
      <c r="L1586" s="10"/>
    </row>
    <row r="1587" spans="1:12" s="146" customFormat="1" ht="35.25" customHeight="1" x14ac:dyDescent="0.25">
      <c r="A1587" s="1214"/>
      <c r="B1587" s="1301"/>
      <c r="C1587" s="1628" t="s">
        <v>1769</v>
      </c>
      <c r="D1587" s="1628"/>
      <c r="E1587" s="1628"/>
      <c r="F1587" s="1647"/>
      <c r="G1587" s="322"/>
      <c r="H1587" s="155"/>
      <c r="I1587" s="155"/>
      <c r="J1587" s="155"/>
      <c r="K1587" s="156"/>
      <c r="L1587" s="10"/>
    </row>
    <row r="1588" spans="1:12" s="146" customFormat="1" ht="18" x14ac:dyDescent="0.25">
      <c r="A1588" s="1174"/>
      <c r="B1588" s="1062"/>
      <c r="C1588" s="1632" t="s">
        <v>823</v>
      </c>
      <c r="D1588" s="1632"/>
      <c r="E1588" s="1047"/>
      <c r="F1588" s="1048"/>
      <c r="G1588" s="322"/>
      <c r="H1588" s="150">
        <f>SUM(H1583:H1587)</f>
        <v>0</v>
      </c>
      <c r="I1588" s="150">
        <f>SUM(I1583:I1587)</f>
        <v>0</v>
      </c>
      <c r="J1588" s="150">
        <f>SUM(J1583:J1587)</f>
        <v>0</v>
      </c>
      <c r="K1588" s="150">
        <f>SUM(K1583:K1587)</f>
        <v>0</v>
      </c>
      <c r="L1588" s="10"/>
    </row>
    <row r="1589" spans="1:12" s="146" customFormat="1" ht="18" x14ac:dyDescent="0.25">
      <c r="A1589" s="1174"/>
      <c r="B1589" s="1062"/>
      <c r="C1589" s="1632" t="s">
        <v>1770</v>
      </c>
      <c r="D1589" s="1632"/>
      <c r="E1589" s="1047"/>
      <c r="F1589" s="1048"/>
      <c r="G1589" s="322"/>
      <c r="H1589" s="150">
        <f>H1580+H1588</f>
        <v>0</v>
      </c>
      <c r="I1589" s="150">
        <f>I1580+I1588</f>
        <v>0</v>
      </c>
      <c r="J1589" s="150">
        <f>J1580+J1588</f>
        <v>0</v>
      </c>
      <c r="K1589" s="150">
        <f>K1580+K1588</f>
        <v>0</v>
      </c>
      <c r="L1589" s="10"/>
    </row>
    <row r="1590" spans="1:12" s="146" customFormat="1" ht="18" x14ac:dyDescent="0.25">
      <c r="A1590" s="1174"/>
      <c r="B1590" s="1062"/>
      <c r="C1590" s="1628"/>
      <c r="D1590" s="1628"/>
      <c r="E1590" s="1047"/>
      <c r="F1590" s="1048"/>
      <c r="G1590" s="322"/>
      <c r="H1590" s="155"/>
      <c r="I1590" s="155"/>
      <c r="J1590" s="155"/>
      <c r="K1590" s="156"/>
      <c r="L1590" s="10"/>
    </row>
    <row r="1591" spans="1:12" s="146" customFormat="1" ht="18" x14ac:dyDescent="0.25">
      <c r="A1591" s="327" t="s">
        <v>1771</v>
      </c>
      <c r="B1591" s="369"/>
      <c r="C1591" s="1045"/>
      <c r="D1591" s="1058"/>
      <c r="E1591" s="1047"/>
      <c r="F1591" s="1048"/>
      <c r="G1591" s="322"/>
      <c r="H1591" s="155"/>
      <c r="I1591" s="155"/>
      <c r="J1591" s="155"/>
      <c r="K1591" s="156"/>
      <c r="L1591" s="10"/>
    </row>
    <row r="1592" spans="1:12" s="146" customFormat="1" ht="18" x14ac:dyDescent="0.25">
      <c r="A1592" s="327" t="s">
        <v>1772</v>
      </c>
      <c r="B1592" s="369"/>
      <c r="C1592" s="1045"/>
      <c r="D1592" s="1058"/>
      <c r="E1592" s="1047"/>
      <c r="F1592" s="1048"/>
      <c r="G1592" s="322"/>
      <c r="H1592" s="155"/>
      <c r="I1592" s="155"/>
      <c r="J1592" s="155"/>
      <c r="K1592" s="156"/>
      <c r="L1592" s="10"/>
    </row>
    <row r="1593" spans="1:12" s="146" customFormat="1" ht="42" customHeight="1" x14ac:dyDescent="0.25">
      <c r="A1593" s="1174"/>
      <c r="B1593" s="1062"/>
      <c r="C1593" s="1574" t="s">
        <v>1773</v>
      </c>
      <c r="D1593" s="1574"/>
      <c r="E1593" s="1047"/>
      <c r="F1593" s="1048"/>
      <c r="G1593" s="322"/>
      <c r="H1593" s="155"/>
      <c r="I1593" s="155"/>
      <c r="J1593" s="155"/>
      <c r="K1593" s="156"/>
      <c r="L1593" s="10"/>
    </row>
    <row r="1594" spans="1:12" s="146" customFormat="1" ht="42" customHeight="1" x14ac:dyDescent="0.25">
      <c r="A1594" s="1174"/>
      <c r="B1594" s="1062"/>
      <c r="C1594" s="1574" t="s">
        <v>1774</v>
      </c>
      <c r="D1594" s="1574"/>
      <c r="E1594" s="1047"/>
      <c r="F1594" s="1048"/>
      <c r="G1594" s="322"/>
      <c r="H1594" s="155"/>
      <c r="I1594" s="155"/>
      <c r="J1594" s="155"/>
      <c r="K1594" s="156"/>
      <c r="L1594" s="10"/>
    </row>
    <row r="1595" spans="1:12" s="146" customFormat="1" ht="33.75" customHeight="1" x14ac:dyDescent="0.25">
      <c r="A1595" s="1174"/>
      <c r="B1595" s="1062"/>
      <c r="C1595" s="1574" t="s">
        <v>1775</v>
      </c>
      <c r="D1595" s="1574"/>
      <c r="E1595" s="1047"/>
      <c r="F1595" s="1048"/>
      <c r="G1595" s="322"/>
      <c r="H1595" s="155"/>
      <c r="I1595" s="155"/>
      <c r="J1595" s="155"/>
      <c r="K1595" s="156"/>
      <c r="L1595" s="10"/>
    </row>
    <row r="1596" spans="1:12" s="146" customFormat="1" ht="33" customHeight="1" x14ac:dyDescent="0.25">
      <c r="A1596" s="1174"/>
      <c r="B1596" s="1062"/>
      <c r="C1596" s="1574" t="s">
        <v>1776</v>
      </c>
      <c r="D1596" s="1574"/>
      <c r="E1596" s="1047"/>
      <c r="F1596" s="1048"/>
      <c r="G1596" s="322"/>
      <c r="H1596" s="155"/>
      <c r="I1596" s="155"/>
      <c r="J1596" s="155"/>
      <c r="K1596" s="156"/>
      <c r="L1596" s="10"/>
    </row>
    <row r="1597" spans="1:12" s="146" customFormat="1" ht="34.5" customHeight="1" x14ac:dyDescent="0.25">
      <c r="A1597" s="1174"/>
      <c r="B1597" s="1062"/>
      <c r="C1597" s="1574" t="s">
        <v>1777</v>
      </c>
      <c r="D1597" s="1574"/>
      <c r="E1597" s="1047"/>
      <c r="F1597" s="1048"/>
      <c r="G1597" s="322"/>
      <c r="H1597" s="155"/>
      <c r="I1597" s="155"/>
      <c r="J1597" s="155"/>
      <c r="K1597" s="156"/>
      <c r="L1597" s="10"/>
    </row>
    <row r="1598" spans="1:12" s="146" customFormat="1" ht="33" customHeight="1" x14ac:dyDescent="0.25">
      <c r="A1598" s="1174"/>
      <c r="B1598" s="1062"/>
      <c r="C1598" s="1574" t="s">
        <v>1778</v>
      </c>
      <c r="D1598" s="1574"/>
      <c r="E1598" s="1047"/>
      <c r="F1598" s="1048"/>
      <c r="G1598" s="322"/>
      <c r="H1598" s="155"/>
      <c r="I1598" s="155"/>
      <c r="J1598" s="155"/>
      <c r="K1598" s="156"/>
      <c r="L1598" s="10"/>
    </row>
    <row r="1599" spans="1:12" s="146" customFormat="1" ht="17.25" customHeight="1" x14ac:dyDescent="0.25">
      <c r="A1599" s="1174"/>
      <c r="B1599" s="1062"/>
      <c r="C1599" s="1725" t="s">
        <v>1768</v>
      </c>
      <c r="D1599" s="1725"/>
      <c r="E1599" s="1047"/>
      <c r="F1599" s="1048"/>
      <c r="G1599" s="322"/>
      <c r="H1599" s="155"/>
      <c r="I1599" s="155"/>
      <c r="J1599" s="155"/>
      <c r="K1599" s="156"/>
      <c r="L1599" s="10"/>
    </row>
    <row r="1600" spans="1:12" s="146" customFormat="1" ht="34.5" customHeight="1" x14ac:dyDescent="0.25">
      <c r="A1600" s="1174"/>
      <c r="B1600" s="1062"/>
      <c r="C1600" s="1574" t="s">
        <v>1779</v>
      </c>
      <c r="D1600" s="1574"/>
      <c r="E1600" s="1047"/>
      <c r="F1600" s="1048"/>
      <c r="G1600" s="322"/>
      <c r="H1600" s="155"/>
      <c r="I1600" s="155"/>
      <c r="J1600" s="155"/>
      <c r="K1600" s="156"/>
      <c r="L1600" s="10"/>
    </row>
    <row r="1601" spans="1:12" s="146" customFormat="1" ht="36" customHeight="1" x14ac:dyDescent="0.25">
      <c r="A1601" s="1174"/>
      <c r="B1601" s="1062"/>
      <c r="C1601" s="1574" t="s">
        <v>1766</v>
      </c>
      <c r="D1601" s="1574"/>
      <c r="E1601" s="1047"/>
      <c r="F1601" s="1048"/>
      <c r="G1601" s="322"/>
      <c r="H1601" s="155"/>
      <c r="I1601" s="155"/>
      <c r="J1601" s="155"/>
      <c r="K1601" s="156"/>
      <c r="L1601" s="10"/>
    </row>
    <row r="1602" spans="1:12" s="146" customFormat="1" ht="18" x14ac:dyDescent="0.25">
      <c r="A1602" s="1174"/>
      <c r="B1602" s="1062"/>
      <c r="C1602" s="369" t="s">
        <v>1780</v>
      </c>
      <c r="D1602" s="1058"/>
      <c r="E1602" s="1047"/>
      <c r="F1602" s="1048"/>
      <c r="G1602" s="322"/>
      <c r="H1602" s="150">
        <f>SUM(H1593:H1601)</f>
        <v>0</v>
      </c>
      <c r="I1602" s="150">
        <f>SUM(I1593:I1601)</f>
        <v>0</v>
      </c>
      <c r="J1602" s="150">
        <f>SUM(J1593:J1601)</f>
        <v>0</v>
      </c>
      <c r="K1602" s="150">
        <f>SUM(K1593:K1601)</f>
        <v>0</v>
      </c>
      <c r="L1602" s="10"/>
    </row>
    <row r="1603" spans="1:12" s="146" customFormat="1" ht="18" x14ac:dyDescent="0.25">
      <c r="A1603" s="1174"/>
      <c r="B1603" s="1062"/>
      <c r="C1603" s="369"/>
      <c r="D1603" s="1058"/>
      <c r="E1603" s="1047"/>
      <c r="F1603" s="1048"/>
      <c r="G1603" s="322"/>
      <c r="H1603" s="156"/>
      <c r="I1603" s="156"/>
      <c r="J1603" s="156"/>
      <c r="K1603" s="156"/>
      <c r="L1603" s="10"/>
    </row>
    <row r="1604" spans="1:12" s="146" customFormat="1" ht="18" x14ac:dyDescent="0.25">
      <c r="A1604" s="327" t="s">
        <v>1781</v>
      </c>
      <c r="B1604" s="369"/>
      <c r="C1604" s="1045"/>
      <c r="D1604" s="1058"/>
      <c r="E1604" s="1047"/>
      <c r="F1604" s="1048"/>
      <c r="G1604" s="322"/>
      <c r="H1604" s="155"/>
      <c r="I1604" s="155"/>
      <c r="J1604" s="155"/>
      <c r="K1604" s="156"/>
      <c r="L1604" s="10"/>
    </row>
    <row r="1605" spans="1:12" s="146" customFormat="1" ht="36" customHeight="1" x14ac:dyDescent="0.25">
      <c r="A1605" s="1174"/>
      <c r="B1605" s="1062"/>
      <c r="C1605" s="1574" t="s">
        <v>1782</v>
      </c>
      <c r="D1605" s="1574"/>
      <c r="E1605" s="1047"/>
      <c r="F1605" s="1048"/>
      <c r="G1605" s="322"/>
      <c r="H1605" s="155"/>
      <c r="I1605" s="155"/>
      <c r="J1605" s="155"/>
      <c r="K1605" s="156"/>
      <c r="L1605" s="10"/>
    </row>
    <row r="1606" spans="1:12" s="146" customFormat="1" ht="39" customHeight="1" thickBot="1" x14ac:dyDescent="0.3">
      <c r="A1606" s="1215"/>
      <c r="B1606" s="447"/>
      <c r="C1606" s="1726" t="s">
        <v>1783</v>
      </c>
      <c r="D1606" s="1726"/>
      <c r="E1606" s="1096"/>
      <c r="F1606" s="660"/>
      <c r="G1606" s="1217"/>
      <c r="H1606" s="182"/>
      <c r="I1606" s="182"/>
      <c r="J1606" s="182"/>
      <c r="K1606" s="183"/>
      <c r="L1606" s="10"/>
    </row>
    <row r="1607" spans="1:12" s="146" customFormat="1" ht="17.45" customHeight="1" x14ac:dyDescent="0.25">
      <c r="A1607" s="1062"/>
      <c r="B1607" s="1062"/>
      <c r="C1607" s="1045"/>
      <c r="D1607" s="1045"/>
      <c r="E1607" s="1047"/>
      <c r="F1607" s="1047"/>
      <c r="G1607" s="322"/>
      <c r="H1607" s="126"/>
      <c r="I1607" s="126"/>
      <c r="J1607" s="126"/>
      <c r="K1607" s="127"/>
      <c r="L1607" s="10"/>
    </row>
    <row r="1608" spans="1:12" s="146" customFormat="1" ht="17.45" customHeight="1" x14ac:dyDescent="0.25">
      <c r="A1608" s="1062"/>
      <c r="B1608" s="1062"/>
      <c r="C1608" s="1045"/>
      <c r="D1608" s="1045"/>
      <c r="E1608" s="1047"/>
      <c r="F1608" s="1047"/>
      <c r="G1608" s="322"/>
      <c r="H1608" s="126"/>
      <c r="I1608" s="126"/>
      <c r="J1608" s="126"/>
      <c r="K1608" s="127"/>
      <c r="L1608" s="10"/>
    </row>
    <row r="1609" spans="1:12" s="146" customFormat="1" ht="17.45" customHeight="1" x14ac:dyDescent="0.25">
      <c r="A1609" s="1062"/>
      <c r="B1609" s="1062"/>
      <c r="C1609" s="1045"/>
      <c r="D1609" s="1045"/>
      <c r="E1609" s="1047"/>
      <c r="F1609" s="1047"/>
      <c r="G1609" s="322"/>
      <c r="H1609" s="126"/>
      <c r="I1609" s="126"/>
      <c r="J1609" s="126"/>
      <c r="K1609" s="127"/>
      <c r="L1609" s="10"/>
    </row>
    <row r="1610" spans="1:12" s="146" customFormat="1" ht="17.45" customHeight="1" x14ac:dyDescent="0.25">
      <c r="A1610" s="1062"/>
      <c r="B1610" s="1062"/>
      <c r="C1610" s="1045"/>
      <c r="D1610" s="1045"/>
      <c r="E1610" s="1047"/>
      <c r="F1610" s="1047"/>
      <c r="G1610" s="322"/>
      <c r="H1610" s="126"/>
      <c r="I1610" s="126"/>
      <c r="J1610" s="126"/>
      <c r="K1610" s="127"/>
      <c r="L1610" s="10"/>
    </row>
    <row r="1611" spans="1:12" s="146" customFormat="1" ht="17.45" customHeight="1" x14ac:dyDescent="0.25">
      <c r="A1611" s="1062"/>
      <c r="B1611" s="1062"/>
      <c r="C1611" s="1045"/>
      <c r="D1611" s="1045"/>
      <c r="E1611" s="1047"/>
      <c r="F1611" s="1047"/>
      <c r="G1611" s="322"/>
      <c r="H1611" s="126"/>
      <c r="I1611" s="126"/>
      <c r="J1611" s="126"/>
      <c r="K1611" s="127"/>
      <c r="L1611" s="10"/>
    </row>
    <row r="1612" spans="1:12" s="146" customFormat="1" ht="17.45" customHeight="1" x14ac:dyDescent="0.25">
      <c r="A1612" s="1062"/>
      <c r="B1612" s="1062"/>
      <c r="C1612" s="1045"/>
      <c r="D1612" s="1045"/>
      <c r="E1612" s="1047"/>
      <c r="F1612" s="1047"/>
      <c r="G1612" s="322"/>
      <c r="H1612" s="126"/>
      <c r="I1612" s="126"/>
      <c r="J1612" s="126"/>
      <c r="K1612" s="127"/>
      <c r="L1612" s="10"/>
    </row>
    <row r="1613" spans="1:12" s="146" customFormat="1" ht="17.45" customHeight="1" x14ac:dyDescent="0.25">
      <c r="A1613" s="1062"/>
      <c r="B1613" s="1062"/>
      <c r="C1613" s="1045"/>
      <c r="D1613" s="1045"/>
      <c r="E1613" s="1047"/>
      <c r="F1613" s="1047"/>
      <c r="G1613" s="322"/>
      <c r="H1613" s="126"/>
      <c r="I1613" s="126"/>
      <c r="J1613" s="126"/>
      <c r="K1613" s="127"/>
      <c r="L1613" s="10"/>
    </row>
    <row r="1614" spans="1:12" s="146" customFormat="1" ht="17.45" customHeight="1" x14ac:dyDescent="0.25">
      <c r="A1614" s="1062"/>
      <c r="B1614" s="1062"/>
      <c r="C1614" s="1045"/>
      <c r="D1614" s="1045"/>
      <c r="E1614" s="1047"/>
      <c r="F1614" s="1047"/>
      <c r="G1614" s="322"/>
      <c r="H1614" s="126"/>
      <c r="I1614" s="126"/>
      <c r="J1614" s="126"/>
      <c r="K1614" s="127"/>
      <c r="L1614" s="10"/>
    </row>
    <row r="1615" spans="1:12" ht="18" customHeight="1" x14ac:dyDescent="0.25">
      <c r="A1615" s="8" t="s">
        <v>112</v>
      </c>
    </row>
    <row r="1616" spans="1:12" ht="18" customHeight="1" x14ac:dyDescent="0.25">
      <c r="A1616" s="8" t="s">
        <v>755</v>
      </c>
    </row>
    <row r="1617" spans="1:12" ht="18" customHeight="1" x14ac:dyDescent="0.25">
      <c r="A1617" s="1636" t="s">
        <v>113</v>
      </c>
      <c r="B1617" s="1636"/>
      <c r="C1617" s="1636"/>
      <c r="D1617" s="1636"/>
      <c r="E1617" s="1636"/>
      <c r="F1617" s="1636"/>
      <c r="G1617" s="1636"/>
      <c r="H1617" s="1636"/>
      <c r="I1617" s="1636"/>
      <c r="J1617" s="1636"/>
      <c r="K1617" s="1060"/>
    </row>
    <row r="1618" spans="1:12" s="7" customFormat="1" ht="18" customHeight="1" x14ac:dyDescent="0.25">
      <c r="A1618" s="1686" t="s">
        <v>114</v>
      </c>
      <c r="B1618" s="1686"/>
      <c r="C1618" s="1686"/>
      <c r="D1618" s="1686"/>
      <c r="E1618" s="1686"/>
      <c r="F1618" s="1686"/>
      <c r="G1618" s="1686"/>
      <c r="H1618" s="1686"/>
      <c r="I1618" s="1686"/>
      <c r="J1618" s="1686"/>
      <c r="K1618" s="956"/>
      <c r="L1618" s="6"/>
    </row>
    <row r="1619" spans="1:12" x14ac:dyDescent="0.25">
      <c r="A1619" s="75"/>
      <c r="B1619" s="75"/>
      <c r="C1619" s="252"/>
      <c r="D1619" s="75"/>
      <c r="E1619" s="75"/>
      <c r="F1619" s="75"/>
      <c r="G1619" s="75"/>
      <c r="H1619" s="141"/>
      <c r="I1619" s="141"/>
      <c r="J1619" s="141"/>
      <c r="K1619" s="122"/>
    </row>
    <row r="1620" spans="1:12" ht="16.5" thickBot="1" x14ac:dyDescent="0.3">
      <c r="A1620" s="256"/>
      <c r="B1620" s="256"/>
      <c r="C1620" s="255"/>
      <c r="D1620" s="256"/>
      <c r="E1620" s="256"/>
      <c r="F1620" s="256"/>
      <c r="G1620" s="256"/>
      <c r="H1620" s="266"/>
      <c r="I1620" s="266"/>
      <c r="J1620" s="266"/>
      <c r="K1620" s="267"/>
    </row>
    <row r="1621" spans="1:12" s="48" customFormat="1" ht="21.75" customHeight="1" thickBot="1" x14ac:dyDescent="0.3">
      <c r="A1621" s="1655" t="s">
        <v>115</v>
      </c>
      <c r="B1621" s="1655"/>
      <c r="C1621" s="1655"/>
      <c r="D1621" s="1655"/>
      <c r="E1621" s="1655"/>
      <c r="F1621" s="1655"/>
      <c r="G1621" s="1212"/>
      <c r="H1621" s="1708" t="s">
        <v>1537</v>
      </c>
      <c r="I1621" s="1710" t="s">
        <v>1538</v>
      </c>
      <c r="J1621" s="1710" t="s">
        <v>1539</v>
      </c>
      <c r="K1621" s="1710" t="s">
        <v>1540</v>
      </c>
      <c r="L1621" s="47"/>
    </row>
    <row r="1622" spans="1:12" s="1153" customFormat="1" ht="31.5" customHeight="1" thickBot="1" x14ac:dyDescent="0.3">
      <c r="A1622" s="1655"/>
      <c r="B1622" s="1655"/>
      <c r="C1622" s="1655"/>
      <c r="D1622" s="1655"/>
      <c r="E1622" s="1655"/>
      <c r="F1622" s="1655"/>
      <c r="G1622" s="1078" t="s">
        <v>116</v>
      </c>
      <c r="H1622" s="1709"/>
      <c r="I1622" s="1710"/>
      <c r="J1622" s="1710"/>
      <c r="K1622" s="1710"/>
      <c r="L1622" s="1152"/>
    </row>
    <row r="1623" spans="1:12" s="146" customFormat="1" ht="18" x14ac:dyDescent="0.25">
      <c r="A1623" s="1174"/>
      <c r="B1623" s="1062"/>
      <c r="C1623" s="1062" t="s">
        <v>1784</v>
      </c>
      <c r="D1623" s="1045"/>
      <c r="E1623" s="1047"/>
      <c r="F1623" s="1048"/>
      <c r="G1623" s="322"/>
      <c r="H1623" s="155"/>
      <c r="I1623" s="155"/>
      <c r="J1623" s="155"/>
      <c r="K1623" s="156"/>
      <c r="L1623" s="10"/>
    </row>
    <row r="1624" spans="1:12" s="146" customFormat="1" ht="18" x14ac:dyDescent="0.25">
      <c r="A1624" s="1174"/>
      <c r="B1624" s="1062"/>
      <c r="C1624" s="1062" t="s">
        <v>1785</v>
      </c>
      <c r="D1624" s="573"/>
      <c r="E1624" s="1047"/>
      <c r="F1624" s="1048"/>
      <c r="G1624" s="322"/>
      <c r="H1624" s="155"/>
      <c r="I1624" s="155"/>
      <c r="J1624" s="155"/>
      <c r="K1624" s="156"/>
      <c r="L1624" s="10"/>
    </row>
    <row r="1625" spans="1:12" s="146" customFormat="1" ht="18" x14ac:dyDescent="0.25">
      <c r="A1625" s="1174"/>
      <c r="B1625" s="1062"/>
      <c r="C1625" s="1062" t="s">
        <v>1786</v>
      </c>
      <c r="D1625" s="573"/>
      <c r="E1625" s="1047"/>
      <c r="F1625" s="1048"/>
      <c r="G1625" s="322"/>
      <c r="H1625" s="155"/>
      <c r="I1625" s="155"/>
      <c r="J1625" s="155"/>
      <c r="K1625" s="156"/>
      <c r="L1625" s="10"/>
    </row>
    <row r="1626" spans="1:12" s="146" customFormat="1" ht="18" x14ac:dyDescent="0.25">
      <c r="A1626" s="1174"/>
      <c r="B1626" s="1062"/>
      <c r="C1626" s="1062" t="s">
        <v>1787</v>
      </c>
      <c r="D1626" s="573"/>
      <c r="E1626" s="1047"/>
      <c r="F1626" s="1048"/>
      <c r="G1626" s="322"/>
      <c r="H1626" s="155"/>
      <c r="I1626" s="155"/>
      <c r="J1626" s="155"/>
      <c r="K1626" s="156"/>
      <c r="L1626" s="10"/>
    </row>
    <row r="1627" spans="1:12" s="146" customFormat="1" ht="18" x14ac:dyDescent="0.25">
      <c r="A1627" s="1174"/>
      <c r="B1627" s="1062"/>
      <c r="C1627" s="1062" t="s">
        <v>1788</v>
      </c>
      <c r="D1627" s="573"/>
      <c r="E1627" s="1047"/>
      <c r="F1627" s="1048"/>
      <c r="G1627" s="322"/>
      <c r="H1627" s="155"/>
      <c r="I1627" s="155"/>
      <c r="J1627" s="155"/>
      <c r="K1627" s="156"/>
      <c r="L1627" s="10"/>
    </row>
    <row r="1628" spans="1:12" s="146" customFormat="1" ht="18" x14ac:dyDescent="0.25">
      <c r="A1628" s="1174"/>
      <c r="B1628" s="1062"/>
      <c r="C1628" s="1062" t="s">
        <v>1789</v>
      </c>
      <c r="D1628" s="573"/>
      <c r="E1628" s="1047"/>
      <c r="F1628" s="1048"/>
      <c r="G1628" s="322"/>
      <c r="H1628" s="155"/>
      <c r="I1628" s="155"/>
      <c r="J1628" s="155"/>
      <c r="K1628" s="156"/>
      <c r="L1628" s="10"/>
    </row>
    <row r="1629" spans="1:12" s="146" customFormat="1" ht="18" x14ac:dyDescent="0.25">
      <c r="A1629" s="1174"/>
      <c r="B1629" s="1062"/>
      <c r="C1629" s="1062" t="s">
        <v>1790</v>
      </c>
      <c r="D1629" s="573"/>
      <c r="E1629" s="1047"/>
      <c r="F1629" s="1048"/>
      <c r="G1629" s="322"/>
      <c r="H1629" s="155"/>
      <c r="I1629" s="155"/>
      <c r="J1629" s="155"/>
      <c r="K1629" s="156"/>
      <c r="L1629" s="10"/>
    </row>
    <row r="1630" spans="1:12" s="146" customFormat="1" ht="18" x14ac:dyDescent="0.25">
      <c r="A1630" s="1174"/>
      <c r="B1630" s="1062"/>
      <c r="C1630" s="1062" t="s">
        <v>1791</v>
      </c>
      <c r="D1630" s="573"/>
      <c r="E1630" s="1047"/>
      <c r="F1630" s="1048"/>
      <c r="G1630" s="322"/>
      <c r="H1630" s="155"/>
      <c r="I1630" s="155"/>
      <c r="J1630" s="155"/>
      <c r="K1630" s="156"/>
      <c r="L1630" s="10"/>
    </row>
    <row r="1631" spans="1:12" s="146" customFormat="1" ht="18" x14ac:dyDescent="0.25">
      <c r="A1631" s="1174"/>
      <c r="B1631" s="1062"/>
      <c r="C1631" s="1062" t="s">
        <v>1792</v>
      </c>
      <c r="D1631" s="573"/>
      <c r="E1631" s="1047"/>
      <c r="F1631" s="1048"/>
      <c r="G1631" s="322"/>
      <c r="H1631" s="155"/>
      <c r="I1631" s="155"/>
      <c r="J1631" s="155"/>
      <c r="K1631" s="156"/>
      <c r="L1631" s="10"/>
    </row>
    <row r="1632" spans="1:12" s="146" customFormat="1" ht="18" x14ac:dyDescent="0.25">
      <c r="A1632" s="1174"/>
      <c r="B1632" s="1062"/>
      <c r="C1632" s="1062" t="s">
        <v>1793</v>
      </c>
      <c r="D1632" s="573"/>
      <c r="E1632" s="1047"/>
      <c r="F1632" s="1048"/>
      <c r="G1632" s="322"/>
      <c r="H1632" s="155"/>
      <c r="I1632" s="155"/>
      <c r="J1632" s="155"/>
      <c r="K1632" s="156"/>
      <c r="L1632" s="10"/>
    </row>
    <row r="1633" spans="1:12" s="146" customFormat="1" ht="18" x14ac:dyDescent="0.25">
      <c r="A1633" s="1174"/>
      <c r="B1633" s="1062"/>
      <c r="C1633" s="369" t="s">
        <v>1794</v>
      </c>
      <c r="D1633" s="1058"/>
      <c r="E1633" s="1047"/>
      <c r="F1633" s="1048"/>
      <c r="G1633" s="322"/>
      <c r="H1633" s="150">
        <f>SUM(H1605:H1632)</f>
        <v>0</v>
      </c>
      <c r="I1633" s="150">
        <f>SUM(I1605:I1632)</f>
        <v>0</v>
      </c>
      <c r="J1633" s="150">
        <f>SUM(J1605:J1632)</f>
        <v>0</v>
      </c>
      <c r="K1633" s="150">
        <f>SUM(K1605:K1632)</f>
        <v>0</v>
      </c>
      <c r="L1633" s="10"/>
    </row>
    <row r="1634" spans="1:12" s="146" customFormat="1" ht="18" x14ac:dyDescent="0.25">
      <c r="A1634" s="1174"/>
      <c r="B1634" s="1062"/>
      <c r="C1634" s="369"/>
      <c r="D1634" s="1058"/>
      <c r="E1634" s="1047"/>
      <c r="F1634" s="1048"/>
      <c r="G1634" s="322"/>
      <c r="H1634" s="156"/>
      <c r="I1634" s="156"/>
      <c r="J1634" s="156"/>
      <c r="K1634" s="156"/>
      <c r="L1634" s="10"/>
    </row>
    <row r="1635" spans="1:12" s="146" customFormat="1" ht="18" x14ac:dyDescent="0.25">
      <c r="A1635" s="327" t="s">
        <v>1795</v>
      </c>
      <c r="B1635" s="369"/>
      <c r="C1635" s="1062"/>
      <c r="D1635" s="1058"/>
      <c r="E1635" s="1047"/>
      <c r="F1635" s="1048"/>
      <c r="G1635" s="322"/>
      <c r="H1635" s="155"/>
      <c r="I1635" s="155"/>
      <c r="J1635" s="155"/>
      <c r="K1635" s="156"/>
      <c r="L1635" s="10"/>
    </row>
    <row r="1636" spans="1:12" s="146" customFormat="1" ht="35.25" customHeight="1" x14ac:dyDescent="0.25">
      <c r="A1636" s="1174"/>
      <c r="B1636" s="1062"/>
      <c r="C1636" s="1574" t="s">
        <v>1796</v>
      </c>
      <c r="D1636" s="1574"/>
      <c r="E1636" s="1047"/>
      <c r="F1636" s="1048"/>
      <c r="G1636" s="322"/>
      <c r="H1636" s="155"/>
      <c r="I1636" s="155"/>
      <c r="J1636" s="155"/>
      <c r="K1636" s="156"/>
      <c r="L1636" s="10"/>
    </row>
    <row r="1637" spans="1:12" s="146" customFormat="1" ht="36.75" customHeight="1" x14ac:dyDescent="0.25">
      <c r="A1637" s="1174"/>
      <c r="B1637" s="1062"/>
      <c r="C1637" s="1574" t="s">
        <v>1797</v>
      </c>
      <c r="D1637" s="1574"/>
      <c r="E1637" s="1047"/>
      <c r="F1637" s="1048"/>
      <c r="G1637" s="322"/>
      <c r="H1637" s="155"/>
      <c r="I1637" s="155"/>
      <c r="J1637" s="155"/>
      <c r="K1637" s="156"/>
      <c r="L1637" s="10"/>
    </row>
    <row r="1638" spans="1:12" s="146" customFormat="1" ht="36.75" customHeight="1" x14ac:dyDescent="0.25">
      <c r="A1638" s="1174"/>
      <c r="B1638" s="1062"/>
      <c r="C1638" s="1574" t="s">
        <v>1798</v>
      </c>
      <c r="D1638" s="1574"/>
      <c r="E1638" s="1047"/>
      <c r="F1638" s="1048"/>
      <c r="G1638" s="322"/>
      <c r="H1638" s="155"/>
      <c r="I1638" s="155"/>
      <c r="J1638" s="155"/>
      <c r="K1638" s="156"/>
      <c r="L1638" s="10"/>
    </row>
    <row r="1639" spans="1:12" s="146" customFormat="1" ht="37.5" customHeight="1" x14ac:dyDescent="0.25">
      <c r="A1639" s="1174"/>
      <c r="B1639" s="1062"/>
      <c r="C1639" s="1574" t="s">
        <v>1769</v>
      </c>
      <c r="D1639" s="1574"/>
      <c r="E1639" s="1047"/>
      <c r="F1639" s="1048"/>
      <c r="G1639" s="322"/>
      <c r="H1639" s="155"/>
      <c r="I1639" s="155"/>
      <c r="J1639" s="155"/>
      <c r="K1639" s="156"/>
      <c r="L1639" s="10"/>
    </row>
    <row r="1640" spans="1:12" s="146" customFormat="1" ht="18" x14ac:dyDescent="0.25">
      <c r="A1640" s="1174"/>
      <c r="B1640" s="1062"/>
      <c r="C1640" s="369" t="s">
        <v>1799</v>
      </c>
      <c r="D1640" s="1058"/>
      <c r="E1640" s="1047"/>
      <c r="F1640" s="1048"/>
      <c r="G1640" s="322"/>
      <c r="H1640" s="150">
        <f>SUM(H1636:H1639)</f>
        <v>0</v>
      </c>
      <c r="I1640" s="150">
        <f>SUM(I1636:I1639)</f>
        <v>0</v>
      </c>
      <c r="J1640" s="150">
        <f>SUM(J1636:J1639)</f>
        <v>0</v>
      </c>
      <c r="K1640" s="150">
        <f>SUM(K1636:K1639)</f>
        <v>0</v>
      </c>
      <c r="L1640" s="10"/>
    </row>
    <row r="1641" spans="1:12" s="146" customFormat="1" ht="18" x14ac:dyDescent="0.25">
      <c r="A1641" s="1174"/>
      <c r="B1641" s="1062"/>
      <c r="C1641" s="369"/>
      <c r="D1641" s="1058"/>
      <c r="E1641" s="1047"/>
      <c r="F1641" s="1048"/>
      <c r="G1641" s="322"/>
      <c r="H1641" s="156"/>
      <c r="I1641" s="156"/>
      <c r="J1641" s="156"/>
      <c r="K1641" s="156"/>
      <c r="L1641" s="10"/>
    </row>
    <row r="1642" spans="1:12" s="146" customFormat="1" ht="18" x14ac:dyDescent="0.25">
      <c r="A1642" s="327" t="s">
        <v>1800</v>
      </c>
      <c r="B1642" s="369"/>
      <c r="C1642" s="1062"/>
      <c r="D1642" s="1058"/>
      <c r="E1642" s="1047"/>
      <c r="F1642" s="1048"/>
      <c r="G1642" s="322"/>
      <c r="H1642" s="155"/>
      <c r="I1642" s="155"/>
      <c r="J1642" s="155"/>
      <c r="K1642" s="156"/>
      <c r="L1642" s="10"/>
    </row>
    <row r="1643" spans="1:12" s="146" customFormat="1" ht="36" customHeight="1" x14ac:dyDescent="0.25">
      <c r="A1643" s="1174"/>
      <c r="B1643" s="1062"/>
      <c r="C1643" s="1574" t="s">
        <v>1801</v>
      </c>
      <c r="D1643" s="1574"/>
      <c r="E1643" s="1047"/>
      <c r="F1643" s="1048"/>
      <c r="G1643" s="322"/>
      <c r="H1643" s="155"/>
      <c r="I1643" s="155"/>
      <c r="J1643" s="155"/>
      <c r="K1643" s="156"/>
      <c r="L1643" s="10"/>
    </row>
    <row r="1644" spans="1:12" s="146" customFormat="1" ht="36.75" customHeight="1" x14ac:dyDescent="0.25">
      <c r="A1644" s="1174"/>
      <c r="B1644" s="1062"/>
      <c r="C1644" s="1574" t="s">
        <v>1802</v>
      </c>
      <c r="D1644" s="1574"/>
      <c r="E1644" s="1047"/>
      <c r="F1644" s="1048"/>
      <c r="G1644" s="322"/>
      <c r="H1644" s="155"/>
      <c r="I1644" s="155"/>
      <c r="J1644" s="155"/>
      <c r="K1644" s="156"/>
      <c r="L1644" s="10"/>
    </row>
    <row r="1645" spans="1:12" s="146" customFormat="1" ht="18" x14ac:dyDescent="0.25">
      <c r="A1645" s="1174"/>
      <c r="B1645" s="1062"/>
      <c r="C1645" s="369" t="s">
        <v>1803</v>
      </c>
      <c r="D1645" s="1058"/>
      <c r="E1645" s="1047"/>
      <c r="F1645" s="1048"/>
      <c r="G1645" s="322"/>
      <c r="H1645" s="150">
        <f>SUM(H1643:H1644)</f>
        <v>0</v>
      </c>
      <c r="I1645" s="150">
        <f>SUM(I1643:I1644)</f>
        <v>0</v>
      </c>
      <c r="J1645" s="150">
        <f>SUM(J1643:J1644)</f>
        <v>0</v>
      </c>
      <c r="K1645" s="150">
        <f>SUM(K1643:K1644)</f>
        <v>0</v>
      </c>
      <c r="L1645" s="10"/>
    </row>
    <row r="1646" spans="1:12" s="146" customFormat="1" ht="18.75" thickBot="1" x14ac:dyDescent="0.3">
      <c r="A1646" s="327"/>
      <c r="B1646" s="369"/>
      <c r="C1646" s="369" t="s">
        <v>1804</v>
      </c>
      <c r="D1646" s="1058"/>
      <c r="E1646" s="1047"/>
      <c r="F1646" s="1048"/>
      <c r="G1646" s="322"/>
      <c r="H1646" s="158">
        <f>H1640+H1633+H1602+H1645</f>
        <v>0</v>
      </c>
      <c r="I1646" s="158">
        <f>I1640+I1633+I1602+I1645</f>
        <v>0</v>
      </c>
      <c r="J1646" s="158">
        <f>J1640+J1633+J1602+J1645</f>
        <v>0</v>
      </c>
      <c r="K1646" s="158">
        <f>K1640+K1633+K1602+K1645</f>
        <v>0</v>
      </c>
      <c r="L1646" s="10"/>
    </row>
    <row r="1647" spans="1:12" s="146" customFormat="1" ht="18" x14ac:dyDescent="0.25">
      <c r="A1647" s="1051"/>
      <c r="B1647" s="1041"/>
      <c r="C1647" s="1045"/>
      <c r="D1647" s="1047"/>
      <c r="E1647" s="1047"/>
      <c r="F1647" s="1047"/>
      <c r="G1647" s="322"/>
      <c r="H1647" s="155"/>
      <c r="I1647" s="155"/>
      <c r="J1647" s="155"/>
      <c r="K1647" s="156"/>
      <c r="L1647" s="10"/>
    </row>
    <row r="1648" spans="1:12" s="146" customFormat="1" ht="18" x14ac:dyDescent="0.25">
      <c r="A1648" s="1051"/>
      <c r="B1648" s="1041"/>
      <c r="C1648" s="1045"/>
      <c r="D1648" s="1047"/>
      <c r="E1648" s="1047"/>
      <c r="F1648" s="1047"/>
      <c r="G1648" s="322"/>
      <c r="H1648" s="155"/>
      <c r="I1648" s="155"/>
      <c r="J1648" s="155"/>
      <c r="K1648" s="156"/>
      <c r="L1648" s="10"/>
    </row>
    <row r="1649" spans="1:12" s="146" customFormat="1" ht="18" x14ac:dyDescent="0.25">
      <c r="A1649" s="1051"/>
      <c r="B1649" s="1041"/>
      <c r="C1649" s="1045"/>
      <c r="D1649" s="1047"/>
      <c r="E1649" s="1047"/>
      <c r="F1649" s="1047"/>
      <c r="G1649" s="322"/>
      <c r="H1649" s="155"/>
      <c r="I1649" s="155"/>
      <c r="J1649" s="155"/>
      <c r="K1649" s="156"/>
      <c r="L1649" s="10"/>
    </row>
    <row r="1650" spans="1:12" s="146" customFormat="1" ht="18" x14ac:dyDescent="0.25">
      <c r="A1650" s="1051"/>
      <c r="B1650" s="1041"/>
      <c r="C1650" s="1045"/>
      <c r="D1650" s="1047"/>
      <c r="E1650" s="1047"/>
      <c r="F1650" s="1047"/>
      <c r="G1650" s="322"/>
      <c r="H1650" s="155"/>
      <c r="I1650" s="155"/>
      <c r="J1650" s="155"/>
      <c r="K1650" s="156"/>
      <c r="L1650" s="10"/>
    </row>
    <row r="1651" spans="1:12" s="146" customFormat="1" ht="18" x14ac:dyDescent="0.25">
      <c r="A1651" s="1051"/>
      <c r="B1651" s="1041"/>
      <c r="C1651" s="1045"/>
      <c r="D1651" s="1047"/>
      <c r="E1651" s="1047"/>
      <c r="F1651" s="1047"/>
      <c r="G1651" s="322"/>
      <c r="H1651" s="155"/>
      <c r="I1651" s="155"/>
      <c r="J1651" s="155"/>
      <c r="K1651" s="156"/>
      <c r="L1651" s="10"/>
    </row>
    <row r="1652" spans="1:12" s="146" customFormat="1" ht="18" x14ac:dyDescent="0.25">
      <c r="A1652" s="1051"/>
      <c r="B1652" s="1041"/>
      <c r="C1652" s="1045"/>
      <c r="D1652" s="1047"/>
      <c r="E1652" s="1047"/>
      <c r="F1652" s="1047"/>
      <c r="G1652" s="322"/>
      <c r="H1652" s="155"/>
      <c r="I1652" s="155"/>
      <c r="J1652" s="155"/>
      <c r="K1652" s="156"/>
      <c r="L1652" s="10"/>
    </row>
    <row r="1653" spans="1:12" s="146" customFormat="1" ht="18" x14ac:dyDescent="0.25">
      <c r="A1653" s="1051"/>
      <c r="B1653" s="1041"/>
      <c r="C1653" s="1045"/>
      <c r="D1653" s="1047"/>
      <c r="E1653" s="1047"/>
      <c r="F1653" s="1047"/>
      <c r="G1653" s="322"/>
      <c r="H1653" s="155"/>
      <c r="I1653" s="155"/>
      <c r="J1653" s="155"/>
      <c r="K1653" s="156"/>
      <c r="L1653" s="10"/>
    </row>
    <row r="1654" spans="1:12" s="146" customFormat="1" ht="18" x14ac:dyDescent="0.25">
      <c r="A1654" s="1051"/>
      <c r="B1654" s="1041"/>
      <c r="C1654" s="1045"/>
      <c r="D1654" s="1047"/>
      <c r="E1654" s="1047"/>
      <c r="F1654" s="1047"/>
      <c r="G1654" s="322"/>
      <c r="H1654" s="155"/>
      <c r="I1654" s="155"/>
      <c r="J1654" s="155"/>
      <c r="K1654" s="156"/>
      <c r="L1654" s="10"/>
    </row>
    <row r="1655" spans="1:12" s="146" customFormat="1" ht="18" x14ac:dyDescent="0.25">
      <c r="A1655" s="1051"/>
      <c r="B1655" s="1041"/>
      <c r="C1655" s="1045"/>
      <c r="D1655" s="1047"/>
      <c r="E1655" s="1047"/>
      <c r="F1655" s="1047"/>
      <c r="G1655" s="322"/>
      <c r="H1655" s="155"/>
      <c r="I1655" s="155"/>
      <c r="J1655" s="155"/>
      <c r="K1655" s="156"/>
      <c r="L1655" s="10"/>
    </row>
    <row r="1656" spans="1:12" s="146" customFormat="1" ht="18" x14ac:dyDescent="0.25">
      <c r="A1656" s="1051"/>
      <c r="B1656" s="1041"/>
      <c r="C1656" s="1045"/>
      <c r="D1656" s="1047"/>
      <c r="E1656" s="1047"/>
      <c r="F1656" s="1047"/>
      <c r="G1656" s="322"/>
      <c r="H1656" s="155"/>
      <c r="I1656" s="155"/>
      <c r="J1656" s="155"/>
      <c r="K1656" s="156"/>
      <c r="L1656" s="10"/>
    </row>
    <row r="1657" spans="1:12" s="146" customFormat="1" ht="18" x14ac:dyDescent="0.25">
      <c r="A1657" s="1051"/>
      <c r="B1657" s="1041"/>
      <c r="C1657" s="1045"/>
      <c r="D1657" s="1047"/>
      <c r="E1657" s="1047"/>
      <c r="F1657" s="1047"/>
      <c r="G1657" s="322"/>
      <c r="H1657" s="155"/>
      <c r="I1657" s="155"/>
      <c r="J1657" s="155"/>
      <c r="K1657" s="156"/>
      <c r="L1657" s="10"/>
    </row>
    <row r="1658" spans="1:12" s="146" customFormat="1" ht="18" x14ac:dyDescent="0.25">
      <c r="A1658" s="1051"/>
      <c r="B1658" s="1041"/>
      <c r="C1658" s="1045"/>
      <c r="D1658" s="1047"/>
      <c r="E1658" s="1047"/>
      <c r="F1658" s="1047"/>
      <c r="G1658" s="322"/>
      <c r="H1658" s="155"/>
      <c r="I1658" s="155"/>
      <c r="J1658" s="155"/>
      <c r="K1658" s="156"/>
      <c r="L1658" s="10"/>
    </row>
    <row r="1659" spans="1:12" s="146" customFormat="1" ht="18" x14ac:dyDescent="0.25">
      <c r="A1659" s="1051"/>
      <c r="B1659" s="1041"/>
      <c r="C1659" s="1045"/>
      <c r="D1659" s="1047"/>
      <c r="E1659" s="1047"/>
      <c r="F1659" s="1047"/>
      <c r="G1659" s="322"/>
      <c r="H1659" s="155"/>
      <c r="I1659" s="155"/>
      <c r="J1659" s="155"/>
      <c r="K1659" s="156"/>
      <c r="L1659" s="10"/>
    </row>
    <row r="1660" spans="1:12" s="146" customFormat="1" ht="18" x14ac:dyDescent="0.25">
      <c r="A1660" s="1051"/>
      <c r="B1660" s="1041"/>
      <c r="C1660" s="1045"/>
      <c r="D1660" s="1047"/>
      <c r="E1660" s="1047"/>
      <c r="F1660" s="1047"/>
      <c r="G1660" s="322"/>
      <c r="H1660" s="155"/>
      <c r="I1660" s="155"/>
      <c r="J1660" s="155"/>
      <c r="K1660" s="156"/>
      <c r="L1660" s="10"/>
    </row>
    <row r="1661" spans="1:12" s="146" customFormat="1" ht="18" x14ac:dyDescent="0.25">
      <c r="A1661" s="1051"/>
      <c r="B1661" s="1041"/>
      <c r="C1661" s="1045"/>
      <c r="D1661" s="1047"/>
      <c r="E1661" s="1047"/>
      <c r="F1661" s="1047"/>
      <c r="G1661" s="322"/>
      <c r="H1661" s="155"/>
      <c r="I1661" s="155"/>
      <c r="J1661" s="155"/>
      <c r="K1661" s="156"/>
      <c r="L1661" s="10"/>
    </row>
    <row r="1662" spans="1:12" s="146" customFormat="1" ht="18" x14ac:dyDescent="0.25">
      <c r="A1662" s="1051"/>
      <c r="B1662" s="1041"/>
      <c r="C1662" s="1045"/>
      <c r="D1662" s="1047"/>
      <c r="E1662" s="1047"/>
      <c r="F1662" s="1047"/>
      <c r="G1662" s="322"/>
      <c r="H1662" s="155"/>
      <c r="I1662" s="155"/>
      <c r="J1662" s="155"/>
      <c r="K1662" s="156"/>
      <c r="L1662" s="10"/>
    </row>
    <row r="1663" spans="1:12" s="146" customFormat="1" ht="18" x14ac:dyDescent="0.25">
      <c r="A1663" s="1051"/>
      <c r="B1663" s="1041"/>
      <c r="C1663" s="1045"/>
      <c r="D1663" s="1047"/>
      <c r="E1663" s="1047"/>
      <c r="F1663" s="1047"/>
      <c r="G1663" s="322"/>
      <c r="H1663" s="155"/>
      <c r="I1663" s="155"/>
      <c r="J1663" s="155"/>
      <c r="K1663" s="156"/>
      <c r="L1663" s="10"/>
    </row>
    <row r="1664" spans="1:12" s="146" customFormat="1" ht="18" x14ac:dyDescent="0.25">
      <c r="A1664" s="1051"/>
      <c r="B1664" s="1041"/>
      <c r="C1664" s="1045"/>
      <c r="D1664" s="1047"/>
      <c r="E1664" s="1047"/>
      <c r="F1664" s="1047"/>
      <c r="G1664" s="322"/>
      <c r="H1664" s="155"/>
      <c r="I1664" s="155"/>
      <c r="J1664" s="155"/>
      <c r="K1664" s="156"/>
      <c r="L1664" s="10"/>
    </row>
    <row r="1665" spans="1:12" s="146" customFormat="1" ht="18" x14ac:dyDescent="0.25">
      <c r="A1665" s="1051"/>
      <c r="B1665" s="1041"/>
      <c r="C1665" s="1045"/>
      <c r="D1665" s="1047"/>
      <c r="E1665" s="1047"/>
      <c r="F1665" s="1047"/>
      <c r="G1665" s="322"/>
      <c r="H1665" s="155"/>
      <c r="I1665" s="155"/>
      <c r="J1665" s="155"/>
      <c r="K1665" s="156"/>
      <c r="L1665" s="10"/>
    </row>
    <row r="1666" spans="1:12" s="146" customFormat="1" ht="18" x14ac:dyDescent="0.25">
      <c r="A1666" s="1051"/>
      <c r="B1666" s="1041"/>
      <c r="C1666" s="1045"/>
      <c r="D1666" s="1047"/>
      <c r="E1666" s="1047"/>
      <c r="F1666" s="1047"/>
      <c r="G1666" s="322"/>
      <c r="H1666" s="155"/>
      <c r="I1666" s="155"/>
      <c r="J1666" s="155"/>
      <c r="K1666" s="156"/>
      <c r="L1666" s="10"/>
    </row>
    <row r="1667" spans="1:12" s="146" customFormat="1" ht="18" x14ac:dyDescent="0.25">
      <c r="A1667" s="1051"/>
      <c r="B1667" s="1041"/>
      <c r="C1667" s="1045"/>
      <c r="D1667" s="1047"/>
      <c r="E1667" s="1047"/>
      <c r="F1667" s="1047"/>
      <c r="G1667" s="322"/>
      <c r="H1667" s="155"/>
      <c r="I1667" s="155"/>
      <c r="J1667" s="155"/>
      <c r="K1667" s="156"/>
      <c r="L1667" s="10"/>
    </row>
    <row r="1668" spans="1:12" s="146" customFormat="1" ht="18" x14ac:dyDescent="0.25">
      <c r="A1668" s="1051"/>
      <c r="B1668" s="1041"/>
      <c r="C1668" s="1045"/>
      <c r="D1668" s="1047"/>
      <c r="E1668" s="1047"/>
      <c r="F1668" s="1047"/>
      <c r="G1668" s="322"/>
      <c r="H1668" s="155"/>
      <c r="I1668" s="155"/>
      <c r="J1668" s="155"/>
      <c r="K1668" s="156"/>
      <c r="L1668" s="10"/>
    </row>
    <row r="1669" spans="1:12" s="146" customFormat="1" ht="18" x14ac:dyDescent="0.25">
      <c r="A1669" s="1051"/>
      <c r="B1669" s="1041"/>
      <c r="C1669" s="1045"/>
      <c r="D1669" s="1047"/>
      <c r="E1669" s="1047"/>
      <c r="F1669" s="1047"/>
      <c r="G1669" s="322"/>
      <c r="H1669" s="155"/>
      <c r="I1669" s="155"/>
      <c r="J1669" s="155"/>
      <c r="K1669" s="156"/>
      <c r="L1669" s="10"/>
    </row>
    <row r="1670" spans="1:12" s="146" customFormat="1" ht="18" x14ac:dyDescent="0.25">
      <c r="A1670" s="1051"/>
      <c r="B1670" s="1041"/>
      <c r="C1670" s="1045"/>
      <c r="D1670" s="1047"/>
      <c r="E1670" s="1047"/>
      <c r="F1670" s="1047"/>
      <c r="G1670" s="322"/>
      <c r="H1670" s="155"/>
      <c r="I1670" s="155"/>
      <c r="J1670" s="155"/>
      <c r="K1670" s="156"/>
      <c r="L1670" s="10"/>
    </row>
    <row r="1671" spans="1:12" s="146" customFormat="1" ht="18" x14ac:dyDescent="0.25">
      <c r="A1671" s="1051"/>
      <c r="B1671" s="1041"/>
      <c r="C1671" s="1045"/>
      <c r="D1671" s="1047"/>
      <c r="E1671" s="1047"/>
      <c r="F1671" s="1047"/>
      <c r="G1671" s="322"/>
      <c r="H1671" s="155"/>
      <c r="I1671" s="155"/>
      <c r="J1671" s="155"/>
      <c r="K1671" s="156"/>
      <c r="L1671" s="10"/>
    </row>
    <row r="1672" spans="1:12" s="146" customFormat="1" ht="18" x14ac:dyDescent="0.25">
      <c r="A1672" s="1051"/>
      <c r="B1672" s="1041"/>
      <c r="C1672" s="1045"/>
      <c r="D1672" s="1047"/>
      <c r="E1672" s="1047"/>
      <c r="F1672" s="1047"/>
      <c r="G1672" s="322"/>
      <c r="H1672" s="155"/>
      <c r="I1672" s="155"/>
      <c r="J1672" s="155"/>
      <c r="K1672" s="156"/>
      <c r="L1672" s="10"/>
    </row>
    <row r="1673" spans="1:12" s="146" customFormat="1" ht="18" x14ac:dyDescent="0.25">
      <c r="A1673" s="1051"/>
      <c r="B1673" s="1041"/>
      <c r="C1673" s="1045"/>
      <c r="D1673" s="1047"/>
      <c r="E1673" s="1047"/>
      <c r="F1673" s="1047"/>
      <c r="G1673" s="322"/>
      <c r="H1673" s="155"/>
      <c r="I1673" s="155"/>
      <c r="J1673" s="155"/>
      <c r="K1673" s="156"/>
      <c r="L1673" s="10"/>
    </row>
    <row r="1674" spans="1:12" s="146" customFormat="1" ht="18" x14ac:dyDescent="0.25">
      <c r="A1674" s="1051"/>
      <c r="B1674" s="1041"/>
      <c r="C1674" s="1045"/>
      <c r="D1674" s="1047"/>
      <c r="E1674" s="1047"/>
      <c r="F1674" s="1047"/>
      <c r="G1674" s="322"/>
      <c r="H1674" s="155"/>
      <c r="I1674" s="155"/>
      <c r="J1674" s="155"/>
      <c r="K1674" s="156"/>
      <c r="L1674" s="10"/>
    </row>
    <row r="1675" spans="1:12" s="146" customFormat="1" ht="18" x14ac:dyDescent="0.25">
      <c r="A1675" s="1051"/>
      <c r="B1675" s="1041"/>
      <c r="C1675" s="1045"/>
      <c r="D1675" s="1047"/>
      <c r="E1675" s="1047"/>
      <c r="F1675" s="1047"/>
      <c r="G1675" s="322"/>
      <c r="H1675" s="155"/>
      <c r="I1675" s="155"/>
      <c r="J1675" s="155"/>
      <c r="K1675" s="156"/>
      <c r="L1675" s="10"/>
    </row>
    <row r="1676" spans="1:12" s="146" customFormat="1" ht="18" x14ac:dyDescent="0.25">
      <c r="A1676" s="1051"/>
      <c r="B1676" s="1041"/>
      <c r="C1676" s="1045"/>
      <c r="D1676" s="1047"/>
      <c r="E1676" s="1047"/>
      <c r="F1676" s="1047"/>
      <c r="G1676" s="322"/>
      <c r="H1676" s="155"/>
      <c r="I1676" s="155"/>
      <c r="J1676" s="155"/>
      <c r="K1676" s="156"/>
      <c r="L1676" s="10"/>
    </row>
    <row r="1677" spans="1:12" s="146" customFormat="1" ht="18" x14ac:dyDescent="0.25">
      <c r="A1677" s="1051"/>
      <c r="B1677" s="1041"/>
      <c r="C1677" s="1045"/>
      <c r="D1677" s="1047"/>
      <c r="E1677" s="1047"/>
      <c r="F1677" s="1047"/>
      <c r="G1677" s="322"/>
      <c r="H1677" s="155"/>
      <c r="I1677" s="155"/>
      <c r="J1677" s="155"/>
      <c r="K1677" s="156"/>
      <c r="L1677" s="10"/>
    </row>
    <row r="1678" spans="1:12" s="146" customFormat="1" ht="18" x14ac:dyDescent="0.25">
      <c r="A1678" s="1051"/>
      <c r="B1678" s="1041"/>
      <c r="C1678" s="1045"/>
      <c r="D1678" s="1047"/>
      <c r="E1678" s="1047"/>
      <c r="F1678" s="1047"/>
      <c r="G1678" s="322"/>
      <c r="H1678" s="155"/>
      <c r="I1678" s="155"/>
      <c r="J1678" s="155"/>
      <c r="K1678" s="156"/>
      <c r="L1678" s="10"/>
    </row>
    <row r="1679" spans="1:12" s="146" customFormat="1" ht="18.75" thickBot="1" x14ac:dyDescent="0.3">
      <c r="A1679" s="187"/>
      <c r="B1679" s="413"/>
      <c r="C1679" s="318"/>
      <c r="D1679" s="1096"/>
      <c r="E1679" s="1096"/>
      <c r="F1679" s="1096"/>
      <c r="G1679" s="1217"/>
      <c r="H1679" s="182"/>
      <c r="I1679" s="182"/>
      <c r="J1679" s="182"/>
      <c r="K1679" s="183"/>
      <c r="L1679" s="10"/>
    </row>
    <row r="1680" spans="1:12" s="146" customFormat="1" ht="18" x14ac:dyDescent="0.25">
      <c r="A1680" s="1041"/>
      <c r="B1680" s="1041"/>
      <c r="C1680" s="1045"/>
      <c r="D1680" s="1047"/>
      <c r="E1680" s="1047"/>
      <c r="F1680" s="1047"/>
      <c r="G1680" s="322"/>
      <c r="H1680" s="126"/>
      <c r="I1680" s="126"/>
      <c r="J1680" s="126"/>
      <c r="K1680" s="127"/>
      <c r="L1680" s="10"/>
    </row>
    <row r="1681" spans="1:12" s="146" customFormat="1" ht="18" x14ac:dyDescent="0.25">
      <c r="A1681" s="1041"/>
      <c r="B1681" s="1041"/>
      <c r="C1681" s="1045"/>
      <c r="D1681" s="1047"/>
      <c r="E1681" s="1047"/>
      <c r="F1681" s="1047"/>
      <c r="G1681" s="322"/>
      <c r="H1681" s="126"/>
      <c r="I1681" s="126"/>
      <c r="J1681" s="126"/>
      <c r="K1681" s="127"/>
      <c r="L1681" s="10"/>
    </row>
    <row r="1682" spans="1:12" s="146" customFormat="1" ht="18" x14ac:dyDescent="0.25">
      <c r="A1682" s="1041"/>
      <c r="B1682" s="1041"/>
      <c r="C1682" s="1045"/>
      <c r="D1682" s="1047"/>
      <c r="E1682" s="1047"/>
      <c r="F1682" s="1047"/>
      <c r="G1682" s="322"/>
      <c r="H1682" s="126"/>
      <c r="I1682" s="126"/>
      <c r="J1682" s="126"/>
      <c r="K1682" s="127"/>
      <c r="L1682" s="10"/>
    </row>
    <row r="1683" spans="1:12" s="146" customFormat="1" ht="18" customHeight="1" x14ac:dyDescent="0.25">
      <c r="A1683" s="9" t="s">
        <v>112</v>
      </c>
      <c r="B1683" s="9"/>
      <c r="C1683" s="9"/>
      <c r="D1683" s="9"/>
      <c r="E1683" s="9"/>
      <c r="F1683" s="9"/>
      <c r="G1683" s="9"/>
      <c r="H1683" s="5"/>
      <c r="I1683" s="5"/>
      <c r="J1683" s="5"/>
      <c r="K1683" s="5"/>
      <c r="L1683" s="10"/>
    </row>
    <row r="1684" spans="1:12" ht="18" customHeight="1" x14ac:dyDescent="0.25">
      <c r="A1684" s="8" t="s">
        <v>784</v>
      </c>
    </row>
    <row r="1685" spans="1:12" ht="18" customHeight="1" x14ac:dyDescent="0.25">
      <c r="A1685" s="1636" t="s">
        <v>113</v>
      </c>
      <c r="B1685" s="1636"/>
      <c r="C1685" s="1636"/>
      <c r="D1685" s="1636"/>
      <c r="E1685" s="1636"/>
      <c r="F1685" s="1636"/>
      <c r="G1685" s="1636"/>
      <c r="H1685" s="1636"/>
      <c r="I1685" s="1636"/>
      <c r="J1685" s="1636"/>
      <c r="K1685" s="1060"/>
    </row>
    <row r="1686" spans="1:12" s="7" customFormat="1" ht="18" customHeight="1" x14ac:dyDescent="0.25">
      <c r="A1686" s="1624" t="s">
        <v>114</v>
      </c>
      <c r="B1686" s="1624"/>
      <c r="C1686" s="1624"/>
      <c r="D1686" s="1624"/>
      <c r="E1686" s="1624"/>
      <c r="F1686" s="1624"/>
      <c r="G1686" s="1624"/>
      <c r="H1686" s="1624"/>
      <c r="I1686" s="1624"/>
      <c r="J1686" s="1624"/>
      <c r="K1686" s="159"/>
      <c r="L1686" s="6"/>
    </row>
    <row r="1688" spans="1:12" ht="16.5" thickBot="1" x14ac:dyDescent="0.3"/>
    <row r="1689" spans="1:12" s="48" customFormat="1" ht="21.75" customHeight="1" thickBot="1" x14ac:dyDescent="0.3">
      <c r="A1689" s="1655" t="s">
        <v>115</v>
      </c>
      <c r="B1689" s="1655"/>
      <c r="C1689" s="1655"/>
      <c r="D1689" s="1655"/>
      <c r="E1689" s="1655"/>
      <c r="F1689" s="1655"/>
      <c r="G1689" s="1151"/>
      <c r="H1689" s="1708" t="s">
        <v>1537</v>
      </c>
      <c r="I1689" s="1710" t="s">
        <v>1538</v>
      </c>
      <c r="J1689" s="1710" t="s">
        <v>1539</v>
      </c>
      <c r="K1689" s="1710" t="s">
        <v>1540</v>
      </c>
      <c r="L1689" s="47"/>
    </row>
    <row r="1690" spans="1:12" s="1153" customFormat="1" ht="31.5" customHeight="1" thickBot="1" x14ac:dyDescent="0.3">
      <c r="A1690" s="1655"/>
      <c r="B1690" s="1655"/>
      <c r="C1690" s="1655"/>
      <c r="D1690" s="1655"/>
      <c r="E1690" s="1655"/>
      <c r="F1690" s="1655"/>
      <c r="G1690" s="1067" t="s">
        <v>116</v>
      </c>
      <c r="H1690" s="1709"/>
      <c r="I1690" s="1710"/>
      <c r="J1690" s="1710"/>
      <c r="K1690" s="1710"/>
      <c r="L1690" s="1152"/>
    </row>
    <row r="1691" spans="1:12" s="146" customFormat="1" ht="18" x14ac:dyDescent="0.25">
      <c r="A1691" s="1670" t="s">
        <v>1805</v>
      </c>
      <c r="B1691" s="1670"/>
      <c r="C1691" s="1670"/>
      <c r="D1691" s="1670"/>
      <c r="E1691" s="1670"/>
      <c r="F1691" s="1670"/>
      <c r="G1691" s="324"/>
      <c r="H1691" s="325"/>
      <c r="I1691" s="325"/>
      <c r="J1691" s="325"/>
      <c r="K1691" s="326"/>
      <c r="L1691" s="10"/>
    </row>
    <row r="1692" spans="1:12" s="146" customFormat="1" ht="18" customHeight="1" x14ac:dyDescent="0.25">
      <c r="A1692" s="327" t="s">
        <v>1806</v>
      </c>
      <c r="B1692" s="369"/>
      <c r="D1692" s="1057"/>
      <c r="E1692" s="1057"/>
      <c r="F1692" s="1057"/>
      <c r="G1692" s="328"/>
      <c r="H1692" s="329"/>
      <c r="I1692" s="329"/>
      <c r="J1692" s="329"/>
      <c r="K1692" s="329"/>
      <c r="L1692" s="10"/>
    </row>
    <row r="1693" spans="1:12" s="146" customFormat="1" ht="18" x14ac:dyDescent="0.25">
      <c r="A1693" s="1071"/>
      <c r="B1693" s="1047"/>
      <c r="C1693" s="1620" t="s">
        <v>654</v>
      </c>
      <c r="D1693" s="1620"/>
      <c r="E1693" s="1620"/>
      <c r="F1693" s="1620"/>
      <c r="G1693" s="97"/>
      <c r="H1693" s="98"/>
      <c r="I1693" s="98"/>
      <c r="J1693" s="98"/>
      <c r="K1693" s="99"/>
      <c r="L1693" s="10"/>
    </row>
    <row r="1694" spans="1:12" s="146" customFormat="1" ht="18" x14ac:dyDescent="0.25">
      <c r="A1694" s="1071"/>
      <c r="B1694" s="1047"/>
      <c r="C1694" s="1618" t="s">
        <v>655</v>
      </c>
      <c r="D1694" s="1619"/>
      <c r="E1694" s="1619"/>
      <c r="F1694" s="1671"/>
      <c r="G1694" s="168"/>
      <c r="H1694" s="330"/>
      <c r="I1694" s="330">
        <v>5000000</v>
      </c>
      <c r="J1694" s="330">
        <v>5000000</v>
      </c>
      <c r="K1694" s="330">
        <v>5000000</v>
      </c>
      <c r="L1694" s="10"/>
    </row>
    <row r="1695" spans="1:12" s="146" customFormat="1" ht="18" x14ac:dyDescent="0.25">
      <c r="A1695" s="1082"/>
      <c r="B1695" s="1058"/>
      <c r="C1695" s="1062" t="s">
        <v>656</v>
      </c>
      <c r="D1695" s="1045"/>
      <c r="E1695" s="1045"/>
      <c r="F1695" s="1045"/>
      <c r="G1695" s="168"/>
      <c r="H1695" s="330"/>
      <c r="I1695" s="330">
        <v>1000000</v>
      </c>
      <c r="J1695" s="330">
        <v>1000000</v>
      </c>
      <c r="K1695" s="330"/>
      <c r="L1695" s="10"/>
    </row>
    <row r="1696" spans="1:12" s="146" customFormat="1" ht="18" x14ac:dyDescent="0.25">
      <c r="A1696" s="1071"/>
      <c r="B1696" s="1047"/>
      <c r="C1696" s="1574" t="s">
        <v>657</v>
      </c>
      <c r="D1696" s="1574"/>
      <c r="E1696" s="1574"/>
      <c r="F1696" s="1574"/>
      <c r="G1696" s="168"/>
      <c r="H1696" s="330"/>
      <c r="I1696" s="330">
        <v>5000000</v>
      </c>
      <c r="J1696" s="330">
        <v>5000000</v>
      </c>
      <c r="K1696" s="330">
        <v>5000000</v>
      </c>
      <c r="L1696" s="10"/>
    </row>
    <row r="1697" spans="1:12" s="146" customFormat="1" ht="18" x14ac:dyDescent="0.25">
      <c r="A1697" s="1082"/>
      <c r="B1697" s="1058"/>
      <c r="C1697" s="1062" t="s">
        <v>659</v>
      </c>
      <c r="D1697" s="1045"/>
      <c r="E1697" s="1045"/>
      <c r="F1697" s="1045"/>
      <c r="G1697" s="168"/>
      <c r="H1697" s="330"/>
      <c r="I1697" s="330"/>
      <c r="J1697" s="330"/>
      <c r="K1697" s="330"/>
      <c r="L1697" s="10"/>
    </row>
    <row r="1698" spans="1:12" s="146" customFormat="1" ht="18" x14ac:dyDescent="0.25">
      <c r="A1698" s="1051"/>
      <c r="B1698" s="1041"/>
      <c r="C1698" s="153"/>
      <c r="D1698" s="573"/>
      <c r="E1698" s="1041"/>
      <c r="F1698" s="1041"/>
      <c r="G1698" s="100"/>
      <c r="H1698" s="155"/>
      <c r="I1698" s="155"/>
      <c r="J1698" s="155"/>
      <c r="K1698" s="156"/>
      <c r="L1698" s="10"/>
    </row>
    <row r="1699" spans="1:12" s="313" customFormat="1" ht="55.5" customHeight="1" x14ac:dyDescent="0.25">
      <c r="A1699" s="332"/>
      <c r="B1699" s="1077"/>
      <c r="C1699" s="1669" t="s">
        <v>660</v>
      </c>
      <c r="D1699" s="1669"/>
      <c r="E1699" s="1044"/>
      <c r="F1699" s="1044"/>
      <c r="G1699" s="333"/>
      <c r="H1699" s="331"/>
      <c r="I1699" s="331"/>
      <c r="J1699" s="331"/>
      <c r="K1699" s="330"/>
      <c r="L1699" s="193"/>
    </row>
    <row r="1700" spans="1:12" s="313" customFormat="1" ht="22.5" customHeight="1" x14ac:dyDescent="0.25">
      <c r="A1700" s="332"/>
      <c r="B1700" s="1077"/>
      <c r="C1700" s="1622" t="s">
        <v>661</v>
      </c>
      <c r="D1700" s="1622"/>
      <c r="E1700" s="1044"/>
      <c r="F1700" s="1044"/>
      <c r="G1700" s="333"/>
      <c r="H1700" s="331"/>
      <c r="I1700" s="331"/>
      <c r="J1700" s="331"/>
      <c r="K1700" s="330"/>
      <c r="L1700" s="193"/>
    </row>
    <row r="1701" spans="1:12" s="313" customFormat="1" ht="22.5" customHeight="1" x14ac:dyDescent="0.25">
      <c r="A1701" s="332"/>
      <c r="B1701" s="1077"/>
      <c r="C1701" s="1622" t="s">
        <v>662</v>
      </c>
      <c r="D1701" s="1622"/>
      <c r="E1701" s="1044"/>
      <c r="F1701" s="1044"/>
      <c r="G1701" s="333"/>
      <c r="H1701" s="331"/>
      <c r="I1701" s="331">
        <v>20000</v>
      </c>
      <c r="J1701" s="331">
        <v>20000</v>
      </c>
      <c r="K1701" s="330">
        <v>20000</v>
      </c>
      <c r="L1701" s="193"/>
    </row>
    <row r="1702" spans="1:12" s="313" customFormat="1" ht="22.5" customHeight="1" x14ac:dyDescent="0.25">
      <c r="A1702" s="332"/>
      <c r="B1702" s="1077"/>
      <c r="C1702" s="1622" t="s">
        <v>663</v>
      </c>
      <c r="D1702" s="1622"/>
      <c r="E1702" s="1044"/>
      <c r="F1702" s="1044"/>
      <c r="G1702" s="333"/>
      <c r="H1702" s="331"/>
      <c r="I1702" s="331">
        <v>20000</v>
      </c>
      <c r="J1702" s="331">
        <v>20000</v>
      </c>
      <c r="K1702" s="330">
        <v>20000</v>
      </c>
      <c r="L1702" s="193"/>
    </row>
    <row r="1703" spans="1:12" s="313" customFormat="1" ht="22.5" customHeight="1" x14ac:dyDescent="0.25">
      <c r="A1703" s="332"/>
      <c r="B1703" s="1077"/>
      <c r="C1703" s="1622" t="s">
        <v>664</v>
      </c>
      <c r="D1703" s="1622"/>
      <c r="E1703" s="1622"/>
      <c r="F1703" s="1648"/>
      <c r="G1703" s="333"/>
      <c r="H1703" s="331"/>
      <c r="I1703" s="331">
        <v>250000</v>
      </c>
      <c r="J1703" s="331">
        <v>250000</v>
      </c>
      <c r="K1703" s="330">
        <v>250000</v>
      </c>
      <c r="L1703" s="193"/>
    </row>
    <row r="1704" spans="1:12" s="313" customFormat="1" ht="37.5" customHeight="1" x14ac:dyDescent="0.25">
      <c r="A1704" s="332"/>
      <c r="B1704" s="1077"/>
      <c r="C1704" s="1622" t="s">
        <v>1807</v>
      </c>
      <c r="D1704" s="1622"/>
      <c r="E1704" s="1044"/>
      <c r="F1704" s="1044"/>
      <c r="G1704" s="333"/>
      <c r="H1704" s="331"/>
      <c r="I1704" s="331">
        <v>50000</v>
      </c>
      <c r="J1704" s="331">
        <v>50000</v>
      </c>
      <c r="K1704" s="330">
        <v>50000</v>
      </c>
      <c r="L1704" s="193"/>
    </row>
    <row r="1705" spans="1:12" s="313" customFormat="1" ht="37.5" customHeight="1" x14ac:dyDescent="0.25">
      <c r="A1705" s="332"/>
      <c r="B1705" s="1077"/>
      <c r="C1705" s="1622" t="s">
        <v>666</v>
      </c>
      <c r="D1705" s="1622"/>
      <c r="E1705" s="1044"/>
      <c r="F1705" s="1044"/>
      <c r="G1705" s="333"/>
      <c r="H1705" s="330"/>
      <c r="I1705" s="330">
        <v>300000</v>
      </c>
      <c r="J1705" s="330">
        <v>300000</v>
      </c>
      <c r="K1705" s="330">
        <v>300000</v>
      </c>
      <c r="L1705" s="193"/>
    </row>
    <row r="1706" spans="1:12" s="313" customFormat="1" ht="37.5" customHeight="1" x14ac:dyDescent="0.25">
      <c r="A1706" s="332"/>
      <c r="B1706" s="1077"/>
      <c r="C1706" s="1622" t="s">
        <v>667</v>
      </c>
      <c r="D1706" s="1622"/>
      <c r="E1706" s="1044"/>
      <c r="F1706" s="1044"/>
      <c r="G1706" s="333"/>
      <c r="H1706" s="331"/>
      <c r="I1706" s="331">
        <v>25000</v>
      </c>
      <c r="J1706" s="331">
        <v>25000</v>
      </c>
      <c r="K1706" s="330">
        <v>25000</v>
      </c>
      <c r="L1706" s="193"/>
    </row>
    <row r="1707" spans="1:12" s="313" customFormat="1" ht="18.75" customHeight="1" x14ac:dyDescent="0.25">
      <c r="A1707" s="332"/>
      <c r="B1707" s="1077"/>
      <c r="C1707" s="1622" t="s">
        <v>668</v>
      </c>
      <c r="D1707" s="1622"/>
      <c r="E1707" s="1044"/>
      <c r="F1707" s="1044"/>
      <c r="G1707" s="333"/>
      <c r="H1707" s="331"/>
      <c r="I1707" s="331">
        <v>30000</v>
      </c>
      <c r="J1707" s="331">
        <v>30000</v>
      </c>
      <c r="K1707" s="330">
        <v>30000</v>
      </c>
      <c r="L1707" s="193"/>
    </row>
    <row r="1708" spans="1:12" s="313" customFormat="1" ht="34.5" customHeight="1" x14ac:dyDescent="0.25">
      <c r="A1708" s="332"/>
      <c r="B1708" s="1077"/>
      <c r="C1708" s="1622" t="s">
        <v>669</v>
      </c>
      <c r="D1708" s="1622"/>
      <c r="E1708" s="1044"/>
      <c r="F1708" s="1044"/>
      <c r="G1708" s="333"/>
      <c r="H1708" s="331"/>
      <c r="I1708" s="331">
        <v>10000</v>
      </c>
      <c r="J1708" s="331">
        <v>10000</v>
      </c>
      <c r="K1708" s="330">
        <v>10000</v>
      </c>
      <c r="L1708" s="193"/>
    </row>
    <row r="1709" spans="1:12" s="313" customFormat="1" ht="23.25" customHeight="1" x14ac:dyDescent="0.25">
      <c r="A1709" s="332"/>
      <c r="B1709" s="1077"/>
      <c r="C1709" s="652" t="s">
        <v>1808</v>
      </c>
      <c r="D1709" s="1044"/>
      <c r="E1709" s="1044"/>
      <c r="F1709" s="1044"/>
      <c r="G1709" s="333"/>
      <c r="H1709" s="331"/>
      <c r="I1709" s="331">
        <v>25000</v>
      </c>
      <c r="J1709" s="331">
        <v>25000</v>
      </c>
      <c r="K1709" s="330">
        <v>25000</v>
      </c>
      <c r="L1709" s="193"/>
    </row>
    <row r="1710" spans="1:12" s="313" customFormat="1" ht="23.25" customHeight="1" x14ac:dyDescent="0.25">
      <c r="A1710" s="332"/>
      <c r="B1710" s="1077"/>
      <c r="C1710" s="652" t="s">
        <v>1809</v>
      </c>
      <c r="D1710" s="1044"/>
      <c r="E1710" s="1044"/>
      <c r="F1710" s="1044"/>
      <c r="G1710" s="333"/>
      <c r="H1710" s="331"/>
      <c r="I1710" s="331">
        <v>30000</v>
      </c>
      <c r="J1710" s="331">
        <v>30000</v>
      </c>
      <c r="K1710" s="330">
        <v>30000</v>
      </c>
      <c r="L1710" s="193"/>
    </row>
    <row r="1711" spans="1:12" s="313" customFormat="1" ht="20.25" customHeight="1" x14ac:dyDescent="0.25">
      <c r="A1711" s="332"/>
      <c r="B1711" s="1077"/>
      <c r="C1711" s="1622" t="s">
        <v>670</v>
      </c>
      <c r="D1711" s="1622"/>
      <c r="E1711" s="1044"/>
      <c r="F1711" s="1044"/>
      <c r="G1711" s="333"/>
      <c r="H1711" s="331"/>
      <c r="I1711" s="331"/>
      <c r="J1711" s="331"/>
      <c r="K1711" s="330"/>
      <c r="L1711" s="193"/>
    </row>
    <row r="1712" spans="1:12" s="313" customFormat="1" ht="20.25" customHeight="1" x14ac:dyDescent="0.25">
      <c r="A1712" s="332"/>
      <c r="B1712" s="1077"/>
      <c r="C1712" s="1622" t="s">
        <v>1810</v>
      </c>
      <c r="D1712" s="1622"/>
      <c r="E1712" s="1044"/>
      <c r="F1712" s="1044"/>
      <c r="G1712" s="333"/>
      <c r="H1712" s="331"/>
      <c r="I1712" s="331">
        <v>30000</v>
      </c>
      <c r="J1712" s="331">
        <v>30000</v>
      </c>
      <c r="K1712" s="330">
        <v>30000</v>
      </c>
      <c r="L1712" s="193"/>
    </row>
    <row r="1713" spans="1:12" s="313" customFormat="1" ht="20.25" customHeight="1" x14ac:dyDescent="0.25">
      <c r="A1713" s="332"/>
      <c r="B1713" s="1077"/>
      <c r="C1713" s="652" t="s">
        <v>1811</v>
      </c>
      <c r="D1713" s="1044"/>
      <c r="E1713" s="1044"/>
      <c r="F1713" s="1044"/>
      <c r="G1713" s="333"/>
      <c r="H1713" s="331"/>
      <c r="I1713" s="331">
        <v>20000</v>
      </c>
      <c r="J1713" s="331">
        <v>20000</v>
      </c>
      <c r="K1713" s="330">
        <v>20000</v>
      </c>
      <c r="L1713" s="193"/>
    </row>
    <row r="1714" spans="1:12" s="313" customFormat="1" ht="20.25" customHeight="1" x14ac:dyDescent="0.25">
      <c r="A1714" s="332"/>
      <c r="B1714" s="1077"/>
      <c r="C1714" s="1622" t="s">
        <v>1812</v>
      </c>
      <c r="D1714" s="1622"/>
      <c r="E1714" s="1044"/>
      <c r="F1714" s="1044"/>
      <c r="G1714" s="333"/>
      <c r="H1714" s="331"/>
      <c r="I1714" s="331">
        <v>42000</v>
      </c>
      <c r="J1714" s="331">
        <v>42000</v>
      </c>
      <c r="K1714" s="330">
        <v>42000</v>
      </c>
      <c r="L1714" s="193"/>
    </row>
    <row r="1715" spans="1:12" s="313" customFormat="1" ht="20.25" customHeight="1" x14ac:dyDescent="0.25">
      <c r="A1715" s="332"/>
      <c r="B1715" s="1077"/>
      <c r="C1715" s="1622" t="s">
        <v>1813</v>
      </c>
      <c r="D1715" s="1622"/>
      <c r="E1715" s="1044"/>
      <c r="F1715" s="1044"/>
      <c r="G1715" s="333"/>
      <c r="H1715" s="331"/>
      <c r="I1715" s="331">
        <v>20000</v>
      </c>
      <c r="J1715" s="331">
        <v>20000</v>
      </c>
      <c r="K1715" s="330">
        <v>20000</v>
      </c>
      <c r="L1715" s="193"/>
    </row>
    <row r="1716" spans="1:12" s="313" customFormat="1" ht="41.25" customHeight="1" x14ac:dyDescent="0.25">
      <c r="A1716" s="332"/>
      <c r="B1716" s="1077"/>
      <c r="C1716" s="1622" t="s">
        <v>1814</v>
      </c>
      <c r="D1716" s="1622"/>
      <c r="E1716" s="1044"/>
      <c r="F1716" s="1044"/>
      <c r="G1716" s="333"/>
      <c r="H1716" s="331"/>
      <c r="I1716" s="331">
        <v>20000</v>
      </c>
      <c r="J1716" s="331">
        <v>20000</v>
      </c>
      <c r="K1716" s="330">
        <v>20000</v>
      </c>
      <c r="L1716" s="193"/>
    </row>
    <row r="1717" spans="1:12" s="313" customFormat="1" ht="20.25" customHeight="1" x14ac:dyDescent="0.25">
      <c r="A1717" s="332"/>
      <c r="B1717" s="1077"/>
      <c r="C1717" s="1622" t="s">
        <v>1815</v>
      </c>
      <c r="D1717" s="1622"/>
      <c r="E1717" s="1044"/>
      <c r="F1717" s="1044"/>
      <c r="G1717" s="333"/>
      <c r="H1717" s="331"/>
      <c r="I1717" s="331">
        <v>50000</v>
      </c>
      <c r="J1717" s="331">
        <v>50000</v>
      </c>
      <c r="K1717" s="330">
        <v>50000</v>
      </c>
      <c r="L1717" s="193"/>
    </row>
    <row r="1718" spans="1:12" s="313" customFormat="1" ht="20.25" customHeight="1" x14ac:dyDescent="0.25">
      <c r="A1718" s="332"/>
      <c r="B1718" s="1077"/>
      <c r="C1718" s="1622" t="s">
        <v>673</v>
      </c>
      <c r="D1718" s="1622"/>
      <c r="E1718" s="1044"/>
      <c r="F1718" s="1044"/>
      <c r="G1718" s="333"/>
      <c r="H1718" s="331"/>
      <c r="I1718" s="331"/>
      <c r="J1718" s="331"/>
      <c r="K1718" s="330"/>
      <c r="L1718" s="193"/>
    </row>
    <row r="1719" spans="1:12" s="313" customFormat="1" ht="20.25" customHeight="1" x14ac:dyDescent="0.25">
      <c r="A1719" s="332"/>
      <c r="B1719" s="1077"/>
      <c r="C1719" s="1622" t="s">
        <v>1816</v>
      </c>
      <c r="D1719" s="1622"/>
      <c r="E1719" s="1044"/>
      <c r="F1719" s="1044"/>
      <c r="G1719" s="333"/>
      <c r="H1719" s="331"/>
      <c r="I1719" s="331">
        <v>50000</v>
      </c>
      <c r="J1719" s="331">
        <v>50000</v>
      </c>
      <c r="K1719" s="330">
        <v>50000</v>
      </c>
      <c r="L1719" s="193"/>
    </row>
    <row r="1720" spans="1:12" s="313" customFormat="1" ht="20.25" customHeight="1" x14ac:dyDescent="0.25">
      <c r="A1720" s="332"/>
      <c r="B1720" s="1077"/>
      <c r="C1720" s="1622" t="s">
        <v>675</v>
      </c>
      <c r="D1720" s="1622"/>
      <c r="E1720" s="1044"/>
      <c r="F1720" s="1044"/>
      <c r="G1720" s="333"/>
      <c r="H1720" s="331"/>
      <c r="I1720" s="331">
        <v>20000</v>
      </c>
      <c r="J1720" s="331">
        <v>20000</v>
      </c>
      <c r="K1720" s="330">
        <v>20000</v>
      </c>
      <c r="L1720" s="193"/>
    </row>
    <row r="1721" spans="1:12" s="313" customFormat="1" ht="20.25" customHeight="1" x14ac:dyDescent="0.25">
      <c r="A1721" s="332"/>
      <c r="B1721" s="1077"/>
      <c r="C1721" s="1622" t="s">
        <v>676</v>
      </c>
      <c r="D1721" s="1622"/>
      <c r="E1721" s="1044"/>
      <c r="F1721" s="1044"/>
      <c r="G1721" s="333"/>
      <c r="H1721" s="331"/>
      <c r="I1721" s="331">
        <v>100000</v>
      </c>
      <c r="J1721" s="331">
        <v>100000</v>
      </c>
      <c r="K1721" s="330">
        <v>100000</v>
      </c>
      <c r="L1721" s="193"/>
    </row>
    <row r="1722" spans="1:12" s="146" customFormat="1" ht="18" x14ac:dyDescent="0.25">
      <c r="A1722" s="1082"/>
      <c r="B1722" s="1058"/>
      <c r="C1722" s="1062"/>
      <c r="D1722" s="1045"/>
      <c r="E1722" s="1045"/>
      <c r="F1722" s="1045"/>
      <c r="G1722" s="168"/>
      <c r="H1722" s="330"/>
      <c r="I1722" s="330"/>
      <c r="J1722" s="330"/>
      <c r="K1722" s="330"/>
      <c r="L1722" s="10"/>
    </row>
    <row r="1723" spans="1:12" s="146" customFormat="1" ht="18" x14ac:dyDescent="0.25">
      <c r="A1723" s="1051"/>
      <c r="B1723" s="1041"/>
      <c r="C1723" s="369" t="s">
        <v>1817</v>
      </c>
      <c r="E1723" s="1041"/>
      <c r="F1723" s="1041"/>
      <c r="G1723" s="100"/>
      <c r="H1723" s="155"/>
      <c r="I1723" s="155"/>
      <c r="J1723" s="155"/>
      <c r="K1723" s="156"/>
      <c r="L1723" s="10"/>
    </row>
    <row r="1724" spans="1:12" s="146" customFormat="1" ht="36.75" customHeight="1" x14ac:dyDescent="0.25">
      <c r="A1724" s="1051"/>
      <c r="B1724" s="1041"/>
      <c r="C1724" s="1611" t="s">
        <v>1818</v>
      </c>
      <c r="D1724" s="1611"/>
      <c r="E1724" s="1041"/>
      <c r="F1724" s="1041"/>
      <c r="G1724" s="100"/>
      <c r="H1724" s="155"/>
      <c r="I1724" s="101">
        <v>20000</v>
      </c>
      <c r="J1724" s="101">
        <v>20000</v>
      </c>
      <c r="K1724" s="102">
        <v>20000</v>
      </c>
      <c r="L1724" s="10"/>
    </row>
    <row r="1725" spans="1:12" s="146" customFormat="1" ht="54" customHeight="1" x14ac:dyDescent="0.25">
      <c r="A1725" s="1051"/>
      <c r="B1725" s="1041"/>
      <c r="C1725" s="1611" t="s">
        <v>1819</v>
      </c>
      <c r="D1725" s="1611"/>
      <c r="E1725" s="1041"/>
      <c r="F1725" s="1041"/>
      <c r="G1725" s="100"/>
      <c r="H1725" s="155"/>
      <c r="I1725" s="101">
        <v>50000</v>
      </c>
      <c r="J1725" s="101">
        <v>50000</v>
      </c>
      <c r="K1725" s="102">
        <v>50000</v>
      </c>
      <c r="L1725" s="10"/>
    </row>
    <row r="1726" spans="1:12" s="146" customFormat="1" ht="18" x14ac:dyDescent="0.25">
      <c r="A1726" s="1051"/>
      <c r="B1726" s="1041"/>
      <c r="C1726" s="125" t="s">
        <v>1820</v>
      </c>
      <c r="D1726" s="573"/>
      <c r="E1726" s="1041"/>
      <c r="F1726" s="1041"/>
      <c r="G1726" s="100"/>
      <c r="H1726" s="155"/>
      <c r="I1726" s="101">
        <v>50000</v>
      </c>
      <c r="J1726" s="101">
        <v>50000</v>
      </c>
      <c r="K1726" s="102">
        <v>50000</v>
      </c>
      <c r="L1726" s="10"/>
    </row>
    <row r="1727" spans="1:12" s="146" customFormat="1" ht="18" x14ac:dyDescent="0.25">
      <c r="A1727" s="1051"/>
      <c r="B1727" s="1041"/>
      <c r="C1727" s="125"/>
      <c r="D1727" s="573"/>
      <c r="E1727" s="1041"/>
      <c r="F1727" s="1041"/>
      <c r="G1727" s="100"/>
      <c r="H1727" s="155"/>
      <c r="I1727" s="101"/>
      <c r="J1727" s="101"/>
      <c r="K1727" s="102"/>
      <c r="L1727" s="10"/>
    </row>
    <row r="1728" spans="1:12" s="146" customFormat="1" ht="18" x14ac:dyDescent="0.25">
      <c r="A1728" s="1051"/>
      <c r="B1728" s="1041"/>
      <c r="C1728" s="369" t="s">
        <v>1226</v>
      </c>
      <c r="D1728" s="153"/>
      <c r="E1728" s="1041"/>
      <c r="F1728" s="1041"/>
      <c r="G1728" s="100"/>
      <c r="H1728" s="155"/>
      <c r="I1728" s="155"/>
      <c r="J1728" s="155"/>
      <c r="K1728" s="156"/>
      <c r="L1728" s="10"/>
    </row>
    <row r="1729" spans="1:12" s="146" customFormat="1" ht="18" x14ac:dyDescent="0.25">
      <c r="A1729" s="1051"/>
      <c r="B1729" s="1041"/>
      <c r="C1729" s="1062" t="s">
        <v>1821</v>
      </c>
      <c r="D1729" s="153"/>
      <c r="E1729" s="1041"/>
      <c r="F1729" s="1041"/>
      <c r="G1729" s="100"/>
      <c r="H1729" s="101"/>
      <c r="I1729" s="101">
        <v>50000</v>
      </c>
      <c r="J1729" s="101">
        <v>50000</v>
      </c>
      <c r="K1729" s="102">
        <v>50000</v>
      </c>
      <c r="L1729" s="10"/>
    </row>
    <row r="1730" spans="1:12" s="146" customFormat="1" ht="18" x14ac:dyDescent="0.25">
      <c r="A1730" s="1051"/>
      <c r="B1730" s="1041"/>
      <c r="C1730" s="1062"/>
      <c r="D1730" s="153"/>
      <c r="E1730" s="1041"/>
      <c r="F1730" s="1041"/>
      <c r="G1730" s="100"/>
      <c r="H1730" s="101"/>
      <c r="I1730" s="101"/>
      <c r="J1730" s="101"/>
      <c r="K1730" s="102"/>
      <c r="L1730" s="10"/>
    </row>
    <row r="1731" spans="1:12" s="313" customFormat="1" ht="37.5" customHeight="1" x14ac:dyDescent="0.25">
      <c r="A1731" s="332"/>
      <c r="B1731" s="1077"/>
      <c r="C1731" s="1669" t="s">
        <v>677</v>
      </c>
      <c r="D1731" s="1669"/>
      <c r="E1731" s="1044"/>
      <c r="F1731" s="1044"/>
      <c r="G1731" s="333"/>
      <c r="H1731" s="331"/>
      <c r="I1731" s="331"/>
      <c r="J1731" s="331"/>
      <c r="K1731" s="330"/>
      <c r="L1731" s="193"/>
    </row>
    <row r="1732" spans="1:12" s="313" customFormat="1" ht="20.25" customHeight="1" x14ac:dyDescent="0.25">
      <c r="A1732" s="332"/>
      <c r="B1732" s="1077"/>
      <c r="C1732" s="1622" t="s">
        <v>678</v>
      </c>
      <c r="D1732" s="1622"/>
      <c r="E1732" s="1044"/>
      <c r="F1732" s="1044"/>
      <c r="G1732" s="333"/>
      <c r="H1732" s="331"/>
      <c r="I1732" s="331"/>
      <c r="J1732" s="331"/>
      <c r="K1732" s="330"/>
      <c r="L1732" s="193"/>
    </row>
    <row r="1733" spans="1:12" s="313" customFormat="1" ht="20.25" customHeight="1" x14ac:dyDescent="0.25">
      <c r="A1733" s="332"/>
      <c r="B1733" s="1077"/>
      <c r="C1733" s="1622" t="s">
        <v>679</v>
      </c>
      <c r="D1733" s="1622"/>
      <c r="E1733" s="1044"/>
      <c r="F1733" s="1044"/>
      <c r="G1733" s="333"/>
      <c r="H1733" s="331"/>
      <c r="I1733" s="331">
        <v>20000</v>
      </c>
      <c r="J1733" s="331">
        <v>20000</v>
      </c>
      <c r="K1733" s="330">
        <v>20000</v>
      </c>
      <c r="L1733" s="193"/>
    </row>
    <row r="1734" spans="1:12" s="313" customFormat="1" ht="20.25" customHeight="1" x14ac:dyDescent="0.25">
      <c r="A1734" s="332"/>
      <c r="B1734" s="1077"/>
      <c r="C1734" s="1622" t="s">
        <v>680</v>
      </c>
      <c r="D1734" s="1622"/>
      <c r="E1734" s="1044"/>
      <c r="F1734" s="1044"/>
      <c r="G1734" s="333"/>
      <c r="H1734" s="331"/>
      <c r="I1734" s="331"/>
      <c r="J1734" s="331"/>
      <c r="K1734" s="330"/>
      <c r="L1734" s="193"/>
    </row>
    <row r="1735" spans="1:12" s="313" customFormat="1" ht="20.25" customHeight="1" x14ac:dyDescent="0.25">
      <c r="A1735" s="332"/>
      <c r="B1735" s="1077"/>
      <c r="C1735" s="1622" t="s">
        <v>681</v>
      </c>
      <c r="D1735" s="1622"/>
      <c r="E1735" s="1044"/>
      <c r="F1735" s="1044"/>
      <c r="G1735" s="333"/>
      <c r="H1735" s="331"/>
      <c r="I1735" s="331">
        <v>30000</v>
      </c>
      <c r="J1735" s="331">
        <v>30000</v>
      </c>
      <c r="K1735" s="330">
        <v>30000</v>
      </c>
      <c r="L1735" s="193"/>
    </row>
    <row r="1736" spans="1:12" ht="18.75" thickBot="1" x14ac:dyDescent="0.3">
      <c r="A1736" s="1095"/>
      <c r="B1736" s="1096"/>
      <c r="C1736" s="1096"/>
      <c r="D1736" s="1096"/>
      <c r="E1736" s="1096"/>
      <c r="F1736" s="1096"/>
      <c r="G1736" s="1164"/>
      <c r="H1736" s="1218"/>
      <c r="I1736" s="1219"/>
      <c r="J1736" s="1219"/>
      <c r="K1736" s="1220"/>
    </row>
    <row r="1737" spans="1:12" ht="18" x14ac:dyDescent="0.25">
      <c r="A1737" s="1047"/>
      <c r="B1737" s="1047"/>
      <c r="C1737" s="1047"/>
      <c r="D1737" s="1047"/>
      <c r="E1737" s="1047"/>
      <c r="F1737" s="1047"/>
      <c r="G1737" s="125"/>
      <c r="H1737" s="1221"/>
      <c r="I1737" s="1222"/>
      <c r="J1737" s="1222"/>
      <c r="K1737" s="1223"/>
    </row>
    <row r="1738" spans="1:12" ht="18" x14ac:dyDescent="0.25">
      <c r="A1738" s="1047"/>
      <c r="B1738" s="1047"/>
      <c r="C1738" s="1047"/>
      <c r="D1738" s="1047"/>
      <c r="E1738" s="1047"/>
      <c r="F1738" s="1047"/>
      <c r="G1738" s="125"/>
      <c r="H1738" s="1221"/>
      <c r="I1738" s="1222"/>
      <c r="J1738" s="1222"/>
      <c r="K1738" s="1223"/>
    </row>
    <row r="1739" spans="1:12" ht="18" x14ac:dyDescent="0.25">
      <c r="A1739" s="1047"/>
      <c r="B1739" s="1047"/>
      <c r="C1739" s="1047"/>
      <c r="D1739" s="1047"/>
      <c r="E1739" s="1047"/>
      <c r="F1739" s="1047"/>
      <c r="G1739" s="125"/>
      <c r="H1739" s="1221"/>
      <c r="I1739" s="1222"/>
      <c r="J1739" s="1222"/>
      <c r="K1739" s="1223"/>
    </row>
    <row r="1740" spans="1:12" ht="18" x14ac:dyDescent="0.25">
      <c r="A1740" s="1047"/>
      <c r="B1740" s="1047"/>
      <c r="C1740" s="1047"/>
      <c r="D1740" s="1047"/>
      <c r="E1740" s="1047"/>
      <c r="F1740" s="1047"/>
      <c r="G1740" s="125"/>
      <c r="H1740" s="1221"/>
      <c r="I1740" s="1222"/>
      <c r="J1740" s="1222"/>
      <c r="K1740" s="1223"/>
    </row>
    <row r="1741" spans="1:12" ht="18" x14ac:dyDescent="0.25">
      <c r="A1741" s="1047"/>
      <c r="B1741" s="1047"/>
      <c r="C1741" s="1047"/>
      <c r="D1741" s="1047"/>
      <c r="E1741" s="1047"/>
      <c r="F1741" s="1047"/>
      <c r="G1741" s="125"/>
      <c r="H1741" s="1221"/>
      <c r="I1741" s="1222"/>
      <c r="J1741" s="1222"/>
      <c r="K1741" s="1223"/>
    </row>
    <row r="1742" spans="1:12" s="146" customFormat="1" ht="18" customHeight="1" x14ac:dyDescent="0.25">
      <c r="A1742" s="9" t="s">
        <v>112</v>
      </c>
      <c r="B1742" s="9"/>
      <c r="C1742" s="9"/>
      <c r="D1742" s="9"/>
      <c r="E1742" s="9"/>
      <c r="F1742" s="9"/>
      <c r="G1742" s="9"/>
      <c r="H1742" s="5"/>
      <c r="I1742" s="5"/>
      <c r="J1742" s="5"/>
      <c r="K1742" s="5"/>
      <c r="L1742" s="10"/>
    </row>
    <row r="1743" spans="1:12" ht="18" customHeight="1" x14ac:dyDescent="0.25">
      <c r="A1743" s="8" t="s">
        <v>817</v>
      </c>
    </row>
    <row r="1744" spans="1:12" ht="18" customHeight="1" x14ac:dyDescent="0.25">
      <c r="A1744" s="1636" t="s">
        <v>113</v>
      </c>
      <c r="B1744" s="1636"/>
      <c r="C1744" s="1636"/>
      <c r="D1744" s="1636"/>
      <c r="E1744" s="1636"/>
      <c r="F1744" s="1636"/>
      <c r="G1744" s="1636"/>
      <c r="H1744" s="1636"/>
      <c r="I1744" s="1636"/>
      <c r="J1744" s="1636"/>
      <c r="K1744" s="1060"/>
    </row>
    <row r="1745" spans="1:12" s="7" customFormat="1" ht="18" customHeight="1" x14ac:dyDescent="0.25">
      <c r="A1745" s="1624" t="s">
        <v>114</v>
      </c>
      <c r="B1745" s="1624"/>
      <c r="C1745" s="1624"/>
      <c r="D1745" s="1624"/>
      <c r="E1745" s="1624"/>
      <c r="F1745" s="1624"/>
      <c r="G1745" s="1624"/>
      <c r="H1745" s="1624"/>
      <c r="I1745" s="1624"/>
      <c r="J1745" s="1624"/>
      <c r="K1745" s="159"/>
      <c r="L1745" s="6"/>
    </row>
    <row r="1746" spans="1:12" s="7" customFormat="1" ht="18" customHeight="1" x14ac:dyDescent="0.25">
      <c r="A1746" s="1066"/>
      <c r="B1746" s="1066"/>
      <c r="C1746" s="1066"/>
      <c r="D1746" s="1066"/>
      <c r="E1746" s="1066"/>
      <c r="F1746" s="1066"/>
      <c r="G1746" s="1066"/>
      <c r="H1746" s="1066"/>
      <c r="I1746" s="1066"/>
      <c r="J1746" s="1066"/>
      <c r="K1746" s="159"/>
      <c r="L1746" s="6"/>
    </row>
    <row r="1747" spans="1:12" ht="16.5" thickBot="1" x14ac:dyDescent="0.3"/>
    <row r="1748" spans="1:12" s="48" customFormat="1" ht="21.75" customHeight="1" thickBot="1" x14ac:dyDescent="0.3">
      <c r="A1748" s="1655" t="s">
        <v>115</v>
      </c>
      <c r="B1748" s="1655"/>
      <c r="C1748" s="1655"/>
      <c r="D1748" s="1655"/>
      <c r="E1748" s="1655"/>
      <c r="F1748" s="1655"/>
      <c r="G1748" s="1151"/>
      <c r="H1748" s="1708" t="s">
        <v>1537</v>
      </c>
      <c r="I1748" s="1710" t="s">
        <v>1538</v>
      </c>
      <c r="J1748" s="1710" t="s">
        <v>1539</v>
      </c>
      <c r="K1748" s="1710" t="s">
        <v>1540</v>
      </c>
      <c r="L1748" s="47"/>
    </row>
    <row r="1749" spans="1:12" s="1153" customFormat="1" ht="31.5" customHeight="1" thickBot="1" x14ac:dyDescent="0.3">
      <c r="A1749" s="1655"/>
      <c r="B1749" s="1655"/>
      <c r="C1749" s="1655"/>
      <c r="D1749" s="1655"/>
      <c r="E1749" s="1655"/>
      <c r="F1749" s="1655"/>
      <c r="G1749" s="1067" t="s">
        <v>116</v>
      </c>
      <c r="H1749" s="1709"/>
      <c r="I1749" s="1710"/>
      <c r="J1749" s="1710"/>
      <c r="K1749" s="1710"/>
      <c r="L1749" s="1152"/>
    </row>
    <row r="1750" spans="1:12" s="313" customFormat="1" ht="36" customHeight="1" x14ac:dyDescent="0.25">
      <c r="A1750" s="332"/>
      <c r="B1750" s="1077"/>
      <c r="C1750" s="1622" t="s">
        <v>682</v>
      </c>
      <c r="D1750" s="1622"/>
      <c r="E1750" s="1044"/>
      <c r="F1750" s="1044"/>
      <c r="G1750" s="333"/>
      <c r="H1750" s="331"/>
      <c r="I1750" s="331"/>
      <c r="J1750" s="331"/>
      <c r="K1750" s="330"/>
      <c r="L1750" s="193"/>
    </row>
    <row r="1751" spans="1:12" ht="18" x14ac:dyDescent="0.25">
      <c r="A1751" s="1071"/>
      <c r="B1751" s="1047"/>
      <c r="C1751" s="1611" t="s">
        <v>684</v>
      </c>
      <c r="D1751" s="1611"/>
      <c r="E1751" s="1611"/>
      <c r="F1751" s="1611"/>
      <c r="G1751" s="97"/>
      <c r="H1751" s="331"/>
      <c r="I1751" s="331"/>
      <c r="J1751" s="331"/>
      <c r="K1751" s="330"/>
    </row>
    <row r="1752" spans="1:12" s="179" customFormat="1" ht="20.25" customHeight="1" x14ac:dyDescent="0.25">
      <c r="A1752" s="332"/>
      <c r="B1752" s="1077"/>
      <c r="C1752" s="1622" t="s">
        <v>1822</v>
      </c>
      <c r="D1752" s="1622"/>
      <c r="E1752" s="1044"/>
      <c r="F1752" s="1044"/>
      <c r="G1752" s="333"/>
      <c r="H1752" s="331"/>
      <c r="I1752" s="331"/>
      <c r="J1752" s="331"/>
      <c r="K1752" s="330"/>
      <c r="L1752" s="193"/>
    </row>
    <row r="1753" spans="1:12" ht="18" x14ac:dyDescent="0.25">
      <c r="A1753" s="1071"/>
      <c r="B1753" s="1047"/>
      <c r="C1753" s="1611" t="s">
        <v>686</v>
      </c>
      <c r="D1753" s="1611"/>
      <c r="E1753" s="1611"/>
      <c r="F1753" s="1611"/>
      <c r="G1753" s="97"/>
      <c r="H1753" s="334"/>
      <c r="I1753" s="334"/>
      <c r="J1753" s="334"/>
      <c r="K1753" s="1224"/>
    </row>
    <row r="1754" spans="1:12" ht="18" x14ac:dyDescent="0.25">
      <c r="A1754" s="1071"/>
      <c r="B1754" s="1047"/>
      <c r="C1754" s="1062" t="s">
        <v>1823</v>
      </c>
      <c r="D1754" s="1041"/>
      <c r="E1754" s="1041"/>
      <c r="F1754" s="1041"/>
      <c r="G1754" s="97"/>
      <c r="H1754" s="101"/>
      <c r="I1754" s="331"/>
      <c r="J1754" s="331"/>
      <c r="K1754" s="330"/>
    </row>
    <row r="1755" spans="1:12" ht="18" x14ac:dyDescent="0.25">
      <c r="A1755" s="1071"/>
      <c r="B1755" s="1047"/>
      <c r="C1755" s="1062" t="s">
        <v>688</v>
      </c>
      <c r="D1755" s="1041"/>
      <c r="E1755" s="1041"/>
      <c r="F1755" s="1041"/>
      <c r="G1755" s="97"/>
      <c r="H1755" s="331"/>
      <c r="I1755" s="331">
        <v>5000000</v>
      </c>
      <c r="J1755" s="331">
        <v>5000000</v>
      </c>
      <c r="K1755" s="330">
        <v>5000000</v>
      </c>
    </row>
    <row r="1756" spans="1:12" ht="18" x14ac:dyDescent="0.25">
      <c r="A1756" s="1071"/>
      <c r="B1756" s="1047"/>
      <c r="C1756" s="1062" t="s">
        <v>1824</v>
      </c>
      <c r="D1756" s="1041"/>
      <c r="E1756" s="1041"/>
      <c r="F1756" s="1041"/>
      <c r="G1756" s="97"/>
      <c r="H1756" s="331"/>
      <c r="I1756" s="331">
        <v>350000</v>
      </c>
      <c r="J1756" s="331">
        <v>350000</v>
      </c>
      <c r="K1756" s="330">
        <v>350000</v>
      </c>
    </row>
    <row r="1757" spans="1:12" ht="36" customHeight="1" x14ac:dyDescent="0.25">
      <c r="A1757" s="1071"/>
      <c r="B1757" s="1047"/>
      <c r="C1757" s="1574" t="s">
        <v>1825</v>
      </c>
      <c r="D1757" s="1574"/>
      <c r="E1757" s="1041"/>
      <c r="F1757" s="1041"/>
      <c r="G1757" s="97"/>
      <c r="H1757" s="331"/>
      <c r="I1757" s="331">
        <v>250000</v>
      </c>
      <c r="J1757" s="331">
        <v>250000</v>
      </c>
      <c r="K1757" s="330">
        <v>250000</v>
      </c>
    </row>
    <row r="1758" spans="1:12" ht="36" customHeight="1" x14ac:dyDescent="0.25">
      <c r="A1758" s="1071"/>
      <c r="B1758" s="1047"/>
      <c r="C1758" s="1574" t="s">
        <v>1826</v>
      </c>
      <c r="D1758" s="1574"/>
      <c r="E1758" s="1041"/>
      <c r="F1758" s="1041"/>
      <c r="G1758" s="97"/>
      <c r="H1758" s="331"/>
      <c r="I1758" s="331">
        <v>30000</v>
      </c>
      <c r="J1758" s="331">
        <v>30000</v>
      </c>
      <c r="K1758" s="330">
        <v>30000</v>
      </c>
    </row>
    <row r="1759" spans="1:12" ht="18" x14ac:dyDescent="0.25">
      <c r="A1759" s="1071"/>
      <c r="B1759" s="1047"/>
      <c r="C1759" s="1620" t="s">
        <v>161</v>
      </c>
      <c r="D1759" s="1620"/>
      <c r="E1759" s="1620"/>
      <c r="F1759" s="1620"/>
      <c r="G1759" s="97"/>
      <c r="H1759" s="562">
        <f>SUM(H1694:H1758)</f>
        <v>0</v>
      </c>
      <c r="I1759" s="562">
        <f>SUM(I1694:I1758)</f>
        <v>17962000</v>
      </c>
      <c r="J1759" s="562">
        <f>SUM(J1694:J1758)</f>
        <v>17962000</v>
      </c>
      <c r="K1759" s="562">
        <f>SUM(K1694:K1758)</f>
        <v>16962000</v>
      </c>
    </row>
    <row r="1760" spans="1:12" ht="18" x14ac:dyDescent="0.25">
      <c r="A1760" s="1071"/>
      <c r="B1760" s="1047"/>
      <c r="C1760" s="1047"/>
      <c r="D1760" s="1047"/>
      <c r="E1760" s="1047"/>
      <c r="F1760" s="1047"/>
      <c r="G1760" s="97"/>
      <c r="H1760" s="565"/>
      <c r="I1760" s="565"/>
      <c r="J1760" s="565"/>
      <c r="K1760" s="1225"/>
    </row>
    <row r="1761" spans="1:12" ht="18" x14ac:dyDescent="0.25">
      <c r="A1761" s="1051"/>
      <c r="B1761" s="1041"/>
      <c r="C1761" s="1620" t="s">
        <v>693</v>
      </c>
      <c r="D1761" s="1620"/>
      <c r="E1761" s="1620"/>
      <c r="F1761" s="1620"/>
      <c r="G1761" s="131"/>
      <c r="H1761" s="155"/>
      <c r="I1761" s="155"/>
      <c r="J1761" s="155"/>
      <c r="K1761" s="156"/>
    </row>
    <row r="1762" spans="1:12" s="212" customFormat="1" ht="36" customHeight="1" x14ac:dyDescent="0.25">
      <c r="A1762" s="154"/>
      <c r="B1762" s="1042"/>
      <c r="C1762" s="1611" t="s">
        <v>1827</v>
      </c>
      <c r="D1762" s="1611"/>
      <c r="E1762" s="124"/>
      <c r="F1762" s="124"/>
      <c r="G1762" s="131"/>
      <c r="H1762" s="155"/>
      <c r="I1762" s="101">
        <v>170000</v>
      </c>
      <c r="J1762" s="101">
        <v>170000</v>
      </c>
      <c r="K1762" s="102">
        <v>170000</v>
      </c>
      <c r="L1762" s="207"/>
    </row>
    <row r="1763" spans="1:12" s="212" customFormat="1" ht="18" x14ac:dyDescent="0.25">
      <c r="A1763" s="154"/>
      <c r="B1763" s="1042"/>
      <c r="C1763" s="1042" t="s">
        <v>1828</v>
      </c>
      <c r="D1763" s="124"/>
      <c r="E1763" s="124"/>
      <c r="F1763" s="124"/>
      <c r="G1763" s="131"/>
      <c r="H1763" s="155"/>
      <c r="I1763" s="101">
        <v>200000</v>
      </c>
      <c r="J1763" s="101">
        <v>200000</v>
      </c>
      <c r="K1763" s="102">
        <v>200000</v>
      </c>
      <c r="L1763" s="207"/>
    </row>
    <row r="1764" spans="1:12" s="212" customFormat="1" ht="18" x14ac:dyDescent="0.25">
      <c r="A1764" s="154"/>
      <c r="B1764" s="1042"/>
      <c r="C1764" s="1042" t="s">
        <v>1829</v>
      </c>
      <c r="D1764" s="124"/>
      <c r="E1764" s="124"/>
      <c r="F1764" s="124"/>
      <c r="G1764" s="131"/>
      <c r="H1764" s="155"/>
      <c r="I1764" s="101">
        <v>450000</v>
      </c>
      <c r="J1764" s="101">
        <v>450000</v>
      </c>
      <c r="K1764" s="102">
        <v>450000</v>
      </c>
      <c r="L1764" s="207"/>
    </row>
    <row r="1765" spans="1:12" s="212" customFormat="1" ht="18" x14ac:dyDescent="0.25">
      <c r="A1765" s="154"/>
      <c r="B1765" s="1042"/>
      <c r="C1765" s="1042" t="s">
        <v>1830</v>
      </c>
      <c r="D1765" s="124"/>
      <c r="E1765" s="124"/>
      <c r="F1765" s="124"/>
      <c r="G1765" s="131"/>
      <c r="H1765" s="155"/>
      <c r="I1765" s="101">
        <v>150000</v>
      </c>
      <c r="J1765" s="101">
        <v>150000</v>
      </c>
      <c r="K1765" s="102">
        <v>150000</v>
      </c>
      <c r="L1765" s="207"/>
    </row>
    <row r="1766" spans="1:12" s="212" customFormat="1" ht="54.75" customHeight="1" x14ac:dyDescent="0.25">
      <c r="A1766" s="154"/>
      <c r="B1766" s="1042"/>
      <c r="C1766" s="1611" t="s">
        <v>1831</v>
      </c>
      <c r="D1766" s="1611"/>
      <c r="E1766" s="124"/>
      <c r="F1766" s="124"/>
      <c r="G1766" s="131"/>
      <c r="H1766" s="155"/>
      <c r="I1766" s="101">
        <v>150000</v>
      </c>
      <c r="J1766" s="101">
        <v>150000</v>
      </c>
      <c r="K1766" s="102">
        <v>150000</v>
      </c>
      <c r="L1766" s="207"/>
    </row>
    <row r="1767" spans="1:12" s="212" customFormat="1" ht="54.75" customHeight="1" x14ac:dyDescent="0.25">
      <c r="A1767" s="154"/>
      <c r="B1767" s="1042"/>
      <c r="C1767" s="1611" t="s">
        <v>1832</v>
      </c>
      <c r="D1767" s="1611"/>
      <c r="E1767" s="124"/>
      <c r="F1767" s="124"/>
      <c r="G1767" s="131"/>
      <c r="H1767" s="155"/>
      <c r="I1767" s="101">
        <v>280000</v>
      </c>
      <c r="J1767" s="101">
        <v>280000</v>
      </c>
      <c r="K1767" s="102">
        <v>280000</v>
      </c>
      <c r="L1767" s="207"/>
    </row>
    <row r="1768" spans="1:12" s="212" customFormat="1" ht="18" x14ac:dyDescent="0.25">
      <c r="A1768" s="154"/>
      <c r="B1768" s="1042"/>
      <c r="C1768" s="1042" t="s">
        <v>1833</v>
      </c>
      <c r="D1768" s="124"/>
      <c r="E1768" s="124"/>
      <c r="F1768" s="124"/>
      <c r="G1768" s="131"/>
      <c r="H1768" s="155"/>
      <c r="I1768" s="101">
        <v>150000</v>
      </c>
      <c r="J1768" s="101">
        <v>150000</v>
      </c>
      <c r="K1768" s="102">
        <v>150000</v>
      </c>
      <c r="L1768" s="207"/>
    </row>
    <row r="1769" spans="1:12" s="212" customFormat="1" ht="18" x14ac:dyDescent="0.25">
      <c r="A1769" s="154"/>
      <c r="B1769" s="1042"/>
      <c r="C1769" s="1042" t="s">
        <v>1834</v>
      </c>
      <c r="D1769" s="124"/>
      <c r="E1769" s="124"/>
      <c r="F1769" s="124"/>
      <c r="G1769" s="131"/>
      <c r="H1769" s="155"/>
      <c r="I1769" s="101">
        <v>150000</v>
      </c>
      <c r="J1769" s="101">
        <v>150000</v>
      </c>
      <c r="K1769" s="102">
        <v>150000</v>
      </c>
      <c r="L1769" s="207"/>
    </row>
    <row r="1770" spans="1:12" s="212" customFormat="1" ht="39" customHeight="1" x14ac:dyDescent="0.25">
      <c r="A1770" s="154"/>
      <c r="B1770" s="1042"/>
      <c r="C1770" s="1611" t="s">
        <v>1835</v>
      </c>
      <c r="D1770" s="1611"/>
      <c r="E1770" s="124"/>
      <c r="F1770" s="124"/>
      <c r="G1770" s="131"/>
      <c r="H1770" s="155"/>
      <c r="I1770" s="101">
        <v>300000</v>
      </c>
      <c r="J1770" s="101">
        <v>300000</v>
      </c>
      <c r="K1770" s="102">
        <v>300000</v>
      </c>
      <c r="L1770" s="207"/>
    </row>
    <row r="1771" spans="1:12" s="212" customFormat="1" ht="18" x14ac:dyDescent="0.25">
      <c r="A1771" s="154"/>
      <c r="B1771" s="1042"/>
      <c r="C1771" s="1042" t="s">
        <v>1836</v>
      </c>
      <c r="D1771" s="124"/>
      <c r="E1771" s="124"/>
      <c r="F1771" s="124"/>
      <c r="G1771" s="131"/>
      <c r="H1771" s="155"/>
      <c r="I1771" s="101">
        <v>200000</v>
      </c>
      <c r="J1771" s="101">
        <v>200000</v>
      </c>
      <c r="K1771" s="102">
        <v>200000</v>
      </c>
      <c r="L1771" s="207"/>
    </row>
    <row r="1772" spans="1:12" s="212" customFormat="1" ht="18" x14ac:dyDescent="0.25">
      <c r="A1772" s="154"/>
      <c r="B1772" s="1042"/>
      <c r="C1772" s="1042" t="s">
        <v>706</v>
      </c>
      <c r="D1772" s="124"/>
      <c r="E1772" s="124"/>
      <c r="F1772" s="124"/>
      <c r="G1772" s="131"/>
      <c r="H1772" s="155"/>
      <c r="I1772" s="101">
        <v>250000</v>
      </c>
      <c r="J1772" s="101">
        <v>250000</v>
      </c>
      <c r="K1772" s="102">
        <v>250000</v>
      </c>
      <c r="L1772" s="207"/>
    </row>
    <row r="1773" spans="1:12" s="212" customFormat="1" ht="18" x14ac:dyDescent="0.25">
      <c r="A1773" s="154"/>
      <c r="B1773" s="1042"/>
      <c r="C1773" s="1042" t="s">
        <v>1837</v>
      </c>
      <c r="D1773" s="124"/>
      <c r="E1773" s="124"/>
      <c r="F1773" s="124"/>
      <c r="G1773" s="131"/>
      <c r="H1773" s="155"/>
      <c r="I1773" s="101">
        <v>250000</v>
      </c>
      <c r="J1773" s="101">
        <v>250000</v>
      </c>
      <c r="K1773" s="102">
        <v>250000</v>
      </c>
      <c r="L1773" s="207"/>
    </row>
    <row r="1774" spans="1:12" s="344" customFormat="1" ht="35.25" customHeight="1" x14ac:dyDescent="0.25">
      <c r="A1774" s="1081"/>
      <c r="B1774" s="1044"/>
      <c r="C1774" s="1622" t="s">
        <v>694</v>
      </c>
      <c r="D1774" s="1622"/>
      <c r="E1774" s="1044"/>
      <c r="F1774" s="1044"/>
      <c r="G1774" s="176"/>
      <c r="H1774" s="101"/>
      <c r="I1774" s="101"/>
      <c r="J1774" s="101"/>
      <c r="K1774" s="102"/>
      <c r="L1774" s="193"/>
    </row>
    <row r="1775" spans="1:12" s="344" customFormat="1" ht="18" x14ac:dyDescent="0.25">
      <c r="A1775" s="1081"/>
      <c r="B1775" s="1044"/>
      <c r="C1775" s="1622" t="s">
        <v>695</v>
      </c>
      <c r="D1775" s="1622"/>
      <c r="E1775" s="1044"/>
      <c r="F1775" s="1044"/>
      <c r="G1775" s="176"/>
      <c r="H1775" s="101"/>
      <c r="I1775" s="101"/>
      <c r="J1775" s="101"/>
      <c r="K1775" s="102"/>
      <c r="L1775" s="193"/>
    </row>
    <row r="1776" spans="1:12" s="344" customFormat="1" ht="18" x14ac:dyDescent="0.25">
      <c r="A1776" s="1081"/>
      <c r="B1776" s="1044"/>
      <c r="C1776" s="1622" t="s">
        <v>696</v>
      </c>
      <c r="D1776" s="1622"/>
      <c r="E1776" s="1044"/>
      <c r="F1776" s="1044"/>
      <c r="G1776" s="176"/>
      <c r="H1776" s="101"/>
      <c r="I1776" s="101"/>
      <c r="J1776" s="101"/>
      <c r="K1776" s="102"/>
      <c r="L1776" s="193"/>
    </row>
    <row r="1777" spans="1:12" s="344" customFormat="1" ht="18" x14ac:dyDescent="0.25">
      <c r="A1777" s="1081"/>
      <c r="B1777" s="1044"/>
      <c r="C1777" s="1622" t="s">
        <v>697</v>
      </c>
      <c r="D1777" s="1622"/>
      <c r="E1777" s="1044"/>
      <c r="F1777" s="1044"/>
      <c r="G1777" s="176"/>
      <c r="H1777" s="101"/>
      <c r="I1777" s="101"/>
      <c r="J1777" s="101"/>
      <c r="K1777" s="102"/>
      <c r="L1777" s="193"/>
    </row>
    <row r="1778" spans="1:12" s="344" customFormat="1" ht="35.25" customHeight="1" x14ac:dyDescent="0.25">
      <c r="A1778" s="1081"/>
      <c r="B1778" s="1044"/>
      <c r="C1778" s="1622" t="s">
        <v>698</v>
      </c>
      <c r="D1778" s="1622"/>
      <c r="E1778" s="1044"/>
      <c r="F1778" s="1044"/>
      <c r="G1778" s="176"/>
      <c r="H1778" s="101"/>
      <c r="I1778" s="101"/>
      <c r="J1778" s="101"/>
      <c r="K1778" s="102"/>
      <c r="L1778" s="193"/>
    </row>
    <row r="1779" spans="1:12" s="344" customFormat="1" ht="36" customHeight="1" x14ac:dyDescent="0.25">
      <c r="A1779" s="1081"/>
      <c r="B1779" s="1044"/>
      <c r="C1779" s="1622" t="s">
        <v>699</v>
      </c>
      <c r="D1779" s="1622"/>
      <c r="E1779" s="1044"/>
      <c r="F1779" s="1044"/>
      <c r="G1779" s="176"/>
      <c r="H1779" s="101"/>
      <c r="I1779" s="101"/>
      <c r="J1779" s="101"/>
      <c r="K1779" s="102"/>
      <c r="L1779" s="193"/>
    </row>
    <row r="1780" spans="1:12" s="344" customFormat="1" ht="37.5" customHeight="1" x14ac:dyDescent="0.25">
      <c r="A1780" s="1081"/>
      <c r="B1780" s="1044"/>
      <c r="C1780" s="1622" t="s">
        <v>700</v>
      </c>
      <c r="D1780" s="1622"/>
      <c r="E1780" s="1044"/>
      <c r="F1780" s="1044"/>
      <c r="G1780" s="176"/>
      <c r="H1780" s="101"/>
      <c r="I1780" s="101"/>
      <c r="J1780" s="101"/>
      <c r="K1780" s="102"/>
      <c r="L1780" s="193"/>
    </row>
    <row r="1781" spans="1:12" s="208" customFormat="1" ht="18" x14ac:dyDescent="0.25">
      <c r="A1781" s="154"/>
      <c r="B1781" s="1042"/>
      <c r="C1781" s="1062" t="s">
        <v>702</v>
      </c>
      <c r="D1781" s="1041"/>
      <c r="E1781" s="1042"/>
      <c r="F1781" s="1042"/>
      <c r="G1781" s="131"/>
      <c r="H1781" s="101"/>
      <c r="I1781" s="101"/>
      <c r="J1781" s="101"/>
      <c r="K1781" s="102"/>
      <c r="L1781" s="207"/>
    </row>
    <row r="1782" spans="1:12" s="208" customFormat="1" ht="36.75" customHeight="1" x14ac:dyDescent="0.25">
      <c r="A1782" s="154"/>
      <c r="B1782" s="1042"/>
      <c r="C1782" s="1611" t="s">
        <v>703</v>
      </c>
      <c r="D1782" s="1611"/>
      <c r="E1782" s="1042"/>
      <c r="F1782" s="1042"/>
      <c r="G1782" s="131"/>
      <c r="H1782" s="101"/>
      <c r="I1782" s="101"/>
      <c r="J1782" s="101"/>
      <c r="K1782" s="102"/>
      <c r="L1782" s="207"/>
    </row>
    <row r="1783" spans="1:12" s="208" customFormat="1" ht="38.25" customHeight="1" x14ac:dyDescent="0.25">
      <c r="A1783" s="154"/>
      <c r="B1783" s="1042"/>
      <c r="C1783" s="1611" t="s">
        <v>704</v>
      </c>
      <c r="D1783" s="1611"/>
      <c r="E1783" s="1042"/>
      <c r="F1783" s="1042"/>
      <c r="G1783" s="131"/>
      <c r="H1783" s="101"/>
      <c r="I1783" s="101"/>
      <c r="J1783" s="101"/>
      <c r="K1783" s="102"/>
      <c r="L1783" s="207"/>
    </row>
    <row r="1784" spans="1:12" s="208" customFormat="1" ht="35.25" customHeight="1" x14ac:dyDescent="0.25">
      <c r="A1784" s="154"/>
      <c r="B1784" s="1042"/>
      <c r="C1784" s="1611" t="s">
        <v>707</v>
      </c>
      <c r="D1784" s="1611"/>
      <c r="E1784" s="1042"/>
      <c r="F1784" s="1042"/>
      <c r="G1784" s="131"/>
      <c r="H1784" s="101"/>
      <c r="I1784" s="101"/>
      <c r="J1784" s="101"/>
      <c r="K1784" s="102"/>
      <c r="L1784" s="207"/>
    </row>
    <row r="1785" spans="1:12" s="208" customFormat="1" ht="36" customHeight="1" x14ac:dyDescent="0.25">
      <c r="A1785" s="154"/>
      <c r="B1785" s="1042"/>
      <c r="C1785" s="1611" t="s">
        <v>713</v>
      </c>
      <c r="D1785" s="1611"/>
      <c r="E1785" s="1042"/>
      <c r="F1785" s="1042"/>
      <c r="G1785" s="131"/>
      <c r="H1785" s="105"/>
      <c r="I1785" s="105"/>
      <c r="J1785" s="105"/>
      <c r="K1785" s="106"/>
      <c r="L1785" s="207"/>
    </row>
    <row r="1786" spans="1:12" s="146" customFormat="1" ht="18" x14ac:dyDescent="0.25">
      <c r="A1786" s="1051"/>
      <c r="B1786" s="1041"/>
      <c r="C1786" s="1620" t="s">
        <v>161</v>
      </c>
      <c r="D1786" s="1620"/>
      <c r="E1786" s="1620"/>
      <c r="F1786" s="1621"/>
      <c r="G1786" s="131"/>
      <c r="H1786" s="155">
        <f>SUM(H1761:H1785)</f>
        <v>0</v>
      </c>
      <c r="I1786" s="155">
        <f>SUM(I1761:I1785)</f>
        <v>2700000</v>
      </c>
      <c r="J1786" s="155">
        <f>SUM(J1761:J1785)</f>
        <v>2700000</v>
      </c>
      <c r="K1786" s="155">
        <f>SUM(K1761:K1785)</f>
        <v>2700000</v>
      </c>
      <c r="L1786" s="10"/>
    </row>
    <row r="1787" spans="1:12" s="146" customFormat="1" ht="18" x14ac:dyDescent="0.25">
      <c r="A1787" s="1051"/>
      <c r="B1787" s="1041"/>
      <c r="C1787" s="1047"/>
      <c r="D1787" s="1047"/>
      <c r="E1787" s="1047"/>
      <c r="F1787" s="1048"/>
      <c r="G1787" s="131"/>
      <c r="H1787" s="155"/>
      <c r="I1787" s="155"/>
      <c r="J1787" s="155"/>
      <c r="K1787" s="156"/>
      <c r="L1787" s="10"/>
    </row>
    <row r="1788" spans="1:12" s="146" customFormat="1" ht="16.5" customHeight="1" x14ac:dyDescent="0.25">
      <c r="A1788" s="1051"/>
      <c r="B1788" s="1041"/>
      <c r="C1788" s="1620" t="s">
        <v>719</v>
      </c>
      <c r="D1788" s="1620"/>
      <c r="E1788" s="1620"/>
      <c r="F1788" s="1621"/>
      <c r="G1788" s="131"/>
      <c r="H1788" s="101"/>
      <c r="I1788" s="101"/>
      <c r="J1788" s="101"/>
      <c r="K1788" s="102"/>
      <c r="L1788" s="10"/>
    </row>
    <row r="1789" spans="1:12" s="229" customFormat="1" ht="33.75" customHeight="1" x14ac:dyDescent="0.25">
      <c r="A1789" s="154"/>
      <c r="B1789" s="1042"/>
      <c r="C1789" s="1611" t="s">
        <v>1838</v>
      </c>
      <c r="D1789" s="1611"/>
      <c r="E1789" s="124"/>
      <c r="F1789" s="230"/>
      <c r="G1789" s="131"/>
      <c r="H1789" s="101"/>
      <c r="I1789" s="101">
        <v>4120000</v>
      </c>
      <c r="J1789" s="101">
        <v>4120000</v>
      </c>
      <c r="K1789" s="102">
        <v>4120000</v>
      </c>
      <c r="L1789" s="207"/>
    </row>
    <row r="1790" spans="1:12" s="229" customFormat="1" ht="16.5" customHeight="1" x14ac:dyDescent="0.25">
      <c r="A1790" s="154"/>
      <c r="B1790" s="1042"/>
      <c r="C1790" s="1042" t="s">
        <v>1839</v>
      </c>
      <c r="D1790" s="124"/>
      <c r="E1790" s="124"/>
      <c r="F1790" s="230"/>
      <c r="G1790" s="131"/>
      <c r="H1790" s="101"/>
      <c r="I1790" s="101">
        <v>500000</v>
      </c>
      <c r="J1790" s="101">
        <v>500000</v>
      </c>
      <c r="K1790" s="102">
        <v>500000</v>
      </c>
      <c r="L1790" s="207"/>
    </row>
    <row r="1791" spans="1:12" s="229" customFormat="1" ht="36.75" customHeight="1" thickBot="1" x14ac:dyDescent="0.3">
      <c r="A1791" s="214"/>
      <c r="B1791" s="960"/>
      <c r="C1791" s="1727" t="s">
        <v>1840</v>
      </c>
      <c r="D1791" s="1727"/>
      <c r="E1791" s="1227"/>
      <c r="F1791" s="1228"/>
      <c r="G1791" s="218"/>
      <c r="H1791" s="219"/>
      <c r="I1791" s="219">
        <v>2000000</v>
      </c>
      <c r="J1791" s="219">
        <v>2000000</v>
      </c>
      <c r="K1791" s="220">
        <v>2000000</v>
      </c>
      <c r="L1791" s="207"/>
    </row>
    <row r="1792" spans="1:12" s="146" customFormat="1" ht="18" customHeight="1" x14ac:dyDescent="0.25">
      <c r="C1792" s="9"/>
      <c r="D1792" s="9"/>
      <c r="E1792" s="9"/>
      <c r="F1792" s="9"/>
      <c r="G1792" s="9"/>
      <c r="H1792" s="5"/>
      <c r="I1792" s="5"/>
      <c r="J1792" s="5"/>
      <c r="K1792" s="5"/>
      <c r="L1792" s="10"/>
    </row>
    <row r="1793" spans="1:12" s="146" customFormat="1" ht="18" customHeight="1" x14ac:dyDescent="0.25">
      <c r="C1793" s="9"/>
      <c r="D1793" s="9"/>
      <c r="E1793" s="9"/>
      <c r="F1793" s="9"/>
      <c r="G1793" s="9"/>
      <c r="H1793" s="5"/>
      <c r="I1793" s="5"/>
      <c r="J1793" s="5"/>
      <c r="K1793" s="5"/>
      <c r="L1793" s="10"/>
    </row>
    <row r="1794" spans="1:12" s="146" customFormat="1" ht="18" customHeight="1" x14ac:dyDescent="0.25">
      <c r="C1794" s="9"/>
      <c r="D1794" s="9"/>
      <c r="E1794" s="9"/>
      <c r="F1794" s="9"/>
      <c r="G1794" s="9"/>
      <c r="H1794" s="5"/>
      <c r="I1794" s="5"/>
      <c r="J1794" s="5"/>
      <c r="K1794" s="5"/>
      <c r="L1794" s="10"/>
    </row>
    <row r="1795" spans="1:12" s="146" customFormat="1" ht="18" customHeight="1" x14ac:dyDescent="0.25">
      <c r="C1795" s="9"/>
      <c r="D1795" s="9"/>
      <c r="E1795" s="9"/>
      <c r="F1795" s="9"/>
      <c r="G1795" s="9"/>
      <c r="H1795" s="5"/>
      <c r="I1795" s="5"/>
      <c r="J1795" s="5"/>
      <c r="K1795" s="5"/>
      <c r="L1795" s="10"/>
    </row>
    <row r="1796" spans="1:12" s="146" customFormat="1" ht="18" customHeight="1" x14ac:dyDescent="0.25">
      <c r="C1796" s="9"/>
      <c r="D1796" s="9"/>
      <c r="E1796" s="9"/>
      <c r="F1796" s="9"/>
      <c r="G1796" s="9"/>
      <c r="H1796" s="5"/>
      <c r="I1796" s="5"/>
      <c r="J1796" s="5"/>
      <c r="K1796" s="5"/>
      <c r="L1796" s="10"/>
    </row>
    <row r="1797" spans="1:12" s="146" customFormat="1" ht="18" customHeight="1" x14ac:dyDescent="0.25">
      <c r="A1797" s="9" t="s">
        <v>112</v>
      </c>
      <c r="B1797" s="9"/>
      <c r="C1797" s="9"/>
      <c r="D1797" s="9"/>
      <c r="E1797" s="9"/>
      <c r="F1797" s="9"/>
      <c r="G1797" s="9"/>
      <c r="H1797" s="5"/>
      <c r="I1797" s="5"/>
      <c r="J1797" s="5"/>
      <c r="K1797" s="5"/>
      <c r="L1797" s="10"/>
    </row>
    <row r="1798" spans="1:12" ht="18" customHeight="1" x14ac:dyDescent="0.25">
      <c r="A1798" s="8" t="s">
        <v>845</v>
      </c>
    </row>
    <row r="1799" spans="1:12" ht="18" customHeight="1" x14ac:dyDescent="0.25">
      <c r="A1799" s="1636" t="s">
        <v>113</v>
      </c>
      <c r="B1799" s="1636"/>
      <c r="C1799" s="1636"/>
      <c r="D1799" s="1636"/>
      <c r="E1799" s="1636"/>
      <c r="F1799" s="1636"/>
      <c r="G1799" s="1636"/>
      <c r="H1799" s="1636"/>
      <c r="I1799" s="1636"/>
      <c r="J1799" s="1636"/>
      <c r="K1799" s="1060"/>
    </row>
    <row r="1800" spans="1:12" s="7" customFormat="1" ht="18" customHeight="1" x14ac:dyDescent="0.25">
      <c r="A1800" s="1624" t="s">
        <v>114</v>
      </c>
      <c r="B1800" s="1624"/>
      <c r="C1800" s="1624"/>
      <c r="D1800" s="1624"/>
      <c r="E1800" s="1624"/>
      <c r="F1800" s="1624"/>
      <c r="G1800" s="1624"/>
      <c r="H1800" s="1624"/>
      <c r="I1800" s="1624"/>
      <c r="J1800" s="1624"/>
      <c r="K1800" s="159"/>
      <c r="L1800" s="6"/>
    </row>
    <row r="1801" spans="1:12" s="7" customFormat="1" ht="18" customHeight="1" x14ac:dyDescent="0.25">
      <c r="A1801" s="1066"/>
      <c r="B1801" s="1066"/>
      <c r="C1801" s="1066"/>
      <c r="D1801" s="1066"/>
      <c r="E1801" s="1066"/>
      <c r="F1801" s="1066"/>
      <c r="G1801" s="1066"/>
      <c r="H1801" s="1066"/>
      <c r="I1801" s="1066"/>
      <c r="J1801" s="1066"/>
      <c r="K1801" s="159"/>
      <c r="L1801" s="6"/>
    </row>
    <row r="1802" spans="1:12" ht="16.5" thickBot="1" x14ac:dyDescent="0.3"/>
    <row r="1803" spans="1:12" s="48" customFormat="1" ht="21.75" customHeight="1" thickBot="1" x14ac:dyDescent="0.3">
      <c r="A1803" s="1655" t="s">
        <v>115</v>
      </c>
      <c r="B1803" s="1655"/>
      <c r="C1803" s="1655"/>
      <c r="D1803" s="1655"/>
      <c r="E1803" s="1655"/>
      <c r="F1803" s="1655"/>
      <c r="G1803" s="1151"/>
      <c r="H1803" s="1708" t="s">
        <v>1537</v>
      </c>
      <c r="I1803" s="1710" t="s">
        <v>1538</v>
      </c>
      <c r="J1803" s="1710" t="s">
        <v>1539</v>
      </c>
      <c r="K1803" s="1710" t="s">
        <v>1540</v>
      </c>
      <c r="L1803" s="47"/>
    </row>
    <row r="1804" spans="1:12" s="1153" customFormat="1" ht="31.5" customHeight="1" thickBot="1" x14ac:dyDescent="0.3">
      <c r="A1804" s="1655"/>
      <c r="B1804" s="1655"/>
      <c r="C1804" s="1655"/>
      <c r="D1804" s="1655"/>
      <c r="E1804" s="1655"/>
      <c r="F1804" s="1655"/>
      <c r="G1804" s="1067" t="s">
        <v>116</v>
      </c>
      <c r="H1804" s="1709"/>
      <c r="I1804" s="1710"/>
      <c r="J1804" s="1710"/>
      <c r="K1804" s="1710"/>
      <c r="L1804" s="1152"/>
    </row>
    <row r="1805" spans="1:12" s="146" customFormat="1" ht="33" customHeight="1" x14ac:dyDescent="0.25">
      <c r="A1805" s="1051"/>
      <c r="B1805" s="1041"/>
      <c r="C1805" s="1611" t="s">
        <v>1841</v>
      </c>
      <c r="D1805" s="1611"/>
      <c r="E1805" s="1047"/>
      <c r="F1805" s="1048"/>
      <c r="G1805" s="131"/>
      <c r="H1805" s="101"/>
      <c r="I1805" s="101"/>
      <c r="J1805" s="101"/>
      <c r="K1805" s="102"/>
      <c r="L1805" s="10"/>
    </row>
    <row r="1806" spans="1:12" s="347" customFormat="1" ht="16.5" customHeight="1" x14ac:dyDescent="0.25">
      <c r="A1806" s="1081"/>
      <c r="B1806" s="1044"/>
      <c r="C1806" s="1622" t="s">
        <v>720</v>
      </c>
      <c r="D1806" s="1622"/>
      <c r="E1806" s="1044"/>
      <c r="F1806" s="1080"/>
      <c r="G1806" s="176"/>
      <c r="H1806" s="101"/>
      <c r="I1806" s="101"/>
      <c r="J1806" s="101"/>
      <c r="K1806" s="102"/>
      <c r="L1806" s="193"/>
    </row>
    <row r="1807" spans="1:12" s="347" customFormat="1" ht="36" customHeight="1" x14ac:dyDescent="0.25">
      <c r="A1807" s="1081"/>
      <c r="B1807" s="1044"/>
      <c r="C1807" s="1622" t="s">
        <v>721</v>
      </c>
      <c r="D1807" s="1622"/>
      <c r="E1807" s="1044"/>
      <c r="F1807" s="1080"/>
      <c r="G1807" s="176"/>
      <c r="H1807" s="101"/>
      <c r="I1807" s="101"/>
      <c r="J1807" s="101"/>
      <c r="K1807" s="102"/>
      <c r="L1807" s="193"/>
    </row>
    <row r="1808" spans="1:12" s="347" customFormat="1" ht="36" customHeight="1" x14ac:dyDescent="0.25">
      <c r="A1808" s="1081"/>
      <c r="B1808" s="1044"/>
      <c r="C1808" s="1622" t="s">
        <v>722</v>
      </c>
      <c r="D1808" s="1622"/>
      <c r="E1808" s="1044"/>
      <c r="F1808" s="1080"/>
      <c r="G1808" s="176"/>
      <c r="H1808" s="101"/>
      <c r="I1808" s="101"/>
      <c r="J1808" s="101"/>
      <c r="K1808" s="102"/>
      <c r="L1808" s="193"/>
    </row>
    <row r="1809" spans="1:12" s="347" customFormat="1" ht="36" customHeight="1" x14ac:dyDescent="0.25">
      <c r="A1809" s="1081"/>
      <c r="B1809" s="1044"/>
      <c r="C1809" s="1622" t="s">
        <v>723</v>
      </c>
      <c r="D1809" s="1622"/>
      <c r="E1809" s="1044"/>
      <c r="F1809" s="1080"/>
      <c r="G1809" s="176"/>
      <c r="H1809" s="101"/>
      <c r="I1809" s="101"/>
      <c r="J1809" s="101"/>
      <c r="K1809" s="102"/>
      <c r="L1809" s="193"/>
    </row>
    <row r="1810" spans="1:12" s="146" customFormat="1" ht="18" x14ac:dyDescent="0.25">
      <c r="A1810" s="1051"/>
      <c r="B1810" s="1041"/>
      <c r="C1810" s="1602" t="s">
        <v>725</v>
      </c>
      <c r="D1810" s="1603"/>
      <c r="E1810" s="1603"/>
      <c r="F1810" s="1610"/>
      <c r="G1810" s="131"/>
      <c r="H1810" s="105"/>
      <c r="I1810" s="105"/>
      <c r="J1810" s="105"/>
      <c r="K1810" s="106"/>
      <c r="L1810" s="10"/>
    </row>
    <row r="1811" spans="1:12" s="146" customFormat="1" ht="18" x14ac:dyDescent="0.25">
      <c r="A1811" s="1051"/>
      <c r="B1811" s="1041"/>
      <c r="C1811" s="1620" t="s">
        <v>161</v>
      </c>
      <c r="D1811" s="1620"/>
      <c r="E1811" s="1620"/>
      <c r="F1811" s="1620"/>
      <c r="G1811" s="131"/>
      <c r="H1811" s="155">
        <f>SUM(H1788:H1810)</f>
        <v>0</v>
      </c>
      <c r="I1811" s="155">
        <f>SUM(I1788:I1810)</f>
        <v>6620000</v>
      </c>
      <c r="J1811" s="155">
        <f>SUM(J1788:J1810)</f>
        <v>6620000</v>
      </c>
      <c r="K1811" s="155">
        <f>SUM(K1788:K1810)</f>
        <v>6620000</v>
      </c>
      <c r="L1811" s="10"/>
    </row>
    <row r="1812" spans="1:12" s="146" customFormat="1" ht="18" x14ac:dyDescent="0.25">
      <c r="A1812" s="1051"/>
      <c r="B1812" s="1041"/>
      <c r="C1812" s="1047"/>
      <c r="D1812" s="1047"/>
      <c r="E1812" s="1047"/>
      <c r="F1812" s="1047"/>
      <c r="G1812" s="131"/>
      <c r="H1812" s="155"/>
      <c r="I1812" s="155"/>
      <c r="J1812" s="155"/>
      <c r="K1812" s="156"/>
      <c r="L1812" s="10"/>
    </row>
    <row r="1813" spans="1:12" s="146" customFormat="1" ht="16.5" customHeight="1" x14ac:dyDescent="0.25">
      <c r="A1813" s="1051"/>
      <c r="B1813" s="1041"/>
      <c r="C1813" s="1621" t="s">
        <v>726</v>
      </c>
      <c r="D1813" s="1666"/>
      <c r="E1813" s="1666"/>
      <c r="F1813" s="1667"/>
      <c r="G1813" s="131"/>
      <c r="H1813" s="101"/>
      <c r="I1813" s="101"/>
      <c r="J1813" s="101"/>
      <c r="K1813" s="102"/>
      <c r="L1813" s="10"/>
    </row>
    <row r="1814" spans="1:12" s="146" customFormat="1" ht="18" x14ac:dyDescent="0.25">
      <c r="A1814" s="1051"/>
      <c r="B1814" s="1041"/>
      <c r="C1814" s="1622" t="s">
        <v>727</v>
      </c>
      <c r="D1814" s="1622"/>
      <c r="E1814" s="1622"/>
      <c r="F1814" s="1648"/>
      <c r="G1814" s="131"/>
      <c r="H1814" s="101"/>
      <c r="I1814" s="101">
        <v>300000</v>
      </c>
      <c r="J1814" s="101">
        <v>300000</v>
      </c>
      <c r="K1814" s="102">
        <v>300000</v>
      </c>
      <c r="L1814" s="10"/>
    </row>
    <row r="1815" spans="1:12" s="146" customFormat="1" ht="57.75" customHeight="1" x14ac:dyDescent="0.25">
      <c r="A1815" s="1051"/>
      <c r="B1815" s="1041"/>
      <c r="C1815" s="1622" t="s">
        <v>728</v>
      </c>
      <c r="D1815" s="1622"/>
      <c r="E1815" s="1041"/>
      <c r="F1815" s="1039"/>
      <c r="G1815" s="131"/>
      <c r="H1815" s="101"/>
      <c r="I1815" s="101">
        <v>420000</v>
      </c>
      <c r="J1815" s="101">
        <v>420000</v>
      </c>
      <c r="K1815" s="102">
        <v>420000</v>
      </c>
      <c r="L1815" s="10"/>
    </row>
    <row r="1816" spans="1:12" s="146" customFormat="1" ht="18" x14ac:dyDescent="0.25">
      <c r="A1816" s="1051"/>
      <c r="B1816" s="1041"/>
      <c r="C1816" s="1611" t="s">
        <v>730</v>
      </c>
      <c r="D1816" s="1611"/>
      <c r="E1816" s="1611"/>
      <c r="F1816" s="1602"/>
      <c r="G1816" s="131"/>
      <c r="H1816" s="101"/>
      <c r="I1816" s="101"/>
      <c r="J1816" s="101"/>
      <c r="K1816" s="102"/>
      <c r="L1816" s="10"/>
    </row>
    <row r="1817" spans="1:12" s="313" customFormat="1" ht="18" x14ac:dyDescent="0.25">
      <c r="A1817" s="1081"/>
      <c r="B1817" s="1044"/>
      <c r="C1817" s="1622" t="s">
        <v>731</v>
      </c>
      <c r="D1817" s="1622"/>
      <c r="E1817" s="1044"/>
      <c r="F1817" s="1080"/>
      <c r="G1817" s="176"/>
      <c r="H1817" s="101"/>
      <c r="I1817" s="101">
        <v>13535</v>
      </c>
      <c r="J1817" s="101">
        <v>13535</v>
      </c>
      <c r="K1817" s="102">
        <v>13535</v>
      </c>
      <c r="L1817" s="193"/>
    </row>
    <row r="1818" spans="1:12" s="313" customFormat="1" ht="36" customHeight="1" x14ac:dyDescent="0.25">
      <c r="A1818" s="1081"/>
      <c r="B1818" s="1044"/>
      <c r="C1818" s="1622" t="s">
        <v>732</v>
      </c>
      <c r="D1818" s="1622"/>
      <c r="E1818" s="1044"/>
      <c r="F1818" s="1080"/>
      <c r="G1818" s="176"/>
      <c r="H1818" s="101"/>
      <c r="I1818" s="101">
        <v>455024.85</v>
      </c>
      <c r="J1818" s="101">
        <v>455024.85</v>
      </c>
      <c r="K1818" s="102">
        <v>455024.85</v>
      </c>
      <c r="L1818" s="193"/>
    </row>
    <row r="1819" spans="1:12" s="313" customFormat="1" ht="18" x14ac:dyDescent="0.25">
      <c r="A1819" s="1081"/>
      <c r="B1819" s="1044"/>
      <c r="C1819" s="1622" t="s">
        <v>733</v>
      </c>
      <c r="D1819" s="1622"/>
      <c r="E1819" s="1044"/>
      <c r="F1819" s="1080"/>
      <c r="G1819" s="176"/>
      <c r="H1819" s="101"/>
      <c r="I1819" s="101">
        <v>195720</v>
      </c>
      <c r="J1819" s="101">
        <v>195720</v>
      </c>
      <c r="K1819" s="102">
        <v>195720</v>
      </c>
      <c r="L1819" s="193"/>
    </row>
    <row r="1820" spans="1:12" s="313" customFormat="1" ht="18" x14ac:dyDescent="0.25">
      <c r="A1820" s="1081"/>
      <c r="B1820" s="1044"/>
      <c r="C1820" s="1622" t="s">
        <v>734</v>
      </c>
      <c r="D1820" s="1622"/>
      <c r="E1820" s="1044"/>
      <c r="F1820" s="1080"/>
      <c r="G1820" s="176"/>
      <c r="H1820" s="101"/>
      <c r="I1820" s="101">
        <v>3000000</v>
      </c>
      <c r="J1820" s="101">
        <v>3000000</v>
      </c>
      <c r="K1820" s="102">
        <v>3000000</v>
      </c>
      <c r="L1820" s="193"/>
    </row>
    <row r="1821" spans="1:12" s="313" customFormat="1" ht="18" x14ac:dyDescent="0.25">
      <c r="A1821" s="1081"/>
      <c r="B1821" s="1044"/>
      <c r="C1821" s="1622" t="s">
        <v>735</v>
      </c>
      <c r="D1821" s="1622"/>
      <c r="E1821" s="1044"/>
      <c r="F1821" s="1080"/>
      <c r="G1821" s="176"/>
      <c r="H1821" s="101"/>
      <c r="I1821" s="101">
        <v>5000000</v>
      </c>
      <c r="J1821" s="101">
        <v>5000000</v>
      </c>
      <c r="K1821" s="102">
        <v>5000000</v>
      </c>
      <c r="L1821" s="193"/>
    </row>
    <row r="1822" spans="1:12" s="313" customFormat="1" ht="18" x14ac:dyDescent="0.25">
      <c r="A1822" s="1081"/>
      <c r="B1822" s="1044"/>
      <c r="C1822" s="1622" t="s">
        <v>736</v>
      </c>
      <c r="D1822" s="1622"/>
      <c r="E1822" s="1044"/>
      <c r="F1822" s="1080"/>
      <c r="G1822" s="176"/>
      <c r="H1822" s="101"/>
      <c r="I1822" s="101">
        <v>800000</v>
      </c>
      <c r="J1822" s="101">
        <v>800000</v>
      </c>
      <c r="K1822" s="102">
        <v>800000</v>
      </c>
      <c r="L1822" s="193"/>
    </row>
    <row r="1823" spans="1:12" s="313" customFormat="1" ht="18" x14ac:dyDescent="0.25">
      <c r="A1823" s="1081"/>
      <c r="B1823" s="1044"/>
      <c r="C1823" s="1622" t="s">
        <v>737</v>
      </c>
      <c r="D1823" s="1622"/>
      <c r="E1823" s="1044"/>
      <c r="F1823" s="1080"/>
      <c r="G1823" s="176"/>
      <c r="H1823" s="101"/>
      <c r="I1823" s="101">
        <v>700000</v>
      </c>
      <c r="J1823" s="101">
        <v>700000</v>
      </c>
      <c r="K1823" s="102">
        <v>700000</v>
      </c>
      <c r="L1823" s="193"/>
    </row>
    <row r="1824" spans="1:12" s="313" customFormat="1" ht="36.75" customHeight="1" x14ac:dyDescent="0.25">
      <c r="A1824" s="1081"/>
      <c r="B1824" s="1044"/>
      <c r="C1824" s="1622" t="s">
        <v>738</v>
      </c>
      <c r="D1824" s="1622"/>
      <c r="E1824" s="1044"/>
      <c r="F1824" s="1080"/>
      <c r="G1824" s="176"/>
      <c r="H1824" s="101"/>
      <c r="I1824" s="101">
        <v>73000</v>
      </c>
      <c r="J1824" s="101">
        <v>73000</v>
      </c>
      <c r="K1824" s="102">
        <v>73000</v>
      </c>
      <c r="L1824" s="193"/>
    </row>
    <row r="1825" spans="1:12" s="313" customFormat="1" ht="36.75" customHeight="1" x14ac:dyDescent="0.25">
      <c r="A1825" s="1081"/>
      <c r="B1825" s="1044"/>
      <c r="C1825" s="1622" t="s">
        <v>740</v>
      </c>
      <c r="D1825" s="1622"/>
      <c r="E1825" s="1044"/>
      <c r="F1825" s="1080"/>
      <c r="G1825" s="176"/>
      <c r="H1825" s="101"/>
      <c r="I1825" s="101">
        <v>500000</v>
      </c>
      <c r="J1825" s="101">
        <v>500000</v>
      </c>
      <c r="K1825" s="102">
        <v>500000</v>
      </c>
      <c r="L1825" s="193"/>
    </row>
    <row r="1826" spans="1:12" s="313" customFormat="1" ht="37.5" customHeight="1" x14ac:dyDescent="0.25">
      <c r="A1826" s="1081"/>
      <c r="B1826" s="1044"/>
      <c r="C1826" s="1622" t="s">
        <v>1842</v>
      </c>
      <c r="D1826" s="1622"/>
      <c r="E1826" s="1044"/>
      <c r="F1826" s="1080"/>
      <c r="G1826" s="176"/>
      <c r="H1826" s="101"/>
      <c r="I1826" s="101">
        <v>340000</v>
      </c>
      <c r="J1826" s="101">
        <v>340000</v>
      </c>
      <c r="K1826" s="102">
        <v>340000</v>
      </c>
      <c r="L1826" s="193"/>
    </row>
    <row r="1827" spans="1:12" s="313" customFormat="1" ht="37.5" customHeight="1" x14ac:dyDescent="0.25">
      <c r="A1827" s="1081"/>
      <c r="B1827" s="1044"/>
      <c r="C1827" s="1622" t="s">
        <v>1843</v>
      </c>
      <c r="D1827" s="1622"/>
      <c r="E1827" s="1044"/>
      <c r="F1827" s="1044"/>
      <c r="G1827" s="176"/>
      <c r="H1827" s="101"/>
      <c r="I1827" s="101">
        <v>80000</v>
      </c>
      <c r="J1827" s="101">
        <v>80000</v>
      </c>
      <c r="K1827" s="102">
        <v>80000</v>
      </c>
      <c r="L1827" s="193"/>
    </row>
    <row r="1828" spans="1:12" ht="18" x14ac:dyDescent="0.25">
      <c r="A1828" s="1051"/>
      <c r="B1828" s="1041"/>
      <c r="C1828" s="1620" t="s">
        <v>161</v>
      </c>
      <c r="D1828" s="1620"/>
      <c r="E1828" s="1620"/>
      <c r="F1828" s="1620"/>
      <c r="G1828" s="131"/>
      <c r="H1828" s="119">
        <f>SUM(H1814:H1827)</f>
        <v>0</v>
      </c>
      <c r="I1828" s="119">
        <f>SUM(I1814:I1827)</f>
        <v>11877279.85</v>
      </c>
      <c r="J1828" s="119">
        <f>SUM(J1814:J1827)</f>
        <v>11877279.85</v>
      </c>
      <c r="K1828" s="150">
        <f>SUM(K1814:K1827)</f>
        <v>11877279.85</v>
      </c>
    </row>
    <row r="1829" spans="1:12" s="146" customFormat="1" ht="18.75" thickBot="1" x14ac:dyDescent="0.3">
      <c r="A1829" s="1072"/>
      <c r="B1829" s="1045"/>
      <c r="C1829" s="1661" t="s">
        <v>744</v>
      </c>
      <c r="D1829" s="1662"/>
      <c r="E1829" s="1662"/>
      <c r="F1829" s="1663"/>
      <c r="G1829" s="348"/>
      <c r="H1829" s="158">
        <f>H1828+H1786+H1759+H1811</f>
        <v>0</v>
      </c>
      <c r="I1829" s="158">
        <f>I1828+I1786+I1759+I1811</f>
        <v>39159279.850000001</v>
      </c>
      <c r="J1829" s="158">
        <f>J1828+J1786+J1759+J1811</f>
        <v>39159279.850000001</v>
      </c>
      <c r="K1829" s="158">
        <f>K1828+K1786+K1759+K1811</f>
        <v>38159279.850000001</v>
      </c>
      <c r="L1829" s="10"/>
    </row>
    <row r="1830" spans="1:12" ht="13.5" customHeight="1" x14ac:dyDescent="0.25">
      <c r="A1830" s="1051"/>
      <c r="B1830" s="1041"/>
      <c r="C1830" s="1047"/>
      <c r="D1830" s="1047"/>
      <c r="E1830" s="1047"/>
      <c r="F1830" s="1047"/>
      <c r="G1830" s="97"/>
      <c r="H1830" s="155"/>
      <c r="I1830" s="155"/>
      <c r="J1830" s="155"/>
      <c r="K1830" s="156"/>
    </row>
    <row r="1831" spans="1:12" s="146" customFormat="1" ht="18" x14ac:dyDescent="0.25">
      <c r="A1831" s="254"/>
      <c r="B1831" s="271"/>
      <c r="C1831" s="349" t="s">
        <v>745</v>
      </c>
      <c r="D1831" s="41"/>
      <c r="E1831" s="41"/>
      <c r="F1831" s="41"/>
      <c r="G1831" s="273"/>
      <c r="H1831" s="250"/>
      <c r="I1831" s="250"/>
      <c r="J1831" s="250"/>
      <c r="K1831" s="233"/>
      <c r="L1831" s="10"/>
    </row>
    <row r="1832" spans="1:12" s="146" customFormat="1" ht="18" x14ac:dyDescent="0.25">
      <c r="A1832" s="254"/>
      <c r="B1832" s="271"/>
      <c r="C1832" s="63" t="s">
        <v>747</v>
      </c>
      <c r="D1832" s="41"/>
      <c r="E1832" s="41"/>
      <c r="F1832" s="41"/>
      <c r="G1832" s="273"/>
      <c r="H1832" s="334"/>
      <c r="I1832" s="331">
        <v>20000000</v>
      </c>
      <c r="J1832" s="331">
        <v>20000000</v>
      </c>
      <c r="K1832" s="330"/>
      <c r="L1832" s="10"/>
    </row>
    <row r="1833" spans="1:12" s="146" customFormat="1" ht="52.5" customHeight="1" x14ac:dyDescent="0.25">
      <c r="A1833" s="254"/>
      <c r="B1833" s="271"/>
      <c r="C1833" s="1617" t="s">
        <v>1844</v>
      </c>
      <c r="D1833" s="1617"/>
      <c r="E1833" s="41"/>
      <c r="F1833" s="41"/>
      <c r="G1833" s="273"/>
      <c r="H1833" s="334"/>
      <c r="I1833" s="331"/>
      <c r="J1833" s="331"/>
      <c r="K1833" s="330"/>
      <c r="L1833" s="10"/>
    </row>
    <row r="1834" spans="1:12" s="146" customFormat="1" ht="37.5" customHeight="1" x14ac:dyDescent="0.25">
      <c r="A1834" s="254"/>
      <c r="B1834" s="271"/>
      <c r="C1834" s="1617" t="s">
        <v>1845</v>
      </c>
      <c r="D1834" s="1617"/>
      <c r="E1834" s="41"/>
      <c r="F1834" s="41"/>
      <c r="G1834" s="273"/>
      <c r="H1834" s="334"/>
      <c r="I1834" s="331"/>
      <c r="J1834" s="331"/>
      <c r="K1834" s="330"/>
      <c r="L1834" s="10"/>
    </row>
    <row r="1835" spans="1:12" s="146" customFormat="1" ht="37.5" customHeight="1" x14ac:dyDescent="0.25">
      <c r="A1835" s="254"/>
      <c r="B1835" s="271"/>
      <c r="C1835" s="1617" t="s">
        <v>1846</v>
      </c>
      <c r="D1835" s="1617"/>
      <c r="E1835" s="41"/>
      <c r="F1835" s="41"/>
      <c r="G1835" s="273"/>
      <c r="H1835" s="334"/>
      <c r="I1835" s="331"/>
      <c r="J1835" s="331"/>
      <c r="K1835" s="330"/>
      <c r="L1835" s="10"/>
    </row>
    <row r="1836" spans="1:12" s="146" customFormat="1" ht="37.5" customHeight="1" x14ac:dyDescent="0.25">
      <c r="A1836" s="254"/>
      <c r="B1836" s="271"/>
      <c r="C1836" s="1617" t="s">
        <v>1847</v>
      </c>
      <c r="D1836" s="1617"/>
      <c r="E1836" s="41"/>
      <c r="F1836" s="41"/>
      <c r="G1836" s="273"/>
      <c r="H1836" s="334"/>
      <c r="I1836" s="331"/>
      <c r="J1836" s="331"/>
      <c r="K1836" s="330"/>
      <c r="L1836" s="10"/>
    </row>
    <row r="1837" spans="1:12" s="146" customFormat="1" ht="37.5" customHeight="1" x14ac:dyDescent="0.25">
      <c r="A1837" s="254"/>
      <c r="B1837" s="271"/>
      <c r="C1837" s="1617" t="s">
        <v>1848</v>
      </c>
      <c r="D1837" s="1617"/>
      <c r="E1837" s="41"/>
      <c r="F1837" s="41"/>
      <c r="G1837" s="273"/>
      <c r="H1837" s="334"/>
      <c r="I1837" s="331"/>
      <c r="J1837" s="331"/>
      <c r="K1837" s="330"/>
      <c r="L1837" s="10"/>
    </row>
    <row r="1838" spans="1:12" s="146" customFormat="1" ht="37.5" customHeight="1" x14ac:dyDescent="0.25">
      <c r="A1838" s="254"/>
      <c r="B1838" s="271"/>
      <c r="C1838" s="1617" t="s">
        <v>1849</v>
      </c>
      <c r="D1838" s="1617"/>
      <c r="E1838" s="41"/>
      <c r="F1838" s="41"/>
      <c r="G1838" s="273"/>
      <c r="H1838" s="334"/>
      <c r="I1838" s="331"/>
      <c r="J1838" s="331"/>
      <c r="K1838" s="330"/>
      <c r="L1838" s="10"/>
    </row>
    <row r="1839" spans="1:12" s="146" customFormat="1" ht="37.5" customHeight="1" x14ac:dyDescent="0.25">
      <c r="A1839" s="254"/>
      <c r="B1839" s="271"/>
      <c r="C1839" s="1617" t="s">
        <v>1850</v>
      </c>
      <c r="D1839" s="1617"/>
      <c r="E1839" s="41"/>
      <c r="F1839" s="41"/>
      <c r="G1839" s="273"/>
      <c r="H1839" s="334"/>
      <c r="I1839" s="331"/>
      <c r="J1839" s="331"/>
      <c r="K1839" s="330"/>
      <c r="L1839" s="10"/>
    </row>
    <row r="1840" spans="1:12" s="146" customFormat="1" ht="37.5" customHeight="1" x14ac:dyDescent="0.25">
      <c r="A1840" s="254"/>
      <c r="B1840" s="271"/>
      <c r="C1840" s="1617" t="s">
        <v>1851</v>
      </c>
      <c r="D1840" s="1617"/>
      <c r="E1840" s="41"/>
      <c r="F1840" s="41"/>
      <c r="G1840" s="273"/>
      <c r="H1840" s="334"/>
      <c r="I1840" s="331"/>
      <c r="J1840" s="331"/>
      <c r="K1840" s="330"/>
      <c r="L1840" s="10"/>
    </row>
    <row r="1841" spans="1:12" s="146" customFormat="1" ht="57.75" customHeight="1" x14ac:dyDescent="0.25">
      <c r="A1841" s="254"/>
      <c r="B1841" s="271"/>
      <c r="C1841" s="1617" t="s">
        <v>1852</v>
      </c>
      <c r="D1841" s="1617"/>
      <c r="E1841" s="41"/>
      <c r="F1841" s="41"/>
      <c r="G1841" s="273"/>
      <c r="H1841" s="334"/>
      <c r="I1841" s="331"/>
      <c r="J1841" s="331"/>
      <c r="K1841" s="330"/>
      <c r="L1841" s="10"/>
    </row>
    <row r="1842" spans="1:12" s="146" customFormat="1" ht="37.5" customHeight="1" thickBot="1" x14ac:dyDescent="0.3">
      <c r="A1842" s="254"/>
      <c r="B1842" s="271"/>
      <c r="C1842" s="1617" t="s">
        <v>1853</v>
      </c>
      <c r="D1842" s="1617"/>
      <c r="E1842" s="41"/>
      <c r="F1842" s="41"/>
      <c r="G1842" s="273"/>
      <c r="H1842" s="334"/>
      <c r="I1842" s="331"/>
      <c r="J1842" s="331"/>
      <c r="K1842" s="330"/>
      <c r="L1842" s="10"/>
    </row>
    <row r="1843" spans="1:12" s="146" customFormat="1" ht="13.5" customHeight="1" x14ac:dyDescent="0.25">
      <c r="A1843" s="254"/>
      <c r="B1843" s="271"/>
      <c r="C1843" s="1229"/>
      <c r="D1843" s="1229"/>
      <c r="E1843" s="1229"/>
      <c r="F1843" s="1229"/>
      <c r="G1843" s="1230"/>
      <c r="H1843" s="155"/>
      <c r="I1843" s="155"/>
      <c r="J1843" s="155"/>
      <c r="K1843" s="156"/>
      <c r="L1843" s="10"/>
    </row>
    <row r="1844" spans="1:12" ht="16.5" thickBot="1" x14ac:dyDescent="0.3">
      <c r="A1844" s="1193"/>
      <c r="B1844" s="256"/>
      <c r="C1844" s="255"/>
      <c r="D1844" s="256"/>
      <c r="E1844" s="256"/>
      <c r="F1844" s="256"/>
      <c r="G1844" s="256"/>
      <c r="H1844" s="219"/>
      <c r="I1844" s="219"/>
      <c r="J1844" s="219"/>
      <c r="K1844" s="220"/>
    </row>
    <row r="1845" spans="1:12" x14ac:dyDescent="0.25">
      <c r="A1845" s="75"/>
      <c r="B1845" s="75"/>
      <c r="C1845" s="252"/>
      <c r="D1845" s="75"/>
      <c r="E1845" s="75"/>
      <c r="F1845" s="75"/>
      <c r="G1845" s="75"/>
      <c r="H1845" s="141"/>
      <c r="I1845" s="141"/>
      <c r="J1845" s="141"/>
      <c r="K1845" s="122"/>
    </row>
    <row r="1846" spans="1:12" x14ac:dyDescent="0.25">
      <c r="A1846" s="75"/>
      <c r="B1846" s="75"/>
      <c r="C1846" s="252"/>
      <c r="D1846" s="75"/>
      <c r="E1846" s="75"/>
      <c r="F1846" s="75"/>
      <c r="G1846" s="75"/>
      <c r="H1846" s="141"/>
      <c r="I1846" s="141"/>
      <c r="J1846" s="141"/>
      <c r="K1846" s="122"/>
    </row>
    <row r="1847" spans="1:12" x14ac:dyDescent="0.25">
      <c r="A1847" s="75"/>
      <c r="B1847" s="75"/>
      <c r="C1847" s="252"/>
      <c r="D1847" s="75"/>
      <c r="E1847" s="75"/>
      <c r="F1847" s="75"/>
      <c r="G1847" s="75"/>
      <c r="H1847" s="141"/>
      <c r="I1847" s="141"/>
      <c r="J1847" s="141"/>
      <c r="K1847" s="122"/>
    </row>
    <row r="1848" spans="1:12" s="146" customFormat="1" ht="18" customHeight="1" x14ac:dyDescent="0.25">
      <c r="A1848" s="9" t="s">
        <v>112</v>
      </c>
      <c r="B1848" s="9"/>
      <c r="C1848" s="9"/>
      <c r="D1848" s="9"/>
      <c r="E1848" s="9"/>
      <c r="F1848" s="9"/>
      <c r="G1848" s="9"/>
      <c r="H1848" s="5"/>
      <c r="I1848" s="5"/>
      <c r="J1848" s="5"/>
      <c r="K1848" s="5"/>
      <c r="L1848" s="10"/>
    </row>
    <row r="1849" spans="1:12" ht="18" customHeight="1" x14ac:dyDescent="0.25">
      <c r="A1849" s="8" t="s">
        <v>869</v>
      </c>
    </row>
    <row r="1850" spans="1:12" ht="18" customHeight="1" x14ac:dyDescent="0.25">
      <c r="A1850" s="1636" t="s">
        <v>113</v>
      </c>
      <c r="B1850" s="1636"/>
      <c r="C1850" s="1636"/>
      <c r="D1850" s="1636"/>
      <c r="E1850" s="1636"/>
      <c r="F1850" s="1636"/>
      <c r="G1850" s="1636"/>
      <c r="H1850" s="1636"/>
      <c r="I1850" s="1636"/>
      <c r="J1850" s="1636"/>
      <c r="K1850" s="1060"/>
    </row>
    <row r="1851" spans="1:12" s="7" customFormat="1" ht="18" customHeight="1" x14ac:dyDescent="0.25">
      <c r="A1851" s="1624" t="s">
        <v>114</v>
      </c>
      <c r="B1851" s="1624"/>
      <c r="C1851" s="1624"/>
      <c r="D1851" s="1624"/>
      <c r="E1851" s="1624"/>
      <c r="F1851" s="1624"/>
      <c r="G1851" s="1624"/>
      <c r="H1851" s="1624"/>
      <c r="I1851" s="1624"/>
      <c r="J1851" s="1624"/>
      <c r="K1851" s="159"/>
      <c r="L1851" s="6"/>
    </row>
    <row r="1853" spans="1:12" ht="16.5" thickBot="1" x14ac:dyDescent="0.3"/>
    <row r="1854" spans="1:12" s="48" customFormat="1" ht="21.75" customHeight="1" thickBot="1" x14ac:dyDescent="0.3">
      <c r="A1854" s="1655" t="s">
        <v>115</v>
      </c>
      <c r="B1854" s="1655"/>
      <c r="C1854" s="1655"/>
      <c r="D1854" s="1655"/>
      <c r="E1854" s="1655"/>
      <c r="F1854" s="1655"/>
      <c r="G1854" s="1151"/>
      <c r="H1854" s="1708" t="s">
        <v>1537</v>
      </c>
      <c r="I1854" s="1710" t="s">
        <v>1538</v>
      </c>
      <c r="J1854" s="1710" t="s">
        <v>1539</v>
      </c>
      <c r="K1854" s="1710" t="s">
        <v>1540</v>
      </c>
      <c r="L1854" s="47"/>
    </row>
    <row r="1855" spans="1:12" s="1153" customFormat="1" ht="31.5" customHeight="1" thickBot="1" x14ac:dyDescent="0.3">
      <c r="A1855" s="1655"/>
      <c r="B1855" s="1655"/>
      <c r="C1855" s="1655"/>
      <c r="D1855" s="1655"/>
      <c r="E1855" s="1655"/>
      <c r="F1855" s="1655"/>
      <c r="G1855" s="1067" t="s">
        <v>116</v>
      </c>
      <c r="H1855" s="1709"/>
      <c r="I1855" s="1710"/>
      <c r="J1855" s="1710"/>
      <c r="K1855" s="1710"/>
      <c r="L1855" s="1152"/>
    </row>
    <row r="1856" spans="1:12" s="146" customFormat="1" ht="37.5" customHeight="1" x14ac:dyDescent="0.25">
      <c r="A1856" s="254"/>
      <c r="B1856" s="271"/>
      <c r="C1856" s="1617" t="s">
        <v>1854</v>
      </c>
      <c r="D1856" s="1617"/>
      <c r="E1856" s="41"/>
      <c r="F1856" s="41"/>
      <c r="G1856" s="273"/>
      <c r="H1856" s="334"/>
      <c r="I1856" s="331"/>
      <c r="J1856" s="331"/>
      <c r="K1856" s="330"/>
      <c r="L1856" s="10"/>
    </row>
    <row r="1857" spans="1:12" s="146" customFormat="1" ht="37.5" customHeight="1" x14ac:dyDescent="0.25">
      <c r="A1857" s="254"/>
      <c r="B1857" s="271"/>
      <c r="C1857" s="1617" t="s">
        <v>1855</v>
      </c>
      <c r="D1857" s="1617"/>
      <c r="E1857" s="41"/>
      <c r="F1857" s="41"/>
      <c r="G1857" s="273"/>
      <c r="H1857" s="334"/>
      <c r="I1857" s="331"/>
      <c r="J1857" s="331"/>
      <c r="K1857" s="330"/>
      <c r="L1857" s="10"/>
    </row>
    <row r="1858" spans="1:12" s="146" customFormat="1" ht="37.5" customHeight="1" x14ac:dyDescent="0.25">
      <c r="A1858" s="254"/>
      <c r="B1858" s="271"/>
      <c r="C1858" s="1617" t="s">
        <v>1856</v>
      </c>
      <c r="D1858" s="1617"/>
      <c r="E1858" s="41"/>
      <c r="F1858" s="41"/>
      <c r="G1858" s="273"/>
      <c r="H1858" s="334"/>
      <c r="I1858" s="331"/>
      <c r="J1858" s="331"/>
      <c r="K1858" s="330"/>
      <c r="L1858" s="10"/>
    </row>
    <row r="1859" spans="1:12" s="146" customFormat="1" ht="56.25" customHeight="1" x14ac:dyDescent="0.25">
      <c r="A1859" s="254"/>
      <c r="B1859" s="271"/>
      <c r="C1859" s="1728" t="s">
        <v>1857</v>
      </c>
      <c r="D1859" s="1728"/>
      <c r="E1859" s="41"/>
      <c r="F1859" s="41"/>
      <c r="G1859" s="273"/>
      <c r="H1859" s="334"/>
      <c r="I1859" s="331"/>
      <c r="J1859" s="331"/>
      <c r="K1859" s="330"/>
      <c r="L1859" s="10"/>
    </row>
    <row r="1860" spans="1:12" s="146" customFormat="1" ht="37.5" customHeight="1" x14ac:dyDescent="0.25">
      <c r="A1860" s="254"/>
      <c r="B1860" s="271"/>
      <c r="C1860" s="1728" t="s">
        <v>1858</v>
      </c>
      <c r="D1860" s="1728"/>
      <c r="E1860" s="41"/>
      <c r="F1860" s="41"/>
      <c r="G1860" s="273"/>
      <c r="H1860" s="334"/>
      <c r="I1860" s="331"/>
      <c r="J1860" s="331"/>
      <c r="K1860" s="330"/>
      <c r="L1860" s="10"/>
    </row>
    <row r="1861" spans="1:12" s="146" customFormat="1" ht="37.5" customHeight="1" x14ac:dyDescent="0.25">
      <c r="A1861" s="254"/>
      <c r="B1861" s="271"/>
      <c r="C1861" s="1728" t="s">
        <v>1859</v>
      </c>
      <c r="D1861" s="1728"/>
      <c r="E1861" s="41"/>
      <c r="F1861" s="41"/>
      <c r="G1861" s="273"/>
      <c r="H1861" s="335"/>
      <c r="I1861" s="336"/>
      <c r="J1861" s="336"/>
      <c r="K1861" s="345"/>
      <c r="L1861" s="10"/>
    </row>
    <row r="1862" spans="1:12" s="146" customFormat="1" ht="18.75" thickBot="1" x14ac:dyDescent="0.3">
      <c r="A1862" s="353"/>
      <c r="B1862" s="38"/>
      <c r="C1862" s="1665" t="s">
        <v>161</v>
      </c>
      <c r="D1862" s="1665"/>
      <c r="E1862" s="1665"/>
      <c r="F1862" s="1665"/>
      <c r="G1862" s="1231"/>
      <c r="H1862" s="183">
        <f>SUM(H1832:H1861)</f>
        <v>0</v>
      </c>
      <c r="I1862" s="183">
        <f>SUM(I1832:I1832)</f>
        <v>20000000</v>
      </c>
      <c r="J1862" s="183">
        <f>SUM(J1832:J1832)</f>
        <v>20000000</v>
      </c>
      <c r="K1862" s="183">
        <f>SUM(K1832:K1832)</f>
        <v>0</v>
      </c>
      <c r="L1862" s="10"/>
    </row>
    <row r="1863" spans="1:12" s="146" customFormat="1" ht="18" x14ac:dyDescent="0.25">
      <c r="A1863" s="353"/>
      <c r="B1863" s="38"/>
      <c r="C1863" s="1055"/>
      <c r="D1863" s="1055"/>
      <c r="E1863" s="1055"/>
      <c r="F1863" s="1055"/>
      <c r="G1863" s="38"/>
      <c r="H1863" s="156"/>
      <c r="I1863" s="156"/>
      <c r="J1863" s="156"/>
      <c r="K1863" s="156"/>
      <c r="L1863" s="10"/>
    </row>
    <row r="1864" spans="1:12" ht="18" x14ac:dyDescent="0.25">
      <c r="A1864" s="1232" t="s">
        <v>1860</v>
      </c>
      <c r="B1864" s="1069"/>
      <c r="C1864" s="235"/>
      <c r="D1864" s="1093"/>
      <c r="E1864" s="75"/>
      <c r="F1864" s="75"/>
      <c r="G1864" s="75"/>
      <c r="H1864" s="101"/>
      <c r="I1864" s="101"/>
      <c r="J1864" s="101"/>
      <c r="K1864" s="102"/>
    </row>
    <row r="1865" spans="1:12" s="179" customFormat="1" ht="18" x14ac:dyDescent="0.25">
      <c r="A1865" s="1233"/>
      <c r="B1865" s="1302"/>
      <c r="C1865" s="225" t="s">
        <v>1861</v>
      </c>
      <c r="D1865" s="1234"/>
      <c r="E1865" s="160"/>
      <c r="F1865" s="160"/>
      <c r="G1865" s="160"/>
      <c r="H1865" s="101"/>
      <c r="I1865" s="101"/>
      <c r="J1865" s="101"/>
      <c r="K1865" s="102"/>
      <c r="L1865" s="193"/>
    </row>
    <row r="1866" spans="1:12" s="179" customFormat="1" ht="18" x14ac:dyDescent="0.25">
      <c r="A1866" s="1233"/>
      <c r="B1866" s="1302"/>
      <c r="C1866" s="225" t="s">
        <v>1862</v>
      </c>
      <c r="D1866" s="1234"/>
      <c r="E1866" s="160"/>
      <c r="F1866" s="160"/>
      <c r="G1866" s="160"/>
      <c r="H1866" s="101"/>
      <c r="I1866" s="101"/>
      <c r="J1866" s="101"/>
      <c r="K1866" s="102"/>
      <c r="L1866" s="193"/>
    </row>
    <row r="1867" spans="1:12" s="179" customFormat="1" ht="54" customHeight="1" x14ac:dyDescent="0.25">
      <c r="A1867" s="1235"/>
      <c r="B1867" s="225"/>
      <c r="C1867" s="1628" t="s">
        <v>1863</v>
      </c>
      <c r="D1867" s="1628"/>
      <c r="E1867" s="160"/>
      <c r="F1867" s="160"/>
      <c r="G1867" s="160"/>
      <c r="H1867" s="101"/>
      <c r="I1867" s="101"/>
      <c r="J1867" s="101"/>
      <c r="K1867" s="102"/>
      <c r="L1867" s="193"/>
    </row>
    <row r="1868" spans="1:12" s="179" customFormat="1" ht="18" x14ac:dyDescent="0.25">
      <c r="A1868" s="1235"/>
      <c r="B1868" s="225"/>
      <c r="C1868" s="1073" t="s">
        <v>1864</v>
      </c>
      <c r="D1868" s="1234"/>
      <c r="E1868" s="160"/>
      <c r="F1868" s="160"/>
      <c r="G1868" s="160"/>
      <c r="H1868" s="101"/>
      <c r="I1868" s="101"/>
      <c r="J1868" s="101"/>
      <c r="K1868" s="102"/>
      <c r="L1868" s="193"/>
    </row>
    <row r="1869" spans="1:12" s="179" customFormat="1" ht="18" x14ac:dyDescent="0.25">
      <c r="A1869" s="1235"/>
      <c r="B1869" s="225"/>
      <c r="C1869" s="1073" t="s">
        <v>1865</v>
      </c>
      <c r="D1869" s="1234"/>
      <c r="E1869" s="160"/>
      <c r="F1869" s="160"/>
      <c r="G1869" s="160"/>
      <c r="H1869" s="101"/>
      <c r="I1869" s="101"/>
      <c r="J1869" s="101"/>
      <c r="K1869" s="102"/>
      <c r="L1869" s="193"/>
    </row>
    <row r="1870" spans="1:12" s="179" customFormat="1" ht="18" x14ac:dyDescent="0.25">
      <c r="A1870" s="1236"/>
      <c r="B1870" s="1238"/>
      <c r="C1870" s="1237"/>
      <c r="D1870" s="1238" t="s">
        <v>15</v>
      </c>
      <c r="E1870" s="160"/>
      <c r="F1870" s="160"/>
      <c r="G1870" s="160"/>
      <c r="H1870" s="119">
        <f>SUM(H1865:H1869)</f>
        <v>0</v>
      </c>
      <c r="I1870" s="119">
        <f>SUM(I1865:I1869)</f>
        <v>0</v>
      </c>
      <c r="J1870" s="119">
        <f>SUM(J1865:J1869)</f>
        <v>0</v>
      </c>
      <c r="K1870" s="150">
        <f>SUM(K1865:K1869)</f>
        <v>0</v>
      </c>
      <c r="L1870" s="193"/>
    </row>
    <row r="1871" spans="1:12" s="179" customFormat="1" ht="18" x14ac:dyDescent="0.25">
      <c r="A1871" s="1235"/>
      <c r="B1871" s="225"/>
      <c r="C1871" s="1239"/>
      <c r="D1871" s="1239"/>
      <c r="E1871" s="160"/>
      <c r="F1871" s="160"/>
      <c r="G1871" s="160"/>
      <c r="H1871" s="101"/>
      <c r="I1871" s="101"/>
      <c r="J1871" s="101"/>
      <c r="K1871" s="102"/>
      <c r="L1871" s="193"/>
    </row>
    <row r="1872" spans="1:12" s="179" customFormat="1" ht="18" x14ac:dyDescent="0.25">
      <c r="A1872" s="1240"/>
      <c r="B1872" s="1303"/>
      <c r="C1872" s="1241" t="s">
        <v>748</v>
      </c>
      <c r="D1872" s="1044"/>
      <c r="E1872" s="160"/>
      <c r="F1872" s="160"/>
      <c r="G1872" s="160"/>
      <c r="H1872" s="101"/>
      <c r="I1872" s="101"/>
      <c r="J1872" s="101"/>
      <c r="K1872" s="102"/>
      <c r="L1872" s="193"/>
    </row>
    <row r="1873" spans="1:13" s="179" customFormat="1" ht="18" x14ac:dyDescent="0.25">
      <c r="A1873" s="1240"/>
      <c r="B1873" s="1303"/>
      <c r="C1873" s="652" t="s">
        <v>1866</v>
      </c>
      <c r="D1873" s="1044"/>
      <c r="E1873" s="160"/>
      <c r="F1873" s="160"/>
      <c r="G1873" s="160"/>
      <c r="H1873" s="119"/>
      <c r="I1873" s="119"/>
      <c r="J1873" s="119"/>
      <c r="K1873" s="150"/>
      <c r="L1873" s="193"/>
    </row>
    <row r="1874" spans="1:13" s="179" customFormat="1" ht="18" x14ac:dyDescent="0.25">
      <c r="A1874" s="1240"/>
      <c r="B1874" s="1303"/>
      <c r="C1874" s="652"/>
      <c r="D1874" s="1044"/>
      <c r="E1874" s="160"/>
      <c r="F1874" s="160"/>
      <c r="G1874" s="160"/>
      <c r="H1874" s="101"/>
      <c r="I1874" s="101"/>
      <c r="J1874" s="101"/>
      <c r="K1874" s="102"/>
      <c r="L1874" s="193"/>
    </row>
    <row r="1875" spans="1:13" s="179" customFormat="1" ht="18" x14ac:dyDescent="0.25">
      <c r="A1875" s="1240"/>
      <c r="B1875" s="1303"/>
      <c r="C1875" s="1241" t="s">
        <v>748</v>
      </c>
      <c r="D1875" s="1044"/>
      <c r="E1875" s="160"/>
      <c r="F1875" s="160"/>
      <c r="G1875" s="160"/>
      <c r="H1875" s="101"/>
      <c r="I1875" s="101"/>
      <c r="J1875" s="101"/>
      <c r="K1875" s="102"/>
      <c r="L1875" s="193"/>
    </row>
    <row r="1876" spans="1:13" s="179" customFormat="1" ht="18" x14ac:dyDescent="0.25">
      <c r="A1876" s="1240"/>
      <c r="B1876" s="1303"/>
      <c r="C1876" s="1241" t="s">
        <v>764</v>
      </c>
      <c r="D1876" s="1044"/>
      <c r="E1876" s="160"/>
      <c r="F1876" s="160"/>
      <c r="G1876" s="160"/>
      <c r="H1876" s="101"/>
      <c r="I1876" s="101"/>
      <c r="J1876" s="101"/>
      <c r="K1876" s="102"/>
      <c r="L1876" s="193"/>
    </row>
    <row r="1877" spans="1:13" s="179" customFormat="1" ht="37.5" customHeight="1" x14ac:dyDescent="0.25">
      <c r="A1877" s="1240"/>
      <c r="B1877" s="1303"/>
      <c r="C1877" s="1622" t="s">
        <v>1867</v>
      </c>
      <c r="D1877" s="1622"/>
      <c r="E1877" s="160"/>
      <c r="F1877" s="160"/>
      <c r="G1877" s="160"/>
      <c r="H1877" s="101"/>
      <c r="I1877" s="101"/>
      <c r="J1877" s="101"/>
      <c r="K1877" s="102"/>
      <c r="L1877" s="193"/>
    </row>
    <row r="1878" spans="1:13" s="179" customFormat="1" ht="90.75" customHeight="1" x14ac:dyDescent="0.25">
      <c r="A1878" s="1240"/>
      <c r="B1878" s="1303"/>
      <c r="C1878" s="1622" t="s">
        <v>1868</v>
      </c>
      <c r="D1878" s="1622"/>
      <c r="E1878" s="160"/>
      <c r="F1878" s="160"/>
      <c r="G1878" s="160"/>
      <c r="H1878" s="101"/>
      <c r="I1878" s="101"/>
      <c r="J1878" s="101"/>
      <c r="K1878" s="102"/>
      <c r="L1878" s="193"/>
    </row>
    <row r="1879" spans="1:13" s="179" customFormat="1" ht="63" customHeight="1" x14ac:dyDescent="0.25">
      <c r="A1879" s="1240"/>
      <c r="B1879" s="1303"/>
      <c r="C1879" s="1622" t="s">
        <v>1869</v>
      </c>
      <c r="D1879" s="1622"/>
      <c r="E1879" s="160"/>
      <c r="F1879" s="160"/>
      <c r="G1879" s="160"/>
      <c r="H1879" s="101"/>
      <c r="I1879" s="101"/>
      <c r="J1879" s="101"/>
      <c r="K1879" s="102"/>
      <c r="L1879" s="193"/>
    </row>
    <row r="1880" spans="1:13" s="1244" customFormat="1" ht="18" x14ac:dyDescent="0.25">
      <c r="A1880" s="1242"/>
      <c r="B1880" s="1304"/>
      <c r="C1880" s="1241"/>
      <c r="D1880" s="1238" t="s">
        <v>15</v>
      </c>
      <c r="E1880" s="1162"/>
      <c r="F1880" s="1162"/>
      <c r="G1880" s="1162"/>
      <c r="H1880" s="119">
        <f>SUM(H1877:H1879)</f>
        <v>0</v>
      </c>
      <c r="I1880" s="119">
        <f>SUM(I1877:I1879)</f>
        <v>0</v>
      </c>
      <c r="J1880" s="119">
        <f>SUM(J1877:J1879)</f>
        <v>0</v>
      </c>
      <c r="K1880" s="150">
        <f>SUM(K1877:K1879)</f>
        <v>0</v>
      </c>
      <c r="L1880" s="1243"/>
    </row>
    <row r="1881" spans="1:13" x14ac:dyDescent="0.25">
      <c r="A1881" s="251"/>
      <c r="B1881" s="75"/>
      <c r="C1881" s="252"/>
      <c r="D1881" s="75"/>
      <c r="E1881" s="75"/>
      <c r="F1881" s="75"/>
      <c r="G1881" s="75"/>
      <c r="H1881" s="101"/>
      <c r="I1881" s="101"/>
      <c r="J1881" s="101"/>
      <c r="K1881" s="102"/>
    </row>
    <row r="1882" spans="1:13" x14ac:dyDescent="0.25">
      <c r="A1882" s="251"/>
      <c r="B1882" s="75"/>
      <c r="C1882" s="252"/>
      <c r="D1882" s="75"/>
      <c r="E1882" s="75"/>
      <c r="F1882" s="75"/>
      <c r="G1882" s="75"/>
      <c r="H1882" s="101"/>
      <c r="I1882" s="101"/>
      <c r="J1882" s="101"/>
      <c r="K1882" s="102"/>
    </row>
    <row r="1883" spans="1:13" x14ac:dyDescent="0.25">
      <c r="A1883" s="251"/>
      <c r="B1883" s="75"/>
      <c r="C1883" s="252"/>
      <c r="D1883" s="75"/>
      <c r="E1883" s="75"/>
      <c r="F1883" s="75"/>
      <c r="G1883" s="75"/>
      <c r="H1883" s="101"/>
      <c r="I1883" s="101"/>
      <c r="J1883" s="101"/>
      <c r="K1883" s="102"/>
    </row>
    <row r="1884" spans="1:13" s="10" customFormat="1" x14ac:dyDescent="0.25">
      <c r="A1884" s="251"/>
      <c r="B1884" s="75"/>
      <c r="C1884" s="252"/>
      <c r="D1884" s="75"/>
      <c r="E1884" s="75"/>
      <c r="F1884" s="75"/>
      <c r="G1884" s="75"/>
      <c r="H1884" s="101"/>
      <c r="I1884" s="101"/>
      <c r="J1884" s="101"/>
      <c r="K1884" s="102"/>
      <c r="M1884"/>
    </row>
    <row r="1885" spans="1:13" s="10" customFormat="1" x14ac:dyDescent="0.25">
      <c r="A1885" s="251"/>
      <c r="B1885" s="75"/>
      <c r="C1885" s="252"/>
      <c r="D1885" s="75"/>
      <c r="E1885" s="75"/>
      <c r="F1885" s="75"/>
      <c r="G1885" s="75"/>
      <c r="H1885" s="101"/>
      <c r="I1885" s="101"/>
      <c r="J1885" s="101"/>
      <c r="K1885" s="102"/>
      <c r="M1885"/>
    </row>
    <row r="1886" spans="1:13" s="10" customFormat="1" x14ac:dyDescent="0.25">
      <c r="A1886" s="251"/>
      <c r="B1886" s="75"/>
      <c r="C1886" s="252"/>
      <c r="D1886" s="75"/>
      <c r="E1886" s="75"/>
      <c r="F1886" s="75"/>
      <c r="G1886" s="75"/>
      <c r="H1886" s="101"/>
      <c r="I1886" s="101"/>
      <c r="J1886" s="101"/>
      <c r="K1886" s="102"/>
      <c r="M1886"/>
    </row>
    <row r="1887" spans="1:13" s="10" customFormat="1" x14ac:dyDescent="0.25">
      <c r="A1887" s="251"/>
      <c r="B1887" s="75"/>
      <c r="C1887" s="252"/>
      <c r="D1887" s="75"/>
      <c r="E1887" s="75"/>
      <c r="F1887" s="75"/>
      <c r="G1887" s="75"/>
      <c r="H1887" s="101"/>
      <c r="I1887" s="101"/>
      <c r="J1887" s="101"/>
      <c r="K1887" s="102"/>
      <c r="M1887"/>
    </row>
    <row r="1888" spans="1:13" s="10" customFormat="1" x14ac:dyDescent="0.25">
      <c r="A1888" s="251"/>
      <c r="B1888" s="75"/>
      <c r="C1888" s="252"/>
      <c r="D1888" s="75"/>
      <c r="E1888" s="75"/>
      <c r="F1888" s="75"/>
      <c r="G1888" s="75"/>
      <c r="H1888" s="101"/>
      <c r="I1888" s="101"/>
      <c r="J1888" s="101"/>
      <c r="K1888" s="102"/>
      <c r="M1888"/>
    </row>
    <row r="1889" spans="1:13" s="10" customFormat="1" x14ac:dyDescent="0.25">
      <c r="A1889" s="251"/>
      <c r="B1889" s="75"/>
      <c r="C1889" s="252"/>
      <c r="D1889" s="75"/>
      <c r="E1889" s="75"/>
      <c r="F1889" s="75"/>
      <c r="G1889" s="75"/>
      <c r="H1889" s="101"/>
      <c r="I1889" s="101"/>
      <c r="J1889" s="101"/>
      <c r="K1889" s="102"/>
      <c r="M1889"/>
    </row>
    <row r="1890" spans="1:13" s="10" customFormat="1" x14ac:dyDescent="0.25">
      <c r="A1890" s="251"/>
      <c r="B1890" s="75"/>
      <c r="C1890" s="252"/>
      <c r="D1890" s="75"/>
      <c r="E1890" s="75"/>
      <c r="F1890" s="75"/>
      <c r="G1890" s="75"/>
      <c r="H1890" s="101"/>
      <c r="I1890" s="101"/>
      <c r="J1890" s="101"/>
      <c r="K1890" s="102"/>
      <c r="M1890"/>
    </row>
    <row r="1891" spans="1:13" s="10" customFormat="1" x14ac:dyDescent="0.25">
      <c r="A1891" s="251"/>
      <c r="B1891" s="75"/>
      <c r="C1891" s="252"/>
      <c r="D1891" s="75"/>
      <c r="E1891" s="75"/>
      <c r="F1891" s="75"/>
      <c r="G1891" s="75"/>
      <c r="H1891" s="101"/>
      <c r="I1891" s="101"/>
      <c r="J1891" s="101"/>
      <c r="K1891" s="102"/>
      <c r="M1891"/>
    </row>
    <row r="1892" spans="1:13" s="10" customFormat="1" x14ac:dyDescent="0.25">
      <c r="A1892" s="251"/>
      <c r="B1892" s="75"/>
      <c r="C1892" s="252"/>
      <c r="D1892" s="75"/>
      <c r="E1892" s="75"/>
      <c r="F1892" s="75"/>
      <c r="G1892" s="75"/>
      <c r="H1892" s="101"/>
      <c r="I1892" s="101"/>
      <c r="J1892" s="101"/>
      <c r="K1892" s="102"/>
      <c r="M1892"/>
    </row>
    <row r="1893" spans="1:13" s="10" customFormat="1" x14ac:dyDescent="0.25">
      <c r="A1893" s="251"/>
      <c r="B1893" s="75"/>
      <c r="C1893" s="252"/>
      <c r="D1893" s="75"/>
      <c r="E1893" s="75"/>
      <c r="F1893" s="75"/>
      <c r="G1893" s="75"/>
      <c r="H1893" s="101"/>
      <c r="I1893" s="101"/>
      <c r="J1893" s="101"/>
      <c r="K1893" s="102"/>
      <c r="M1893"/>
    </row>
    <row r="1894" spans="1:13" s="10" customFormat="1" x14ac:dyDescent="0.25">
      <c r="A1894" s="251"/>
      <c r="B1894" s="75"/>
      <c r="C1894" s="252"/>
      <c r="D1894" s="75"/>
      <c r="E1894" s="75"/>
      <c r="F1894" s="75"/>
      <c r="G1894" s="75"/>
      <c r="H1894" s="101"/>
      <c r="I1894" s="101"/>
      <c r="J1894" s="101"/>
      <c r="K1894" s="102"/>
      <c r="M1894"/>
    </row>
    <row r="1895" spans="1:13" s="10" customFormat="1" x14ac:dyDescent="0.25">
      <c r="A1895" s="251"/>
      <c r="B1895" s="75"/>
      <c r="C1895" s="252"/>
      <c r="D1895" s="75"/>
      <c r="E1895" s="75"/>
      <c r="F1895" s="75"/>
      <c r="G1895" s="75"/>
      <c r="H1895" s="101"/>
      <c r="I1895" s="101"/>
      <c r="J1895" s="101"/>
      <c r="K1895" s="102"/>
      <c r="M1895"/>
    </row>
    <row r="1896" spans="1:13" x14ac:dyDescent="0.25">
      <c r="A1896" s="251"/>
      <c r="B1896" s="75"/>
      <c r="C1896" s="252"/>
      <c r="D1896" s="75"/>
      <c r="E1896" s="75"/>
      <c r="F1896" s="75"/>
      <c r="G1896" s="75"/>
      <c r="H1896" s="101"/>
      <c r="I1896" s="101"/>
      <c r="J1896" s="101"/>
      <c r="K1896" s="102"/>
    </row>
    <row r="1897" spans="1:13" x14ac:dyDescent="0.25">
      <c r="A1897" s="251"/>
      <c r="B1897" s="75"/>
      <c r="C1897" s="252"/>
      <c r="D1897" s="75"/>
      <c r="E1897" s="75"/>
      <c r="F1897" s="75"/>
      <c r="G1897" s="75"/>
      <c r="H1897" s="101"/>
      <c r="I1897" s="101"/>
      <c r="J1897" s="101"/>
      <c r="K1897" s="102"/>
    </row>
    <row r="1898" spans="1:13" x14ac:dyDescent="0.25">
      <c r="A1898" s="251"/>
      <c r="B1898" s="75"/>
      <c r="C1898" s="252"/>
      <c r="D1898" s="75"/>
      <c r="E1898" s="75"/>
      <c r="F1898" s="75"/>
      <c r="G1898" s="75"/>
      <c r="H1898" s="101"/>
      <c r="I1898" s="101"/>
      <c r="J1898" s="101"/>
      <c r="K1898" s="102"/>
    </row>
    <row r="1899" spans="1:13" ht="16.5" thickBot="1" x14ac:dyDescent="0.3">
      <c r="A1899" s="1193"/>
      <c r="B1899" s="256"/>
      <c r="C1899" s="255"/>
      <c r="D1899" s="256"/>
      <c r="E1899" s="256"/>
      <c r="F1899" s="256"/>
      <c r="G1899" s="256"/>
      <c r="H1899" s="219"/>
      <c r="I1899" s="219"/>
      <c r="J1899" s="219"/>
      <c r="K1899" s="220"/>
    </row>
    <row r="1900" spans="1:13" x14ac:dyDescent="0.25">
      <c r="A1900" s="75"/>
      <c r="B1900" s="75"/>
      <c r="C1900" s="252"/>
      <c r="D1900" s="75"/>
      <c r="E1900" s="75"/>
      <c r="F1900" s="75"/>
      <c r="G1900" s="75"/>
      <c r="H1900" s="141"/>
      <c r="I1900" s="141"/>
      <c r="J1900" s="141"/>
      <c r="K1900" s="122"/>
    </row>
    <row r="1901" spans="1:13" x14ac:dyDescent="0.25">
      <c r="A1901" s="75"/>
      <c r="B1901" s="75"/>
      <c r="C1901" s="252"/>
      <c r="D1901" s="75"/>
      <c r="E1901" s="75"/>
      <c r="F1901" s="75"/>
      <c r="G1901" s="75"/>
      <c r="H1901" s="141"/>
      <c r="I1901" s="141"/>
      <c r="J1901" s="141"/>
      <c r="K1901" s="122"/>
    </row>
    <row r="1902" spans="1:13" x14ac:dyDescent="0.25">
      <c r="A1902" s="75"/>
      <c r="B1902" s="75"/>
      <c r="C1902" s="252"/>
      <c r="D1902" s="75"/>
      <c r="E1902" s="75"/>
      <c r="F1902" s="75"/>
      <c r="G1902" s="75"/>
      <c r="H1902" s="141"/>
      <c r="I1902" s="141"/>
      <c r="J1902" s="141"/>
      <c r="K1902" s="122"/>
    </row>
    <row r="1903" spans="1:13" x14ac:dyDescent="0.25">
      <c r="A1903" s="75"/>
      <c r="B1903" s="75"/>
      <c r="C1903" s="252"/>
      <c r="D1903" s="75"/>
      <c r="E1903" s="75"/>
      <c r="F1903" s="75"/>
      <c r="G1903" s="75"/>
      <c r="H1903" s="141"/>
      <c r="I1903" s="141"/>
      <c r="J1903" s="141"/>
      <c r="K1903" s="122"/>
    </row>
    <row r="1904" spans="1:13" x14ac:dyDescent="0.25">
      <c r="A1904" s="75"/>
      <c r="B1904" s="75"/>
      <c r="C1904" s="252"/>
      <c r="D1904" s="75"/>
      <c r="E1904" s="75"/>
      <c r="F1904" s="75"/>
      <c r="G1904" s="75"/>
      <c r="H1904" s="141"/>
      <c r="I1904" s="141"/>
      <c r="J1904" s="141"/>
      <c r="K1904" s="122"/>
    </row>
    <row r="1905" spans="1:12" x14ac:dyDescent="0.25">
      <c r="A1905" s="75"/>
      <c r="B1905" s="75"/>
      <c r="C1905" s="252"/>
      <c r="D1905" s="75"/>
      <c r="E1905" s="75"/>
      <c r="F1905" s="75"/>
      <c r="G1905" s="75"/>
      <c r="H1905" s="141"/>
      <c r="I1905" s="141"/>
      <c r="J1905" s="141"/>
      <c r="K1905" s="122"/>
    </row>
    <row r="1906" spans="1:12" x14ac:dyDescent="0.25">
      <c r="A1906" s="75"/>
      <c r="B1906" s="75"/>
      <c r="C1906" s="252"/>
      <c r="D1906" s="75"/>
      <c r="E1906" s="75"/>
      <c r="F1906" s="75"/>
      <c r="G1906" s="75"/>
      <c r="H1906" s="141"/>
      <c r="I1906" s="141"/>
      <c r="J1906" s="141"/>
      <c r="K1906" s="122"/>
    </row>
    <row r="1907" spans="1:12" x14ac:dyDescent="0.25">
      <c r="A1907" s="75"/>
      <c r="B1907" s="75"/>
      <c r="C1907" s="252"/>
      <c r="D1907" s="75"/>
      <c r="E1907" s="75"/>
      <c r="F1907" s="75"/>
      <c r="G1907" s="75"/>
      <c r="H1907" s="141"/>
      <c r="I1907" s="141"/>
      <c r="J1907" s="141"/>
      <c r="K1907" s="122"/>
    </row>
    <row r="1908" spans="1:12" s="146" customFormat="1" ht="18" customHeight="1" x14ac:dyDescent="0.25">
      <c r="A1908" s="9" t="s">
        <v>112</v>
      </c>
      <c r="B1908" s="9"/>
      <c r="C1908" s="9"/>
      <c r="D1908" s="9"/>
      <c r="E1908" s="9"/>
      <c r="F1908" s="9"/>
      <c r="G1908" s="9"/>
      <c r="H1908" s="5"/>
      <c r="I1908" s="5"/>
      <c r="J1908" s="5"/>
      <c r="K1908" s="5"/>
      <c r="L1908" s="10"/>
    </row>
    <row r="1909" spans="1:12" ht="18" customHeight="1" x14ac:dyDescent="0.25">
      <c r="A1909" s="8" t="s">
        <v>891</v>
      </c>
    </row>
    <row r="1910" spans="1:12" ht="18" customHeight="1" x14ac:dyDescent="0.25">
      <c r="A1910" s="1636" t="s">
        <v>113</v>
      </c>
      <c r="B1910" s="1636"/>
      <c r="C1910" s="1636"/>
      <c r="D1910" s="1636"/>
      <c r="E1910" s="1636"/>
      <c r="F1910" s="1636"/>
      <c r="G1910" s="1636"/>
      <c r="H1910" s="1636"/>
      <c r="I1910" s="1636"/>
      <c r="J1910" s="1636"/>
      <c r="K1910" s="1060"/>
    </row>
    <row r="1911" spans="1:12" s="7" customFormat="1" ht="18" customHeight="1" x14ac:dyDescent="0.25">
      <c r="A1911" s="1624" t="s">
        <v>114</v>
      </c>
      <c r="B1911" s="1624"/>
      <c r="C1911" s="1624"/>
      <c r="D1911" s="1624"/>
      <c r="E1911" s="1624"/>
      <c r="F1911" s="1624"/>
      <c r="G1911" s="1624"/>
      <c r="H1911" s="1624"/>
      <c r="I1911" s="1624"/>
      <c r="J1911" s="1624"/>
      <c r="K1911" s="159"/>
      <c r="L1911" s="6"/>
    </row>
    <row r="1913" spans="1:12" ht="16.5" thickBot="1" x14ac:dyDescent="0.3"/>
    <row r="1914" spans="1:12" s="48" customFormat="1" ht="21.75" customHeight="1" thickBot="1" x14ac:dyDescent="0.3">
      <c r="A1914" s="1655" t="s">
        <v>115</v>
      </c>
      <c r="B1914" s="1655"/>
      <c r="C1914" s="1655"/>
      <c r="D1914" s="1655"/>
      <c r="E1914" s="1655"/>
      <c r="F1914" s="1655"/>
      <c r="G1914" s="1151"/>
      <c r="H1914" s="1708" t="s">
        <v>1537</v>
      </c>
      <c r="I1914" s="1710" t="s">
        <v>1538</v>
      </c>
      <c r="J1914" s="1710" t="s">
        <v>1539</v>
      </c>
      <c r="K1914" s="1710" t="s">
        <v>1540</v>
      </c>
      <c r="L1914" s="47"/>
    </row>
    <row r="1915" spans="1:12" s="1153" customFormat="1" ht="31.5" customHeight="1" thickBot="1" x14ac:dyDescent="0.3">
      <c r="A1915" s="1655"/>
      <c r="B1915" s="1655"/>
      <c r="C1915" s="1655"/>
      <c r="D1915" s="1655"/>
      <c r="E1915" s="1655"/>
      <c r="F1915" s="1655"/>
      <c r="G1915" s="1067" t="s">
        <v>116</v>
      </c>
      <c r="H1915" s="1709"/>
      <c r="I1915" s="1710"/>
      <c r="J1915" s="1710"/>
      <c r="K1915" s="1710"/>
      <c r="L1915" s="1152"/>
    </row>
    <row r="1916" spans="1:12" ht="18.75" thickBot="1" x14ac:dyDescent="0.3">
      <c r="A1916" s="1656" t="s">
        <v>1870</v>
      </c>
      <c r="B1916" s="1657"/>
      <c r="C1916" s="1657"/>
      <c r="D1916" s="1657"/>
      <c r="E1916" s="1657"/>
      <c r="F1916" s="1657"/>
      <c r="G1916" s="375"/>
      <c r="H1916" s="101"/>
      <c r="I1916" s="101"/>
      <c r="J1916" s="101"/>
      <c r="K1916" s="102"/>
    </row>
    <row r="1917" spans="1:12" ht="18" x14ac:dyDescent="0.25">
      <c r="A1917" s="1071"/>
      <c r="B1917" s="1047"/>
      <c r="C1917" s="1658" t="s">
        <v>786</v>
      </c>
      <c r="D1917" s="1658"/>
      <c r="E1917" s="1658"/>
      <c r="F1917" s="1659"/>
      <c r="G1917" s="376"/>
      <c r="H1917" s="101"/>
      <c r="I1917" s="101"/>
      <c r="J1917" s="101"/>
      <c r="K1917" s="102"/>
    </row>
    <row r="1918" spans="1:12" ht="15" customHeight="1" x14ac:dyDescent="0.25">
      <c r="A1918" s="1071"/>
      <c r="B1918" s="1047"/>
      <c r="C1918" s="1620" t="s">
        <v>787</v>
      </c>
      <c r="D1918" s="1620"/>
      <c r="E1918" s="1620"/>
      <c r="F1918" s="1048"/>
      <c r="G1918" s="376"/>
      <c r="H1918" s="101"/>
      <c r="I1918" s="101"/>
      <c r="J1918" s="101"/>
      <c r="K1918" s="102"/>
    </row>
    <row r="1919" spans="1:12" ht="18" x14ac:dyDescent="0.25">
      <c r="A1919" s="1071"/>
      <c r="B1919" s="1047"/>
      <c r="C1919" s="1654" t="s">
        <v>788</v>
      </c>
      <c r="D1919" s="1654"/>
      <c r="E1919" s="1654"/>
      <c r="F1919" s="1048"/>
      <c r="G1919" s="376"/>
      <c r="H1919" s="101"/>
      <c r="I1919" s="101"/>
      <c r="J1919" s="101"/>
      <c r="K1919" s="102"/>
    </row>
    <row r="1920" spans="1:12" s="191" customFormat="1" ht="18" x14ac:dyDescent="0.25">
      <c r="A1920" s="1071"/>
      <c r="B1920" s="1047"/>
      <c r="C1920" s="38" t="s">
        <v>789</v>
      </c>
      <c r="D1920" s="1041"/>
      <c r="E1920" s="1041"/>
      <c r="F1920" s="1048"/>
      <c r="G1920" s="376" t="s">
        <v>165</v>
      </c>
      <c r="H1920" s="101"/>
      <c r="I1920" s="101">
        <v>43000</v>
      </c>
      <c r="J1920" s="101">
        <v>43000</v>
      </c>
      <c r="K1920" s="102">
        <v>43000</v>
      </c>
      <c r="L1920" s="10"/>
    </row>
    <row r="1921" spans="1:12" ht="18" x14ac:dyDescent="0.25">
      <c r="A1921" s="1051"/>
      <c r="B1921" s="1041"/>
      <c r="C1921" s="1088" t="s">
        <v>790</v>
      </c>
      <c r="D1921" s="1086"/>
      <c r="E1921" s="1086"/>
      <c r="F1921" s="1039"/>
      <c r="G1921" s="376" t="s">
        <v>167</v>
      </c>
      <c r="H1921" s="101"/>
      <c r="I1921" s="101">
        <v>10000</v>
      </c>
      <c r="J1921" s="101">
        <v>10000</v>
      </c>
      <c r="K1921" s="102">
        <v>10000</v>
      </c>
    </row>
    <row r="1922" spans="1:12" ht="18" x14ac:dyDescent="0.25">
      <c r="A1922" s="1071"/>
      <c r="B1922" s="1047"/>
      <c r="C1922" s="38" t="s">
        <v>791</v>
      </c>
      <c r="D1922" s="1041"/>
      <c r="E1922" s="1041"/>
      <c r="F1922" s="1048"/>
      <c r="G1922" s="376" t="s">
        <v>169</v>
      </c>
      <c r="H1922" s="101"/>
      <c r="I1922" s="101">
        <v>90646</v>
      </c>
      <c r="J1922" s="101">
        <v>90646</v>
      </c>
      <c r="K1922" s="102">
        <v>90646</v>
      </c>
    </row>
    <row r="1923" spans="1:12" ht="18" x14ac:dyDescent="0.25">
      <c r="A1923" s="1071"/>
      <c r="B1923" s="1047"/>
      <c r="C1923" s="38" t="s">
        <v>792</v>
      </c>
      <c r="D1923" s="1041"/>
      <c r="E1923" s="1041"/>
      <c r="F1923" s="1048"/>
      <c r="G1923" s="376" t="s">
        <v>171</v>
      </c>
      <c r="H1923" s="101"/>
      <c r="I1923" s="101">
        <v>118174</v>
      </c>
      <c r="J1923" s="101">
        <v>118174</v>
      </c>
      <c r="K1923" s="102">
        <v>118174</v>
      </c>
    </row>
    <row r="1924" spans="1:12" ht="18" x14ac:dyDescent="0.25">
      <c r="A1924" s="1071"/>
      <c r="B1924" s="1047"/>
      <c r="C1924" s="38" t="s">
        <v>794</v>
      </c>
      <c r="D1924" s="1041"/>
      <c r="E1924" s="1041"/>
      <c r="F1924" s="1048"/>
      <c r="G1924" s="376" t="s">
        <v>383</v>
      </c>
      <c r="H1924" s="101"/>
      <c r="I1924" s="101">
        <v>4680</v>
      </c>
      <c r="J1924" s="101">
        <v>4680</v>
      </c>
      <c r="K1924" s="102">
        <v>4680</v>
      </c>
    </row>
    <row r="1925" spans="1:12" ht="18" x14ac:dyDescent="0.25">
      <c r="A1925" s="1071"/>
      <c r="B1925" s="1047"/>
      <c r="C1925" s="38" t="s">
        <v>795</v>
      </c>
      <c r="D1925" s="1041"/>
      <c r="E1925" s="1041"/>
      <c r="F1925" s="1048"/>
      <c r="G1925" s="376" t="s">
        <v>177</v>
      </c>
      <c r="H1925" s="101"/>
      <c r="I1925" s="101">
        <v>2000</v>
      </c>
      <c r="J1925" s="101">
        <v>2000</v>
      </c>
      <c r="K1925" s="102">
        <v>2000</v>
      </c>
    </row>
    <row r="1926" spans="1:12" ht="18" x14ac:dyDescent="0.25">
      <c r="A1926" s="1071"/>
      <c r="B1926" s="1047"/>
      <c r="C1926" s="38" t="s">
        <v>1871</v>
      </c>
      <c r="D1926" s="1041"/>
      <c r="E1926" s="1041"/>
      <c r="F1926" s="1048"/>
      <c r="G1926" s="376"/>
      <c r="H1926" s="101"/>
      <c r="I1926" s="101">
        <v>30000</v>
      </c>
      <c r="J1926" s="101">
        <v>30000</v>
      </c>
      <c r="K1926" s="102">
        <v>30000</v>
      </c>
    </row>
    <row r="1927" spans="1:12" ht="18" x14ac:dyDescent="0.25">
      <c r="A1927" s="1071"/>
      <c r="B1927" s="1047"/>
      <c r="C1927" s="38" t="s">
        <v>797</v>
      </c>
      <c r="D1927" s="1041"/>
      <c r="E1927" s="1041"/>
      <c r="F1927" s="1048"/>
      <c r="G1927" s="376" t="s">
        <v>282</v>
      </c>
      <c r="H1927" s="101"/>
      <c r="I1927" s="101">
        <v>1500</v>
      </c>
      <c r="J1927" s="101">
        <v>1500</v>
      </c>
      <c r="K1927" s="102">
        <v>1500</v>
      </c>
    </row>
    <row r="1928" spans="1:12" ht="18" x14ac:dyDescent="0.25">
      <c r="A1928" s="1071"/>
      <c r="B1928" s="1047"/>
      <c r="C1928" s="38" t="s">
        <v>798</v>
      </c>
      <c r="D1928" s="1041"/>
      <c r="E1928" s="1041"/>
      <c r="F1928" s="1048"/>
      <c r="G1928" s="376" t="s">
        <v>237</v>
      </c>
      <c r="H1928" s="105"/>
      <c r="I1928" s="105"/>
      <c r="J1928" s="105"/>
      <c r="K1928" s="106"/>
    </row>
    <row r="1929" spans="1:12" ht="18" x14ac:dyDescent="0.25">
      <c r="A1929" s="1071"/>
      <c r="B1929" s="1047"/>
      <c r="C1929" s="1047" t="s">
        <v>200</v>
      </c>
      <c r="D1929" s="235"/>
      <c r="E1929" s="1041"/>
      <c r="F1929" s="1047"/>
      <c r="G1929" s="1245"/>
      <c r="H1929" s="119">
        <f>SUM(H1920:H1928)</f>
        <v>0</v>
      </c>
      <c r="I1929" s="119">
        <f>SUM(I1920:I1928)</f>
        <v>300000</v>
      </c>
      <c r="J1929" s="119">
        <f>SUM(J1920:J1928)</f>
        <v>300000</v>
      </c>
      <c r="K1929" s="150">
        <f>SUM(K1920:K1928)</f>
        <v>300000</v>
      </c>
    </row>
    <row r="1930" spans="1:12" ht="18" x14ac:dyDescent="0.25">
      <c r="A1930" s="1071"/>
      <c r="B1930" s="1047"/>
      <c r="C1930" s="38"/>
      <c r="D1930" s="1047"/>
      <c r="E1930" s="1041"/>
      <c r="F1930" s="1047"/>
      <c r="G1930" s="380"/>
      <c r="H1930" s="155"/>
      <c r="I1930" s="155"/>
      <c r="J1930" s="155"/>
      <c r="K1930" s="156"/>
    </row>
    <row r="1931" spans="1:12" ht="18" customHeight="1" x14ac:dyDescent="0.25">
      <c r="A1931" s="1071"/>
      <c r="B1931" s="1047"/>
      <c r="C1931" s="124" t="s">
        <v>1872</v>
      </c>
      <c r="D1931" s="153"/>
      <c r="E1931" s="153"/>
      <c r="F1931" s="153"/>
      <c r="G1931" s="574"/>
      <c r="H1931" s="101"/>
      <c r="I1931" s="101"/>
      <c r="J1931" s="101"/>
      <c r="K1931" s="102"/>
    </row>
    <row r="1932" spans="1:12" s="191" customFormat="1" ht="18" customHeight="1" x14ac:dyDescent="0.25">
      <c r="A1932" s="1051"/>
      <c r="B1932" s="1041"/>
      <c r="C1932" s="1042" t="s">
        <v>1873</v>
      </c>
      <c r="D1932" s="113"/>
      <c r="E1932" s="113"/>
      <c r="F1932" s="113"/>
      <c r="G1932" s="971"/>
      <c r="H1932" s="101"/>
      <c r="I1932" s="101">
        <v>80000</v>
      </c>
      <c r="J1932" s="101"/>
      <c r="K1932" s="102"/>
      <c r="L1932" s="10"/>
    </row>
    <row r="1933" spans="1:12" ht="18" x14ac:dyDescent="0.25">
      <c r="A1933" s="1071"/>
      <c r="B1933" s="1047"/>
      <c r="C1933" s="38" t="s">
        <v>800</v>
      </c>
      <c r="D1933" s="1047"/>
      <c r="E1933" s="1047"/>
      <c r="F1933" s="1047"/>
      <c r="G1933" s="376"/>
      <c r="H1933" s="101"/>
      <c r="I1933" s="101"/>
      <c r="J1933" s="101"/>
      <c r="K1933" s="102"/>
    </row>
    <row r="1934" spans="1:12" ht="18" x14ac:dyDescent="0.25">
      <c r="A1934" s="1071"/>
      <c r="B1934" s="1047"/>
      <c r="C1934" s="38" t="s">
        <v>801</v>
      </c>
      <c r="D1934" s="1047"/>
      <c r="E1934" s="1047"/>
      <c r="F1934" s="1047"/>
      <c r="G1934" s="376"/>
      <c r="H1934" s="105"/>
      <c r="I1934" s="105"/>
      <c r="J1934" s="105"/>
      <c r="K1934" s="106"/>
    </row>
    <row r="1935" spans="1:12" ht="18" x14ac:dyDescent="0.25">
      <c r="A1935" s="1071"/>
      <c r="B1935" s="1047"/>
      <c r="C1935" s="1047" t="s">
        <v>200</v>
      </c>
      <c r="E1935" s="1047"/>
      <c r="F1935" s="1048"/>
      <c r="G1935" s="376"/>
      <c r="H1935" s="155">
        <f>SUM(H1931:H1934)</f>
        <v>0</v>
      </c>
      <c r="I1935" s="155">
        <f>SUM(I1931:I1934)</f>
        <v>80000</v>
      </c>
      <c r="J1935" s="155">
        <f>SUM(J1931:J1934)</f>
        <v>0</v>
      </c>
      <c r="K1935" s="156">
        <f>SUM(K1931:K1934)</f>
        <v>0</v>
      </c>
    </row>
    <row r="1936" spans="1:12" ht="16.5" customHeight="1" x14ac:dyDescent="0.25">
      <c r="A1936" s="1071"/>
      <c r="B1936" s="1047"/>
      <c r="C1936" s="1047" t="s">
        <v>208</v>
      </c>
      <c r="E1936" s="1047"/>
      <c r="F1936" s="1048"/>
      <c r="G1936" s="376"/>
      <c r="H1936" s="119">
        <f>H1935+H1929</f>
        <v>0</v>
      </c>
      <c r="I1936" s="119">
        <f>I1935+I1929</f>
        <v>380000</v>
      </c>
      <c r="J1936" s="119">
        <f>J1935+J1929</f>
        <v>300000</v>
      </c>
      <c r="K1936" s="150">
        <f>K1935+K1929</f>
        <v>300000</v>
      </c>
    </row>
    <row r="1937" spans="1:12" ht="16.5" customHeight="1" x14ac:dyDescent="0.25">
      <c r="A1937" s="1071"/>
      <c r="B1937" s="1047"/>
      <c r="C1937" s="1058"/>
      <c r="D1937" s="1047"/>
      <c r="E1937" s="1047"/>
      <c r="F1937" s="1048"/>
      <c r="G1937" s="376"/>
      <c r="H1937" s="155"/>
      <c r="I1937" s="155"/>
      <c r="J1937" s="155"/>
      <c r="K1937" s="156"/>
    </row>
    <row r="1938" spans="1:12" ht="18" x14ac:dyDescent="0.25">
      <c r="A1938" s="1071"/>
      <c r="B1938" s="1047"/>
      <c r="C1938" s="1620" t="s">
        <v>802</v>
      </c>
      <c r="D1938" s="1620"/>
      <c r="E1938" s="1620"/>
      <c r="F1938" s="1048"/>
      <c r="G1938" s="376"/>
      <c r="H1938" s="101"/>
      <c r="I1938" s="101"/>
      <c r="J1938" s="101"/>
      <c r="K1938" s="102"/>
    </row>
    <row r="1939" spans="1:12" ht="18" x14ac:dyDescent="0.25">
      <c r="A1939" s="1071"/>
      <c r="B1939" s="1047"/>
      <c r="C1939" s="1620" t="s">
        <v>1874</v>
      </c>
      <c r="D1939" s="1620"/>
      <c r="E1939" s="1620"/>
      <c r="F1939" s="1048"/>
      <c r="G1939" s="376"/>
      <c r="H1939" s="101"/>
      <c r="I1939" s="101"/>
      <c r="J1939" s="101"/>
      <c r="K1939" s="102"/>
    </row>
    <row r="1940" spans="1:12" s="146" customFormat="1" ht="18" x14ac:dyDescent="0.25">
      <c r="A1940" s="1071"/>
      <c r="B1940" s="1047"/>
      <c r="C1940" s="1654" t="s">
        <v>788</v>
      </c>
      <c r="D1940" s="1654"/>
      <c r="E1940" s="1654"/>
      <c r="F1940" s="1048"/>
      <c r="G1940" s="376"/>
      <c r="H1940" s="101"/>
      <c r="I1940" s="101"/>
      <c r="J1940" s="101"/>
      <c r="K1940" s="102"/>
      <c r="L1940" s="10"/>
    </row>
    <row r="1941" spans="1:12" s="229" customFormat="1" ht="18" x14ac:dyDescent="0.25">
      <c r="A1941" s="211"/>
      <c r="B1941" s="124"/>
      <c r="C1941" s="44" t="s">
        <v>1875</v>
      </c>
      <c r="D1941" s="125"/>
      <c r="E1941" s="125"/>
      <c r="F1941" s="134"/>
      <c r="G1941" s="100" t="s">
        <v>165</v>
      </c>
      <c r="H1941" s="101"/>
      <c r="I1941" s="1156">
        <v>112000</v>
      </c>
      <c r="J1941" s="1156">
        <v>112000</v>
      </c>
      <c r="K1941" s="102">
        <v>50000</v>
      </c>
      <c r="L1941" s="207"/>
    </row>
    <row r="1942" spans="1:12" s="229" customFormat="1" ht="18" customHeight="1" x14ac:dyDescent="0.25">
      <c r="A1942" s="211"/>
      <c r="B1942" s="124"/>
      <c r="C1942" s="44" t="s">
        <v>806</v>
      </c>
      <c r="D1942" s="125"/>
      <c r="E1942" s="125"/>
      <c r="F1942" s="134"/>
      <c r="G1942" s="100" t="s">
        <v>169</v>
      </c>
      <c r="H1942" s="101"/>
      <c r="I1942" s="1156">
        <v>5000</v>
      </c>
      <c r="J1942" s="1156">
        <v>5000</v>
      </c>
      <c r="K1942" s="102">
        <v>5000</v>
      </c>
      <c r="L1942" s="207"/>
    </row>
    <row r="1943" spans="1:12" s="229" customFormat="1" ht="18" customHeight="1" x14ac:dyDescent="0.25">
      <c r="A1943" s="211"/>
      <c r="B1943" s="124"/>
      <c r="C1943" s="44" t="s">
        <v>807</v>
      </c>
      <c r="D1943" s="125"/>
      <c r="E1943" s="125"/>
      <c r="F1943" s="134"/>
      <c r="G1943" s="100" t="s">
        <v>183</v>
      </c>
      <c r="H1943" s="101"/>
      <c r="I1943" s="1156"/>
      <c r="J1943" s="1156"/>
      <c r="K1943" s="102"/>
      <c r="L1943" s="207"/>
    </row>
    <row r="1944" spans="1:12" s="229" customFormat="1" ht="18" customHeight="1" x14ac:dyDescent="0.25">
      <c r="A1944" s="211"/>
      <c r="B1944" s="124"/>
      <c r="C1944" s="44" t="s">
        <v>814</v>
      </c>
      <c r="D1944" s="125"/>
      <c r="E1944" s="125"/>
      <c r="F1944" s="134"/>
      <c r="G1944" s="100"/>
      <c r="H1944" s="101"/>
      <c r="I1944" s="1156">
        <v>21600</v>
      </c>
      <c r="J1944" s="1156">
        <v>21600</v>
      </c>
      <c r="K1944" s="102">
        <v>21600</v>
      </c>
      <c r="L1944" s="207"/>
    </row>
    <row r="1945" spans="1:12" s="229" customFormat="1" ht="18" customHeight="1" x14ac:dyDescent="0.25">
      <c r="A1945" s="211"/>
      <c r="B1945" s="124"/>
      <c r="C1945" s="44" t="s">
        <v>808</v>
      </c>
      <c r="D1945" s="125"/>
      <c r="E1945" s="125"/>
      <c r="F1945" s="134"/>
      <c r="G1945" s="100" t="s">
        <v>199</v>
      </c>
      <c r="H1945" s="105"/>
      <c r="I1945" s="1246">
        <v>60000</v>
      </c>
      <c r="J1945" s="1246">
        <v>60000</v>
      </c>
      <c r="K1945" s="106">
        <v>60000</v>
      </c>
      <c r="L1945" s="207"/>
    </row>
    <row r="1946" spans="1:12" s="146" customFormat="1" ht="18" x14ac:dyDescent="0.25">
      <c r="A1946" s="1071"/>
      <c r="B1946" s="1047"/>
      <c r="C1946" s="1047" t="s">
        <v>200</v>
      </c>
      <c r="E1946" s="1041"/>
      <c r="F1946" s="1039"/>
      <c r="G1946" s="100"/>
      <c r="H1946" s="119">
        <f>SUM(H1941:H1945)</f>
        <v>0</v>
      </c>
      <c r="I1946" s="119">
        <f>SUM(I1941:I1945)</f>
        <v>198600</v>
      </c>
      <c r="J1946" s="119">
        <f>SUM(J1941:J1945)</f>
        <v>198600</v>
      </c>
      <c r="K1946" s="150">
        <f>SUM(K1941:K1945)</f>
        <v>136600</v>
      </c>
      <c r="L1946" s="10"/>
    </row>
    <row r="1947" spans="1:12" s="146" customFormat="1" ht="18" x14ac:dyDescent="0.25">
      <c r="A1947" s="1071"/>
      <c r="B1947" s="1047"/>
      <c r="C1947" s="1045"/>
      <c r="D1947" s="1047"/>
      <c r="E1947" s="1041"/>
      <c r="F1947" s="1039"/>
      <c r="G1947" s="100"/>
      <c r="H1947" s="155"/>
      <c r="I1947" s="155"/>
      <c r="J1947" s="155"/>
      <c r="K1947" s="156"/>
      <c r="L1947" s="10"/>
    </row>
    <row r="1948" spans="1:12" s="146" customFormat="1" ht="18" customHeight="1" x14ac:dyDescent="0.25">
      <c r="A1948" s="1071"/>
      <c r="B1948" s="1047"/>
      <c r="C1948" s="36" t="s">
        <v>1872</v>
      </c>
      <c r="D1948" s="1047"/>
      <c r="E1948" s="1047"/>
      <c r="F1948" s="1048"/>
      <c r="G1948" s="376"/>
      <c r="H1948" s="101"/>
      <c r="I1948" s="101"/>
      <c r="J1948" s="101"/>
      <c r="K1948" s="102"/>
      <c r="L1948" s="10"/>
    </row>
    <row r="1949" spans="1:12" s="146" customFormat="1" ht="18" customHeight="1" x14ac:dyDescent="0.25">
      <c r="A1949" s="1071"/>
      <c r="B1949" s="1047"/>
      <c r="C1949" s="38" t="s">
        <v>809</v>
      </c>
      <c r="D1949" s="1047"/>
      <c r="E1949" s="1047"/>
      <c r="F1949" s="1048"/>
      <c r="G1949" s="376"/>
      <c r="H1949" s="101"/>
      <c r="I1949" s="101"/>
      <c r="J1949" s="101"/>
      <c r="K1949" s="102"/>
      <c r="L1949" s="10"/>
    </row>
    <row r="1950" spans="1:12" s="146" customFormat="1" ht="18" customHeight="1" x14ac:dyDescent="0.25">
      <c r="A1950" s="1071"/>
      <c r="B1950" s="1047"/>
      <c r="C1950" s="38" t="s">
        <v>810</v>
      </c>
      <c r="D1950" s="1047"/>
      <c r="E1950" s="1047"/>
      <c r="F1950" s="1048"/>
      <c r="G1950" s="376"/>
      <c r="H1950" s="105"/>
      <c r="I1950" s="105"/>
      <c r="J1950" s="105"/>
      <c r="K1950" s="106"/>
      <c r="L1950" s="10"/>
    </row>
    <row r="1951" spans="1:12" s="146" customFormat="1" ht="18.75" thickBot="1" x14ac:dyDescent="0.3">
      <c r="A1951" s="1071"/>
      <c r="B1951" s="1047"/>
      <c r="C1951" s="1047" t="s">
        <v>200</v>
      </c>
      <c r="E1951" s="1047"/>
      <c r="F1951" s="1048"/>
      <c r="G1951" s="376"/>
      <c r="H1951" s="182">
        <f>SUM(H1949:H1950)</f>
        <v>0</v>
      </c>
      <c r="I1951" s="182">
        <f>SUM(I1949:I1950)</f>
        <v>0</v>
      </c>
      <c r="J1951" s="182">
        <f>SUM(J1949:J1950)</f>
        <v>0</v>
      </c>
      <c r="K1951" s="183">
        <f>SUM(K1949:K1950)</f>
        <v>0</v>
      </c>
      <c r="L1951" s="10"/>
    </row>
    <row r="1952" spans="1:12" s="146" customFormat="1" ht="18" customHeight="1" x14ac:dyDescent="0.25">
      <c r="A1952" s="1071"/>
      <c r="B1952" s="1047"/>
      <c r="C1952" s="1047" t="s">
        <v>208</v>
      </c>
      <c r="E1952" s="1047"/>
      <c r="F1952" s="1048"/>
      <c r="G1952" s="376"/>
      <c r="H1952" s="155">
        <f>H1951+H1946</f>
        <v>0</v>
      </c>
      <c r="I1952" s="155">
        <f>I1951+I1946</f>
        <v>198600</v>
      </c>
      <c r="J1952" s="155">
        <f>J1951+J1946</f>
        <v>198600</v>
      </c>
      <c r="K1952" s="156">
        <f>K1951+K1946</f>
        <v>136600</v>
      </c>
      <c r="L1952" s="10"/>
    </row>
    <row r="1953" spans="1:12" s="146" customFormat="1" ht="18" customHeight="1" x14ac:dyDescent="0.25">
      <c r="A1953" s="1071"/>
      <c r="B1953" s="1047"/>
      <c r="C1953" s="1058"/>
      <c r="D1953" s="1047"/>
      <c r="E1953" s="1047"/>
      <c r="F1953" s="1048"/>
      <c r="G1953" s="376"/>
      <c r="H1953" s="155"/>
      <c r="I1953" s="155"/>
      <c r="J1953" s="155"/>
      <c r="K1953" s="156"/>
      <c r="L1953" s="10"/>
    </row>
    <row r="1954" spans="1:12" s="146" customFormat="1" ht="18" x14ac:dyDescent="0.25">
      <c r="A1954" s="1051"/>
      <c r="B1954" s="1041"/>
      <c r="C1954" s="1620" t="s">
        <v>812</v>
      </c>
      <c r="D1954" s="1620"/>
      <c r="E1954" s="1620"/>
      <c r="F1954" s="1621"/>
      <c r="G1954" s="100"/>
      <c r="H1954" s="101"/>
      <c r="I1954" s="101"/>
      <c r="J1954" s="101"/>
      <c r="K1954" s="102"/>
      <c r="L1954" s="10"/>
    </row>
    <row r="1955" spans="1:12" s="146" customFormat="1" ht="18" x14ac:dyDescent="0.25">
      <c r="A1955" s="1051"/>
      <c r="B1955" s="1041"/>
      <c r="C1955" s="1620" t="s">
        <v>813</v>
      </c>
      <c r="D1955" s="1620"/>
      <c r="E1955" s="1620"/>
      <c r="F1955" s="1621"/>
      <c r="G1955" s="100"/>
      <c r="H1955" s="101"/>
      <c r="I1955" s="101"/>
      <c r="J1955" s="101"/>
      <c r="K1955" s="102"/>
      <c r="L1955" s="10"/>
    </row>
    <row r="1956" spans="1:12" s="146" customFormat="1" ht="18" x14ac:dyDescent="0.25">
      <c r="A1956" s="1051"/>
      <c r="B1956" s="1041"/>
      <c r="C1956" s="1062" t="s">
        <v>805</v>
      </c>
      <c r="D1956" s="1047"/>
      <c r="E1956" s="1047"/>
      <c r="F1956" s="1048"/>
      <c r="G1956" s="100"/>
      <c r="H1956" s="101"/>
      <c r="I1956" s="101">
        <v>60000</v>
      </c>
      <c r="J1956" s="101">
        <v>60000</v>
      </c>
      <c r="K1956" s="102">
        <v>50000</v>
      </c>
      <c r="L1956" s="10"/>
    </row>
    <row r="1957" spans="1:12" s="146" customFormat="1" ht="18" x14ac:dyDescent="0.25">
      <c r="A1957" s="1051"/>
      <c r="B1957" s="1041"/>
      <c r="C1957" s="1602" t="s">
        <v>1875</v>
      </c>
      <c r="D1957" s="1603"/>
      <c r="E1957" s="1603"/>
      <c r="F1957" s="1603"/>
      <c r="G1957" s="100" t="s">
        <v>165</v>
      </c>
      <c r="H1957" s="250"/>
      <c r="I1957" s="250">
        <v>65000</v>
      </c>
      <c r="J1957" s="250">
        <v>65000</v>
      </c>
      <c r="K1957" s="233">
        <v>50000</v>
      </c>
      <c r="L1957" s="10"/>
    </row>
    <row r="1958" spans="1:12" s="146" customFormat="1" ht="18" x14ac:dyDescent="0.25">
      <c r="A1958" s="1051"/>
      <c r="B1958" s="1041"/>
      <c r="C1958" s="1602" t="s">
        <v>806</v>
      </c>
      <c r="D1958" s="1603"/>
      <c r="E1958" s="1603"/>
      <c r="F1958" s="1603"/>
      <c r="G1958" s="100" t="s">
        <v>169</v>
      </c>
      <c r="H1958" s="101"/>
      <c r="I1958" s="101">
        <v>42000</v>
      </c>
      <c r="J1958" s="101">
        <v>42000</v>
      </c>
      <c r="K1958" s="102">
        <v>10000</v>
      </c>
      <c r="L1958" s="10"/>
    </row>
    <row r="1959" spans="1:12" s="146" customFormat="1" ht="18" x14ac:dyDescent="0.25">
      <c r="A1959" s="1051"/>
      <c r="B1959" s="1041"/>
      <c r="C1959" s="1602" t="s">
        <v>865</v>
      </c>
      <c r="D1959" s="1603"/>
      <c r="E1959" s="1603"/>
      <c r="F1959" s="1603"/>
      <c r="G1959" s="100"/>
      <c r="H1959" s="101"/>
      <c r="I1959" s="101">
        <v>23000</v>
      </c>
      <c r="J1959" s="101">
        <v>23000</v>
      </c>
      <c r="K1959" s="102">
        <v>8000</v>
      </c>
      <c r="L1959" s="10"/>
    </row>
    <row r="1960" spans="1:12" s="146" customFormat="1" ht="18" x14ac:dyDescent="0.25">
      <c r="A1960" s="1051"/>
      <c r="B1960" s="1041"/>
      <c r="C1960" s="1602" t="s">
        <v>808</v>
      </c>
      <c r="D1960" s="1603"/>
      <c r="E1960" s="1603"/>
      <c r="F1960" s="1603"/>
      <c r="G1960" s="100" t="s">
        <v>199</v>
      </c>
      <c r="H1960" s="105"/>
      <c r="I1960" s="105">
        <v>150000</v>
      </c>
      <c r="J1960" s="105">
        <v>150000</v>
      </c>
      <c r="K1960" s="106">
        <v>102000</v>
      </c>
      <c r="L1960" s="10"/>
    </row>
    <row r="1961" spans="1:12" s="146" customFormat="1" ht="15.75" customHeight="1" x14ac:dyDescent="0.25">
      <c r="A1961" s="1051"/>
      <c r="B1961" s="1041"/>
      <c r="C1961" s="1047" t="s">
        <v>15</v>
      </c>
      <c r="E1961" s="1041"/>
      <c r="F1961" s="1039"/>
      <c r="G1961" s="100"/>
      <c r="H1961" s="155">
        <f>SUM(H1956:H1960)</f>
        <v>0</v>
      </c>
      <c r="I1961" s="155">
        <f>SUM(I1956:I1960)</f>
        <v>340000</v>
      </c>
      <c r="J1961" s="155">
        <f>SUM(J1956:J1960)</f>
        <v>340000</v>
      </c>
      <c r="K1961" s="156">
        <f>SUM(K1956:K1960)</f>
        <v>220000</v>
      </c>
      <c r="L1961" s="10"/>
    </row>
    <row r="1962" spans="1:12" s="146" customFormat="1" ht="15.75" customHeight="1" x14ac:dyDescent="0.25">
      <c r="A1962" s="1051"/>
      <c r="B1962" s="1041"/>
      <c r="C1962" s="1047"/>
      <c r="E1962" s="1041"/>
      <c r="F1962" s="1039"/>
      <c r="G1962" s="100"/>
      <c r="H1962" s="155"/>
      <c r="I1962" s="155"/>
      <c r="J1962" s="155"/>
      <c r="K1962" s="156"/>
      <c r="L1962" s="10"/>
    </row>
    <row r="1963" spans="1:12" s="146" customFormat="1" ht="18" x14ac:dyDescent="0.25">
      <c r="A1963" s="1051"/>
      <c r="B1963" s="1041"/>
      <c r="C1963" s="1620" t="s">
        <v>818</v>
      </c>
      <c r="D1963" s="1620"/>
      <c r="E1963" s="1620"/>
      <c r="F1963" s="1621"/>
      <c r="G1963" s="100"/>
      <c r="H1963" s="101"/>
      <c r="I1963" s="101"/>
      <c r="J1963" s="101"/>
      <c r="K1963" s="102"/>
      <c r="L1963" s="10"/>
    </row>
    <row r="1964" spans="1:12" s="146" customFormat="1" ht="18" x14ac:dyDescent="0.25">
      <c r="A1964" s="1051"/>
      <c r="B1964" s="1041"/>
      <c r="C1964" s="1620" t="s">
        <v>813</v>
      </c>
      <c r="D1964" s="1620"/>
      <c r="E1964" s="1620"/>
      <c r="F1964" s="1621"/>
      <c r="G1964" s="100"/>
      <c r="H1964" s="101"/>
      <c r="I1964" s="101"/>
      <c r="J1964" s="101"/>
      <c r="K1964" s="102"/>
      <c r="L1964" s="10"/>
    </row>
    <row r="1965" spans="1:12" s="229" customFormat="1" ht="18" customHeight="1" x14ac:dyDescent="0.25">
      <c r="A1965" s="154"/>
      <c r="B1965" s="1042"/>
      <c r="C1965" s="1062" t="s">
        <v>819</v>
      </c>
      <c r="D1965" s="124"/>
      <c r="E1965" s="124"/>
      <c r="F1965" s="230"/>
      <c r="G1965" s="100" t="s">
        <v>167</v>
      </c>
      <c r="H1965" s="101"/>
      <c r="I1965" s="101">
        <v>130000</v>
      </c>
      <c r="J1965" s="101">
        <v>130000</v>
      </c>
      <c r="K1965" s="102">
        <v>50000</v>
      </c>
      <c r="L1965" s="207"/>
    </row>
    <row r="1966" spans="1:12" s="229" customFormat="1" ht="18" x14ac:dyDescent="0.25">
      <c r="A1966" s="154"/>
      <c r="B1966" s="1042"/>
      <c r="C1966" s="1062" t="s">
        <v>820</v>
      </c>
      <c r="D1966" s="1042"/>
      <c r="E1966" s="1042"/>
      <c r="F1966" s="1043"/>
      <c r="G1966" s="100" t="s">
        <v>169</v>
      </c>
      <c r="H1966" s="101"/>
      <c r="I1966" s="101">
        <v>53942</v>
      </c>
      <c r="J1966" s="101">
        <v>53942</v>
      </c>
      <c r="K1966" s="102">
        <v>10000</v>
      </c>
      <c r="L1966" s="207"/>
    </row>
    <row r="1967" spans="1:12" s="229" customFormat="1" ht="18" x14ac:dyDescent="0.25">
      <c r="A1967" s="154"/>
      <c r="B1967" s="1042"/>
      <c r="C1967" s="1062" t="s">
        <v>821</v>
      </c>
      <c r="D1967" s="1042"/>
      <c r="E1967" s="1042"/>
      <c r="F1967" s="1043"/>
      <c r="G1967" s="100" t="s">
        <v>171</v>
      </c>
      <c r="H1967" s="101"/>
      <c r="I1967" s="101">
        <v>37543</v>
      </c>
      <c r="J1967" s="101">
        <v>37543</v>
      </c>
      <c r="K1967" s="102">
        <v>20000</v>
      </c>
      <c r="L1967" s="207"/>
    </row>
    <row r="1968" spans="1:12" s="229" customFormat="1" ht="18" x14ac:dyDescent="0.25">
      <c r="A1968" s="154"/>
      <c r="B1968" s="1042"/>
      <c r="C1968" s="1062" t="s">
        <v>822</v>
      </c>
      <c r="D1968" s="1042"/>
      <c r="E1968" s="1042"/>
      <c r="F1968" s="1043"/>
      <c r="G1968" s="100" t="s">
        <v>183</v>
      </c>
      <c r="H1968" s="101"/>
      <c r="I1968" s="101">
        <v>54000</v>
      </c>
      <c r="J1968" s="101">
        <v>54000</v>
      </c>
      <c r="K1968" s="102">
        <v>30000</v>
      </c>
      <c r="L1968" s="207"/>
    </row>
    <row r="1969" spans="1:12" s="229" customFormat="1" ht="18" x14ac:dyDescent="0.25">
      <c r="A1969" s="154"/>
      <c r="B1969" s="1042"/>
      <c r="C1969" s="44" t="s">
        <v>808</v>
      </c>
      <c r="D1969" s="125"/>
      <c r="E1969" s="125"/>
      <c r="F1969" s="134"/>
      <c r="G1969" s="100" t="s">
        <v>199</v>
      </c>
      <c r="H1969" s="101"/>
      <c r="I1969" s="101">
        <v>102000</v>
      </c>
      <c r="J1969" s="101">
        <v>102000</v>
      </c>
      <c r="K1969" s="102">
        <v>102000</v>
      </c>
      <c r="L1969" s="207"/>
    </row>
    <row r="1970" spans="1:12" s="146" customFormat="1" ht="18.75" thickBot="1" x14ac:dyDescent="0.3">
      <c r="A1970" s="1051"/>
      <c r="B1970" s="1041"/>
      <c r="C1970" s="1058" t="s">
        <v>823</v>
      </c>
      <c r="D1970" s="1041"/>
      <c r="E1970" s="1041"/>
      <c r="F1970" s="1039"/>
      <c r="G1970" s="308"/>
      <c r="H1970" s="123">
        <f>SUM(H1965:H1969)</f>
        <v>0</v>
      </c>
      <c r="I1970" s="123">
        <f>SUM(I1965:I1969)</f>
        <v>377485</v>
      </c>
      <c r="J1970" s="123">
        <f>SUM(J1965:J1969)</f>
        <v>377485</v>
      </c>
      <c r="K1970" s="158">
        <f>SUM(K1965:K1969)</f>
        <v>212000</v>
      </c>
      <c r="L1970" s="10"/>
    </row>
    <row r="1971" spans="1:12" s="146" customFormat="1" ht="18" customHeight="1" x14ac:dyDescent="0.25">
      <c r="A1971" s="1071"/>
      <c r="B1971" s="1047"/>
      <c r="C1971" s="1620"/>
      <c r="D1971" s="1620"/>
      <c r="E1971" s="1620"/>
      <c r="F1971" s="1048"/>
      <c r="G1971" s="376"/>
      <c r="H1971" s="101"/>
      <c r="I1971" s="101"/>
      <c r="J1971" s="101"/>
      <c r="K1971" s="102"/>
      <c r="L1971" s="10"/>
    </row>
    <row r="1972" spans="1:12" s="146" customFormat="1" ht="18" customHeight="1" x14ac:dyDescent="0.25">
      <c r="A1972" s="1051"/>
      <c r="B1972" s="1041"/>
      <c r="C1972" s="129" t="s">
        <v>1872</v>
      </c>
      <c r="D1972" s="153"/>
      <c r="E1972" s="153"/>
      <c r="F1972" s="153"/>
      <c r="G1972" s="292"/>
      <c r="H1972" s="101"/>
      <c r="I1972" s="101"/>
      <c r="J1972" s="101"/>
      <c r="K1972" s="102"/>
      <c r="L1972" s="10"/>
    </row>
    <row r="1973" spans="1:12" s="194" customFormat="1" ht="18" customHeight="1" x14ac:dyDescent="0.25">
      <c r="A1973" s="1051"/>
      <c r="B1973" s="1041"/>
      <c r="C1973" s="1062" t="s">
        <v>824</v>
      </c>
      <c r="D1973" s="1041"/>
      <c r="E1973" s="1041"/>
      <c r="F1973" s="1041"/>
      <c r="G1973" s="1040"/>
      <c r="H1973" s="101"/>
      <c r="I1973" s="101">
        <v>97000</v>
      </c>
      <c r="J1973" s="101"/>
      <c r="K1973" s="102"/>
      <c r="L1973" s="10"/>
    </row>
    <row r="1974" spans="1:12" s="194" customFormat="1" ht="33.75" customHeight="1" x14ac:dyDescent="0.25">
      <c r="A1974" s="1051"/>
      <c r="B1974" s="1041"/>
      <c r="C1974" s="1611" t="s">
        <v>825</v>
      </c>
      <c r="D1974" s="1611"/>
      <c r="E1974" s="1041"/>
      <c r="F1974" s="1041"/>
      <c r="G1974" s="1040"/>
      <c r="H1974" s="101"/>
      <c r="I1974" s="101"/>
      <c r="J1974" s="101"/>
      <c r="K1974" s="102"/>
      <c r="L1974" s="10"/>
    </row>
    <row r="1975" spans="1:12" s="194" customFormat="1" ht="18" customHeight="1" x14ac:dyDescent="0.25">
      <c r="A1975" s="1051"/>
      <c r="B1975" s="1041"/>
      <c r="C1975" s="1062" t="s">
        <v>826</v>
      </c>
      <c r="D1975" s="1041"/>
      <c r="E1975" s="1041"/>
      <c r="F1975" s="1041"/>
      <c r="G1975" s="1040"/>
      <c r="H1975" s="101"/>
      <c r="I1975" s="101"/>
      <c r="J1975" s="101"/>
      <c r="K1975" s="102"/>
      <c r="L1975" s="10"/>
    </row>
    <row r="1976" spans="1:12" s="194" customFormat="1" ht="18" customHeight="1" x14ac:dyDescent="0.25">
      <c r="A1976" s="1051"/>
      <c r="B1976" s="1041"/>
      <c r="C1976" s="1062" t="s">
        <v>827</v>
      </c>
      <c r="D1976" s="1041"/>
      <c r="E1976" s="1041"/>
      <c r="F1976" s="1041"/>
      <c r="G1976" s="1040"/>
      <c r="H1976" s="101"/>
      <c r="I1976" s="101"/>
      <c r="J1976" s="101"/>
      <c r="K1976" s="102"/>
      <c r="L1976" s="10"/>
    </row>
    <row r="1977" spans="1:12" s="146" customFormat="1" ht="18" x14ac:dyDescent="0.25">
      <c r="A1977" s="1051"/>
      <c r="B1977" s="1041"/>
      <c r="C1977" s="1058" t="s">
        <v>823</v>
      </c>
      <c r="D1977" s="1041"/>
      <c r="E1977" s="1041"/>
      <c r="F1977" s="1039"/>
      <c r="G1977" s="100"/>
      <c r="H1977" s="119">
        <f>SUM(H1973:H1976)</f>
        <v>0</v>
      </c>
      <c r="I1977" s="119">
        <f>SUM(I1973:I1976)</f>
        <v>97000</v>
      </c>
      <c r="J1977" s="119">
        <f>SUM(J1973:J1976)</f>
        <v>0</v>
      </c>
      <c r="K1977" s="150">
        <f>SUM(K1973:K1976)</f>
        <v>0</v>
      </c>
      <c r="L1977" s="10"/>
    </row>
    <row r="1978" spans="1:12" ht="18.75" thickBot="1" x14ac:dyDescent="0.3">
      <c r="A1978" s="187"/>
      <c r="B1978" s="413"/>
      <c r="C1978" s="228" t="s">
        <v>15</v>
      </c>
      <c r="D1978" s="413"/>
      <c r="E1978" s="413"/>
      <c r="F1978" s="431"/>
      <c r="G1978" s="1163"/>
      <c r="H1978" s="123">
        <f>H1977+H1970</f>
        <v>0</v>
      </c>
      <c r="I1978" s="123">
        <f>I1977+I1970</f>
        <v>474485</v>
      </c>
      <c r="J1978" s="123">
        <f>J1977+J1970</f>
        <v>377485</v>
      </c>
      <c r="K1978" s="158">
        <f>K1977+K1970</f>
        <v>212000</v>
      </c>
    </row>
    <row r="1979" spans="1:12" ht="18" x14ac:dyDescent="0.25">
      <c r="A1979" s="1041"/>
      <c r="B1979" s="1041"/>
      <c r="C1979" s="1058"/>
      <c r="D1979" s="1041"/>
      <c r="E1979" s="1041"/>
      <c r="F1979" s="1041"/>
      <c r="G1979" s="381"/>
      <c r="H1979" s="126"/>
      <c r="I1979" s="126"/>
      <c r="J1979" s="126"/>
      <c r="K1979" s="127"/>
    </row>
    <row r="1980" spans="1:12" ht="18" x14ac:dyDescent="0.25">
      <c r="A1980" s="1041"/>
      <c r="B1980" s="1041"/>
      <c r="C1980" s="1058"/>
      <c r="D1980" s="1041"/>
      <c r="E1980" s="1041"/>
      <c r="F1980" s="1041"/>
      <c r="G1980" s="381"/>
      <c r="H1980" s="126"/>
      <c r="I1980" s="126"/>
      <c r="J1980" s="126"/>
      <c r="K1980" s="127"/>
    </row>
    <row r="1981" spans="1:12" ht="18" x14ac:dyDescent="0.25">
      <c r="A1981" s="1041"/>
      <c r="B1981" s="1041"/>
      <c r="C1981" s="1058"/>
      <c r="D1981" s="1041"/>
      <c r="E1981" s="1041"/>
      <c r="F1981" s="1041"/>
      <c r="G1981" s="381"/>
      <c r="H1981" s="126"/>
      <c r="I1981" s="126"/>
      <c r="J1981" s="126"/>
      <c r="K1981" s="127"/>
    </row>
    <row r="1982" spans="1:12" s="146" customFormat="1" ht="18" customHeight="1" x14ac:dyDescent="0.25">
      <c r="A1982" s="9" t="s">
        <v>112</v>
      </c>
      <c r="B1982" s="9"/>
      <c r="C1982" s="9"/>
      <c r="D1982" s="9"/>
      <c r="E1982" s="9"/>
      <c r="F1982" s="9"/>
      <c r="G1982" s="9"/>
      <c r="H1982" s="5"/>
      <c r="I1982" s="5"/>
      <c r="J1982" s="5"/>
      <c r="K1982" s="5"/>
      <c r="L1982" s="10"/>
    </row>
    <row r="1983" spans="1:12" ht="18" customHeight="1" x14ac:dyDescent="0.25">
      <c r="A1983" s="8" t="s">
        <v>917</v>
      </c>
    </row>
    <row r="1984" spans="1:12" ht="18" customHeight="1" x14ac:dyDescent="0.25">
      <c r="A1984" s="1636" t="s">
        <v>113</v>
      </c>
      <c r="B1984" s="1636"/>
      <c r="C1984" s="1636"/>
      <c r="D1984" s="1636"/>
      <c r="E1984" s="1636"/>
      <c r="F1984" s="1636"/>
      <c r="G1984" s="1636"/>
      <c r="H1984" s="1636"/>
      <c r="I1984" s="1636"/>
      <c r="J1984" s="1636"/>
      <c r="K1984" s="1060"/>
    </row>
    <row r="1985" spans="1:12" s="7" customFormat="1" ht="18" customHeight="1" x14ac:dyDescent="0.25">
      <c r="A1985" s="1624" t="s">
        <v>114</v>
      </c>
      <c r="B1985" s="1624"/>
      <c r="C1985" s="1624"/>
      <c r="D1985" s="1624"/>
      <c r="E1985" s="1624"/>
      <c r="F1985" s="1624"/>
      <c r="G1985" s="1624"/>
      <c r="H1985" s="1624"/>
      <c r="I1985" s="1624"/>
      <c r="J1985" s="1624"/>
      <c r="K1985" s="159"/>
      <c r="L1985" s="6"/>
    </row>
    <row r="1987" spans="1:12" ht="16.5" thickBot="1" x14ac:dyDescent="0.3"/>
    <row r="1988" spans="1:12" s="48" customFormat="1" ht="21.75" customHeight="1" thickBot="1" x14ac:dyDescent="0.3">
      <c r="A1988" s="1655" t="s">
        <v>115</v>
      </c>
      <c r="B1988" s="1655"/>
      <c r="C1988" s="1655"/>
      <c r="D1988" s="1655"/>
      <c r="E1988" s="1655"/>
      <c r="F1988" s="1655"/>
      <c r="G1988" s="1151"/>
      <c r="H1988" s="1708" t="s">
        <v>1537</v>
      </c>
      <c r="I1988" s="1710" t="s">
        <v>1538</v>
      </c>
      <c r="J1988" s="1710" t="s">
        <v>1539</v>
      </c>
      <c r="K1988" s="1710" t="s">
        <v>1540</v>
      </c>
      <c r="L1988" s="47"/>
    </row>
    <row r="1989" spans="1:12" s="1153" customFormat="1" ht="31.5" customHeight="1" thickBot="1" x14ac:dyDescent="0.3">
      <c r="A1989" s="1655"/>
      <c r="B1989" s="1655"/>
      <c r="C1989" s="1655"/>
      <c r="D1989" s="1655"/>
      <c r="E1989" s="1655"/>
      <c r="F1989" s="1655"/>
      <c r="G1989" s="1067" t="s">
        <v>116</v>
      </c>
      <c r="H1989" s="1709"/>
      <c r="I1989" s="1710"/>
      <c r="J1989" s="1710"/>
      <c r="K1989" s="1710"/>
      <c r="L1989" s="1152"/>
    </row>
    <row r="1990" spans="1:12" s="146" customFormat="1" ht="18" x14ac:dyDescent="0.25">
      <c r="A1990" s="1051"/>
      <c r="B1990" s="1041"/>
      <c r="C1990" s="1620" t="s">
        <v>830</v>
      </c>
      <c r="D1990" s="1620"/>
      <c r="E1990" s="1620"/>
      <c r="F1990" s="1621"/>
      <c r="G1990" s="100"/>
      <c r="H1990" s="101"/>
      <c r="I1990" s="101"/>
      <c r="J1990" s="101"/>
      <c r="K1990" s="102"/>
      <c r="L1990" s="10"/>
    </row>
    <row r="1991" spans="1:12" s="146" customFormat="1" ht="18" x14ac:dyDescent="0.25">
      <c r="A1991" s="1051"/>
      <c r="B1991" s="1041"/>
      <c r="C1991" s="1620" t="s">
        <v>831</v>
      </c>
      <c r="D1991" s="1620"/>
      <c r="E1991" s="1620"/>
      <c r="F1991" s="1621"/>
      <c r="G1991" s="100"/>
      <c r="H1991" s="101"/>
      <c r="I1991" s="101"/>
      <c r="J1991" s="101"/>
      <c r="K1991" s="102"/>
      <c r="L1991" s="10"/>
    </row>
    <row r="1992" spans="1:12" s="229" customFormat="1" ht="18" x14ac:dyDescent="0.25">
      <c r="A1992" s="154"/>
      <c r="B1992" s="1042"/>
      <c r="C1992" s="1062" t="s">
        <v>1875</v>
      </c>
      <c r="D1992" s="124"/>
      <c r="E1992" s="124"/>
      <c r="F1992" s="230"/>
      <c r="G1992" s="100" t="s">
        <v>165</v>
      </c>
      <c r="H1992" s="101"/>
      <c r="I1992" s="102">
        <v>25000</v>
      </c>
      <c r="J1992" s="102">
        <v>25000</v>
      </c>
      <c r="K1992" s="102">
        <v>10000</v>
      </c>
      <c r="L1992" s="207"/>
    </row>
    <row r="1993" spans="1:12" s="229" customFormat="1" ht="18" x14ac:dyDescent="0.25">
      <c r="A1993" s="154"/>
      <c r="B1993" s="1042"/>
      <c r="C1993" s="44" t="s">
        <v>833</v>
      </c>
      <c r="D1993" s="125"/>
      <c r="E1993" s="125"/>
      <c r="F1993" s="134"/>
      <c r="G1993" s="100" t="s">
        <v>169</v>
      </c>
      <c r="H1993" s="101"/>
      <c r="I1993" s="102">
        <v>210168.5</v>
      </c>
      <c r="J1993" s="102">
        <v>210168.5</v>
      </c>
      <c r="K1993" s="102">
        <v>50000</v>
      </c>
      <c r="L1993" s="207"/>
    </row>
    <row r="1994" spans="1:12" s="229" customFormat="1" ht="18" x14ac:dyDescent="0.25">
      <c r="A1994" s="154"/>
      <c r="B1994" s="1042"/>
      <c r="C1994" s="1062" t="s">
        <v>834</v>
      </c>
      <c r="D1994" s="124"/>
      <c r="E1994" s="124"/>
      <c r="F1994" s="230"/>
      <c r="G1994" s="100" t="s">
        <v>173</v>
      </c>
      <c r="H1994" s="101"/>
      <c r="I1994" s="102">
        <v>90000</v>
      </c>
      <c r="J1994" s="102">
        <v>90000</v>
      </c>
      <c r="K1994" s="102">
        <v>5000</v>
      </c>
      <c r="L1994" s="207"/>
    </row>
    <row r="1995" spans="1:12" s="229" customFormat="1" ht="18" x14ac:dyDescent="0.25">
      <c r="A1995" s="154"/>
      <c r="B1995" s="1042"/>
      <c r="C1995" s="1062" t="s">
        <v>835</v>
      </c>
      <c r="D1995" s="124"/>
      <c r="E1995" s="124"/>
      <c r="F1995" s="230"/>
      <c r="G1995" s="100" t="s">
        <v>171</v>
      </c>
      <c r="H1995" s="101"/>
      <c r="I1995" s="102">
        <v>206021</v>
      </c>
      <c r="J1995" s="102">
        <v>206021</v>
      </c>
      <c r="K1995" s="102">
        <v>30000</v>
      </c>
      <c r="L1995" s="207"/>
    </row>
    <row r="1996" spans="1:12" s="229" customFormat="1" ht="18" customHeight="1" x14ac:dyDescent="0.25">
      <c r="A1996" s="154"/>
      <c r="B1996" s="1042"/>
      <c r="C1996" s="44" t="s">
        <v>838</v>
      </c>
      <c r="D1996" s="124"/>
      <c r="E1996" s="124"/>
      <c r="F1996" s="124"/>
      <c r="G1996" s="100"/>
      <c r="H1996" s="105"/>
      <c r="I1996" s="1247">
        <v>100000</v>
      </c>
      <c r="J1996" s="1247">
        <v>100000</v>
      </c>
      <c r="K1996" s="106">
        <v>10000</v>
      </c>
      <c r="L1996" s="207"/>
    </row>
    <row r="1997" spans="1:12" s="146" customFormat="1" ht="15.75" customHeight="1" x14ac:dyDescent="0.25">
      <c r="A1997" s="1051"/>
      <c r="B1997" s="1041"/>
      <c r="C1997" s="1047" t="s">
        <v>823</v>
      </c>
      <c r="E1997" s="1041"/>
      <c r="F1997" s="1041"/>
      <c r="G1997" s="100"/>
      <c r="H1997" s="119">
        <f>SUM(H1992:H1996)</f>
        <v>0</v>
      </c>
      <c r="I1997" s="119">
        <f>SUM(I1992:I1996)</f>
        <v>631189.5</v>
      </c>
      <c r="J1997" s="119">
        <f>SUM(J1992:J1996)</f>
        <v>631189.5</v>
      </c>
      <c r="K1997" s="150">
        <f>SUM(K1992:K1996)</f>
        <v>105000</v>
      </c>
      <c r="L1997" s="10"/>
    </row>
    <row r="1998" spans="1:12" s="146" customFormat="1" ht="15.75" customHeight="1" x14ac:dyDescent="0.25">
      <c r="A1998" s="1051"/>
      <c r="B1998" s="1041"/>
      <c r="C1998" s="9"/>
      <c r="D1998" s="1047"/>
      <c r="E1998" s="1041"/>
      <c r="F1998" s="1041"/>
      <c r="G1998" s="100"/>
      <c r="H1998" s="155"/>
      <c r="I1998" s="155"/>
      <c r="J1998" s="155"/>
      <c r="K1998" s="156"/>
      <c r="L1998" s="10"/>
    </row>
    <row r="1999" spans="1:12" s="146" customFormat="1" ht="18" customHeight="1" x14ac:dyDescent="0.25">
      <c r="A1999" s="1051"/>
      <c r="B1999" s="1041"/>
      <c r="C1999" s="129" t="s">
        <v>1872</v>
      </c>
      <c r="D1999" s="152"/>
      <c r="E1999" s="152"/>
      <c r="F1999" s="152"/>
      <c r="G1999" s="186"/>
      <c r="H1999" s="155"/>
      <c r="I1999" s="155"/>
      <c r="J1999" s="155"/>
      <c r="K1999" s="156"/>
      <c r="L1999" s="10"/>
    </row>
    <row r="2000" spans="1:12" s="146" customFormat="1" ht="18" customHeight="1" x14ac:dyDescent="0.25">
      <c r="A2000" s="1051"/>
      <c r="B2000" s="1041"/>
      <c r="C2000" s="38" t="s">
        <v>839</v>
      </c>
      <c r="D2000" s="152"/>
      <c r="E2000" s="152"/>
      <c r="F2000" s="152"/>
      <c r="G2000" s="186"/>
      <c r="H2000" s="101"/>
      <c r="I2000" s="101"/>
      <c r="J2000" s="101"/>
      <c r="K2000" s="102"/>
      <c r="L2000" s="10"/>
    </row>
    <row r="2001" spans="1:12" s="146" customFormat="1" ht="18" x14ac:dyDescent="0.25">
      <c r="A2001" s="1051"/>
      <c r="B2001" s="1041"/>
      <c r="C2001" s="38" t="s">
        <v>824</v>
      </c>
      <c r="D2001" s="1041"/>
      <c r="E2001" s="1041"/>
      <c r="F2001" s="1039"/>
      <c r="G2001" s="100"/>
      <c r="H2001" s="101"/>
      <c r="I2001" s="101">
        <v>80000</v>
      </c>
      <c r="J2001" s="101"/>
      <c r="K2001" s="102"/>
      <c r="L2001" s="10"/>
    </row>
    <row r="2002" spans="1:12" s="146" customFormat="1" ht="15" customHeight="1" x14ac:dyDescent="0.25">
      <c r="A2002" s="1051"/>
      <c r="B2002" s="1041"/>
      <c r="C2002" s="1047" t="s">
        <v>823</v>
      </c>
      <c r="E2002" s="1041"/>
      <c r="F2002" s="1039"/>
      <c r="G2002" s="100"/>
      <c r="H2002" s="150">
        <f>SUM(H2000:H2001)</f>
        <v>0</v>
      </c>
      <c r="I2002" s="150">
        <f>SUM(I2000:I2001)</f>
        <v>80000</v>
      </c>
      <c r="J2002" s="150">
        <f>SUM(J2000:J2001)</f>
        <v>0</v>
      </c>
      <c r="K2002" s="150">
        <f>SUM(K2000:K2001)</f>
        <v>0</v>
      </c>
      <c r="L2002" s="10"/>
    </row>
    <row r="2003" spans="1:12" s="146" customFormat="1" ht="18.75" thickBot="1" x14ac:dyDescent="0.3">
      <c r="A2003" s="1051"/>
      <c r="B2003" s="1041"/>
      <c r="C2003" s="1047" t="s">
        <v>15</v>
      </c>
      <c r="D2003" s="573"/>
      <c r="E2003" s="1041"/>
      <c r="F2003" s="1039"/>
      <c r="G2003" s="100"/>
      <c r="H2003" s="123">
        <f>H2002+H1997</f>
        <v>0</v>
      </c>
      <c r="I2003" s="123">
        <f>I2002+I1997</f>
        <v>711189.5</v>
      </c>
      <c r="J2003" s="123">
        <f>J2002+J1997</f>
        <v>631189.5</v>
      </c>
      <c r="K2003" s="158">
        <f>K2002+K1997</f>
        <v>105000</v>
      </c>
      <c r="L2003" s="10"/>
    </row>
    <row r="2004" spans="1:12" s="146" customFormat="1" ht="18" x14ac:dyDescent="0.25">
      <c r="A2004" s="1051"/>
      <c r="B2004" s="1041"/>
      <c r="C2004" s="51"/>
      <c r="D2004" s="1047"/>
      <c r="E2004" s="1041"/>
      <c r="F2004" s="1039"/>
      <c r="G2004" s="100"/>
      <c r="H2004" s="155"/>
      <c r="I2004" s="155"/>
      <c r="J2004" s="155"/>
      <c r="K2004" s="156"/>
      <c r="L2004" s="10"/>
    </row>
    <row r="2005" spans="1:12" s="146" customFormat="1" ht="18" x14ac:dyDescent="0.25">
      <c r="A2005" s="1051"/>
      <c r="B2005" s="1041"/>
      <c r="C2005" s="1620" t="s">
        <v>842</v>
      </c>
      <c r="D2005" s="1620"/>
      <c r="E2005" s="1620"/>
      <c r="F2005" s="1621"/>
      <c r="G2005" s="100"/>
      <c r="H2005" s="101"/>
      <c r="I2005" s="101"/>
      <c r="J2005" s="101"/>
      <c r="K2005" s="102"/>
      <c r="L2005" s="10"/>
    </row>
    <row r="2006" spans="1:12" s="146" customFormat="1" ht="18" x14ac:dyDescent="0.25">
      <c r="A2006" s="1051"/>
      <c r="B2006" s="1041"/>
      <c r="C2006" s="1620" t="s">
        <v>813</v>
      </c>
      <c r="D2006" s="1620"/>
      <c r="E2006" s="1620"/>
      <c r="F2006" s="1621"/>
      <c r="G2006" s="100"/>
      <c r="H2006" s="250"/>
      <c r="I2006" s="250"/>
      <c r="J2006" s="250"/>
      <c r="K2006" s="233"/>
      <c r="L2006" s="10"/>
    </row>
    <row r="2007" spans="1:12" s="229" customFormat="1" ht="18" x14ac:dyDescent="0.25">
      <c r="A2007" s="154"/>
      <c r="B2007" s="1042"/>
      <c r="C2007" s="44" t="s">
        <v>1875</v>
      </c>
      <c r="D2007" s="125"/>
      <c r="E2007" s="125"/>
      <c r="F2007" s="134"/>
      <c r="G2007" s="100" t="s">
        <v>165</v>
      </c>
      <c r="H2007" s="250"/>
      <c r="I2007" s="250">
        <v>30000</v>
      </c>
      <c r="J2007" s="250">
        <v>30000</v>
      </c>
      <c r="K2007" s="233">
        <v>25000</v>
      </c>
      <c r="L2007" s="207"/>
    </row>
    <row r="2008" spans="1:12" s="229" customFormat="1" ht="18" customHeight="1" x14ac:dyDescent="0.25">
      <c r="A2008" s="154"/>
      <c r="B2008" s="1042"/>
      <c r="C2008" s="44" t="s">
        <v>806</v>
      </c>
      <c r="D2008" s="125"/>
      <c r="E2008" s="125"/>
      <c r="F2008" s="134"/>
      <c r="G2008" s="100" t="s">
        <v>169</v>
      </c>
      <c r="H2008" s="250"/>
      <c r="I2008" s="250">
        <v>104197.5</v>
      </c>
      <c r="J2008" s="250">
        <v>104197.5</v>
      </c>
      <c r="K2008" s="233">
        <v>80000</v>
      </c>
      <c r="L2008" s="207"/>
    </row>
    <row r="2009" spans="1:12" s="229" customFormat="1" ht="18" customHeight="1" x14ac:dyDescent="0.25">
      <c r="A2009" s="154"/>
      <c r="B2009" s="1042"/>
      <c r="C2009" s="206" t="s">
        <v>843</v>
      </c>
      <c r="D2009" s="1042"/>
      <c r="E2009" s="1042"/>
      <c r="F2009" s="1043"/>
      <c r="G2009" s="100" t="s">
        <v>173</v>
      </c>
      <c r="H2009" s="101"/>
      <c r="I2009" s="101">
        <v>47040</v>
      </c>
      <c r="J2009" s="101">
        <v>47040</v>
      </c>
      <c r="K2009" s="102">
        <v>20000</v>
      </c>
      <c r="L2009" s="207"/>
    </row>
    <row r="2010" spans="1:12" s="229" customFormat="1" ht="18" customHeight="1" x14ac:dyDescent="0.25">
      <c r="A2010" s="154"/>
      <c r="B2010" s="1042"/>
      <c r="C2010" s="44" t="s">
        <v>835</v>
      </c>
      <c r="D2010" s="125"/>
      <c r="E2010" s="125"/>
      <c r="F2010" s="1043"/>
      <c r="G2010" s="100" t="s">
        <v>171</v>
      </c>
      <c r="H2010" s="101"/>
      <c r="I2010" s="101">
        <v>211540</v>
      </c>
      <c r="J2010" s="101">
        <v>211540</v>
      </c>
      <c r="K2010" s="102">
        <v>60000</v>
      </c>
      <c r="L2010" s="207"/>
    </row>
    <row r="2011" spans="1:12" s="229" customFormat="1" ht="18" x14ac:dyDescent="0.25">
      <c r="A2011" s="154"/>
      <c r="B2011" s="1042"/>
      <c r="C2011" s="44" t="s">
        <v>851</v>
      </c>
      <c r="D2011" s="125"/>
      <c r="E2011" s="1042"/>
      <c r="F2011" s="1043"/>
      <c r="G2011" s="100" t="s">
        <v>383</v>
      </c>
      <c r="H2011" s="101"/>
      <c r="I2011" s="101">
        <v>12000</v>
      </c>
      <c r="J2011" s="101">
        <v>12000</v>
      </c>
      <c r="K2011" s="102">
        <v>12000</v>
      </c>
      <c r="L2011" s="207"/>
    </row>
    <row r="2012" spans="1:12" s="229" customFormat="1" ht="18" x14ac:dyDescent="0.25">
      <c r="A2012" s="154"/>
      <c r="B2012" s="1042"/>
      <c r="C2012" s="44" t="s">
        <v>815</v>
      </c>
      <c r="D2012" s="125"/>
      <c r="E2012" s="125"/>
      <c r="F2012" s="1043"/>
      <c r="G2012" s="100" t="s">
        <v>385</v>
      </c>
      <c r="H2012" s="101"/>
      <c r="I2012" s="1156">
        <v>150000</v>
      </c>
      <c r="J2012" s="1156">
        <v>150000</v>
      </c>
      <c r="K2012" s="102">
        <v>150000</v>
      </c>
      <c r="L2012" s="207"/>
    </row>
    <row r="2013" spans="1:12" s="229" customFormat="1" ht="18" x14ac:dyDescent="0.25">
      <c r="A2013" s="154"/>
      <c r="B2013" s="1042"/>
      <c r="C2013" s="44" t="s">
        <v>852</v>
      </c>
      <c r="D2013" s="125"/>
      <c r="E2013" s="125"/>
      <c r="F2013" s="1043"/>
      <c r="G2013" s="100"/>
      <c r="H2013" s="101"/>
      <c r="I2013" s="101"/>
      <c r="J2013" s="101"/>
      <c r="K2013" s="102"/>
      <c r="L2013" s="207"/>
    </row>
    <row r="2014" spans="1:12" s="229" customFormat="1" ht="18" x14ac:dyDescent="0.25">
      <c r="A2014" s="154"/>
      <c r="B2014" s="1042"/>
      <c r="C2014" s="44" t="s">
        <v>1876</v>
      </c>
      <c r="D2014" s="125"/>
      <c r="E2014" s="125"/>
      <c r="F2014" s="134"/>
      <c r="G2014" s="100" t="s">
        <v>183</v>
      </c>
      <c r="H2014" s="101"/>
      <c r="I2014" s="101">
        <v>36000</v>
      </c>
      <c r="J2014" s="101">
        <v>36000</v>
      </c>
      <c r="K2014" s="102">
        <v>36000</v>
      </c>
      <c r="L2014" s="207"/>
    </row>
    <row r="2015" spans="1:12" s="229" customFormat="1" ht="18" customHeight="1" x14ac:dyDescent="0.25">
      <c r="A2015" s="154"/>
      <c r="B2015" s="1042"/>
      <c r="C2015" s="44" t="s">
        <v>808</v>
      </c>
      <c r="D2015" s="125"/>
      <c r="E2015" s="125"/>
      <c r="F2015" s="134"/>
      <c r="G2015" s="195" t="s">
        <v>199</v>
      </c>
      <c r="H2015" s="101"/>
      <c r="I2015" s="101">
        <v>312000</v>
      </c>
      <c r="J2015" s="101">
        <v>312000</v>
      </c>
      <c r="K2015" s="102">
        <v>312000</v>
      </c>
      <c r="L2015" s="207"/>
    </row>
    <row r="2016" spans="1:12" s="146" customFormat="1" ht="18" x14ac:dyDescent="0.25">
      <c r="A2016" s="1051"/>
      <c r="B2016" s="1041"/>
      <c r="C2016" s="1047" t="s">
        <v>823</v>
      </c>
      <c r="D2016" s="573"/>
      <c r="E2016" s="1041"/>
      <c r="F2016" s="1039"/>
      <c r="G2016" s="381"/>
      <c r="H2016" s="119">
        <f>SUM(H2007:H2015)</f>
        <v>0</v>
      </c>
      <c r="I2016" s="119">
        <f>SUM(I2007:I2015)</f>
        <v>902777.5</v>
      </c>
      <c r="J2016" s="119">
        <f>SUM(J2007:J2015)</f>
        <v>902777.5</v>
      </c>
      <c r="K2016" s="150">
        <f>SUM(K2007:K2015)</f>
        <v>695000</v>
      </c>
      <c r="L2016" s="10"/>
    </row>
    <row r="2017" spans="1:12" s="229" customFormat="1" ht="18" customHeight="1" x14ac:dyDescent="0.25">
      <c r="A2017" s="154"/>
      <c r="B2017" s="1042"/>
      <c r="C2017" s="44"/>
      <c r="D2017" s="125"/>
      <c r="E2017" s="125"/>
      <c r="F2017" s="125"/>
      <c r="G2017" s="100"/>
      <c r="H2017" s="101"/>
      <c r="I2017" s="101"/>
      <c r="J2017" s="101"/>
      <c r="K2017" s="102"/>
      <c r="L2017" s="207"/>
    </row>
    <row r="2018" spans="1:12" s="146" customFormat="1" ht="18" customHeight="1" x14ac:dyDescent="0.25">
      <c r="A2018" s="1051"/>
      <c r="B2018" s="1041"/>
      <c r="C2018" s="129" t="s">
        <v>1872</v>
      </c>
      <c r="D2018" s="153"/>
      <c r="E2018" s="153"/>
      <c r="F2018" s="153"/>
      <c r="G2018" s="292"/>
      <c r="H2018" s="101"/>
      <c r="I2018" s="101"/>
      <c r="J2018" s="101"/>
      <c r="K2018" s="102"/>
      <c r="L2018" s="10"/>
    </row>
    <row r="2019" spans="1:12" s="146" customFormat="1" ht="18" customHeight="1" x14ac:dyDescent="0.25">
      <c r="A2019" s="1051"/>
      <c r="B2019" s="1041"/>
      <c r="C2019" s="1062" t="s">
        <v>854</v>
      </c>
      <c r="D2019" s="153"/>
      <c r="E2019" s="153"/>
      <c r="F2019" s="153"/>
      <c r="G2019" s="292"/>
      <c r="H2019" s="101"/>
      <c r="I2019" s="101">
        <v>60000</v>
      </c>
      <c r="J2019" s="101"/>
      <c r="K2019" s="102"/>
      <c r="L2019" s="10"/>
    </row>
    <row r="2020" spans="1:12" s="146" customFormat="1" ht="18" customHeight="1" x14ac:dyDescent="0.25">
      <c r="A2020" s="1051"/>
      <c r="B2020" s="1041"/>
      <c r="C2020" s="1062" t="s">
        <v>1877</v>
      </c>
      <c r="D2020" s="153"/>
      <c r="E2020" s="153"/>
      <c r="F2020" s="153"/>
      <c r="G2020" s="292"/>
      <c r="H2020" s="101"/>
      <c r="I2020" s="101"/>
      <c r="J2020" s="101"/>
      <c r="K2020" s="102"/>
      <c r="L2020" s="10"/>
    </row>
    <row r="2021" spans="1:12" s="146" customFormat="1" ht="18" customHeight="1" x14ac:dyDescent="0.25">
      <c r="A2021" s="1051"/>
      <c r="B2021" s="1041"/>
      <c r="C2021" s="1062" t="s">
        <v>854</v>
      </c>
      <c r="D2021" s="1047"/>
      <c r="E2021" s="1047"/>
      <c r="F2021" s="1047"/>
      <c r="G2021" s="1079"/>
      <c r="H2021" s="101"/>
      <c r="I2021" s="101"/>
      <c r="J2021" s="101"/>
      <c r="K2021" s="102"/>
      <c r="L2021" s="10"/>
    </row>
    <row r="2022" spans="1:12" s="146" customFormat="1" ht="18" customHeight="1" x14ac:dyDescent="0.25">
      <c r="A2022" s="1051"/>
      <c r="B2022" s="1041"/>
      <c r="C2022" s="1062" t="s">
        <v>855</v>
      </c>
      <c r="D2022" s="1047"/>
      <c r="E2022" s="1047"/>
      <c r="F2022" s="1047"/>
      <c r="G2022" s="1079"/>
      <c r="H2022" s="101"/>
      <c r="I2022" s="101"/>
      <c r="J2022" s="101"/>
      <c r="K2022" s="102"/>
      <c r="L2022" s="10"/>
    </row>
    <row r="2023" spans="1:12" s="146" customFormat="1" ht="18" x14ac:dyDescent="0.25">
      <c r="A2023" s="1051"/>
      <c r="B2023" s="1041"/>
      <c r="C2023" s="1611" t="s">
        <v>857</v>
      </c>
      <c r="D2023" s="1611"/>
      <c r="E2023" s="1611"/>
      <c r="F2023" s="1041"/>
      <c r="G2023" s="100"/>
      <c r="H2023" s="105"/>
      <c r="I2023" s="105"/>
      <c r="J2023" s="105"/>
      <c r="K2023" s="106"/>
      <c r="L2023" s="10"/>
    </row>
    <row r="2024" spans="1:12" s="146" customFormat="1" ht="18" x14ac:dyDescent="0.25">
      <c r="A2024" s="1051"/>
      <c r="B2024" s="1041"/>
      <c r="C2024" s="1047" t="s">
        <v>823</v>
      </c>
      <c r="D2024" s="573"/>
      <c r="E2024" s="1041"/>
      <c r="F2024" s="1041"/>
      <c r="G2024" s="100"/>
      <c r="H2024" s="119">
        <f>SUM(H2019:H2023)</f>
        <v>0</v>
      </c>
      <c r="I2024" s="119">
        <f>SUM(I2019:I2023)</f>
        <v>60000</v>
      </c>
      <c r="J2024" s="119">
        <f>SUM(J2019:J2023)</f>
        <v>0</v>
      </c>
      <c r="K2024" s="150">
        <f>SUM(K2019:K2023)</f>
        <v>0</v>
      </c>
      <c r="L2024" s="10"/>
    </row>
    <row r="2025" spans="1:12" s="146" customFormat="1" ht="18.75" thickBot="1" x14ac:dyDescent="0.3">
      <c r="A2025" s="1051"/>
      <c r="B2025" s="1041"/>
      <c r="C2025" s="1047" t="s">
        <v>15</v>
      </c>
      <c r="D2025" s="573"/>
      <c r="E2025" s="1041"/>
      <c r="F2025" s="1039"/>
      <c r="G2025" s="382"/>
      <c r="H2025" s="1158">
        <f>H2024+H2016</f>
        <v>0</v>
      </c>
      <c r="I2025" s="1158">
        <f>I2024+I2016</f>
        <v>962777.5</v>
      </c>
      <c r="J2025" s="1158">
        <f>J2024+J2016</f>
        <v>902777.5</v>
      </c>
      <c r="K2025" s="1157">
        <f>K2024+K2016</f>
        <v>695000</v>
      </c>
      <c r="L2025" s="10"/>
    </row>
    <row r="2026" spans="1:12" s="146" customFormat="1" ht="15.75" customHeight="1" x14ac:dyDescent="0.25">
      <c r="A2026" s="1051"/>
      <c r="B2026" s="1041"/>
      <c r="C2026" s="1045"/>
      <c r="D2026" s="1047"/>
      <c r="E2026" s="1041"/>
      <c r="F2026" s="1039"/>
      <c r="G2026" s="1248"/>
      <c r="H2026" s="155"/>
      <c r="I2026" s="155"/>
      <c r="J2026" s="155"/>
      <c r="K2026" s="156"/>
      <c r="L2026" s="10"/>
    </row>
    <row r="2027" spans="1:12" s="146" customFormat="1" ht="18" x14ac:dyDescent="0.25">
      <c r="A2027" s="1051"/>
      <c r="B2027" s="1041"/>
      <c r="C2027" s="1620" t="s">
        <v>858</v>
      </c>
      <c r="D2027" s="1620"/>
      <c r="E2027" s="1620"/>
      <c r="F2027" s="1621"/>
      <c r="G2027" s="100"/>
      <c r="H2027" s="101"/>
      <c r="I2027" s="101"/>
      <c r="J2027" s="101"/>
      <c r="K2027" s="102"/>
      <c r="L2027" s="10"/>
    </row>
    <row r="2028" spans="1:12" s="146" customFormat="1" ht="18" x14ac:dyDescent="0.25">
      <c r="A2028" s="1051"/>
      <c r="B2028" s="1041"/>
      <c r="C2028" s="1620" t="s">
        <v>831</v>
      </c>
      <c r="D2028" s="1620"/>
      <c r="E2028" s="1620"/>
      <c r="F2028" s="1621"/>
      <c r="G2028" s="100"/>
      <c r="H2028" s="101"/>
      <c r="I2028" s="101"/>
      <c r="J2028" s="101"/>
      <c r="K2028" s="102"/>
      <c r="L2028" s="10"/>
    </row>
    <row r="2029" spans="1:12" s="229" customFormat="1" ht="18" x14ac:dyDescent="0.25">
      <c r="A2029" s="154"/>
      <c r="B2029" s="1042"/>
      <c r="C2029" s="1062" t="s">
        <v>1875</v>
      </c>
      <c r="D2029" s="124"/>
      <c r="E2029" s="124"/>
      <c r="F2029" s="230"/>
      <c r="G2029" s="100" t="s">
        <v>165</v>
      </c>
      <c r="H2029" s="101"/>
      <c r="I2029" s="101">
        <v>20000</v>
      </c>
      <c r="J2029" s="101">
        <v>20000</v>
      </c>
      <c r="K2029" s="102">
        <v>20000</v>
      </c>
      <c r="L2029" s="207"/>
    </row>
    <row r="2030" spans="1:12" s="229" customFormat="1" ht="18" x14ac:dyDescent="0.25">
      <c r="A2030" s="154"/>
      <c r="B2030" s="1042"/>
      <c r="C2030" s="1062" t="s">
        <v>819</v>
      </c>
      <c r="D2030" s="124"/>
      <c r="E2030" s="124"/>
      <c r="F2030" s="230"/>
      <c r="G2030" s="100" t="s">
        <v>167</v>
      </c>
      <c r="H2030" s="101"/>
      <c r="I2030" s="101">
        <v>240000</v>
      </c>
      <c r="J2030" s="101">
        <v>240000</v>
      </c>
      <c r="K2030" s="102">
        <v>50000</v>
      </c>
      <c r="L2030" s="207"/>
    </row>
    <row r="2031" spans="1:12" s="229" customFormat="1" ht="18" x14ac:dyDescent="0.25">
      <c r="A2031" s="154"/>
      <c r="B2031" s="1042"/>
      <c r="C2031" s="44" t="s">
        <v>806</v>
      </c>
      <c r="D2031" s="125"/>
      <c r="E2031" s="125"/>
      <c r="F2031" s="134"/>
      <c r="G2031" s="100" t="s">
        <v>169</v>
      </c>
      <c r="H2031" s="101"/>
      <c r="I2031" s="101">
        <v>90325</v>
      </c>
      <c r="J2031" s="101">
        <v>90325</v>
      </c>
      <c r="K2031" s="102">
        <v>30000</v>
      </c>
      <c r="L2031" s="207"/>
    </row>
    <row r="2032" spans="1:12" s="229" customFormat="1" ht="18" customHeight="1" x14ac:dyDescent="0.25">
      <c r="A2032" s="154"/>
      <c r="B2032" s="1042"/>
      <c r="C2032" s="1062" t="s">
        <v>835</v>
      </c>
      <c r="D2032" s="124"/>
      <c r="E2032" s="124"/>
      <c r="F2032" s="230"/>
      <c r="G2032" s="100" t="s">
        <v>171</v>
      </c>
      <c r="H2032" s="101"/>
      <c r="I2032" s="101">
        <v>103375</v>
      </c>
      <c r="J2032" s="101">
        <v>103375</v>
      </c>
      <c r="K2032" s="102">
        <v>30000</v>
      </c>
      <c r="L2032" s="207"/>
    </row>
    <row r="2033" spans="1:12" s="229" customFormat="1" ht="18" customHeight="1" x14ac:dyDescent="0.25">
      <c r="A2033" s="154"/>
      <c r="B2033" s="1042"/>
      <c r="C2033" s="1062" t="s">
        <v>1876</v>
      </c>
      <c r="D2033" s="124"/>
      <c r="E2033" s="124"/>
      <c r="F2033" s="230"/>
      <c r="G2033" s="100" t="s">
        <v>183</v>
      </c>
      <c r="H2033" s="101"/>
      <c r="I2033" s="101"/>
      <c r="J2033" s="101"/>
      <c r="K2033" s="102"/>
      <c r="L2033" s="207"/>
    </row>
    <row r="2034" spans="1:12" s="229" customFormat="1" ht="18" customHeight="1" x14ac:dyDescent="0.25">
      <c r="A2034" s="154"/>
      <c r="B2034" s="1042"/>
      <c r="C2034" s="1062" t="s">
        <v>814</v>
      </c>
      <c r="D2034" s="124"/>
      <c r="E2034" s="124"/>
      <c r="F2034" s="230"/>
      <c r="G2034" s="100" t="s">
        <v>183</v>
      </c>
      <c r="H2034" s="101"/>
      <c r="I2034" s="101">
        <v>24000</v>
      </c>
      <c r="J2034" s="101">
        <v>24000</v>
      </c>
      <c r="K2034" s="102">
        <v>24000</v>
      </c>
      <c r="L2034" s="207"/>
    </row>
    <row r="2035" spans="1:12" s="229" customFormat="1" ht="18" x14ac:dyDescent="0.25">
      <c r="A2035" s="154"/>
      <c r="B2035" s="1042"/>
      <c r="C2035" s="1062" t="s">
        <v>866</v>
      </c>
      <c r="D2035" s="124"/>
      <c r="E2035" s="124"/>
      <c r="F2035" s="230"/>
      <c r="G2035" s="100" t="s">
        <v>199</v>
      </c>
      <c r="H2035" s="105"/>
      <c r="I2035" s="105">
        <v>42000</v>
      </c>
      <c r="J2035" s="105">
        <v>42000</v>
      </c>
      <c r="K2035" s="106">
        <v>42000</v>
      </c>
      <c r="L2035" s="207"/>
    </row>
    <row r="2036" spans="1:12" s="146" customFormat="1" ht="15.75" customHeight="1" x14ac:dyDescent="0.25">
      <c r="A2036" s="1051"/>
      <c r="B2036" s="1041"/>
      <c r="C2036" s="1047" t="s">
        <v>823</v>
      </c>
      <c r="E2036" s="1041"/>
      <c r="F2036" s="1041"/>
      <c r="G2036" s="100"/>
      <c r="H2036" s="119">
        <f>SUM(H2029:H2035)</f>
        <v>0</v>
      </c>
      <c r="I2036" s="119">
        <f>SUM(I2029:I2035)</f>
        <v>519700</v>
      </c>
      <c r="J2036" s="119">
        <f>SUM(J2029:J2035)</f>
        <v>519700</v>
      </c>
      <c r="K2036" s="150">
        <f>SUM(K2029:K2035)</f>
        <v>196000</v>
      </c>
      <c r="L2036" s="10"/>
    </row>
    <row r="2037" spans="1:12" s="146" customFormat="1" ht="14.1" customHeight="1" x14ac:dyDescent="0.25">
      <c r="A2037" s="1051"/>
      <c r="B2037" s="1041"/>
      <c r="C2037" s="9"/>
      <c r="D2037" s="1047"/>
      <c r="E2037" s="1041"/>
      <c r="F2037" s="1041"/>
      <c r="G2037" s="100"/>
      <c r="H2037" s="155"/>
      <c r="I2037" s="155"/>
      <c r="J2037" s="155"/>
      <c r="K2037" s="156"/>
      <c r="L2037" s="10"/>
    </row>
    <row r="2038" spans="1:12" s="146" customFormat="1" ht="18" customHeight="1" x14ac:dyDescent="0.25">
      <c r="A2038" s="1051"/>
      <c r="B2038" s="1041"/>
      <c r="C2038" s="129" t="s">
        <v>1872</v>
      </c>
      <c r="D2038" s="152"/>
      <c r="E2038" s="152"/>
      <c r="F2038" s="152"/>
      <c r="G2038" s="186"/>
      <c r="H2038" s="155"/>
      <c r="I2038" s="155"/>
      <c r="J2038" s="155"/>
      <c r="K2038" s="156"/>
      <c r="L2038" s="10"/>
    </row>
    <row r="2039" spans="1:12" s="146" customFormat="1" ht="35.25" customHeight="1" x14ac:dyDescent="0.25">
      <c r="A2039" s="1051"/>
      <c r="B2039" s="1041"/>
      <c r="C2039" s="1611" t="s">
        <v>860</v>
      </c>
      <c r="D2039" s="1611"/>
      <c r="E2039" s="1047"/>
      <c r="F2039" s="1047"/>
      <c r="G2039" s="1079"/>
      <c r="H2039" s="101"/>
      <c r="I2039" s="101"/>
      <c r="J2039" s="101"/>
      <c r="K2039" s="102"/>
      <c r="L2039" s="10"/>
    </row>
    <row r="2040" spans="1:12" s="146" customFormat="1" ht="18" x14ac:dyDescent="0.25">
      <c r="A2040" s="1051"/>
      <c r="B2040" s="1041"/>
      <c r="C2040" s="44" t="s">
        <v>861</v>
      </c>
      <c r="D2040" s="1047"/>
      <c r="E2040" s="1047"/>
      <c r="F2040" s="1047"/>
      <c r="G2040" s="1079"/>
      <c r="H2040" s="101"/>
      <c r="I2040" s="101"/>
      <c r="J2040" s="101"/>
      <c r="K2040" s="102"/>
      <c r="L2040" s="10"/>
    </row>
    <row r="2041" spans="1:12" s="146" customFormat="1" ht="15" customHeight="1" x14ac:dyDescent="0.25">
      <c r="A2041" s="1051"/>
      <c r="B2041" s="1041"/>
      <c r="C2041" s="1047" t="s">
        <v>823</v>
      </c>
      <c r="D2041" s="573"/>
      <c r="E2041" s="1041"/>
      <c r="F2041" s="1039"/>
      <c r="G2041" s="100"/>
      <c r="H2041" s="119">
        <f>SUM(H2039:H2040)</f>
        <v>0</v>
      </c>
      <c r="I2041" s="119">
        <f>SUM(I2039:I2040)</f>
        <v>0</v>
      </c>
      <c r="J2041" s="119">
        <f>SUM(J2039:J2040)</f>
        <v>0</v>
      </c>
      <c r="K2041" s="150">
        <f>SUM(K2039:K2040)</f>
        <v>0</v>
      </c>
      <c r="L2041" s="10"/>
    </row>
    <row r="2042" spans="1:12" s="146" customFormat="1" ht="18.75" thickBot="1" x14ac:dyDescent="0.3">
      <c r="A2042" s="1051"/>
      <c r="B2042" s="1041"/>
      <c r="C2042" s="1047" t="s">
        <v>15</v>
      </c>
      <c r="D2042" s="573"/>
      <c r="E2042" s="1041"/>
      <c r="F2042" s="1039"/>
      <c r="G2042" s="308"/>
      <c r="H2042" s="123">
        <f>H2041+H2036</f>
        <v>0</v>
      </c>
      <c r="I2042" s="123">
        <f>I2041+I2036</f>
        <v>519700</v>
      </c>
      <c r="J2042" s="123">
        <f>J2041+J2036</f>
        <v>519700</v>
      </c>
      <c r="K2042" s="158">
        <f>K2041+K2036</f>
        <v>196000</v>
      </c>
      <c r="L2042" s="10"/>
    </row>
    <row r="2043" spans="1:12" s="146" customFormat="1" ht="15.75" customHeight="1" thickBot="1" x14ac:dyDescent="0.3">
      <c r="A2043" s="187"/>
      <c r="B2043" s="413"/>
      <c r="C2043" s="465"/>
      <c r="D2043" s="1096"/>
      <c r="E2043" s="413"/>
      <c r="F2043" s="431"/>
      <c r="G2043" s="308"/>
      <c r="H2043" s="1173"/>
      <c r="I2043" s="1173"/>
      <c r="J2043" s="1173"/>
      <c r="K2043" s="213"/>
      <c r="L2043" s="10"/>
    </row>
    <row r="2044" spans="1:12" s="146" customFormat="1" ht="15.75" customHeight="1" x14ac:dyDescent="0.25">
      <c r="A2044" s="1041"/>
      <c r="B2044" s="1041"/>
      <c r="C2044" s="51"/>
      <c r="D2044" s="1047"/>
      <c r="E2044" s="1041"/>
      <c r="F2044" s="1041"/>
      <c r="G2044" s="381"/>
      <c r="H2044" s="126"/>
      <c r="I2044" s="126"/>
      <c r="J2044" s="126"/>
      <c r="K2044" s="127"/>
      <c r="L2044" s="10"/>
    </row>
    <row r="2045" spans="1:12" s="146" customFormat="1" ht="15.75" customHeight="1" x14ac:dyDescent="0.25">
      <c r="A2045" s="1041"/>
      <c r="B2045" s="1041"/>
      <c r="C2045" s="51"/>
      <c r="D2045" s="1047"/>
      <c r="E2045" s="1041"/>
      <c r="F2045" s="1041"/>
      <c r="G2045" s="381"/>
      <c r="H2045" s="126"/>
      <c r="I2045" s="126"/>
      <c r="J2045" s="126"/>
      <c r="K2045" s="127"/>
      <c r="L2045" s="10"/>
    </row>
    <row r="2046" spans="1:12" s="146" customFormat="1" ht="15.75" customHeight="1" x14ac:dyDescent="0.25">
      <c r="A2046" s="1041"/>
      <c r="B2046" s="1041"/>
      <c r="C2046" s="51"/>
      <c r="D2046" s="1047"/>
      <c r="E2046" s="1041"/>
      <c r="F2046" s="1041"/>
      <c r="G2046" s="381"/>
      <c r="H2046" s="126"/>
      <c r="I2046" s="126"/>
      <c r="J2046" s="126"/>
      <c r="K2046" s="127"/>
      <c r="L2046" s="10"/>
    </row>
    <row r="2047" spans="1:12" s="146" customFormat="1" ht="15.75" customHeight="1" x14ac:dyDescent="0.25">
      <c r="A2047" s="1041"/>
      <c r="B2047" s="1041"/>
      <c r="C2047" s="51"/>
      <c r="D2047" s="1047"/>
      <c r="E2047" s="1041"/>
      <c r="F2047" s="1041"/>
      <c r="G2047" s="381"/>
      <c r="H2047" s="126"/>
      <c r="I2047" s="126"/>
      <c r="J2047" s="126"/>
      <c r="K2047" s="127"/>
      <c r="L2047" s="10"/>
    </row>
    <row r="2048" spans="1:12" s="146" customFormat="1" ht="15.75" customHeight="1" x14ac:dyDescent="0.25">
      <c r="A2048" s="1041"/>
      <c r="B2048" s="1041"/>
      <c r="C2048" s="51"/>
      <c r="D2048" s="1047"/>
      <c r="E2048" s="1041"/>
      <c r="F2048" s="1041"/>
      <c r="G2048" s="381"/>
      <c r="H2048" s="126"/>
      <c r="I2048" s="126"/>
      <c r="J2048" s="126"/>
      <c r="K2048" s="127"/>
      <c r="L2048" s="10"/>
    </row>
    <row r="2049" spans="1:12" s="146" customFormat="1" ht="15.75" customHeight="1" x14ac:dyDescent="0.25">
      <c r="A2049" s="1041"/>
      <c r="B2049" s="1041"/>
      <c r="C2049" s="51"/>
      <c r="D2049" s="1047"/>
      <c r="E2049" s="1041"/>
      <c r="F2049" s="1041"/>
      <c r="G2049" s="381"/>
      <c r="H2049" s="126"/>
      <c r="I2049" s="126"/>
      <c r="J2049" s="126"/>
      <c r="K2049" s="127"/>
      <c r="L2049" s="10"/>
    </row>
    <row r="2050" spans="1:12" s="146" customFormat="1" ht="15.75" customHeight="1" x14ac:dyDescent="0.25">
      <c r="A2050" s="1041"/>
      <c r="B2050" s="1041"/>
      <c r="C2050" s="51"/>
      <c r="D2050" s="1047"/>
      <c r="E2050" s="1041"/>
      <c r="F2050" s="1041"/>
      <c r="G2050" s="381"/>
      <c r="H2050" s="126"/>
      <c r="I2050" s="126"/>
      <c r="J2050" s="126"/>
      <c r="K2050" s="127"/>
      <c r="L2050" s="10"/>
    </row>
    <row r="2051" spans="1:12" s="146" customFormat="1" ht="15.75" customHeight="1" x14ac:dyDescent="0.25">
      <c r="A2051" s="1041"/>
      <c r="B2051" s="1041"/>
      <c r="C2051" s="51"/>
      <c r="D2051" s="1047"/>
      <c r="E2051" s="1041"/>
      <c r="F2051" s="1041"/>
      <c r="G2051" s="381"/>
      <c r="H2051" s="126"/>
      <c r="I2051" s="126"/>
      <c r="J2051" s="126"/>
      <c r="K2051" s="127"/>
      <c r="L2051" s="10"/>
    </row>
    <row r="2052" spans="1:12" s="146" customFormat="1" ht="15.75" customHeight="1" x14ac:dyDescent="0.25">
      <c r="A2052" s="1041"/>
      <c r="B2052" s="1041"/>
      <c r="C2052" s="51"/>
      <c r="D2052" s="1047"/>
      <c r="E2052" s="1041"/>
      <c r="F2052" s="1041"/>
      <c r="G2052" s="381"/>
      <c r="H2052" s="126"/>
      <c r="I2052" s="126"/>
      <c r="J2052" s="126"/>
      <c r="K2052" s="127"/>
      <c r="L2052" s="10"/>
    </row>
    <row r="2053" spans="1:12" s="146" customFormat="1" ht="15.75" customHeight="1" x14ac:dyDescent="0.25">
      <c r="A2053" s="1041"/>
      <c r="B2053" s="1041"/>
      <c r="C2053" s="51"/>
      <c r="D2053" s="1047"/>
      <c r="E2053" s="1041"/>
      <c r="F2053" s="1041"/>
      <c r="G2053" s="381"/>
      <c r="H2053" s="126"/>
      <c r="I2053" s="126"/>
      <c r="J2053" s="126"/>
      <c r="K2053" s="127"/>
      <c r="L2053" s="10"/>
    </row>
    <row r="2054" spans="1:12" s="146" customFormat="1" ht="15.75" customHeight="1" x14ac:dyDescent="0.25">
      <c r="A2054" s="1041"/>
      <c r="B2054" s="1041"/>
      <c r="C2054" s="51"/>
      <c r="D2054" s="1047"/>
      <c r="E2054" s="1041"/>
      <c r="F2054" s="1041"/>
      <c r="G2054" s="381"/>
      <c r="H2054" s="126"/>
      <c r="I2054" s="126"/>
      <c r="J2054" s="126"/>
      <c r="K2054" s="127"/>
      <c r="L2054" s="10"/>
    </row>
    <row r="2055" spans="1:12" s="146" customFormat="1" ht="15.75" customHeight="1" x14ac:dyDescent="0.25">
      <c r="A2055" s="1041"/>
      <c r="B2055" s="1041"/>
      <c r="C2055" s="51"/>
      <c r="D2055" s="1047"/>
      <c r="E2055" s="1041"/>
      <c r="F2055" s="1041"/>
      <c r="G2055" s="381"/>
      <c r="H2055" s="126"/>
      <c r="I2055" s="126"/>
      <c r="J2055" s="126"/>
      <c r="K2055" s="127"/>
      <c r="L2055" s="10"/>
    </row>
    <row r="2056" spans="1:12" s="146" customFormat="1" ht="15.75" customHeight="1" x14ac:dyDescent="0.25">
      <c r="A2056" s="1041"/>
      <c r="B2056" s="1041"/>
      <c r="C2056" s="51"/>
      <c r="D2056" s="1047"/>
      <c r="E2056" s="1041"/>
      <c r="F2056" s="1041"/>
      <c r="G2056" s="381"/>
      <c r="H2056" s="126"/>
      <c r="I2056" s="126"/>
      <c r="J2056" s="126"/>
      <c r="K2056" s="127"/>
      <c r="L2056" s="10"/>
    </row>
    <row r="2057" spans="1:12" s="146" customFormat="1" ht="15.75" customHeight="1" x14ac:dyDescent="0.25">
      <c r="A2057" s="1041"/>
      <c r="B2057" s="1041"/>
      <c r="C2057" s="51"/>
      <c r="D2057" s="1047"/>
      <c r="E2057" s="1041"/>
      <c r="F2057" s="1041"/>
      <c r="G2057" s="381"/>
      <c r="H2057" s="126"/>
      <c r="I2057" s="126"/>
      <c r="J2057" s="126"/>
      <c r="K2057" s="127"/>
      <c r="L2057" s="10"/>
    </row>
    <row r="2058" spans="1:12" s="146" customFormat="1" ht="18" customHeight="1" x14ac:dyDescent="0.25">
      <c r="A2058" s="9" t="s">
        <v>112</v>
      </c>
      <c r="B2058" s="9"/>
      <c r="C2058" s="9"/>
      <c r="D2058" s="9"/>
      <c r="E2058" s="9"/>
      <c r="F2058" s="9"/>
      <c r="G2058" s="9"/>
      <c r="H2058" s="5"/>
      <c r="I2058" s="5"/>
      <c r="J2058" s="5"/>
      <c r="K2058" s="5"/>
      <c r="L2058" s="10"/>
    </row>
    <row r="2059" spans="1:12" ht="18" customHeight="1" x14ac:dyDescent="0.25">
      <c r="A2059" s="8" t="s">
        <v>950</v>
      </c>
    </row>
    <row r="2060" spans="1:12" ht="18" customHeight="1" x14ac:dyDescent="0.25">
      <c r="A2060" s="1636" t="s">
        <v>113</v>
      </c>
      <c r="B2060" s="1636"/>
      <c r="C2060" s="1636"/>
      <c r="D2060" s="1636"/>
      <c r="E2060" s="1636"/>
      <c r="F2060" s="1636"/>
      <c r="G2060" s="1636"/>
      <c r="H2060" s="1636"/>
      <c r="I2060" s="1636"/>
      <c r="J2060" s="1636"/>
      <c r="K2060" s="1060"/>
    </row>
    <row r="2061" spans="1:12" s="7" customFormat="1" ht="18" customHeight="1" x14ac:dyDescent="0.25">
      <c r="A2061" s="1624" t="s">
        <v>114</v>
      </c>
      <c r="B2061" s="1624"/>
      <c r="C2061" s="1624"/>
      <c r="D2061" s="1624"/>
      <c r="E2061" s="1624"/>
      <c r="F2061" s="1624"/>
      <c r="G2061" s="1624"/>
      <c r="H2061" s="1624"/>
      <c r="I2061" s="1624"/>
      <c r="J2061" s="1624"/>
      <c r="K2061" s="159"/>
      <c r="L2061" s="6"/>
    </row>
    <row r="2063" spans="1:12" ht="16.5" thickBot="1" x14ac:dyDescent="0.3"/>
    <row r="2064" spans="1:12" s="48" customFormat="1" ht="21.75" customHeight="1" thickBot="1" x14ac:dyDescent="0.3">
      <c r="A2064" s="1655" t="s">
        <v>115</v>
      </c>
      <c r="B2064" s="1655"/>
      <c r="C2064" s="1655"/>
      <c r="D2064" s="1655"/>
      <c r="E2064" s="1655"/>
      <c r="F2064" s="1655"/>
      <c r="G2064" s="1151"/>
      <c r="H2064" s="1708" t="s">
        <v>1537</v>
      </c>
      <c r="I2064" s="1710" t="s">
        <v>1538</v>
      </c>
      <c r="J2064" s="1710" t="s">
        <v>1539</v>
      </c>
      <c r="K2064" s="1710" t="s">
        <v>1540</v>
      </c>
      <c r="L2064" s="47"/>
    </row>
    <row r="2065" spans="1:12" s="1153" customFormat="1" ht="31.5" customHeight="1" thickBot="1" x14ac:dyDescent="0.3">
      <c r="A2065" s="1655"/>
      <c r="B2065" s="1655"/>
      <c r="C2065" s="1655"/>
      <c r="D2065" s="1655"/>
      <c r="E2065" s="1655"/>
      <c r="F2065" s="1655"/>
      <c r="G2065" s="1067" t="s">
        <v>116</v>
      </c>
      <c r="H2065" s="1709"/>
      <c r="I2065" s="1710"/>
      <c r="J2065" s="1710"/>
      <c r="K2065" s="1710"/>
      <c r="L2065" s="1152"/>
    </row>
    <row r="2066" spans="1:12" s="146" customFormat="1" ht="18" x14ac:dyDescent="0.25">
      <c r="A2066" s="1071"/>
      <c r="B2066" s="1047"/>
      <c r="C2066" s="1620" t="s">
        <v>862</v>
      </c>
      <c r="D2066" s="1620"/>
      <c r="E2066" s="1620"/>
      <c r="F2066" s="1621"/>
      <c r="G2066" s="376"/>
      <c r="H2066" s="101"/>
      <c r="I2066" s="101"/>
      <c r="J2066" s="101"/>
      <c r="K2066" s="102"/>
      <c r="L2066" s="10"/>
    </row>
    <row r="2067" spans="1:12" s="146" customFormat="1" ht="18" x14ac:dyDescent="0.25">
      <c r="A2067" s="1071"/>
      <c r="B2067" s="1047"/>
      <c r="C2067" s="1620" t="s">
        <v>831</v>
      </c>
      <c r="D2067" s="1620"/>
      <c r="E2067" s="1620"/>
      <c r="F2067" s="1621"/>
      <c r="G2067" s="376"/>
      <c r="H2067" s="101"/>
      <c r="I2067" s="101"/>
      <c r="J2067" s="101"/>
      <c r="K2067" s="102"/>
      <c r="L2067" s="10"/>
    </row>
    <row r="2068" spans="1:12" s="146" customFormat="1" ht="18" x14ac:dyDescent="0.25">
      <c r="A2068" s="1071"/>
      <c r="B2068" s="1047"/>
      <c r="C2068" s="1042" t="s">
        <v>1875</v>
      </c>
      <c r="D2068" s="1047"/>
      <c r="E2068" s="1047"/>
      <c r="F2068" s="1047"/>
      <c r="G2068" s="376"/>
      <c r="H2068" s="101"/>
      <c r="I2068" s="101">
        <v>150000</v>
      </c>
      <c r="J2068" s="101">
        <v>150000</v>
      </c>
      <c r="K2068" s="102">
        <v>20000</v>
      </c>
      <c r="L2068" s="10"/>
    </row>
    <row r="2069" spans="1:12" s="146" customFormat="1" ht="18" x14ac:dyDescent="0.25">
      <c r="A2069" s="1071"/>
      <c r="B2069" s="1047"/>
      <c r="C2069" s="1042" t="s">
        <v>805</v>
      </c>
      <c r="D2069" s="1047"/>
      <c r="E2069" s="1047"/>
      <c r="F2069" s="1047"/>
      <c r="G2069" s="376"/>
      <c r="H2069" s="101"/>
      <c r="I2069" s="101">
        <v>200000</v>
      </c>
      <c r="J2069" s="101">
        <v>200000</v>
      </c>
      <c r="K2069" s="102">
        <v>50000</v>
      </c>
      <c r="L2069" s="10"/>
    </row>
    <row r="2070" spans="1:12" s="146" customFormat="1" ht="18" x14ac:dyDescent="0.25">
      <c r="A2070" s="1071"/>
      <c r="B2070" s="1047"/>
      <c r="C2070" s="1062" t="s">
        <v>815</v>
      </c>
      <c r="D2070" s="1047"/>
      <c r="E2070" s="1047"/>
      <c r="F2070" s="1047"/>
      <c r="G2070" s="376"/>
      <c r="H2070" s="101"/>
      <c r="I2070" s="101">
        <v>360000</v>
      </c>
      <c r="J2070" s="101">
        <v>360000</v>
      </c>
      <c r="K2070" s="102">
        <v>360000</v>
      </c>
      <c r="L2070" s="10"/>
    </row>
    <row r="2071" spans="1:12" s="146" customFormat="1" ht="18" x14ac:dyDescent="0.25">
      <c r="A2071" s="1071"/>
      <c r="B2071" s="1047"/>
      <c r="C2071" s="1062" t="s">
        <v>814</v>
      </c>
      <c r="D2071" s="1047"/>
      <c r="E2071" s="1047"/>
      <c r="F2071" s="1047"/>
      <c r="G2071" s="376"/>
      <c r="H2071" s="101"/>
      <c r="I2071" s="101">
        <v>36000</v>
      </c>
      <c r="J2071" s="101">
        <v>36000</v>
      </c>
      <c r="K2071" s="102">
        <v>36000</v>
      </c>
      <c r="L2071" s="10"/>
    </row>
    <row r="2072" spans="1:12" s="146" customFormat="1" ht="18" x14ac:dyDescent="0.25">
      <c r="A2072" s="1071"/>
      <c r="B2072" s="1047"/>
      <c r="C2072" s="1062" t="s">
        <v>864</v>
      </c>
      <c r="D2072" s="1047"/>
      <c r="E2072" s="1047"/>
      <c r="F2072" s="1047"/>
      <c r="G2072" s="376"/>
      <c r="H2072" s="101"/>
      <c r="I2072" s="101">
        <v>45002</v>
      </c>
      <c r="J2072" s="101">
        <v>45002</v>
      </c>
      <c r="K2072" s="102">
        <v>45002</v>
      </c>
      <c r="L2072" s="10"/>
    </row>
    <row r="2073" spans="1:12" s="146" customFormat="1" ht="18" x14ac:dyDescent="0.25">
      <c r="A2073" s="1071"/>
      <c r="B2073" s="1047"/>
      <c r="C2073" s="1062" t="s">
        <v>865</v>
      </c>
      <c r="D2073" s="1047"/>
      <c r="E2073" s="1047"/>
      <c r="F2073" s="1047"/>
      <c r="G2073" s="376"/>
      <c r="H2073" s="101"/>
      <c r="I2073" s="101">
        <v>162691</v>
      </c>
      <c r="J2073" s="101">
        <v>162691</v>
      </c>
      <c r="K2073" s="102">
        <v>25000</v>
      </c>
      <c r="L2073" s="10"/>
    </row>
    <row r="2074" spans="1:12" s="146" customFormat="1" ht="18" x14ac:dyDescent="0.25">
      <c r="A2074" s="1071"/>
      <c r="B2074" s="1047"/>
      <c r="C2074" s="1062" t="s">
        <v>1878</v>
      </c>
      <c r="D2074" s="1047"/>
      <c r="E2074" s="1047"/>
      <c r="F2074" s="1047"/>
      <c r="G2074" s="376"/>
      <c r="H2074" s="101"/>
      <c r="I2074" s="101">
        <v>312000</v>
      </c>
      <c r="J2074" s="101">
        <v>312000</v>
      </c>
      <c r="K2074" s="102">
        <v>12000</v>
      </c>
      <c r="L2074" s="10"/>
    </row>
    <row r="2075" spans="1:12" s="146" customFormat="1" ht="18" x14ac:dyDescent="0.25">
      <c r="A2075" s="1071"/>
      <c r="B2075" s="1047"/>
      <c r="C2075" s="1062" t="s">
        <v>866</v>
      </c>
      <c r="D2075" s="1047"/>
      <c r="E2075" s="1047"/>
      <c r="F2075" s="1047"/>
      <c r="G2075" s="376"/>
      <c r="H2075" s="106"/>
      <c r="I2075" s="106">
        <v>102000</v>
      </c>
      <c r="J2075" s="106">
        <v>102000</v>
      </c>
      <c r="K2075" s="106">
        <v>102000</v>
      </c>
      <c r="L2075" s="10"/>
    </row>
    <row r="2076" spans="1:12" s="146" customFormat="1" ht="18" x14ac:dyDescent="0.25">
      <c r="A2076" s="1071"/>
      <c r="B2076" s="1047"/>
      <c r="C2076" s="1047" t="s">
        <v>823</v>
      </c>
      <c r="D2076" s="573"/>
      <c r="E2076" s="1047"/>
      <c r="F2076" s="1047"/>
      <c r="G2076" s="376"/>
      <c r="H2076" s="155">
        <f>SUM(H2068:H2075)</f>
        <v>0</v>
      </c>
      <c r="I2076" s="155">
        <f>SUM(I2068:I2075)</f>
        <v>1367693</v>
      </c>
      <c r="J2076" s="155">
        <f>SUM(J2068:J2075)</f>
        <v>1367693</v>
      </c>
      <c r="K2076" s="156">
        <f>SUM(K2068:K2075)</f>
        <v>650002</v>
      </c>
      <c r="L2076" s="10"/>
    </row>
    <row r="2077" spans="1:12" s="146" customFormat="1" ht="18" x14ac:dyDescent="0.25">
      <c r="A2077" s="1071"/>
      <c r="B2077" s="1047"/>
      <c r="C2077" s="1047"/>
      <c r="D2077" s="573"/>
      <c r="E2077" s="1047"/>
      <c r="F2077" s="1047"/>
      <c r="G2077" s="376"/>
      <c r="H2077" s="155"/>
      <c r="I2077" s="155"/>
      <c r="J2077" s="155"/>
      <c r="K2077" s="156"/>
      <c r="L2077" s="10"/>
    </row>
    <row r="2078" spans="1:12" s="146" customFormat="1" ht="18" x14ac:dyDescent="0.25">
      <c r="A2078" s="1071"/>
      <c r="B2078" s="1047"/>
      <c r="C2078" s="129" t="s">
        <v>1872</v>
      </c>
      <c r="D2078" s="1047"/>
      <c r="E2078" s="1047"/>
      <c r="F2078" s="1047"/>
      <c r="G2078" s="376"/>
      <c r="H2078" s="101"/>
      <c r="I2078" s="101"/>
      <c r="J2078" s="101"/>
      <c r="K2078" s="102"/>
      <c r="L2078" s="10"/>
    </row>
    <row r="2079" spans="1:12" s="146" customFormat="1" ht="18" x14ac:dyDescent="0.25">
      <c r="A2079" s="1071"/>
      <c r="B2079" s="1047"/>
      <c r="C2079" s="1062" t="s">
        <v>867</v>
      </c>
      <c r="D2079" s="1047"/>
      <c r="E2079" s="1047"/>
      <c r="F2079" s="1048"/>
      <c r="G2079" s="377"/>
      <c r="H2079" s="101"/>
      <c r="I2079" s="101"/>
      <c r="J2079" s="101"/>
      <c r="K2079" s="102"/>
      <c r="L2079" s="10"/>
    </row>
    <row r="2080" spans="1:12" s="146" customFormat="1" ht="18" x14ac:dyDescent="0.25">
      <c r="A2080" s="1071"/>
      <c r="B2080" s="1047"/>
      <c r="C2080" s="1062" t="s">
        <v>868</v>
      </c>
      <c r="D2080" s="1047"/>
      <c r="E2080" s="1047"/>
      <c r="F2080" s="1048"/>
      <c r="G2080" s="377"/>
      <c r="H2080" s="105"/>
      <c r="I2080" s="105"/>
      <c r="J2080" s="105"/>
      <c r="K2080" s="106"/>
      <c r="L2080" s="10"/>
    </row>
    <row r="2081" spans="1:12" s="146" customFormat="1" ht="18" x14ac:dyDescent="0.25">
      <c r="A2081" s="254"/>
      <c r="B2081" s="271"/>
      <c r="C2081" s="1047" t="s">
        <v>823</v>
      </c>
      <c r="D2081" s="573"/>
      <c r="E2081" s="1093"/>
      <c r="F2081" s="576"/>
      <c r="G2081" s="272"/>
      <c r="H2081" s="119">
        <f>SUM(H2079:H2080)</f>
        <v>0</v>
      </c>
      <c r="I2081" s="119">
        <f>SUM(I2079:I2080)</f>
        <v>0</v>
      </c>
      <c r="J2081" s="119">
        <f>SUM(J2079:J2080)</f>
        <v>0</v>
      </c>
      <c r="K2081" s="150">
        <f>SUM(K2079:K2080)</f>
        <v>0</v>
      </c>
      <c r="L2081" s="10"/>
    </row>
    <row r="2082" spans="1:12" s="146" customFormat="1" ht="18" x14ac:dyDescent="0.25">
      <c r="A2082" s="254"/>
      <c r="B2082" s="271"/>
      <c r="C2082" s="1047" t="s">
        <v>15</v>
      </c>
      <c r="D2082" s="573"/>
      <c r="E2082" s="1093"/>
      <c r="F2082" s="576"/>
      <c r="G2082" s="271"/>
      <c r="H2082" s="119">
        <f>H2081+H2076</f>
        <v>0</v>
      </c>
      <c r="I2082" s="119">
        <f>I2081+I2076</f>
        <v>1367693</v>
      </c>
      <c r="J2082" s="119">
        <f>J2081+J2076</f>
        <v>1367693</v>
      </c>
      <c r="K2082" s="150">
        <f>K2081+K2076</f>
        <v>650002</v>
      </c>
      <c r="L2082" s="10"/>
    </row>
    <row r="2083" spans="1:12" s="146" customFormat="1" ht="18" x14ac:dyDescent="0.25">
      <c r="A2083" s="254"/>
      <c r="B2083" s="271"/>
      <c r="C2083" s="387"/>
      <c r="D2083" s="1047"/>
      <c r="E2083" s="1093"/>
      <c r="F2083" s="1093"/>
      <c r="G2083" s="271"/>
      <c r="H2083" s="1158"/>
      <c r="I2083" s="1158"/>
      <c r="J2083" s="1158"/>
      <c r="K2083" s="1157"/>
      <c r="L2083" s="10"/>
    </row>
    <row r="2084" spans="1:12" s="146" customFormat="1" ht="18" x14ac:dyDescent="0.25">
      <c r="A2084" s="1051"/>
      <c r="B2084" s="1041"/>
      <c r="C2084" s="1620" t="s">
        <v>870</v>
      </c>
      <c r="D2084" s="1620"/>
      <c r="E2084" s="1620"/>
      <c r="F2084" s="1621"/>
      <c r="G2084" s="381"/>
      <c r="H2084" s="101"/>
      <c r="I2084" s="101"/>
      <c r="J2084" s="101"/>
      <c r="K2084" s="102"/>
      <c r="L2084" s="10"/>
    </row>
    <row r="2085" spans="1:12" s="146" customFormat="1" ht="18" x14ac:dyDescent="0.25">
      <c r="A2085" s="1051"/>
      <c r="B2085" s="1041"/>
      <c r="C2085" s="1620" t="s">
        <v>813</v>
      </c>
      <c r="D2085" s="1620"/>
      <c r="E2085" s="1620"/>
      <c r="F2085" s="1621"/>
      <c r="G2085" s="100"/>
      <c r="H2085" s="101"/>
      <c r="I2085" s="101"/>
      <c r="J2085" s="101"/>
      <c r="K2085" s="102"/>
      <c r="L2085" s="10"/>
    </row>
    <row r="2086" spans="1:12" s="229" customFormat="1" ht="18" customHeight="1" x14ac:dyDescent="0.25">
      <c r="A2086" s="154"/>
      <c r="B2086" s="1042"/>
      <c r="C2086" s="44" t="s">
        <v>1875</v>
      </c>
      <c r="D2086" s="125"/>
      <c r="E2086" s="125"/>
      <c r="F2086" s="134"/>
      <c r="G2086" s="100" t="s">
        <v>165</v>
      </c>
      <c r="H2086" s="102"/>
      <c r="I2086" s="1154">
        <v>60000</v>
      </c>
      <c r="J2086" s="1154">
        <v>60000</v>
      </c>
      <c r="K2086" s="102">
        <v>60000</v>
      </c>
      <c r="L2086" s="207"/>
    </row>
    <row r="2087" spans="1:12" s="229" customFormat="1" ht="18" customHeight="1" x14ac:dyDescent="0.25">
      <c r="A2087" s="154"/>
      <c r="B2087" s="1042"/>
      <c r="C2087" s="44" t="s">
        <v>871</v>
      </c>
      <c r="D2087" s="125"/>
      <c r="E2087" s="125"/>
      <c r="F2087" s="134"/>
      <c r="G2087" s="100" t="s">
        <v>187</v>
      </c>
      <c r="H2087" s="102"/>
      <c r="I2087" s="1154">
        <v>19000</v>
      </c>
      <c r="J2087" s="1154">
        <v>19000</v>
      </c>
      <c r="K2087" s="102">
        <v>19000</v>
      </c>
      <c r="L2087" s="207"/>
    </row>
    <row r="2088" spans="1:12" s="229" customFormat="1" ht="18" customHeight="1" x14ac:dyDescent="0.25">
      <c r="A2088" s="154"/>
      <c r="B2088" s="1042"/>
      <c r="C2088" s="44" t="s">
        <v>808</v>
      </c>
      <c r="D2088" s="125"/>
      <c r="E2088" s="125"/>
      <c r="F2088" s="134"/>
      <c r="G2088" s="100" t="s">
        <v>199</v>
      </c>
      <c r="H2088" s="102"/>
      <c r="I2088" s="1154">
        <v>96000</v>
      </c>
      <c r="J2088" s="1154">
        <v>96000</v>
      </c>
      <c r="K2088" s="102">
        <v>96000</v>
      </c>
      <c r="L2088" s="207"/>
    </row>
    <row r="2089" spans="1:12" s="146" customFormat="1" ht="18" x14ac:dyDescent="0.25">
      <c r="A2089" s="1051"/>
      <c r="B2089" s="1041"/>
      <c r="C2089" s="1047" t="s">
        <v>15</v>
      </c>
      <c r="E2089" s="1041"/>
      <c r="F2089" s="1041"/>
      <c r="G2089" s="100"/>
      <c r="H2089" s="119">
        <f>SUM(H2086:H2088)</f>
        <v>0</v>
      </c>
      <c r="I2089" s="119">
        <f>SUM(I2086:I2088)</f>
        <v>175000</v>
      </c>
      <c r="J2089" s="119">
        <f>SUM(J2086:J2088)</f>
        <v>175000</v>
      </c>
      <c r="K2089" s="150">
        <f>SUM(K2086:K2088)</f>
        <v>175000</v>
      </c>
      <c r="L2089" s="10"/>
    </row>
    <row r="2090" spans="1:12" s="146" customFormat="1" ht="18.75" customHeight="1" x14ac:dyDescent="0.25">
      <c r="A2090" s="1051"/>
      <c r="B2090" s="1041"/>
      <c r="C2090" s="1045"/>
      <c r="D2090" s="1047"/>
      <c r="E2090" s="1041"/>
      <c r="F2090" s="1041"/>
      <c r="G2090" s="100"/>
      <c r="H2090" s="155"/>
      <c r="I2090" s="155"/>
      <c r="J2090" s="155"/>
      <c r="K2090" s="156"/>
      <c r="L2090" s="10"/>
    </row>
    <row r="2091" spans="1:12" ht="18" x14ac:dyDescent="0.25">
      <c r="A2091" s="1051"/>
      <c r="B2091" s="1041"/>
      <c r="C2091" s="1620" t="s">
        <v>872</v>
      </c>
      <c r="D2091" s="1620"/>
      <c r="E2091" s="1620"/>
      <c r="F2091" s="1620"/>
      <c r="G2091" s="100"/>
      <c r="H2091" s="101"/>
      <c r="I2091" s="101"/>
      <c r="J2091" s="101"/>
      <c r="K2091" s="102"/>
    </row>
    <row r="2092" spans="1:12" s="146" customFormat="1" ht="18" x14ac:dyDescent="0.25">
      <c r="A2092" s="1051"/>
      <c r="B2092" s="1041"/>
      <c r="C2092" s="1620" t="s">
        <v>813</v>
      </c>
      <c r="D2092" s="1620"/>
      <c r="E2092" s="1620"/>
      <c r="F2092" s="1621"/>
      <c r="G2092" s="100"/>
      <c r="H2092" s="101"/>
      <c r="I2092" s="101"/>
      <c r="J2092" s="101"/>
      <c r="K2092" s="102"/>
      <c r="L2092" s="10"/>
    </row>
    <row r="2093" spans="1:12" s="229" customFormat="1" ht="18" customHeight="1" x14ac:dyDescent="0.25">
      <c r="A2093" s="154"/>
      <c r="B2093" s="1042"/>
      <c r="C2093" s="44" t="s">
        <v>1875</v>
      </c>
      <c r="D2093" s="125"/>
      <c r="E2093" s="125"/>
      <c r="F2093" s="134"/>
      <c r="G2093" s="100" t="s">
        <v>165</v>
      </c>
      <c r="H2093" s="101"/>
      <c r="I2093" s="101">
        <v>50000</v>
      </c>
      <c r="J2093" s="101">
        <v>50000</v>
      </c>
      <c r="K2093" s="102">
        <v>50000</v>
      </c>
      <c r="L2093" s="207"/>
    </row>
    <row r="2094" spans="1:12" s="229" customFormat="1" ht="18" customHeight="1" x14ac:dyDescent="0.25">
      <c r="A2094" s="154"/>
      <c r="B2094" s="1042"/>
      <c r="C2094" s="44" t="s">
        <v>806</v>
      </c>
      <c r="D2094" s="125"/>
      <c r="E2094" s="125"/>
      <c r="F2094" s="134"/>
      <c r="G2094" s="100" t="s">
        <v>169</v>
      </c>
      <c r="H2094" s="101"/>
      <c r="I2094" s="101">
        <v>699905</v>
      </c>
      <c r="J2094" s="101">
        <v>699905</v>
      </c>
      <c r="K2094" s="102">
        <v>200000</v>
      </c>
      <c r="L2094" s="207"/>
    </row>
    <row r="2095" spans="1:12" s="229" customFormat="1" ht="18" customHeight="1" x14ac:dyDescent="0.25">
      <c r="A2095" s="154"/>
      <c r="B2095" s="1042"/>
      <c r="C2095" s="44" t="s">
        <v>873</v>
      </c>
      <c r="D2095" s="125"/>
      <c r="E2095" s="125"/>
      <c r="F2095" s="134"/>
      <c r="G2095" s="100" t="s">
        <v>173</v>
      </c>
      <c r="H2095" s="101"/>
      <c r="I2095" s="101">
        <v>4024125</v>
      </c>
      <c r="J2095" s="101">
        <v>4024125</v>
      </c>
      <c r="K2095" s="102">
        <v>1200000</v>
      </c>
      <c r="L2095" s="207"/>
    </row>
    <row r="2096" spans="1:12" s="229" customFormat="1" ht="18" customHeight="1" x14ac:dyDescent="0.25">
      <c r="A2096" s="154"/>
      <c r="B2096" s="1042"/>
      <c r="C2096" s="44" t="s">
        <v>865</v>
      </c>
      <c r="D2096" s="125"/>
      <c r="E2096" s="125"/>
      <c r="F2096" s="134"/>
      <c r="G2096" s="100"/>
      <c r="H2096" s="101"/>
      <c r="I2096" s="101">
        <v>1769390</v>
      </c>
      <c r="J2096" s="101">
        <v>1769390</v>
      </c>
      <c r="K2096" s="102">
        <v>350000</v>
      </c>
      <c r="L2096" s="207"/>
    </row>
    <row r="2097" spans="1:12" s="229" customFormat="1" ht="18" customHeight="1" x14ac:dyDescent="0.25">
      <c r="A2097" s="154"/>
      <c r="B2097" s="1042"/>
      <c r="C2097" s="44" t="s">
        <v>815</v>
      </c>
      <c r="D2097" s="125"/>
      <c r="E2097" s="125"/>
      <c r="F2097" s="134"/>
      <c r="G2097" s="100" t="s">
        <v>385</v>
      </c>
      <c r="H2097" s="101"/>
      <c r="I2097" s="101">
        <v>1080000</v>
      </c>
      <c r="J2097" s="101">
        <v>1080000</v>
      </c>
      <c r="K2097" s="102">
        <v>1080000</v>
      </c>
      <c r="L2097" s="207"/>
    </row>
    <row r="2098" spans="1:12" s="229" customFormat="1" ht="18" customHeight="1" x14ac:dyDescent="0.25">
      <c r="A2098" s="154"/>
      <c r="B2098" s="1042"/>
      <c r="C2098" s="44" t="s">
        <v>871</v>
      </c>
      <c r="D2098" s="125"/>
      <c r="E2098" s="125"/>
      <c r="F2098" s="134"/>
      <c r="G2098" s="100" t="s">
        <v>187</v>
      </c>
      <c r="H2098" s="101"/>
      <c r="I2098" s="1156"/>
      <c r="J2098" s="1156"/>
      <c r="K2098" s="1154"/>
      <c r="L2098" s="207"/>
    </row>
    <row r="2099" spans="1:12" s="229" customFormat="1" ht="18" customHeight="1" x14ac:dyDescent="0.25">
      <c r="A2099" s="154"/>
      <c r="B2099" s="1042"/>
      <c r="C2099" s="44" t="s">
        <v>875</v>
      </c>
      <c r="D2099" s="125"/>
      <c r="E2099" s="125"/>
      <c r="F2099" s="134"/>
      <c r="G2099" s="100" t="s">
        <v>189</v>
      </c>
      <c r="H2099" s="101"/>
      <c r="I2099" s="101">
        <v>570000</v>
      </c>
      <c r="J2099" s="101">
        <v>570000</v>
      </c>
      <c r="K2099" s="102">
        <v>370000</v>
      </c>
      <c r="L2099" s="207"/>
    </row>
    <row r="2100" spans="1:12" s="229" customFormat="1" ht="18" customHeight="1" x14ac:dyDescent="0.25">
      <c r="A2100" s="154"/>
      <c r="B2100" s="1042"/>
      <c r="C2100" s="44" t="s">
        <v>808</v>
      </c>
      <c r="D2100" s="125"/>
      <c r="E2100" s="125"/>
      <c r="F2100" s="134"/>
      <c r="G2100" s="100" t="s">
        <v>199</v>
      </c>
      <c r="H2100" s="105"/>
      <c r="I2100" s="105">
        <v>480000</v>
      </c>
      <c r="J2100" s="105">
        <v>480000</v>
      </c>
      <c r="K2100" s="106">
        <v>150000</v>
      </c>
      <c r="L2100" s="207"/>
    </row>
    <row r="2101" spans="1:12" s="146" customFormat="1" ht="18" x14ac:dyDescent="0.25">
      <c r="A2101" s="1051"/>
      <c r="B2101" s="1041"/>
      <c r="C2101" s="1047" t="s">
        <v>823</v>
      </c>
      <c r="D2101" s="573"/>
      <c r="E2101" s="1041"/>
      <c r="F2101" s="1039"/>
      <c r="G2101" s="100"/>
      <c r="H2101" s="119">
        <f>SUM(H2093:H2100)</f>
        <v>0</v>
      </c>
      <c r="I2101" s="119">
        <f>SUM(I2093:I2100)</f>
        <v>8673420</v>
      </c>
      <c r="J2101" s="119">
        <f>SUM(J2093:J2100)</f>
        <v>8673420</v>
      </c>
      <c r="K2101" s="150">
        <f>SUM(K2093:K2100)</f>
        <v>3400000</v>
      </c>
      <c r="L2101" s="10"/>
    </row>
    <row r="2102" spans="1:12" s="146" customFormat="1" ht="18" x14ac:dyDescent="0.25">
      <c r="A2102" s="254"/>
      <c r="B2102" s="271"/>
      <c r="C2102" s="387"/>
      <c r="D2102" s="1047"/>
      <c r="E2102" s="1093"/>
      <c r="F2102" s="576"/>
      <c r="G2102" s="273"/>
      <c r="H2102" s="155"/>
      <c r="I2102" s="155"/>
      <c r="J2102" s="155"/>
      <c r="K2102" s="156"/>
      <c r="L2102" s="10"/>
    </row>
    <row r="2103" spans="1:12" s="146" customFormat="1" ht="18" x14ac:dyDescent="0.25">
      <c r="A2103" s="1051"/>
      <c r="B2103" s="1041"/>
      <c r="C2103" s="1620" t="s">
        <v>1872</v>
      </c>
      <c r="D2103" s="1620"/>
      <c r="E2103" s="1620"/>
      <c r="F2103" s="1621"/>
      <c r="G2103" s="100"/>
      <c r="H2103" s="101"/>
      <c r="I2103" s="101"/>
      <c r="J2103" s="101"/>
      <c r="K2103" s="102"/>
      <c r="L2103" s="10"/>
    </row>
    <row r="2104" spans="1:12" s="388" customFormat="1" ht="18" x14ac:dyDescent="0.25">
      <c r="A2104" s="154"/>
      <c r="B2104" s="1042"/>
      <c r="C2104" s="1042" t="s">
        <v>1879</v>
      </c>
      <c r="D2104" s="1042"/>
      <c r="E2104" s="1042"/>
      <c r="F2104" s="1043"/>
      <c r="G2104" s="100"/>
      <c r="H2104" s="101"/>
      <c r="I2104" s="101">
        <v>1350000</v>
      </c>
      <c r="J2104" s="101"/>
      <c r="K2104" s="102"/>
      <c r="L2104" s="207"/>
    </row>
    <row r="2105" spans="1:12" s="388" customFormat="1" ht="18" x14ac:dyDescent="0.25">
      <c r="A2105" s="154"/>
      <c r="B2105" s="1042"/>
      <c r="C2105" s="1042" t="s">
        <v>1880</v>
      </c>
      <c r="D2105" s="1042"/>
      <c r="E2105" s="1042"/>
      <c r="F2105" s="1043"/>
      <c r="G2105" s="100"/>
      <c r="H2105" s="101"/>
      <c r="I2105" s="101">
        <v>160000</v>
      </c>
      <c r="J2105" s="101"/>
      <c r="K2105" s="102"/>
      <c r="L2105" s="207"/>
    </row>
    <row r="2106" spans="1:12" s="146" customFormat="1" ht="18" x14ac:dyDescent="0.25">
      <c r="A2106" s="1051"/>
      <c r="B2106" s="1041"/>
      <c r="C2106" s="1042" t="s">
        <v>876</v>
      </c>
      <c r="D2106" s="1047"/>
      <c r="E2106" s="1047"/>
      <c r="F2106" s="1048"/>
      <c r="G2106" s="100"/>
      <c r="H2106" s="101"/>
      <c r="I2106" s="101"/>
      <c r="J2106" s="101"/>
      <c r="K2106" s="102"/>
      <c r="L2106" s="10"/>
    </row>
    <row r="2107" spans="1:12" s="388" customFormat="1" ht="18" x14ac:dyDescent="0.25">
      <c r="A2107" s="154"/>
      <c r="B2107" s="1042"/>
      <c r="C2107" s="1042" t="s">
        <v>824</v>
      </c>
      <c r="D2107" s="1042"/>
      <c r="E2107" s="1042"/>
      <c r="F2107" s="1043"/>
      <c r="G2107" s="100"/>
      <c r="H2107" s="101"/>
      <c r="I2107" s="101"/>
      <c r="J2107" s="101"/>
      <c r="K2107" s="102"/>
      <c r="L2107" s="207"/>
    </row>
    <row r="2108" spans="1:12" s="388" customFormat="1" ht="18" x14ac:dyDescent="0.25">
      <c r="A2108" s="154"/>
      <c r="B2108" s="1042"/>
      <c r="C2108" s="1042" t="s">
        <v>877</v>
      </c>
      <c r="D2108" s="1042"/>
      <c r="E2108" s="1042"/>
      <c r="F2108" s="1043"/>
      <c r="G2108" s="100"/>
      <c r="H2108" s="101"/>
      <c r="I2108" s="101"/>
      <c r="J2108" s="101"/>
      <c r="K2108" s="102"/>
      <c r="L2108" s="207"/>
    </row>
    <row r="2109" spans="1:12" s="388" customFormat="1" ht="18" x14ac:dyDescent="0.25">
      <c r="A2109" s="154"/>
      <c r="B2109" s="1042"/>
      <c r="C2109" s="1062" t="s">
        <v>878</v>
      </c>
      <c r="D2109" s="1062"/>
      <c r="E2109" s="1062"/>
      <c r="F2109" s="1063"/>
      <c r="G2109" s="205"/>
      <c r="H2109" s="102"/>
      <c r="I2109" s="102"/>
      <c r="J2109" s="102"/>
      <c r="K2109" s="102"/>
      <c r="L2109" s="207"/>
    </row>
    <row r="2110" spans="1:12" s="388" customFormat="1" ht="18" x14ac:dyDescent="0.25">
      <c r="A2110" s="154"/>
      <c r="B2110" s="1042"/>
      <c r="C2110" s="1042" t="s">
        <v>879</v>
      </c>
      <c r="D2110" s="1042"/>
      <c r="E2110" s="1042"/>
      <c r="F2110" s="1043"/>
      <c r="G2110" s="100"/>
      <c r="H2110" s="101"/>
      <c r="I2110" s="101"/>
      <c r="J2110" s="101"/>
      <c r="K2110" s="102"/>
      <c r="L2110" s="207"/>
    </row>
    <row r="2111" spans="1:12" s="388" customFormat="1" ht="18" x14ac:dyDescent="0.25">
      <c r="A2111" s="154"/>
      <c r="B2111" s="1042"/>
      <c r="C2111" s="1042" t="s">
        <v>880</v>
      </c>
      <c r="D2111" s="1042"/>
      <c r="E2111" s="1042"/>
      <c r="F2111" s="1043"/>
      <c r="G2111" s="100"/>
      <c r="H2111" s="101"/>
      <c r="I2111" s="101"/>
      <c r="J2111" s="101"/>
      <c r="K2111" s="102"/>
      <c r="L2111" s="207"/>
    </row>
    <row r="2112" spans="1:12" s="388" customFormat="1" ht="18" x14ac:dyDescent="0.25">
      <c r="A2112" s="154"/>
      <c r="B2112" s="1042"/>
      <c r="C2112" s="1042" t="s">
        <v>1881</v>
      </c>
      <c r="D2112" s="1042"/>
      <c r="E2112" s="1042"/>
      <c r="F2112" s="1043"/>
      <c r="G2112" s="100"/>
      <c r="H2112" s="101"/>
      <c r="I2112" s="101"/>
      <c r="J2112" s="101"/>
      <c r="K2112" s="102"/>
      <c r="L2112" s="207"/>
    </row>
    <row r="2113" spans="1:12" s="388" customFormat="1" ht="18" x14ac:dyDescent="0.25">
      <c r="A2113" s="154"/>
      <c r="B2113" s="1042"/>
      <c r="C2113" s="1042" t="s">
        <v>881</v>
      </c>
      <c r="D2113" s="1042"/>
      <c r="E2113" s="1042"/>
      <c r="F2113" s="1043"/>
      <c r="G2113" s="100"/>
      <c r="H2113" s="101"/>
      <c r="I2113" s="101"/>
      <c r="J2113" s="101"/>
      <c r="K2113" s="102"/>
      <c r="L2113" s="207"/>
    </row>
    <row r="2114" spans="1:12" s="388" customFormat="1" ht="18" x14ac:dyDescent="0.25">
      <c r="A2114" s="154"/>
      <c r="B2114" s="1042"/>
      <c r="C2114" s="1042" t="s">
        <v>882</v>
      </c>
      <c r="D2114" s="1042"/>
      <c r="E2114" s="1042"/>
      <c r="F2114" s="1043"/>
      <c r="G2114" s="100"/>
      <c r="H2114" s="101"/>
      <c r="I2114" s="101"/>
      <c r="J2114" s="101"/>
      <c r="K2114" s="102"/>
      <c r="L2114" s="207"/>
    </row>
    <row r="2115" spans="1:12" s="146" customFormat="1" ht="18" x14ac:dyDescent="0.25">
      <c r="A2115" s="1051"/>
      <c r="B2115" s="1041"/>
      <c r="C2115" s="1047" t="s">
        <v>823</v>
      </c>
      <c r="D2115" s="573"/>
      <c r="E2115" s="1041"/>
      <c r="F2115" s="1039"/>
      <c r="G2115" s="100"/>
      <c r="H2115" s="1158">
        <f>SUM(H2104:H2114)</f>
        <v>0</v>
      </c>
      <c r="I2115" s="1158">
        <f>SUM(I2104:I2114)</f>
        <v>1510000</v>
      </c>
      <c r="J2115" s="1158">
        <f>SUM(J2104:J2114)</f>
        <v>0</v>
      </c>
      <c r="K2115" s="1157">
        <f>SUM(K2104:K2114)</f>
        <v>0</v>
      </c>
      <c r="L2115" s="10"/>
    </row>
    <row r="2116" spans="1:12" s="146" customFormat="1" ht="18" x14ac:dyDescent="0.25">
      <c r="A2116" s="1051"/>
      <c r="B2116" s="1041"/>
      <c r="C2116" s="1047"/>
      <c r="D2116" s="573"/>
      <c r="E2116" s="1041"/>
      <c r="F2116" s="1039"/>
      <c r="G2116" s="100"/>
      <c r="H2116" s="155"/>
      <c r="I2116" s="155"/>
      <c r="J2116" s="155"/>
      <c r="K2116" s="156"/>
      <c r="L2116" s="10"/>
    </row>
    <row r="2117" spans="1:12" s="146" customFormat="1" ht="18" x14ac:dyDescent="0.25">
      <c r="A2117" s="1051"/>
      <c r="B2117" s="1041"/>
      <c r="C2117" s="1620" t="s">
        <v>892</v>
      </c>
      <c r="D2117" s="1620"/>
      <c r="E2117" s="1041"/>
      <c r="F2117" s="1039"/>
      <c r="G2117" s="100"/>
      <c r="H2117" s="101"/>
      <c r="I2117" s="101"/>
      <c r="J2117" s="101"/>
      <c r="K2117" s="102"/>
      <c r="L2117" s="10"/>
    </row>
    <row r="2118" spans="1:12" s="146" customFormat="1" ht="18" x14ac:dyDescent="0.25">
      <c r="A2118" s="1051"/>
      <c r="B2118" s="1041"/>
      <c r="C2118" s="38" t="s">
        <v>893</v>
      </c>
      <c r="D2118" s="1041"/>
      <c r="E2118" s="1041"/>
      <c r="F2118" s="1039"/>
      <c r="G2118" s="100"/>
      <c r="H2118" s="101"/>
      <c r="I2118" s="101"/>
      <c r="J2118" s="101"/>
      <c r="K2118" s="102"/>
      <c r="L2118" s="10"/>
    </row>
    <row r="2119" spans="1:12" s="146" customFormat="1" ht="18" x14ac:dyDescent="0.25">
      <c r="A2119" s="1051"/>
      <c r="B2119" s="1041"/>
      <c r="C2119" s="38" t="s">
        <v>1882</v>
      </c>
      <c r="D2119" s="1041"/>
      <c r="E2119" s="1041"/>
      <c r="F2119" s="1039"/>
      <c r="G2119" s="100"/>
      <c r="H2119" s="101"/>
      <c r="I2119" s="101">
        <v>150000</v>
      </c>
      <c r="J2119" s="101">
        <v>150000</v>
      </c>
      <c r="K2119" s="102"/>
      <c r="L2119" s="10"/>
    </row>
    <row r="2120" spans="1:12" s="146" customFormat="1" ht="18" x14ac:dyDescent="0.25">
      <c r="A2120" s="1072"/>
      <c r="B2120" s="1045"/>
      <c r="C2120" s="38" t="s">
        <v>1883</v>
      </c>
      <c r="D2120" s="1045"/>
      <c r="E2120" s="1045"/>
      <c r="F2120" s="1046"/>
      <c r="G2120" s="205"/>
      <c r="H2120" s="102"/>
      <c r="I2120" s="102">
        <v>60000</v>
      </c>
      <c r="J2120" s="102">
        <v>60000</v>
      </c>
      <c r="K2120" s="102">
        <v>60000</v>
      </c>
      <c r="L2120" s="10"/>
    </row>
    <row r="2121" spans="1:12" s="146" customFormat="1" ht="18" x14ac:dyDescent="0.25">
      <c r="A2121" s="1072"/>
      <c r="B2121" s="1045"/>
      <c r="C2121" s="38" t="s">
        <v>1884</v>
      </c>
      <c r="D2121" s="1045"/>
      <c r="E2121" s="1045"/>
      <c r="F2121" s="1046"/>
      <c r="G2121" s="205"/>
      <c r="H2121" s="102"/>
      <c r="I2121" s="102">
        <v>80000</v>
      </c>
      <c r="J2121" s="102">
        <v>80000</v>
      </c>
      <c r="K2121" s="102">
        <v>80000</v>
      </c>
      <c r="L2121" s="10"/>
    </row>
    <row r="2122" spans="1:12" s="146" customFormat="1" ht="18" x14ac:dyDescent="0.25">
      <c r="A2122" s="1072"/>
      <c r="B2122" s="1045"/>
      <c r="C2122" s="38" t="s">
        <v>1885</v>
      </c>
      <c r="D2122" s="1045"/>
      <c r="E2122" s="1045"/>
      <c r="F2122" s="1046"/>
      <c r="G2122" s="205"/>
      <c r="H2122" s="102"/>
      <c r="I2122" s="102">
        <v>60000</v>
      </c>
      <c r="J2122" s="102">
        <v>60000</v>
      </c>
      <c r="K2122" s="102">
        <v>60000</v>
      </c>
      <c r="L2122" s="10"/>
    </row>
    <row r="2123" spans="1:12" s="146" customFormat="1" ht="18" x14ac:dyDescent="0.25">
      <c r="A2123" s="1072"/>
      <c r="B2123" s="1045"/>
      <c r="C2123" s="38" t="s">
        <v>1886</v>
      </c>
      <c r="D2123" s="1045"/>
      <c r="E2123" s="1045"/>
      <c r="F2123" s="1046"/>
      <c r="G2123" s="205"/>
      <c r="H2123" s="102"/>
      <c r="I2123" s="102">
        <v>150000</v>
      </c>
      <c r="J2123" s="102">
        <v>150000</v>
      </c>
      <c r="K2123" s="102">
        <v>150000</v>
      </c>
      <c r="L2123" s="10"/>
    </row>
    <row r="2124" spans="1:12" s="146" customFormat="1" ht="18" x14ac:dyDescent="0.25">
      <c r="A2124" s="1072"/>
      <c r="B2124" s="1045"/>
      <c r="C2124" s="38" t="s">
        <v>1887</v>
      </c>
      <c r="D2124" s="1045"/>
      <c r="E2124" s="1045"/>
      <c r="F2124" s="1046"/>
      <c r="G2124" s="205"/>
      <c r="H2124" s="102"/>
      <c r="I2124" s="1154"/>
      <c r="J2124" s="1154"/>
      <c r="K2124" s="1154"/>
      <c r="L2124" s="10"/>
    </row>
    <row r="2125" spans="1:12" s="146" customFormat="1" ht="18" x14ac:dyDescent="0.25">
      <c r="A2125" s="1072"/>
      <c r="B2125" s="1045"/>
      <c r="C2125" s="1646" t="s">
        <v>1888</v>
      </c>
      <c r="D2125" s="1646"/>
      <c r="E2125" s="1646"/>
      <c r="F2125" s="1046"/>
      <c r="G2125" s="205"/>
      <c r="H2125" s="102"/>
      <c r="I2125" s="1154"/>
      <c r="J2125" s="1154"/>
      <c r="K2125" s="1154"/>
      <c r="L2125" s="10"/>
    </row>
    <row r="2126" spans="1:12" s="146" customFormat="1" ht="18" x14ac:dyDescent="0.25">
      <c r="A2126" s="1072"/>
      <c r="B2126" s="1045"/>
      <c r="C2126" s="1574" t="s">
        <v>1889</v>
      </c>
      <c r="D2126" s="1574"/>
      <c r="E2126" s="1574"/>
      <c r="F2126" s="1618"/>
      <c r="G2126" s="205"/>
      <c r="H2126" s="102"/>
      <c r="I2126" s="102">
        <v>80000</v>
      </c>
      <c r="J2126" s="102">
        <v>80000</v>
      </c>
      <c r="K2126" s="102">
        <v>80000</v>
      </c>
      <c r="L2126" s="10"/>
    </row>
    <row r="2127" spans="1:12" s="146" customFormat="1" ht="18.75" thickBot="1" x14ac:dyDescent="0.3">
      <c r="A2127" s="317"/>
      <c r="B2127" s="318"/>
      <c r="C2127" s="447" t="s">
        <v>1890</v>
      </c>
      <c r="D2127" s="318"/>
      <c r="E2127" s="318"/>
      <c r="F2127" s="1249"/>
      <c r="G2127" s="1250"/>
      <c r="H2127" s="220"/>
      <c r="I2127" s="220">
        <v>50000</v>
      </c>
      <c r="J2127" s="220">
        <v>50000</v>
      </c>
      <c r="K2127" s="220">
        <v>50000</v>
      </c>
      <c r="L2127" s="10"/>
    </row>
    <row r="2128" spans="1:12" s="146" customFormat="1" ht="18" x14ac:dyDescent="0.25">
      <c r="A2128" s="1041"/>
      <c r="B2128" s="1041"/>
      <c r="C2128" s="38"/>
      <c r="D2128" s="1041"/>
      <c r="E2128" s="1041"/>
      <c r="F2128" s="1041"/>
      <c r="G2128" s="381"/>
      <c r="H2128" s="141"/>
      <c r="I2128" s="141"/>
      <c r="J2128" s="141"/>
      <c r="K2128" s="122"/>
      <c r="L2128" s="10"/>
    </row>
    <row r="2129" spans="1:12" s="146" customFormat="1" ht="18" x14ac:dyDescent="0.25">
      <c r="A2129" s="1041"/>
      <c r="B2129" s="1041"/>
      <c r="C2129" s="38"/>
      <c r="D2129" s="1041"/>
      <c r="E2129" s="1041"/>
      <c r="F2129" s="1041"/>
      <c r="G2129" s="381"/>
      <c r="H2129" s="141"/>
      <c r="I2129" s="141"/>
      <c r="J2129" s="141"/>
      <c r="K2129" s="122"/>
      <c r="L2129" s="10"/>
    </row>
    <row r="2130" spans="1:12" s="146" customFormat="1" ht="18" x14ac:dyDescent="0.25">
      <c r="A2130" s="1041"/>
      <c r="B2130" s="1041"/>
      <c r="C2130" s="38"/>
      <c r="D2130" s="1041"/>
      <c r="E2130" s="1041"/>
      <c r="F2130" s="1041"/>
      <c r="G2130" s="381"/>
      <c r="H2130" s="141"/>
      <c r="I2130" s="141"/>
      <c r="J2130" s="141"/>
      <c r="K2130" s="122"/>
      <c r="L2130" s="10"/>
    </row>
    <row r="2131" spans="1:12" s="146" customFormat="1" ht="18" x14ac:dyDescent="0.25">
      <c r="A2131" s="1041"/>
      <c r="B2131" s="1041"/>
      <c r="C2131" s="38"/>
      <c r="D2131" s="1041"/>
      <c r="E2131" s="1041"/>
      <c r="F2131" s="1041"/>
      <c r="G2131" s="381"/>
      <c r="H2131" s="141"/>
      <c r="I2131" s="141"/>
      <c r="J2131" s="141"/>
      <c r="K2131" s="122"/>
      <c r="L2131" s="10"/>
    </row>
    <row r="2132" spans="1:12" s="146" customFormat="1" ht="18" customHeight="1" x14ac:dyDescent="0.25">
      <c r="A2132" s="9" t="s">
        <v>112</v>
      </c>
      <c r="B2132" s="9"/>
      <c r="C2132" s="9"/>
      <c r="D2132" s="9"/>
      <c r="E2132" s="9"/>
      <c r="F2132" s="9"/>
      <c r="G2132" s="9"/>
      <c r="H2132" s="5"/>
      <c r="I2132" s="5"/>
      <c r="J2132" s="5"/>
      <c r="K2132" s="5"/>
      <c r="L2132" s="10"/>
    </row>
    <row r="2133" spans="1:12" ht="18" customHeight="1" x14ac:dyDescent="0.25">
      <c r="A2133" s="8" t="s">
        <v>976</v>
      </c>
    </row>
    <row r="2134" spans="1:12" ht="18" customHeight="1" x14ac:dyDescent="0.25">
      <c r="A2134" s="1636" t="s">
        <v>113</v>
      </c>
      <c r="B2134" s="1636"/>
      <c r="C2134" s="1636"/>
      <c r="D2134" s="1636"/>
      <c r="E2134" s="1636"/>
      <c r="F2134" s="1636"/>
      <c r="G2134" s="1636"/>
      <c r="H2134" s="1636"/>
      <c r="I2134" s="1636"/>
      <c r="J2134" s="1636"/>
      <c r="K2134" s="1060"/>
    </row>
    <row r="2135" spans="1:12" s="7" customFormat="1" ht="18" customHeight="1" x14ac:dyDescent="0.25">
      <c r="A2135" s="1624" t="s">
        <v>114</v>
      </c>
      <c r="B2135" s="1624"/>
      <c r="C2135" s="1624"/>
      <c r="D2135" s="1624"/>
      <c r="E2135" s="1624"/>
      <c r="F2135" s="1624"/>
      <c r="G2135" s="1624"/>
      <c r="H2135" s="1624"/>
      <c r="I2135" s="1624"/>
      <c r="J2135" s="1624"/>
      <c r="K2135" s="159"/>
      <c r="L2135" s="6"/>
    </row>
    <row r="2137" spans="1:12" ht="16.5" thickBot="1" x14ac:dyDescent="0.3"/>
    <row r="2138" spans="1:12" s="48" customFormat="1" ht="21.75" customHeight="1" thickBot="1" x14ac:dyDescent="0.3">
      <c r="A2138" s="1655" t="s">
        <v>115</v>
      </c>
      <c r="B2138" s="1655"/>
      <c r="C2138" s="1655"/>
      <c r="D2138" s="1655"/>
      <c r="E2138" s="1655"/>
      <c r="F2138" s="1655"/>
      <c r="G2138" s="1151"/>
      <c r="H2138" s="1708" t="s">
        <v>1537</v>
      </c>
      <c r="I2138" s="1710" t="s">
        <v>1538</v>
      </c>
      <c r="J2138" s="1710" t="s">
        <v>1539</v>
      </c>
      <c r="K2138" s="1710" t="s">
        <v>1540</v>
      </c>
      <c r="L2138" s="47"/>
    </row>
    <row r="2139" spans="1:12" s="1153" customFormat="1" ht="31.5" customHeight="1" thickBot="1" x14ac:dyDescent="0.3">
      <c r="A2139" s="1655"/>
      <c r="B2139" s="1655"/>
      <c r="C2139" s="1655"/>
      <c r="D2139" s="1655"/>
      <c r="E2139" s="1655"/>
      <c r="F2139" s="1655"/>
      <c r="G2139" s="1067" t="s">
        <v>116</v>
      </c>
      <c r="H2139" s="1709"/>
      <c r="I2139" s="1710"/>
      <c r="J2139" s="1710"/>
      <c r="K2139" s="1710"/>
      <c r="L2139" s="1152"/>
    </row>
    <row r="2140" spans="1:12" s="146" customFormat="1" ht="18" x14ac:dyDescent="0.25">
      <c r="A2140" s="1072"/>
      <c r="B2140" s="1045"/>
      <c r="C2140" s="1062" t="s">
        <v>1891</v>
      </c>
      <c r="D2140" s="1045"/>
      <c r="E2140" s="1045"/>
      <c r="F2140" s="1046"/>
      <c r="G2140" s="205"/>
      <c r="H2140" s="102"/>
      <c r="I2140" s="102">
        <v>80000</v>
      </c>
      <c r="J2140" s="102">
        <v>80000</v>
      </c>
      <c r="K2140" s="102">
        <v>80000</v>
      </c>
      <c r="L2140" s="10"/>
    </row>
    <row r="2141" spans="1:12" s="203" customFormat="1" ht="18" x14ac:dyDescent="0.25">
      <c r="A2141" s="1072"/>
      <c r="B2141" s="1045"/>
      <c r="C2141" s="1062" t="s">
        <v>1892</v>
      </c>
      <c r="D2141" s="1045"/>
      <c r="E2141" s="1045"/>
      <c r="F2141" s="1046"/>
      <c r="G2141" s="205"/>
      <c r="H2141" s="102"/>
      <c r="I2141" s="102">
        <v>50000</v>
      </c>
      <c r="J2141" s="102">
        <v>50000</v>
      </c>
      <c r="K2141" s="102">
        <v>50000</v>
      </c>
      <c r="L2141" s="10"/>
    </row>
    <row r="2142" spans="1:12" s="146" customFormat="1" ht="18" x14ac:dyDescent="0.25">
      <c r="A2142" s="1051"/>
      <c r="B2142" s="1041"/>
      <c r="C2142" s="1062" t="s">
        <v>1893</v>
      </c>
      <c r="D2142" s="1041"/>
      <c r="E2142" s="1041"/>
      <c r="F2142" s="1039"/>
      <c r="G2142" s="100"/>
      <c r="H2142" s="101"/>
      <c r="I2142" s="101">
        <v>120000</v>
      </c>
      <c r="J2142" s="101">
        <v>120000</v>
      </c>
      <c r="K2142" s="102">
        <v>120000</v>
      </c>
      <c r="L2142" s="10"/>
    </row>
    <row r="2143" spans="1:12" s="146" customFormat="1" ht="18" x14ac:dyDescent="0.25">
      <c r="A2143" s="1051"/>
      <c r="B2143" s="1041"/>
      <c r="C2143" s="38" t="s">
        <v>903</v>
      </c>
      <c r="D2143" s="1041"/>
      <c r="E2143" s="1041"/>
      <c r="F2143" s="1039"/>
      <c r="G2143" s="100"/>
      <c r="H2143" s="101"/>
      <c r="I2143" s="101"/>
      <c r="J2143" s="101"/>
      <c r="K2143" s="102"/>
      <c r="L2143" s="10"/>
    </row>
    <row r="2144" spans="1:12" s="146" customFormat="1" ht="18" x14ac:dyDescent="0.25">
      <c r="A2144" s="1051"/>
      <c r="B2144" s="1041"/>
      <c r="C2144" s="38" t="s">
        <v>1894</v>
      </c>
      <c r="D2144" s="1041"/>
      <c r="E2144" s="1041"/>
      <c r="F2144" s="1039"/>
      <c r="G2144" s="100"/>
      <c r="H2144" s="101"/>
      <c r="I2144" s="101">
        <v>72000</v>
      </c>
      <c r="J2144" s="101">
        <v>72000</v>
      </c>
      <c r="K2144" s="102">
        <v>72000</v>
      </c>
      <c r="L2144" s="10"/>
    </row>
    <row r="2145" spans="1:12" s="146" customFormat="1" ht="18" x14ac:dyDescent="0.25">
      <c r="A2145" s="1051"/>
      <c r="B2145" s="1041"/>
      <c r="C2145" s="38" t="s">
        <v>1895</v>
      </c>
      <c r="D2145" s="1041"/>
      <c r="E2145" s="1041"/>
      <c r="F2145" s="1039"/>
      <c r="G2145" s="100"/>
      <c r="H2145" s="101"/>
      <c r="I2145" s="1156"/>
      <c r="J2145" s="1156"/>
      <c r="K2145" s="1154"/>
      <c r="L2145" s="10"/>
    </row>
    <row r="2146" spans="1:12" s="146" customFormat="1" ht="38.25" customHeight="1" x14ac:dyDescent="0.25">
      <c r="A2146" s="1051"/>
      <c r="B2146" s="1041"/>
      <c r="C2146" s="1634" t="s">
        <v>1896</v>
      </c>
      <c r="D2146" s="1634"/>
      <c r="E2146" s="1634"/>
      <c r="F2146" s="1653"/>
      <c r="G2146" s="100"/>
      <c r="H2146" s="101"/>
      <c r="I2146" s="1156"/>
      <c r="J2146" s="1156"/>
      <c r="K2146" s="1154"/>
      <c r="L2146" s="10"/>
    </row>
    <row r="2147" spans="1:12" s="146" customFormat="1" ht="55.5" customHeight="1" x14ac:dyDescent="0.25">
      <c r="A2147" s="1051"/>
      <c r="B2147" s="1041"/>
      <c r="C2147" s="1628" t="s">
        <v>1897</v>
      </c>
      <c r="D2147" s="1628"/>
      <c r="E2147" s="1041"/>
      <c r="F2147" s="1039"/>
      <c r="G2147" s="100"/>
      <c r="H2147" s="101"/>
      <c r="I2147" s="101">
        <v>72000</v>
      </c>
      <c r="J2147" s="101">
        <v>72000</v>
      </c>
      <c r="K2147" s="102">
        <v>72000</v>
      </c>
      <c r="L2147" s="10"/>
    </row>
    <row r="2148" spans="1:12" s="146" customFormat="1" ht="38.25" customHeight="1" x14ac:dyDescent="0.25">
      <c r="A2148" s="1051"/>
      <c r="B2148" s="1041"/>
      <c r="C2148" s="1617" t="s">
        <v>1898</v>
      </c>
      <c r="D2148" s="1617"/>
      <c r="E2148" s="1041"/>
      <c r="F2148" s="1039"/>
      <c r="G2148" s="100"/>
      <c r="H2148" s="101"/>
      <c r="I2148" s="101">
        <v>36000</v>
      </c>
      <c r="J2148" s="101">
        <v>36000</v>
      </c>
      <c r="K2148" s="102">
        <v>36000</v>
      </c>
      <c r="L2148" s="10"/>
    </row>
    <row r="2149" spans="1:12" s="146" customFormat="1" ht="18" x14ac:dyDescent="0.25">
      <c r="A2149" s="1051"/>
      <c r="B2149" s="1041"/>
      <c r="C2149" s="38" t="s">
        <v>1899</v>
      </c>
      <c r="D2149" s="1041"/>
      <c r="E2149" s="1041"/>
      <c r="F2149" s="1039"/>
      <c r="G2149" s="100"/>
      <c r="H2149" s="101"/>
      <c r="I2149" s="101"/>
      <c r="J2149" s="101"/>
      <c r="K2149" s="102"/>
      <c r="L2149" s="10"/>
    </row>
    <row r="2150" spans="1:12" s="146" customFormat="1" ht="18" x14ac:dyDescent="0.25">
      <c r="A2150" s="1051"/>
      <c r="B2150" s="1041"/>
      <c r="C2150" s="38" t="s">
        <v>1900</v>
      </c>
      <c r="D2150" s="1041"/>
      <c r="E2150" s="1041"/>
      <c r="F2150" s="1039"/>
      <c r="G2150" s="100"/>
      <c r="H2150" s="101"/>
      <c r="I2150" s="101">
        <v>100000</v>
      </c>
      <c r="J2150" s="101">
        <v>100000</v>
      </c>
      <c r="K2150" s="102">
        <v>100000</v>
      </c>
      <c r="L2150" s="10"/>
    </row>
    <row r="2151" spans="1:12" s="146" customFormat="1" ht="18" x14ac:dyDescent="0.25">
      <c r="A2151" s="1051"/>
      <c r="B2151" s="1041"/>
      <c r="C2151" s="38" t="s">
        <v>1901</v>
      </c>
      <c r="D2151" s="1041"/>
      <c r="E2151" s="1041"/>
      <c r="F2151" s="1039"/>
      <c r="G2151" s="100"/>
      <c r="H2151" s="101"/>
      <c r="I2151" s="101"/>
      <c r="J2151" s="101"/>
      <c r="K2151" s="102"/>
      <c r="L2151" s="10"/>
    </row>
    <row r="2152" spans="1:12" s="146" customFormat="1" ht="18" x14ac:dyDescent="0.25">
      <c r="A2152" s="1051"/>
      <c r="B2152" s="1041"/>
      <c r="C2152" s="38" t="s">
        <v>1902</v>
      </c>
      <c r="D2152" s="1041"/>
      <c r="E2152" s="1041"/>
      <c r="F2152" s="1039"/>
      <c r="G2152" s="100"/>
      <c r="H2152" s="101"/>
      <c r="I2152" s="101">
        <v>44000</v>
      </c>
      <c r="J2152" s="101">
        <v>44000</v>
      </c>
      <c r="K2152" s="102">
        <v>44000</v>
      </c>
      <c r="L2152" s="10"/>
    </row>
    <row r="2153" spans="1:12" s="146" customFormat="1" ht="18" x14ac:dyDescent="0.25">
      <c r="A2153" s="1051"/>
      <c r="B2153" s="1041"/>
      <c r="C2153" s="38" t="s">
        <v>1903</v>
      </c>
      <c r="D2153" s="1041"/>
      <c r="E2153" s="1041"/>
      <c r="F2153" s="1041"/>
      <c r="G2153" s="100"/>
      <c r="H2153" s="101"/>
      <c r="I2153" s="101">
        <v>90000</v>
      </c>
      <c r="J2153" s="101">
        <v>90000</v>
      </c>
      <c r="K2153" s="102">
        <v>90000</v>
      </c>
      <c r="L2153" s="10"/>
    </row>
    <row r="2154" spans="1:12" s="146" customFormat="1" ht="39" customHeight="1" x14ac:dyDescent="0.25">
      <c r="A2154" s="1051"/>
      <c r="B2154" s="1041"/>
      <c r="C2154" s="1628" t="s">
        <v>1904</v>
      </c>
      <c r="D2154" s="1628"/>
      <c r="E2154" s="1041"/>
      <c r="F2154" s="1041"/>
      <c r="G2154" s="100"/>
      <c r="H2154" s="101"/>
      <c r="I2154" s="101"/>
      <c r="J2154" s="101"/>
      <c r="K2154" s="102"/>
      <c r="L2154" s="10"/>
    </row>
    <row r="2155" spans="1:12" s="146" customFormat="1" ht="18" x14ac:dyDescent="0.25">
      <c r="A2155" s="1051"/>
      <c r="B2155" s="1041"/>
      <c r="C2155" s="38" t="s">
        <v>1905</v>
      </c>
      <c r="D2155" s="1041"/>
      <c r="E2155" s="1041"/>
      <c r="F2155" s="1041"/>
      <c r="G2155" s="100"/>
      <c r="H2155" s="101"/>
      <c r="I2155" s="101">
        <v>20000</v>
      </c>
      <c r="J2155" s="101">
        <v>20000</v>
      </c>
      <c r="K2155" s="102">
        <v>20000</v>
      </c>
      <c r="L2155" s="10"/>
    </row>
    <row r="2156" spans="1:12" s="146" customFormat="1" ht="18" x14ac:dyDescent="0.25">
      <c r="A2156" s="1051"/>
      <c r="B2156" s="1041"/>
      <c r="C2156" s="38" t="s">
        <v>1906</v>
      </c>
      <c r="D2156" s="1041"/>
      <c r="E2156" s="1041"/>
      <c r="F2156" s="1041"/>
      <c r="G2156" s="100"/>
      <c r="H2156" s="105"/>
      <c r="I2156" s="105"/>
      <c r="J2156" s="105"/>
      <c r="K2156" s="106"/>
      <c r="L2156" s="10"/>
    </row>
    <row r="2157" spans="1:12" s="146" customFormat="1" ht="18" x14ac:dyDescent="0.25">
      <c r="A2157" s="1051"/>
      <c r="B2157" s="1041"/>
      <c r="C2157" s="1047" t="s">
        <v>200</v>
      </c>
      <c r="E2157" s="390"/>
      <c r="F2157" s="390"/>
      <c r="G2157" s="100"/>
      <c r="H2157" s="119">
        <f>SUM(H2118:H2156)</f>
        <v>0</v>
      </c>
      <c r="I2157" s="119">
        <f>SUM(I2118:I2156)</f>
        <v>1314000</v>
      </c>
      <c r="J2157" s="119">
        <f>SUM(J2118:J2156)</f>
        <v>1314000</v>
      </c>
      <c r="K2157" s="150">
        <f>SUM(K2118:K2156)</f>
        <v>1164000</v>
      </c>
      <c r="L2157" s="10"/>
    </row>
    <row r="2158" spans="1:12" s="146" customFormat="1" ht="18" x14ac:dyDescent="0.25">
      <c r="A2158" s="1051"/>
      <c r="B2158" s="1041"/>
      <c r="C2158" s="1047" t="s">
        <v>15</v>
      </c>
      <c r="D2158" s="573"/>
      <c r="E2158" s="1041"/>
      <c r="F2158" s="1039"/>
      <c r="G2158" s="100"/>
      <c r="H2158" s="1158">
        <f>H2157+H2115+H2101</f>
        <v>0</v>
      </c>
      <c r="I2158" s="1158">
        <f>I2157+I2115+I2101</f>
        <v>11497420</v>
      </c>
      <c r="J2158" s="1158">
        <f>J2157+J2115+J2101</f>
        <v>9987420</v>
      </c>
      <c r="K2158" s="1157">
        <f>K2157+K2115+K2101</f>
        <v>4564000</v>
      </c>
      <c r="L2158" s="10"/>
    </row>
    <row r="2159" spans="1:12" s="146" customFormat="1" ht="18" x14ac:dyDescent="0.25">
      <c r="A2159" s="1051"/>
      <c r="B2159" s="1041"/>
      <c r="C2159" s="38"/>
      <c r="D2159" s="1047"/>
      <c r="E2159" s="1041"/>
      <c r="F2159" s="1039"/>
      <c r="G2159" s="100"/>
      <c r="H2159" s="155"/>
      <c r="I2159" s="155"/>
      <c r="J2159" s="155"/>
      <c r="K2159" s="156"/>
      <c r="L2159" s="10"/>
    </row>
    <row r="2160" spans="1:12" ht="18" x14ac:dyDescent="0.25">
      <c r="A2160" s="1051"/>
      <c r="B2160" s="1041"/>
      <c r="C2160" s="1620" t="s">
        <v>918</v>
      </c>
      <c r="D2160" s="1620"/>
      <c r="E2160" s="1620"/>
      <c r="F2160" s="1621"/>
      <c r="G2160" s="100"/>
      <c r="H2160" s="101"/>
      <c r="I2160" s="101"/>
      <c r="J2160" s="101"/>
      <c r="K2160" s="102"/>
    </row>
    <row r="2161" spans="1:12" ht="18" x14ac:dyDescent="0.25">
      <c r="A2161" s="1051"/>
      <c r="B2161" s="1041"/>
      <c r="C2161" s="1620" t="s">
        <v>813</v>
      </c>
      <c r="D2161" s="1620"/>
      <c r="E2161" s="1620"/>
      <c r="F2161" s="1621"/>
      <c r="G2161" s="100"/>
      <c r="H2161" s="101"/>
      <c r="I2161" s="101"/>
      <c r="J2161" s="101"/>
      <c r="K2161" s="102"/>
    </row>
    <row r="2162" spans="1:12" ht="18" x14ac:dyDescent="0.25">
      <c r="A2162" s="1051"/>
      <c r="B2162" s="1041"/>
      <c r="C2162" s="1042" t="s">
        <v>815</v>
      </c>
      <c r="D2162" s="1047"/>
      <c r="E2162" s="1047"/>
      <c r="F2162" s="1048"/>
      <c r="G2162" s="100"/>
      <c r="H2162" s="101"/>
      <c r="I2162" s="101"/>
      <c r="J2162" s="101"/>
      <c r="K2162" s="102"/>
    </row>
    <row r="2163" spans="1:12" s="212" customFormat="1" ht="18" customHeight="1" x14ac:dyDescent="0.25">
      <c r="A2163" s="154"/>
      <c r="B2163" s="1042"/>
      <c r="C2163" s="44" t="s">
        <v>806</v>
      </c>
      <c r="D2163" s="125"/>
      <c r="E2163" s="125"/>
      <c r="F2163" s="134"/>
      <c r="G2163" s="100" t="s">
        <v>169</v>
      </c>
      <c r="H2163" s="101"/>
      <c r="I2163" s="101">
        <v>63763</v>
      </c>
      <c r="J2163" s="101">
        <v>63763</v>
      </c>
      <c r="K2163" s="102">
        <v>30000</v>
      </c>
      <c r="L2163" s="207"/>
    </row>
    <row r="2164" spans="1:12" s="212" customFormat="1" ht="18" customHeight="1" x14ac:dyDescent="0.25">
      <c r="A2164" s="154"/>
      <c r="B2164" s="1042"/>
      <c r="C2164" s="44" t="s">
        <v>873</v>
      </c>
      <c r="D2164" s="125"/>
      <c r="E2164" s="125"/>
      <c r="F2164" s="134"/>
      <c r="G2164" s="100" t="s">
        <v>173</v>
      </c>
      <c r="H2164" s="101"/>
      <c r="I2164" s="101">
        <v>240000</v>
      </c>
      <c r="J2164" s="101">
        <v>240000</v>
      </c>
      <c r="K2164" s="102">
        <v>100000</v>
      </c>
      <c r="L2164" s="207"/>
    </row>
    <row r="2165" spans="1:12" s="212" customFormat="1" ht="18" customHeight="1" x14ac:dyDescent="0.25">
      <c r="A2165" s="154"/>
      <c r="B2165" s="1042"/>
      <c r="C2165" s="44" t="s">
        <v>919</v>
      </c>
      <c r="D2165" s="125"/>
      <c r="E2165" s="125"/>
      <c r="F2165" s="134"/>
      <c r="G2165" s="100" t="s">
        <v>171</v>
      </c>
      <c r="H2165" s="101"/>
      <c r="I2165" s="101">
        <v>95000</v>
      </c>
      <c r="J2165" s="101">
        <v>95000</v>
      </c>
      <c r="K2165" s="102">
        <v>50000</v>
      </c>
      <c r="L2165" s="207"/>
    </row>
    <row r="2166" spans="1:12" s="229" customFormat="1" ht="18" x14ac:dyDescent="0.25">
      <c r="A2166" s="154"/>
      <c r="B2166" s="1042"/>
      <c r="C2166" s="44" t="s">
        <v>814</v>
      </c>
      <c r="D2166" s="125"/>
      <c r="E2166" s="124"/>
      <c r="F2166" s="230"/>
      <c r="G2166" s="100" t="s">
        <v>183</v>
      </c>
      <c r="H2166" s="105"/>
      <c r="I2166" s="105">
        <v>36000</v>
      </c>
      <c r="J2166" s="105">
        <v>36000</v>
      </c>
      <c r="K2166" s="106">
        <v>36000</v>
      </c>
      <c r="L2166" s="207"/>
    </row>
    <row r="2167" spans="1:12" s="146" customFormat="1" ht="18" x14ac:dyDescent="0.25">
      <c r="A2167" s="1051"/>
      <c r="B2167" s="1041"/>
      <c r="C2167" s="1047" t="s">
        <v>200</v>
      </c>
      <c r="D2167" s="573"/>
      <c r="E2167" s="1041"/>
      <c r="F2167" s="1039"/>
      <c r="G2167" s="100"/>
      <c r="H2167" s="119">
        <f>SUM(H2162:H2166)</f>
        <v>0</v>
      </c>
      <c r="I2167" s="119">
        <f>SUM(I2162:I2166)</f>
        <v>434763</v>
      </c>
      <c r="J2167" s="119">
        <f>SUM(J2162:J2166)</f>
        <v>434763</v>
      </c>
      <c r="K2167" s="150">
        <f>SUM(K2162:K2166)</f>
        <v>216000</v>
      </c>
      <c r="L2167" s="10"/>
    </row>
    <row r="2168" spans="1:12" s="146" customFormat="1" ht="18" x14ac:dyDescent="0.25">
      <c r="A2168" s="1051"/>
      <c r="B2168" s="1041"/>
      <c r="C2168" s="38"/>
      <c r="D2168" s="1047"/>
      <c r="E2168" s="1041"/>
      <c r="F2168" s="1039"/>
      <c r="G2168" s="100"/>
      <c r="H2168" s="155"/>
      <c r="I2168" s="155"/>
      <c r="J2168" s="155"/>
      <c r="K2168" s="156"/>
      <c r="L2168" s="10"/>
    </row>
    <row r="2169" spans="1:12" s="146" customFormat="1" ht="18" customHeight="1" x14ac:dyDescent="0.25">
      <c r="A2169" s="1051"/>
      <c r="B2169" s="1041"/>
      <c r="C2169" s="129" t="s">
        <v>1872</v>
      </c>
      <c r="D2169" s="152"/>
      <c r="E2169" s="152"/>
      <c r="F2169" s="152"/>
      <c r="G2169" s="100"/>
      <c r="H2169" s="101"/>
      <c r="I2169" s="101"/>
      <c r="J2169" s="101"/>
      <c r="K2169" s="102"/>
      <c r="L2169" s="10"/>
    </row>
    <row r="2170" spans="1:12" s="194" customFormat="1" ht="18" customHeight="1" x14ac:dyDescent="0.25">
      <c r="A2170" s="1051"/>
      <c r="B2170" s="1041"/>
      <c r="C2170" s="44" t="s">
        <v>924</v>
      </c>
      <c r="D2170" s="125"/>
      <c r="E2170" s="125"/>
      <c r="F2170" s="125"/>
      <c r="G2170" s="100"/>
      <c r="H2170" s="101"/>
      <c r="I2170" s="101"/>
      <c r="J2170" s="101"/>
      <c r="K2170" s="102"/>
      <c r="L2170" s="10"/>
    </row>
    <row r="2171" spans="1:12" s="194" customFormat="1" ht="18" customHeight="1" x14ac:dyDescent="0.25">
      <c r="A2171" s="1051"/>
      <c r="B2171" s="1041"/>
      <c r="C2171" s="44" t="s">
        <v>925</v>
      </c>
      <c r="D2171" s="125"/>
      <c r="E2171" s="125"/>
      <c r="F2171" s="125"/>
      <c r="G2171" s="100"/>
      <c r="H2171" s="101"/>
      <c r="I2171" s="101"/>
      <c r="J2171" s="101"/>
      <c r="K2171" s="102"/>
      <c r="L2171" s="10"/>
    </row>
    <row r="2172" spans="1:12" s="194" customFormat="1" ht="18" customHeight="1" x14ac:dyDescent="0.25">
      <c r="A2172" s="1051"/>
      <c r="B2172" s="1041"/>
      <c r="C2172" s="44" t="s">
        <v>926</v>
      </c>
      <c r="D2172" s="125"/>
      <c r="E2172" s="125"/>
      <c r="F2172" s="125"/>
      <c r="G2172" s="100"/>
      <c r="H2172" s="101"/>
      <c r="I2172" s="101"/>
      <c r="J2172" s="101"/>
      <c r="K2172" s="102"/>
      <c r="L2172" s="10"/>
    </row>
    <row r="2173" spans="1:12" s="146" customFormat="1" ht="18" x14ac:dyDescent="0.25">
      <c r="A2173" s="1051"/>
      <c r="B2173" s="1041"/>
      <c r="C2173" s="38" t="s">
        <v>1907</v>
      </c>
      <c r="D2173" s="157"/>
      <c r="E2173" s="1041"/>
      <c r="F2173" s="1039"/>
      <c r="G2173" s="100"/>
      <c r="H2173" s="105"/>
      <c r="I2173" s="105"/>
      <c r="J2173" s="105"/>
      <c r="K2173" s="106"/>
      <c r="L2173" s="10"/>
    </row>
    <row r="2174" spans="1:12" s="146" customFormat="1" ht="18.75" thickBot="1" x14ac:dyDescent="0.3">
      <c r="A2174" s="1051"/>
      <c r="B2174" s="1041"/>
      <c r="C2174" s="1047" t="s">
        <v>200</v>
      </c>
      <c r="E2174" s="1047"/>
      <c r="F2174" s="1048"/>
      <c r="G2174" s="392"/>
      <c r="H2174" s="119">
        <f>SUM(H2170:H2173)</f>
        <v>0</v>
      </c>
      <c r="I2174" s="119">
        <f>SUM(I2170:I2173)</f>
        <v>0</v>
      </c>
      <c r="J2174" s="119">
        <f>SUM(J2170:J2173)</f>
        <v>0</v>
      </c>
      <c r="K2174" s="150">
        <f>SUM(K2170:K2173)</f>
        <v>0</v>
      </c>
      <c r="L2174" s="10"/>
    </row>
    <row r="2175" spans="1:12" s="146" customFormat="1" ht="18" x14ac:dyDescent="0.25">
      <c r="A2175" s="1051"/>
      <c r="B2175" s="1041"/>
      <c r="C2175" s="1047" t="s">
        <v>15</v>
      </c>
      <c r="E2175" s="1047"/>
      <c r="F2175" s="1048"/>
      <c r="G2175" s="301"/>
      <c r="H2175" s="119">
        <f>H2174+H2167</f>
        <v>0</v>
      </c>
      <c r="I2175" s="119">
        <f>I2174+I2167</f>
        <v>434763</v>
      </c>
      <c r="J2175" s="119">
        <f>J2174+J2167</f>
        <v>434763</v>
      </c>
      <c r="K2175" s="150">
        <f>K2174+K2167</f>
        <v>216000</v>
      </c>
      <c r="L2175" s="10"/>
    </row>
    <row r="2176" spans="1:12" s="146" customFormat="1" ht="14.1" customHeight="1" x14ac:dyDescent="0.25">
      <c r="A2176" s="1051"/>
      <c r="B2176" s="1041"/>
      <c r="C2176" s="1045"/>
      <c r="D2176" s="1047"/>
      <c r="E2176" s="1047"/>
      <c r="F2176" s="1048"/>
      <c r="G2176" s="301"/>
      <c r="H2176" s="155"/>
      <c r="I2176" s="155"/>
      <c r="J2176" s="155"/>
      <c r="K2176" s="156"/>
      <c r="L2176" s="10"/>
    </row>
    <row r="2177" spans="1:12" s="146" customFormat="1" ht="18" x14ac:dyDescent="0.25">
      <c r="A2177" s="1051"/>
      <c r="B2177" s="1041"/>
      <c r="C2177" s="36" t="s">
        <v>931</v>
      </c>
      <c r="D2177" s="393"/>
      <c r="E2177" s="1041"/>
      <c r="F2177" s="1039"/>
      <c r="G2177" s="100"/>
      <c r="H2177" s="101"/>
      <c r="I2177" s="101"/>
      <c r="J2177" s="101"/>
      <c r="K2177" s="102"/>
      <c r="L2177" s="10"/>
    </row>
    <row r="2178" spans="1:12" s="146" customFormat="1" ht="18" x14ac:dyDescent="0.25">
      <c r="A2178" s="1051"/>
      <c r="B2178" s="1041"/>
      <c r="C2178" s="36" t="s">
        <v>932</v>
      </c>
      <c r="D2178" s="157"/>
      <c r="E2178" s="1041"/>
      <c r="F2178" s="1039"/>
      <c r="G2178" s="100"/>
      <c r="H2178" s="101"/>
      <c r="I2178" s="101"/>
      <c r="J2178" s="101"/>
      <c r="K2178" s="102"/>
      <c r="L2178" s="10"/>
    </row>
    <row r="2179" spans="1:12" s="146" customFormat="1" ht="18" x14ac:dyDescent="0.25">
      <c r="A2179" s="1051"/>
      <c r="B2179" s="1041"/>
      <c r="C2179" s="38" t="s">
        <v>1908</v>
      </c>
      <c r="D2179" s="157"/>
      <c r="E2179" s="1041"/>
      <c r="F2179" s="1039"/>
      <c r="G2179" s="100"/>
      <c r="H2179" s="101"/>
      <c r="I2179" s="101"/>
      <c r="J2179" s="101"/>
      <c r="K2179" s="102">
        <v>36000</v>
      </c>
      <c r="L2179" s="10"/>
    </row>
    <row r="2180" spans="1:12" s="146" customFormat="1" ht="18" x14ac:dyDescent="0.25">
      <c r="A2180" s="1051"/>
      <c r="B2180" s="1041"/>
      <c r="C2180" s="38" t="s">
        <v>791</v>
      </c>
      <c r="D2180" s="3"/>
      <c r="E2180" s="1041"/>
      <c r="F2180" s="1039"/>
      <c r="G2180" s="394" t="s">
        <v>169</v>
      </c>
      <c r="H2180" s="101"/>
      <c r="I2180" s="101">
        <v>141745</v>
      </c>
      <c r="J2180" s="101">
        <v>141745</v>
      </c>
      <c r="K2180" s="102">
        <v>80000</v>
      </c>
      <c r="L2180" s="10"/>
    </row>
    <row r="2181" spans="1:12" s="146" customFormat="1" ht="18" x14ac:dyDescent="0.25">
      <c r="A2181" s="1051"/>
      <c r="B2181" s="1041"/>
      <c r="C2181" s="38" t="s">
        <v>933</v>
      </c>
      <c r="D2181" s="3"/>
      <c r="E2181" s="1041"/>
      <c r="F2181" s="1039"/>
      <c r="G2181" s="394" t="s">
        <v>173</v>
      </c>
      <c r="H2181" s="101"/>
      <c r="I2181" s="101">
        <v>699600</v>
      </c>
      <c r="J2181" s="101">
        <v>699600</v>
      </c>
      <c r="K2181" s="102">
        <v>350000</v>
      </c>
      <c r="L2181" s="10"/>
    </row>
    <row r="2182" spans="1:12" s="146" customFormat="1" ht="18" x14ac:dyDescent="0.25">
      <c r="A2182" s="1051"/>
      <c r="B2182" s="1041"/>
      <c r="C2182" s="38" t="s">
        <v>1909</v>
      </c>
      <c r="D2182" s="3"/>
      <c r="E2182" s="1041"/>
      <c r="F2182" s="1039"/>
      <c r="G2182" s="394" t="s">
        <v>171</v>
      </c>
      <c r="H2182" s="101"/>
      <c r="I2182" s="101">
        <v>312554</v>
      </c>
      <c r="J2182" s="101">
        <v>312554</v>
      </c>
      <c r="K2182" s="102">
        <v>100000</v>
      </c>
      <c r="L2182" s="10"/>
    </row>
    <row r="2183" spans="1:12" s="146" customFormat="1" ht="18" x14ac:dyDescent="0.25">
      <c r="A2183" s="1051"/>
      <c r="B2183" s="1041"/>
      <c r="C2183" s="38" t="s">
        <v>1910</v>
      </c>
      <c r="D2183" s="3"/>
      <c r="E2183" s="1041"/>
      <c r="F2183" s="1039"/>
      <c r="G2183" s="394" t="s">
        <v>189</v>
      </c>
      <c r="H2183" s="105"/>
      <c r="I2183" s="105">
        <v>415000</v>
      </c>
      <c r="J2183" s="105">
        <v>415000</v>
      </c>
      <c r="K2183" s="106">
        <v>415000</v>
      </c>
      <c r="L2183" s="10"/>
    </row>
    <row r="2184" spans="1:12" s="146" customFormat="1" ht="18" x14ac:dyDescent="0.25">
      <c r="A2184" s="1051"/>
      <c r="B2184" s="1041"/>
      <c r="C2184" s="1047" t="s">
        <v>15</v>
      </c>
      <c r="E2184" s="1041"/>
      <c r="F2184" s="1041"/>
      <c r="G2184" s="100"/>
      <c r="H2184" s="155">
        <f>SUM(H2179:H2183)</f>
        <v>0</v>
      </c>
      <c r="I2184" s="155">
        <f>SUM(I2179:I2183)</f>
        <v>1568899</v>
      </c>
      <c r="J2184" s="155">
        <f>SUM(J2179:J2183)</f>
        <v>1568899</v>
      </c>
      <c r="K2184" s="156">
        <f>SUM(K2179:K2183)</f>
        <v>981000</v>
      </c>
      <c r="L2184" s="10"/>
    </row>
    <row r="2185" spans="1:12" s="146" customFormat="1" ht="18" x14ac:dyDescent="0.25">
      <c r="A2185" s="1051"/>
      <c r="B2185" s="1041"/>
      <c r="C2185" s="1047"/>
      <c r="E2185" s="1041"/>
      <c r="F2185" s="1041"/>
      <c r="G2185" s="100"/>
      <c r="H2185" s="155"/>
      <c r="I2185" s="155"/>
      <c r="J2185" s="155"/>
      <c r="K2185" s="156"/>
      <c r="L2185" s="10"/>
    </row>
    <row r="2186" spans="1:12" s="146" customFormat="1" ht="18" customHeight="1" x14ac:dyDescent="0.25">
      <c r="A2186" s="1051"/>
      <c r="B2186" s="1041"/>
      <c r="C2186" s="152" t="s">
        <v>1872</v>
      </c>
      <c r="D2186" s="152"/>
      <c r="E2186" s="152"/>
      <c r="F2186" s="152"/>
      <c r="G2186" s="186"/>
      <c r="H2186" s="101"/>
      <c r="I2186" s="101"/>
      <c r="J2186" s="101"/>
      <c r="K2186" s="102"/>
      <c r="L2186" s="10"/>
    </row>
    <row r="2187" spans="1:12" s="388" customFormat="1" ht="18" customHeight="1" x14ac:dyDescent="0.25">
      <c r="A2187" s="154"/>
      <c r="B2187" s="1042"/>
      <c r="C2187" s="125" t="s">
        <v>1911</v>
      </c>
      <c r="D2187" s="125"/>
      <c r="E2187" s="125"/>
      <c r="F2187" s="125"/>
      <c r="G2187" s="97"/>
      <c r="H2187" s="101"/>
      <c r="I2187" s="101"/>
      <c r="J2187" s="101"/>
      <c r="K2187" s="102"/>
      <c r="L2187" s="207"/>
    </row>
    <row r="2188" spans="1:12" s="146" customFormat="1" ht="18" x14ac:dyDescent="0.25">
      <c r="A2188" s="1051"/>
      <c r="B2188" s="1041"/>
      <c r="C2188" s="395" t="s">
        <v>946</v>
      </c>
      <c r="D2188" s="396"/>
      <c r="E2188" s="397"/>
      <c r="F2188" s="397"/>
      <c r="G2188" s="398"/>
      <c r="H2188" s="399"/>
      <c r="I2188" s="399">
        <v>115000</v>
      </c>
      <c r="J2188" s="399"/>
      <c r="K2188" s="102"/>
      <c r="L2188" s="10"/>
    </row>
    <row r="2189" spans="1:12" s="146" customFormat="1" ht="18" x14ac:dyDescent="0.25">
      <c r="A2189" s="1051"/>
      <c r="B2189" s="1041"/>
      <c r="C2189" s="395" t="s">
        <v>947</v>
      </c>
      <c r="D2189" s="396"/>
      <c r="E2189" s="397"/>
      <c r="F2189" s="397"/>
      <c r="G2189" s="398"/>
      <c r="H2189" s="399"/>
      <c r="I2189" s="399"/>
      <c r="J2189" s="399"/>
      <c r="K2189" s="102"/>
      <c r="L2189" s="10"/>
    </row>
    <row r="2190" spans="1:12" s="146" customFormat="1" ht="18" x14ac:dyDescent="0.25">
      <c r="A2190" s="1051"/>
      <c r="B2190" s="1041"/>
      <c r="C2190" s="38" t="s">
        <v>948</v>
      </c>
      <c r="D2190" s="157"/>
      <c r="E2190" s="1041"/>
      <c r="F2190" s="1041"/>
      <c r="G2190" s="100"/>
      <c r="H2190" s="101"/>
      <c r="I2190" s="101"/>
      <c r="J2190" s="101"/>
      <c r="K2190" s="102"/>
      <c r="L2190" s="10"/>
    </row>
    <row r="2191" spans="1:12" s="146" customFormat="1" ht="18" x14ac:dyDescent="0.25">
      <c r="A2191" s="1051"/>
      <c r="B2191" s="1041"/>
      <c r="C2191" s="38" t="s">
        <v>949</v>
      </c>
      <c r="D2191" s="157"/>
      <c r="E2191" s="1041"/>
      <c r="F2191" s="1039"/>
      <c r="G2191" s="100"/>
      <c r="H2191" s="105"/>
      <c r="I2191" s="105"/>
      <c r="J2191" s="105"/>
      <c r="K2191" s="106"/>
      <c r="L2191" s="10"/>
    </row>
    <row r="2192" spans="1:12" s="146" customFormat="1" ht="18" x14ac:dyDescent="0.25">
      <c r="A2192" s="1051"/>
      <c r="B2192" s="1041"/>
      <c r="C2192" s="1047" t="s">
        <v>200</v>
      </c>
      <c r="E2192" s="1047"/>
      <c r="F2192" s="1048"/>
      <c r="G2192" s="301"/>
      <c r="H2192" s="119">
        <f>SUM(H2187:H2191)</f>
        <v>0</v>
      </c>
      <c r="I2192" s="119">
        <f>SUM(I2187:I2191)</f>
        <v>115000</v>
      </c>
      <c r="J2192" s="119">
        <f>SUM(J2187:J2191)</f>
        <v>0</v>
      </c>
      <c r="K2192" s="150">
        <f>SUM(K2187:K2191)</f>
        <v>0</v>
      </c>
      <c r="L2192" s="10"/>
    </row>
    <row r="2193" spans="1:12" s="146" customFormat="1" ht="18.75" thickBot="1" x14ac:dyDescent="0.3">
      <c r="A2193" s="1051"/>
      <c r="B2193" s="1041"/>
      <c r="C2193" s="1047" t="s">
        <v>15</v>
      </c>
      <c r="D2193" s="573"/>
      <c r="E2193" s="1047"/>
      <c r="F2193" s="1048"/>
      <c r="G2193" s="301"/>
      <c r="H2193" s="182">
        <f>H2192+H2184</f>
        <v>0</v>
      </c>
      <c r="I2193" s="182">
        <f>I2192+I2184</f>
        <v>1683899</v>
      </c>
      <c r="J2193" s="182">
        <f>J2192+J2184</f>
        <v>1568899</v>
      </c>
      <c r="K2193" s="183">
        <f>K2192+K2184</f>
        <v>981000</v>
      </c>
      <c r="L2193" s="10"/>
    </row>
    <row r="2194" spans="1:12" s="146" customFormat="1" ht="18.75" thickBot="1" x14ac:dyDescent="0.3">
      <c r="A2194" s="187"/>
      <c r="B2194" s="413"/>
      <c r="C2194" s="318"/>
      <c r="D2194" s="1096"/>
      <c r="E2194" s="413"/>
      <c r="F2194" s="431"/>
      <c r="G2194" s="308"/>
      <c r="H2194" s="182"/>
      <c r="I2194" s="182"/>
      <c r="J2194" s="182"/>
      <c r="K2194" s="183"/>
      <c r="L2194" s="10"/>
    </row>
    <row r="2195" spans="1:12" ht="18" x14ac:dyDescent="0.25">
      <c r="A2195" s="1041"/>
      <c r="B2195" s="1041"/>
      <c r="C2195" s="1047"/>
      <c r="D2195" s="235"/>
      <c r="E2195" s="1041"/>
      <c r="F2195" s="1041"/>
      <c r="G2195" s="381"/>
      <c r="H2195" s="126"/>
      <c r="I2195" s="126"/>
      <c r="J2195" s="126"/>
      <c r="K2195" s="127"/>
    </row>
    <row r="2196" spans="1:12" ht="18" x14ac:dyDescent="0.25">
      <c r="A2196" s="1041"/>
      <c r="B2196" s="1041"/>
      <c r="C2196" s="1047"/>
      <c r="D2196" s="235"/>
      <c r="E2196" s="1041"/>
      <c r="F2196" s="1041"/>
      <c r="G2196" s="381"/>
      <c r="H2196" s="126"/>
      <c r="I2196" s="126"/>
      <c r="J2196" s="126"/>
      <c r="K2196" s="127"/>
    </row>
    <row r="2197" spans="1:12" ht="18" x14ac:dyDescent="0.25">
      <c r="A2197" s="1041"/>
      <c r="B2197" s="1041"/>
      <c r="C2197" s="1047"/>
      <c r="D2197" s="235"/>
      <c r="E2197" s="1041"/>
      <c r="F2197" s="1041"/>
      <c r="G2197" s="381"/>
      <c r="H2197" s="126"/>
      <c r="I2197" s="126"/>
      <c r="J2197" s="126"/>
      <c r="K2197" s="127"/>
    </row>
    <row r="2198" spans="1:12" ht="18" x14ac:dyDescent="0.25">
      <c r="A2198" s="1041"/>
      <c r="B2198" s="1041"/>
      <c r="C2198" s="1047"/>
      <c r="D2198" s="235"/>
      <c r="E2198" s="1041"/>
      <c r="F2198" s="1041"/>
      <c r="G2198" s="381"/>
      <c r="H2198" s="126"/>
      <c r="I2198" s="126"/>
      <c r="J2198" s="126"/>
      <c r="K2198" s="127"/>
    </row>
    <row r="2199" spans="1:12" ht="18" x14ac:dyDescent="0.25">
      <c r="A2199" s="1041"/>
      <c r="B2199" s="1041"/>
      <c r="C2199" s="1047"/>
      <c r="D2199" s="235"/>
      <c r="E2199" s="1041"/>
      <c r="F2199" s="1041"/>
      <c r="G2199" s="381"/>
      <c r="H2199" s="126"/>
      <c r="I2199" s="126"/>
      <c r="J2199" s="126"/>
      <c r="K2199" s="127"/>
    </row>
    <row r="2200" spans="1:12" ht="18" x14ac:dyDescent="0.25">
      <c r="A2200" s="1041"/>
      <c r="B2200" s="1041"/>
      <c r="C2200" s="1047"/>
      <c r="D2200" s="235"/>
      <c r="E2200" s="1041"/>
      <c r="F2200" s="1041"/>
      <c r="G2200" s="381"/>
      <c r="H2200" s="126"/>
      <c r="I2200" s="126"/>
      <c r="J2200" s="126"/>
      <c r="K2200" s="127"/>
    </row>
    <row r="2201" spans="1:12" s="191" customFormat="1" ht="18" customHeight="1" x14ac:dyDescent="0.25">
      <c r="A2201" s="8" t="s">
        <v>112</v>
      </c>
      <c r="B2201" s="8"/>
      <c r="C2201" s="9"/>
      <c r="D2201" s="8"/>
      <c r="E2201" s="8"/>
      <c r="F2201" s="8"/>
      <c r="G2201" s="8"/>
      <c r="H2201" s="4"/>
      <c r="I2201" s="4"/>
      <c r="J2201" s="4"/>
      <c r="K2201" s="5"/>
      <c r="L2201" s="10"/>
    </row>
    <row r="2202" spans="1:12" ht="18" customHeight="1" x14ac:dyDescent="0.25">
      <c r="A2202" s="8" t="s">
        <v>1003</v>
      </c>
    </row>
    <row r="2203" spans="1:12" ht="18" customHeight="1" x14ac:dyDescent="0.25">
      <c r="A2203" s="1636" t="s">
        <v>113</v>
      </c>
      <c r="B2203" s="1636"/>
      <c r="C2203" s="1636"/>
      <c r="D2203" s="1636"/>
      <c r="E2203" s="1636"/>
      <c r="F2203" s="1636"/>
      <c r="G2203" s="1636"/>
      <c r="H2203" s="1636"/>
      <c r="I2203" s="1636"/>
      <c r="J2203" s="1636"/>
      <c r="K2203" s="1060"/>
    </row>
    <row r="2204" spans="1:12" s="7" customFormat="1" ht="18" customHeight="1" x14ac:dyDescent="0.25">
      <c r="A2204" s="1624" t="s">
        <v>114</v>
      </c>
      <c r="B2204" s="1624"/>
      <c r="C2204" s="1624"/>
      <c r="D2204" s="1624"/>
      <c r="E2204" s="1624"/>
      <c r="F2204" s="1624"/>
      <c r="G2204" s="1624"/>
      <c r="H2204" s="1624"/>
      <c r="I2204" s="1624"/>
      <c r="J2204" s="1624"/>
      <c r="K2204" s="159"/>
      <c r="L2204" s="6"/>
    </row>
    <row r="2205" spans="1:12" s="7" customFormat="1" ht="18" customHeight="1" x14ac:dyDescent="0.25">
      <c r="A2205" s="1066"/>
      <c r="B2205" s="1066"/>
      <c r="C2205" s="1066"/>
      <c r="D2205" s="1066"/>
      <c r="E2205" s="1066"/>
      <c r="F2205" s="1066"/>
      <c r="G2205" s="1066"/>
      <c r="H2205" s="1066"/>
      <c r="I2205" s="1066"/>
      <c r="J2205" s="1066"/>
      <c r="K2205" s="159"/>
      <c r="L2205" s="6"/>
    </row>
    <row r="2206" spans="1:12" ht="18.75" thickBot="1" x14ac:dyDescent="0.3">
      <c r="A2206" s="41"/>
      <c r="B2206" s="41"/>
      <c r="C2206" s="63"/>
      <c r="D2206" s="41"/>
      <c r="E2206" s="41"/>
      <c r="F2206" s="41"/>
      <c r="G2206" s="41"/>
    </row>
    <row r="2207" spans="1:12" s="48" customFormat="1" ht="21.75" customHeight="1" thickBot="1" x14ac:dyDescent="0.3">
      <c r="A2207" s="1655" t="s">
        <v>115</v>
      </c>
      <c r="B2207" s="1655"/>
      <c r="C2207" s="1655"/>
      <c r="D2207" s="1655"/>
      <c r="E2207" s="1655"/>
      <c r="F2207" s="1655"/>
      <c r="G2207" s="1151"/>
      <c r="H2207" s="1708" t="s">
        <v>1537</v>
      </c>
      <c r="I2207" s="1710" t="s">
        <v>1538</v>
      </c>
      <c r="J2207" s="1710" t="s">
        <v>1539</v>
      </c>
      <c r="K2207" s="1710" t="s">
        <v>1540</v>
      </c>
      <c r="L2207" s="47"/>
    </row>
    <row r="2208" spans="1:12" s="1153" customFormat="1" ht="31.5" customHeight="1" thickBot="1" x14ac:dyDescent="0.3">
      <c r="A2208" s="1655"/>
      <c r="B2208" s="1655"/>
      <c r="C2208" s="1655"/>
      <c r="D2208" s="1655"/>
      <c r="E2208" s="1655"/>
      <c r="F2208" s="1655"/>
      <c r="G2208" s="1067" t="s">
        <v>116</v>
      </c>
      <c r="H2208" s="1709"/>
      <c r="I2208" s="1710"/>
      <c r="J2208" s="1710"/>
      <c r="K2208" s="1710"/>
      <c r="L2208" s="1152"/>
    </row>
    <row r="2209" spans="1:12" s="1256" customFormat="1" ht="17.45" customHeight="1" x14ac:dyDescent="0.25">
      <c r="A2209" s="1251"/>
      <c r="B2209" s="1252"/>
      <c r="C2209" s="1062" t="s">
        <v>1912</v>
      </c>
      <c r="D2209" s="1252"/>
      <c r="E2209" s="1252"/>
      <c r="F2209" s="1253"/>
      <c r="G2209" s="1254"/>
      <c r="H2209" s="1255"/>
      <c r="I2209" s="1255"/>
      <c r="J2209" s="1255"/>
      <c r="K2209" s="1255"/>
      <c r="L2209" s="1152"/>
    </row>
    <row r="2210" spans="1:12" s="1256" customFormat="1" ht="17.45" customHeight="1" x14ac:dyDescent="0.25">
      <c r="A2210" s="1251"/>
      <c r="B2210" s="1252"/>
      <c r="C2210" s="1062" t="s">
        <v>1913</v>
      </c>
      <c r="D2210" s="1252"/>
      <c r="E2210" s="1252"/>
      <c r="F2210" s="1253"/>
      <c r="G2210" s="1254"/>
      <c r="H2210" s="1255"/>
      <c r="I2210" s="1255"/>
      <c r="J2210" s="1255"/>
      <c r="K2210" s="1255"/>
      <c r="L2210" s="1152"/>
    </row>
    <row r="2211" spans="1:12" s="1256" customFormat="1" ht="34.5" customHeight="1" x14ac:dyDescent="0.25">
      <c r="A2211" s="1251"/>
      <c r="B2211" s="1252"/>
      <c r="C2211" s="1574" t="s">
        <v>1914</v>
      </c>
      <c r="D2211" s="1574"/>
      <c r="E2211" s="1252"/>
      <c r="F2211" s="1253"/>
      <c r="G2211" s="1254"/>
      <c r="H2211" s="1255"/>
      <c r="I2211" s="1255"/>
      <c r="J2211" s="1255"/>
      <c r="K2211" s="1255"/>
      <c r="L2211" s="1152"/>
    </row>
    <row r="2212" spans="1:12" s="146" customFormat="1" ht="18" customHeight="1" x14ac:dyDescent="0.25">
      <c r="A2212" s="579"/>
      <c r="B2212" s="573"/>
      <c r="C2212" s="125" t="s">
        <v>951</v>
      </c>
      <c r="D2212" s="113"/>
      <c r="E2212" s="113"/>
      <c r="F2212" s="114"/>
      <c r="G2212" s="376"/>
      <c r="H2212" s="102"/>
      <c r="I2212" s="1154"/>
      <c r="J2212" s="1154"/>
      <c r="K2212" s="102"/>
      <c r="L2212" s="10"/>
    </row>
    <row r="2213" spans="1:12" s="146" customFormat="1" ht="18" customHeight="1" x14ac:dyDescent="0.25">
      <c r="A2213" s="579"/>
      <c r="B2213" s="573"/>
      <c r="C2213" s="125" t="s">
        <v>952</v>
      </c>
      <c r="D2213" s="113"/>
      <c r="E2213" s="113"/>
      <c r="F2213" s="1039"/>
      <c r="G2213" s="100"/>
      <c r="H2213" s="102"/>
      <c r="I2213" s="1154"/>
      <c r="J2213" s="1154"/>
      <c r="K2213" s="102">
        <v>150000</v>
      </c>
      <c r="L2213" s="10"/>
    </row>
    <row r="2214" spans="1:12" s="146" customFormat="1" ht="18" x14ac:dyDescent="0.25">
      <c r="A2214" s="579"/>
      <c r="B2214" s="573"/>
      <c r="C2214" s="206" t="s">
        <v>953</v>
      </c>
      <c r="D2214" s="199"/>
      <c r="E2214" s="199"/>
      <c r="F2214" s="1039"/>
      <c r="G2214" s="100"/>
      <c r="H2214" s="102"/>
      <c r="I2214" s="1154"/>
      <c r="J2214" s="1154"/>
      <c r="K2214" s="102"/>
      <c r="L2214" s="10"/>
    </row>
    <row r="2215" spans="1:12" s="146" customFormat="1" ht="36" customHeight="1" x14ac:dyDescent="0.25">
      <c r="A2215" s="579"/>
      <c r="B2215" s="573"/>
      <c r="C2215" s="1634" t="s">
        <v>954</v>
      </c>
      <c r="D2215" s="1634"/>
      <c r="E2215" s="1090"/>
      <c r="F2215" s="1039"/>
      <c r="G2215" s="100"/>
      <c r="H2215" s="102"/>
      <c r="I2215" s="102"/>
      <c r="J2215" s="102"/>
      <c r="K2215" s="102"/>
      <c r="L2215" s="10"/>
    </row>
    <row r="2216" spans="1:12" s="146" customFormat="1" ht="38.25" customHeight="1" x14ac:dyDescent="0.25">
      <c r="A2216" s="579"/>
      <c r="B2216" s="573"/>
      <c r="C2216" s="1634" t="s">
        <v>955</v>
      </c>
      <c r="D2216" s="1634"/>
      <c r="E2216" s="1090"/>
      <c r="F2216" s="1039"/>
      <c r="G2216" s="100"/>
      <c r="H2216" s="102"/>
      <c r="I2216" s="1154"/>
      <c r="J2216" s="1154"/>
      <c r="K2216" s="1154"/>
      <c r="L2216" s="10"/>
    </row>
    <row r="2217" spans="1:12" s="146" customFormat="1" ht="18" x14ac:dyDescent="0.25">
      <c r="A2217" s="579"/>
      <c r="B2217" s="573"/>
      <c r="C2217" s="1062" t="s">
        <v>956</v>
      </c>
      <c r="D2217" s="1074"/>
      <c r="E2217" s="1074"/>
      <c r="F2217" s="1039"/>
      <c r="G2217" s="100"/>
      <c r="H2217" s="102"/>
      <c r="I2217" s="102"/>
      <c r="J2217" s="102"/>
      <c r="K2217" s="102"/>
      <c r="L2217" s="10"/>
    </row>
    <row r="2218" spans="1:12" s="146" customFormat="1" ht="18" x14ac:dyDescent="0.25">
      <c r="A2218" s="579"/>
      <c r="B2218" s="573"/>
      <c r="C2218" s="1062" t="s">
        <v>957</v>
      </c>
      <c r="D2218" s="1074"/>
      <c r="E2218" s="1074"/>
      <c r="F2218" s="1039"/>
      <c r="G2218" s="100"/>
      <c r="H2218" s="106"/>
      <c r="I2218" s="1257"/>
      <c r="J2218" s="1257"/>
      <c r="K2218" s="1257"/>
      <c r="L2218" s="10"/>
    </row>
    <row r="2219" spans="1:12" ht="18.75" thickBot="1" x14ac:dyDescent="0.3">
      <c r="A2219" s="1051"/>
      <c r="B2219" s="1041"/>
      <c r="C2219" s="1047" t="s">
        <v>15</v>
      </c>
      <c r="D2219" s="235"/>
      <c r="E2219" s="1041"/>
      <c r="F2219" s="1039"/>
      <c r="G2219" s="308"/>
      <c r="H2219" s="123">
        <f>SUM(H2209:H2218)</f>
        <v>0</v>
      </c>
      <c r="I2219" s="123">
        <f>SUM(I2209:I2218)</f>
        <v>0</v>
      </c>
      <c r="J2219" s="123">
        <f>SUM(J2209:J2218)</f>
        <v>0</v>
      </c>
      <c r="K2219" s="123">
        <f>SUM(K2209:K2218)</f>
        <v>150000</v>
      </c>
    </row>
    <row r="2220" spans="1:12" ht="18" x14ac:dyDescent="0.25">
      <c r="A2220" s="1051"/>
      <c r="B2220" s="1041"/>
      <c r="C2220" s="1047"/>
      <c r="D2220" s="235"/>
      <c r="E2220" s="1041"/>
      <c r="F2220" s="1039"/>
      <c r="G2220" s="100"/>
      <c r="H2220" s="155"/>
      <c r="I2220" s="155"/>
      <c r="J2220" s="155"/>
      <c r="K2220" s="156"/>
    </row>
    <row r="2221" spans="1:12" ht="18" x14ac:dyDescent="0.25">
      <c r="A2221" s="1051"/>
      <c r="B2221" s="1041"/>
      <c r="C2221" s="369" t="s">
        <v>958</v>
      </c>
      <c r="D2221" s="400"/>
      <c r="E2221" s="401"/>
      <c r="F2221" s="1039"/>
      <c r="G2221" s="100"/>
      <c r="H2221" s="101"/>
      <c r="I2221" s="101"/>
      <c r="J2221" s="101"/>
      <c r="K2221" s="102"/>
    </row>
    <row r="2222" spans="1:12" ht="18" x14ac:dyDescent="0.25">
      <c r="A2222" s="1051"/>
      <c r="B2222" s="1041"/>
      <c r="C2222" s="1620" t="s">
        <v>813</v>
      </c>
      <c r="D2222" s="1620"/>
      <c r="E2222" s="1620"/>
      <c r="F2222" s="1621"/>
      <c r="G2222" s="100"/>
      <c r="H2222" s="101"/>
      <c r="I2222" s="101"/>
      <c r="J2222" s="101"/>
      <c r="K2222" s="102"/>
    </row>
    <row r="2223" spans="1:12" s="212" customFormat="1" ht="18" customHeight="1" x14ac:dyDescent="0.25">
      <c r="A2223" s="154"/>
      <c r="B2223" s="1042"/>
      <c r="C2223" s="44" t="s">
        <v>959</v>
      </c>
      <c r="D2223" s="402"/>
      <c r="E2223" s="403"/>
      <c r="F2223" s="1043"/>
      <c r="G2223" s="100" t="s">
        <v>165</v>
      </c>
      <c r="H2223" s="102"/>
      <c r="I2223" s="1154"/>
      <c r="J2223" s="1154"/>
      <c r="K2223" s="1154"/>
      <c r="L2223" s="207"/>
    </row>
    <row r="2224" spans="1:12" s="212" customFormat="1" ht="18" customHeight="1" x14ac:dyDescent="0.25">
      <c r="A2224" s="154"/>
      <c r="B2224" s="1042"/>
      <c r="C2224" s="44" t="s">
        <v>805</v>
      </c>
      <c r="D2224" s="402"/>
      <c r="E2224" s="403"/>
      <c r="F2224" s="1043"/>
      <c r="G2224" s="100" t="s">
        <v>167</v>
      </c>
      <c r="H2224" s="102"/>
      <c r="I2224" s="1154"/>
      <c r="J2224" s="1154"/>
      <c r="K2224" s="1154"/>
      <c r="L2224" s="207"/>
    </row>
    <row r="2225" spans="1:12" s="212" customFormat="1" ht="18" customHeight="1" x14ac:dyDescent="0.25">
      <c r="A2225" s="154"/>
      <c r="B2225" s="1042"/>
      <c r="C2225" s="44" t="s">
        <v>864</v>
      </c>
      <c r="D2225" s="402"/>
      <c r="E2225" s="403"/>
      <c r="F2225" s="1043"/>
      <c r="G2225" s="100" t="s">
        <v>169</v>
      </c>
      <c r="H2225" s="102"/>
      <c r="I2225" s="1154"/>
      <c r="J2225" s="1154"/>
      <c r="K2225" s="1154"/>
      <c r="L2225" s="207"/>
    </row>
    <row r="2226" spans="1:12" s="212" customFormat="1" ht="18" customHeight="1" x14ac:dyDescent="0.25">
      <c r="A2226" s="154"/>
      <c r="B2226" s="1042"/>
      <c r="C2226" s="44" t="s">
        <v>873</v>
      </c>
      <c r="D2226" s="157"/>
      <c r="E2226" s="403"/>
      <c r="F2226" s="1043"/>
      <c r="G2226" s="100" t="s">
        <v>173</v>
      </c>
      <c r="H2226" s="102"/>
      <c r="I2226" s="1154"/>
      <c r="J2226" s="1154"/>
      <c r="K2226" s="1154"/>
      <c r="L2226" s="207"/>
    </row>
    <row r="2227" spans="1:12" s="212" customFormat="1" ht="18" x14ac:dyDescent="0.25">
      <c r="A2227" s="154"/>
      <c r="B2227" s="1042"/>
      <c r="C2227" s="44" t="s">
        <v>960</v>
      </c>
      <c r="D2227" s="402"/>
      <c r="E2227" s="403"/>
      <c r="F2227" s="1043"/>
      <c r="G2227" s="100" t="s">
        <v>179</v>
      </c>
      <c r="H2227" s="102"/>
      <c r="I2227" s="1154"/>
      <c r="J2227" s="1154"/>
      <c r="K2227" s="1154"/>
      <c r="L2227" s="207"/>
    </row>
    <row r="2228" spans="1:12" s="212" customFormat="1" ht="18" customHeight="1" x14ac:dyDescent="0.25">
      <c r="A2228" s="154"/>
      <c r="B2228" s="1042"/>
      <c r="C2228" s="44" t="s">
        <v>961</v>
      </c>
      <c r="D2228" s="402"/>
      <c r="E2228" s="403"/>
      <c r="F2228" s="1043"/>
      <c r="G2228" s="100" t="s">
        <v>183</v>
      </c>
      <c r="H2228" s="102"/>
      <c r="I2228" s="1154"/>
      <c r="J2228" s="1154"/>
      <c r="K2228" s="1154"/>
      <c r="L2228" s="207"/>
    </row>
    <row r="2229" spans="1:12" s="212" customFormat="1" ht="18" customHeight="1" x14ac:dyDescent="0.25">
      <c r="A2229" s="154"/>
      <c r="B2229" s="1042"/>
      <c r="C2229" s="44" t="s">
        <v>962</v>
      </c>
      <c r="D2229" s="402"/>
      <c r="E2229" s="402"/>
      <c r="F2229" s="1042"/>
      <c r="G2229" s="100" t="s">
        <v>356</v>
      </c>
      <c r="H2229" s="102"/>
      <c r="I2229" s="1154"/>
      <c r="J2229" s="1154"/>
      <c r="K2229" s="1154"/>
      <c r="L2229" s="207"/>
    </row>
    <row r="2230" spans="1:12" s="212" customFormat="1" ht="18" customHeight="1" x14ac:dyDescent="0.25">
      <c r="A2230" s="154"/>
      <c r="B2230" s="1042"/>
      <c r="C2230" s="44" t="s">
        <v>963</v>
      </c>
      <c r="D2230" s="402"/>
      <c r="E2230" s="402"/>
      <c r="F2230" s="1042"/>
      <c r="G2230" s="100" t="s">
        <v>199</v>
      </c>
      <c r="H2230" s="102"/>
      <c r="I2230" s="1154"/>
      <c r="J2230" s="1154"/>
      <c r="K2230" s="1154"/>
      <c r="L2230" s="207"/>
    </row>
    <row r="2231" spans="1:12" s="212" customFormat="1" ht="9.75" customHeight="1" x14ac:dyDescent="0.25">
      <c r="A2231" s="154"/>
      <c r="B2231" s="1042"/>
      <c r="C2231" s="44"/>
      <c r="D2231" s="402"/>
      <c r="E2231" s="402"/>
      <c r="F2231" s="1042"/>
      <c r="G2231" s="100"/>
      <c r="H2231" s="102"/>
      <c r="I2231" s="102"/>
      <c r="J2231" s="102"/>
      <c r="K2231" s="102"/>
      <c r="L2231" s="207"/>
    </row>
    <row r="2232" spans="1:12" ht="18" customHeight="1" x14ac:dyDescent="0.25">
      <c r="A2232" s="1051"/>
      <c r="B2232" s="1041"/>
      <c r="C2232" s="129" t="s">
        <v>1872</v>
      </c>
      <c r="D2232" s="152"/>
      <c r="E2232" s="152"/>
      <c r="F2232" s="152"/>
      <c r="G2232" s="186"/>
      <c r="H2232" s="102"/>
      <c r="I2232" s="102"/>
      <c r="J2232" s="102"/>
      <c r="K2232" s="102"/>
    </row>
    <row r="2233" spans="1:12" ht="18" customHeight="1" x14ac:dyDescent="0.25">
      <c r="A2233" s="1051"/>
      <c r="B2233" s="1041"/>
      <c r="C2233" s="44" t="s">
        <v>1328</v>
      </c>
      <c r="D2233" s="152"/>
      <c r="E2233" s="152"/>
      <c r="F2233" s="152"/>
      <c r="G2233" s="186"/>
      <c r="H2233" s="102"/>
      <c r="I2233" s="102"/>
      <c r="J2233" s="102"/>
      <c r="K2233" s="102"/>
    </row>
    <row r="2234" spans="1:12" ht="18" x14ac:dyDescent="0.25">
      <c r="A2234" s="1051"/>
      <c r="B2234" s="1041"/>
      <c r="C2234" s="1062" t="s">
        <v>1327</v>
      </c>
      <c r="D2234" s="1074"/>
      <c r="E2234" s="1074"/>
      <c r="F2234" s="1041"/>
      <c r="G2234" s="100"/>
      <c r="H2234" s="102"/>
      <c r="I2234" s="102"/>
      <c r="J2234" s="102"/>
      <c r="K2234" s="102"/>
    </row>
    <row r="2235" spans="1:12" ht="18" x14ac:dyDescent="0.25">
      <c r="A2235" s="1051"/>
      <c r="B2235" s="1041"/>
      <c r="C2235" s="1062" t="s">
        <v>964</v>
      </c>
      <c r="D2235" s="1074"/>
      <c r="E2235" s="1074"/>
      <c r="F2235" s="1041"/>
      <c r="G2235" s="100"/>
      <c r="H2235" s="102"/>
      <c r="I2235" s="102"/>
      <c r="J2235" s="102"/>
      <c r="K2235" s="102"/>
    </row>
    <row r="2236" spans="1:12" ht="18" x14ac:dyDescent="0.25">
      <c r="A2236" s="1051"/>
      <c r="B2236" s="1041"/>
      <c r="C2236" s="1062" t="s">
        <v>965</v>
      </c>
      <c r="D2236" s="1074"/>
      <c r="E2236" s="1074"/>
      <c r="F2236" s="1041"/>
      <c r="G2236" s="100"/>
      <c r="H2236" s="102"/>
      <c r="I2236" s="102"/>
      <c r="J2236" s="102"/>
      <c r="K2236" s="102"/>
    </row>
    <row r="2237" spans="1:12" ht="18" x14ac:dyDescent="0.25">
      <c r="A2237" s="1051"/>
      <c r="B2237" s="1041"/>
      <c r="C2237" s="1062" t="s">
        <v>966</v>
      </c>
      <c r="D2237" s="1074"/>
      <c r="E2237" s="1074"/>
      <c r="F2237" s="1041"/>
      <c r="G2237" s="100"/>
      <c r="H2237" s="102"/>
      <c r="I2237" s="102"/>
      <c r="J2237" s="102"/>
      <c r="K2237" s="102"/>
    </row>
    <row r="2238" spans="1:12" ht="18" x14ac:dyDescent="0.25">
      <c r="A2238" s="1051"/>
      <c r="B2238" s="1041"/>
      <c r="C2238" s="404" t="s">
        <v>15</v>
      </c>
      <c r="E2238" s="405"/>
      <c r="F2238" s="1039"/>
      <c r="G2238" s="100"/>
      <c r="H2238" s="119">
        <f>SUM(H2223:H2237)</f>
        <v>0</v>
      </c>
      <c r="I2238" s="119">
        <f>SUM(I2223:I2237)</f>
        <v>0</v>
      </c>
      <c r="J2238" s="119">
        <f>SUM(J2223:J2237)</f>
        <v>0</v>
      </c>
      <c r="K2238" s="150">
        <f>SUM(K2223:K2237)</f>
        <v>0</v>
      </c>
    </row>
    <row r="2239" spans="1:12" ht="12.75" customHeight="1" x14ac:dyDescent="0.25">
      <c r="A2239" s="1051"/>
      <c r="B2239" s="1041"/>
      <c r="C2239" s="43"/>
      <c r="D2239" s="404"/>
      <c r="E2239" s="405"/>
      <c r="F2239" s="1039"/>
      <c r="G2239" s="100"/>
      <c r="H2239" s="155"/>
      <c r="I2239" s="155"/>
      <c r="J2239" s="155"/>
      <c r="K2239" s="156"/>
    </row>
    <row r="2240" spans="1:12" ht="18" x14ac:dyDescent="0.25">
      <c r="A2240" s="1051"/>
      <c r="B2240" s="1041"/>
      <c r="C2240" s="1620" t="s">
        <v>977</v>
      </c>
      <c r="D2240" s="1620"/>
      <c r="E2240" s="1620"/>
      <c r="F2240" s="1621"/>
      <c r="G2240" s="100"/>
      <c r="H2240" s="101"/>
      <c r="I2240" s="101"/>
      <c r="J2240" s="101"/>
      <c r="K2240" s="102"/>
    </row>
    <row r="2241" spans="1:12" ht="18" x14ac:dyDescent="0.25">
      <c r="A2241" s="1051"/>
      <c r="B2241" s="1041"/>
      <c r="C2241" s="1042" t="s">
        <v>1915</v>
      </c>
      <c r="D2241" s="1047"/>
      <c r="E2241" s="1047"/>
      <c r="F2241" s="1048"/>
      <c r="G2241" s="100"/>
      <c r="H2241" s="101"/>
      <c r="I2241" s="101"/>
      <c r="J2241" s="101"/>
      <c r="K2241" s="102">
        <v>150000</v>
      </c>
    </row>
    <row r="2242" spans="1:12" ht="18" x14ac:dyDescent="0.25">
      <c r="A2242" s="1051"/>
      <c r="B2242" s="1041"/>
      <c r="C2242" s="1062" t="s">
        <v>978</v>
      </c>
      <c r="D2242" s="1041"/>
      <c r="E2242" s="1041"/>
      <c r="F2242" s="1039"/>
      <c r="G2242" s="100"/>
      <c r="H2242" s="102"/>
      <c r="I2242" s="1154"/>
      <c r="J2242" s="1154"/>
      <c r="K2242" s="102">
        <v>5000000</v>
      </c>
    </row>
    <row r="2243" spans="1:12" ht="18" x14ac:dyDescent="0.25">
      <c r="A2243" s="1051"/>
      <c r="B2243" s="1041"/>
      <c r="C2243" s="38" t="s">
        <v>979</v>
      </c>
      <c r="D2243" s="198"/>
      <c r="E2243" s="198"/>
      <c r="F2243" s="1039"/>
      <c r="G2243" s="100"/>
      <c r="H2243" s="102"/>
      <c r="I2243" s="1154"/>
      <c r="J2243" s="1154"/>
      <c r="K2243" s="102">
        <v>300000</v>
      </c>
    </row>
    <row r="2244" spans="1:12" s="415" customFormat="1" ht="18" x14ac:dyDescent="0.25">
      <c r="A2244" s="1051"/>
      <c r="B2244" s="1041"/>
      <c r="C2244" s="38" t="s">
        <v>980</v>
      </c>
      <c r="D2244" s="199"/>
      <c r="E2244" s="199"/>
      <c r="F2244" s="1039"/>
      <c r="G2244" s="100"/>
      <c r="H2244" s="102"/>
      <c r="I2244" s="1154"/>
      <c r="J2244" s="1154"/>
      <c r="K2244" s="102">
        <v>6739000</v>
      </c>
      <c r="L2244" s="10"/>
    </row>
    <row r="2245" spans="1:12" ht="18" x14ac:dyDescent="0.25">
      <c r="A2245" s="1051"/>
      <c r="B2245" s="1041"/>
      <c r="C2245" s="38" t="s">
        <v>981</v>
      </c>
      <c r="D2245" s="199"/>
      <c r="E2245" s="199"/>
      <c r="F2245" s="1039"/>
      <c r="G2245" s="100"/>
      <c r="H2245" s="102"/>
      <c r="I2245" s="1154"/>
      <c r="J2245" s="1154"/>
      <c r="K2245" s="102">
        <v>200000</v>
      </c>
    </row>
    <row r="2246" spans="1:12" ht="18" x14ac:dyDescent="0.25">
      <c r="A2246" s="1051"/>
      <c r="B2246" s="1041"/>
      <c r="C2246" s="404" t="s">
        <v>15</v>
      </c>
      <c r="E2246" s="1041"/>
      <c r="F2246" s="1039"/>
      <c r="G2246" s="100"/>
      <c r="H2246" s="119">
        <f>SUM(H2240:H2245)</f>
        <v>0</v>
      </c>
      <c r="I2246" s="119">
        <f>SUM(I2240:I2245)</f>
        <v>0</v>
      </c>
      <c r="J2246" s="119">
        <f>SUM(J2240:J2245)</f>
        <v>0</v>
      </c>
      <c r="K2246" s="150">
        <f>SUM(K2240:K2245)</f>
        <v>12389000</v>
      </c>
    </row>
    <row r="2247" spans="1:12" ht="11.25" customHeight="1" x14ac:dyDescent="0.25">
      <c r="A2247" s="1051"/>
      <c r="B2247" s="1041"/>
      <c r="C2247" s="1045"/>
      <c r="D2247" s="404"/>
      <c r="E2247" s="1041"/>
      <c r="F2247" s="1041"/>
      <c r="G2247" s="100"/>
      <c r="H2247" s="155"/>
      <c r="I2247" s="155"/>
      <c r="J2247" s="155"/>
      <c r="K2247" s="156"/>
    </row>
    <row r="2248" spans="1:12" ht="18" x14ac:dyDescent="0.25">
      <c r="A2248" s="1051"/>
      <c r="B2248" s="1041"/>
      <c r="C2248" s="36" t="s">
        <v>983</v>
      </c>
      <c r="D2248" s="199"/>
      <c r="E2248" s="199"/>
      <c r="F2248" s="184"/>
      <c r="G2248" s="100"/>
      <c r="H2248" s="101"/>
      <c r="I2248" s="101"/>
      <c r="J2248" s="101"/>
      <c r="K2248" s="102"/>
    </row>
    <row r="2249" spans="1:12" ht="18" x14ac:dyDescent="0.25">
      <c r="A2249" s="1051"/>
      <c r="B2249" s="1041"/>
      <c r="C2249" s="407" t="s">
        <v>984</v>
      </c>
      <c r="D2249" s="199"/>
      <c r="E2249" s="199"/>
      <c r="F2249" s="184"/>
      <c r="G2249" s="100"/>
      <c r="H2249" s="101"/>
      <c r="I2249" s="1156"/>
      <c r="J2249" s="1156"/>
      <c r="K2249" s="1154"/>
    </row>
    <row r="2250" spans="1:12" ht="35.25" customHeight="1" x14ac:dyDescent="0.25">
      <c r="A2250" s="1051"/>
      <c r="B2250" s="1041"/>
      <c r="C2250" s="1652" t="s">
        <v>985</v>
      </c>
      <c r="D2250" s="1652"/>
      <c r="E2250" s="1652"/>
      <c r="F2250" s="184"/>
      <c r="G2250" s="100"/>
      <c r="H2250" s="101"/>
      <c r="I2250" s="1156"/>
      <c r="J2250" s="1156"/>
      <c r="K2250" s="1154"/>
    </row>
    <row r="2251" spans="1:12" ht="33.75" customHeight="1" x14ac:dyDescent="0.25">
      <c r="A2251" s="1051"/>
      <c r="B2251" s="1041"/>
      <c r="C2251" s="1652" t="s">
        <v>986</v>
      </c>
      <c r="D2251" s="1652"/>
      <c r="E2251" s="1652"/>
      <c r="F2251" s="184"/>
      <c r="G2251" s="100"/>
      <c r="H2251" s="101"/>
      <c r="I2251" s="1156"/>
      <c r="J2251" s="1156"/>
      <c r="K2251" s="1154"/>
    </row>
    <row r="2252" spans="1:12" ht="68.25" customHeight="1" x14ac:dyDescent="0.25">
      <c r="A2252" s="1051"/>
      <c r="B2252" s="1041"/>
      <c r="C2252" s="1652" t="s">
        <v>987</v>
      </c>
      <c r="D2252" s="1652"/>
      <c r="E2252" s="1652"/>
      <c r="F2252" s="184"/>
      <c r="G2252" s="100"/>
      <c r="H2252" s="101"/>
      <c r="I2252" s="1156"/>
      <c r="J2252" s="1156"/>
      <c r="K2252" s="1154"/>
    </row>
    <row r="2253" spans="1:12" ht="18" x14ac:dyDescent="0.25">
      <c r="A2253" s="1051"/>
      <c r="B2253" s="1041"/>
      <c r="C2253" s="38" t="s">
        <v>988</v>
      </c>
      <c r="D2253" s="125"/>
      <c r="E2253" s="199"/>
      <c r="F2253" s="184"/>
      <c r="G2253" s="100"/>
      <c r="H2253" s="101"/>
      <c r="I2253" s="101"/>
      <c r="J2253" s="101"/>
      <c r="K2253" s="102"/>
    </row>
    <row r="2254" spans="1:12" ht="18" x14ac:dyDescent="0.25">
      <c r="A2254" s="1051"/>
      <c r="B2254" s="1041"/>
      <c r="C2254" s="38" t="s">
        <v>1916</v>
      </c>
      <c r="D2254" s="125"/>
      <c r="E2254" s="199"/>
      <c r="F2254" s="184"/>
      <c r="G2254" s="100"/>
      <c r="H2254" s="101"/>
      <c r="I2254" s="101"/>
      <c r="J2254" s="101"/>
      <c r="K2254" s="102"/>
    </row>
    <row r="2255" spans="1:12" ht="36.75" customHeight="1" x14ac:dyDescent="0.25">
      <c r="A2255" s="1051"/>
      <c r="B2255" s="1041"/>
      <c r="C2255" s="1651" t="s">
        <v>989</v>
      </c>
      <c r="D2255" s="1651"/>
      <c r="E2255" s="199"/>
      <c r="F2255" s="184"/>
      <c r="G2255" s="100"/>
      <c r="H2255" s="101"/>
      <c r="I2255" s="1156"/>
      <c r="J2255" s="1156"/>
      <c r="K2255" s="1154"/>
    </row>
    <row r="2256" spans="1:12" ht="33.75" customHeight="1" x14ac:dyDescent="0.25">
      <c r="A2256" s="1051"/>
      <c r="B2256" s="1041"/>
      <c r="C2256" s="1628" t="s">
        <v>990</v>
      </c>
      <c r="D2256" s="1628"/>
      <c r="E2256" s="199"/>
      <c r="F2256" s="184"/>
      <c r="G2256" s="100"/>
      <c r="H2256" s="101"/>
      <c r="I2256" s="1156"/>
      <c r="J2256" s="1156"/>
      <c r="K2256" s="1154"/>
    </row>
    <row r="2257" spans="1:12" ht="32.25" customHeight="1" x14ac:dyDescent="0.25">
      <c r="A2257" s="1051"/>
      <c r="B2257" s="1041"/>
      <c r="C2257" s="1650" t="s">
        <v>991</v>
      </c>
      <c r="D2257" s="1650"/>
      <c r="E2257" s="199"/>
      <c r="F2257" s="184"/>
      <c r="G2257" s="100"/>
      <c r="H2257" s="101"/>
      <c r="I2257" s="1156"/>
      <c r="J2257" s="1156"/>
      <c r="K2257" s="1154"/>
    </row>
    <row r="2258" spans="1:12" ht="39.75" customHeight="1" x14ac:dyDescent="0.25">
      <c r="A2258" s="1051"/>
      <c r="B2258" s="1041"/>
      <c r="C2258" s="1651" t="s">
        <v>992</v>
      </c>
      <c r="D2258" s="1651"/>
      <c r="E2258" s="199"/>
      <c r="F2258" s="184"/>
      <c r="G2258" s="100"/>
      <c r="H2258" s="101"/>
      <c r="I2258" s="1156"/>
      <c r="J2258" s="1156"/>
      <c r="K2258" s="1154"/>
    </row>
    <row r="2259" spans="1:12" ht="18.75" thickBot="1" x14ac:dyDescent="0.3">
      <c r="A2259" s="187"/>
      <c r="B2259" s="413"/>
      <c r="C2259" s="583" t="s">
        <v>15</v>
      </c>
      <c r="D2259" s="556"/>
      <c r="E2259" s="413"/>
      <c r="F2259" s="431"/>
      <c r="G2259" s="308"/>
      <c r="H2259" s="457">
        <f>SUM(H2249:H2258)</f>
        <v>0</v>
      </c>
      <c r="I2259" s="457">
        <f>SUM(I2249:I2258)</f>
        <v>0</v>
      </c>
      <c r="J2259" s="457">
        <f>SUM(J2249:J2258)</f>
        <v>0</v>
      </c>
      <c r="K2259" s="364">
        <f>SUM(K2249:K2258)</f>
        <v>0</v>
      </c>
    </row>
    <row r="2260" spans="1:12" s="146" customFormat="1" ht="18" x14ac:dyDescent="0.25">
      <c r="A2260" s="1041"/>
      <c r="B2260" s="1041"/>
      <c r="C2260" s="416"/>
      <c r="D2260" s="1090"/>
      <c r="E2260" s="153"/>
      <c r="F2260" s="153"/>
      <c r="G2260" s="381"/>
      <c r="H2260" s="141"/>
      <c r="I2260" s="141"/>
      <c r="J2260" s="141"/>
      <c r="K2260" s="122"/>
      <c r="L2260" s="10"/>
    </row>
    <row r="2261" spans="1:12" s="146" customFormat="1" ht="18" x14ac:dyDescent="0.25">
      <c r="A2261" s="1041"/>
      <c r="B2261" s="1041"/>
      <c r="C2261" s="416"/>
      <c r="D2261" s="1090"/>
      <c r="E2261" s="153"/>
      <c r="F2261" s="153"/>
      <c r="G2261" s="381"/>
      <c r="H2261" s="141"/>
      <c r="I2261" s="141"/>
      <c r="J2261" s="141"/>
      <c r="K2261" s="122"/>
      <c r="L2261" s="10"/>
    </row>
    <row r="2262" spans="1:12" s="146" customFormat="1" ht="18" x14ac:dyDescent="0.25">
      <c r="A2262" s="1041"/>
      <c r="B2262" s="1041"/>
      <c r="C2262" s="416"/>
      <c r="D2262" s="1090"/>
      <c r="E2262" s="153"/>
      <c r="F2262" s="153"/>
      <c r="G2262" s="381"/>
      <c r="H2262" s="141"/>
      <c r="I2262" s="141"/>
      <c r="J2262" s="141"/>
      <c r="K2262" s="122"/>
      <c r="L2262" s="10"/>
    </row>
    <row r="2263" spans="1:12" s="146" customFormat="1" ht="18" x14ac:dyDescent="0.25">
      <c r="A2263" s="1041"/>
      <c r="B2263" s="1041"/>
      <c r="C2263" s="416"/>
      <c r="D2263" s="1090"/>
      <c r="E2263" s="153"/>
      <c r="F2263" s="153"/>
      <c r="G2263" s="381"/>
      <c r="H2263" s="141"/>
      <c r="I2263" s="141"/>
      <c r="J2263" s="141"/>
      <c r="K2263" s="122"/>
      <c r="L2263" s="10"/>
    </row>
    <row r="2264" spans="1:12" s="191" customFormat="1" ht="18" customHeight="1" x14ac:dyDescent="0.25">
      <c r="A2264" s="8" t="s">
        <v>112</v>
      </c>
      <c r="B2264" s="8"/>
      <c r="C2264" s="9"/>
      <c r="D2264" s="8"/>
      <c r="E2264" s="8"/>
      <c r="F2264" s="8"/>
      <c r="G2264" s="8"/>
      <c r="H2264" s="4"/>
      <c r="I2264" s="4"/>
      <c r="J2264" s="4"/>
      <c r="K2264" s="5"/>
      <c r="L2264" s="10"/>
    </row>
    <row r="2265" spans="1:12" ht="18" customHeight="1" x14ac:dyDescent="0.25">
      <c r="A2265" s="8" t="s">
        <v>1027</v>
      </c>
    </row>
    <row r="2266" spans="1:12" ht="18" customHeight="1" x14ac:dyDescent="0.25">
      <c r="A2266" s="1636" t="s">
        <v>113</v>
      </c>
      <c r="B2266" s="1636"/>
      <c r="C2266" s="1636"/>
      <c r="D2266" s="1636"/>
      <c r="E2266" s="1636"/>
      <c r="F2266" s="1636"/>
      <c r="G2266" s="1636"/>
      <c r="H2266" s="1636"/>
      <c r="I2266" s="1636"/>
      <c r="J2266" s="1636"/>
      <c r="K2266" s="1060"/>
    </row>
    <row r="2267" spans="1:12" s="7" customFormat="1" ht="18" customHeight="1" x14ac:dyDescent="0.25">
      <c r="A2267" s="1624" t="s">
        <v>114</v>
      </c>
      <c r="B2267" s="1624"/>
      <c r="C2267" s="1624"/>
      <c r="D2267" s="1624"/>
      <c r="E2267" s="1624"/>
      <c r="F2267" s="1624"/>
      <c r="G2267" s="1624"/>
      <c r="H2267" s="1624"/>
      <c r="I2267" s="1624"/>
      <c r="J2267" s="1624"/>
      <c r="K2267" s="159"/>
      <c r="L2267" s="6"/>
    </row>
    <row r="2268" spans="1:12" s="7" customFormat="1" ht="18" customHeight="1" x14ac:dyDescent="0.25">
      <c r="A2268" s="1066"/>
      <c r="B2268" s="1066"/>
      <c r="C2268" s="1066"/>
      <c r="D2268" s="1066"/>
      <c r="E2268" s="1066"/>
      <c r="F2268" s="1066"/>
      <c r="G2268" s="1066"/>
      <c r="H2268" s="1066"/>
      <c r="I2268" s="1066"/>
      <c r="J2268" s="1066"/>
      <c r="K2268" s="159"/>
      <c r="L2268" s="6"/>
    </row>
    <row r="2269" spans="1:12" ht="18.75" thickBot="1" x14ac:dyDescent="0.3">
      <c r="A2269" s="41"/>
      <c r="B2269" s="41"/>
      <c r="C2269" s="63"/>
      <c r="D2269" s="41"/>
      <c r="E2269" s="41"/>
      <c r="F2269" s="41"/>
      <c r="G2269" s="41"/>
    </row>
    <row r="2270" spans="1:12" s="48" customFormat="1" ht="21.75" customHeight="1" thickBot="1" x14ac:dyDescent="0.3">
      <c r="A2270" s="1655" t="s">
        <v>115</v>
      </c>
      <c r="B2270" s="1655"/>
      <c r="C2270" s="1655"/>
      <c r="D2270" s="1655"/>
      <c r="E2270" s="1655"/>
      <c r="F2270" s="1655"/>
      <c r="G2270" s="1151"/>
      <c r="H2270" s="1708" t="s">
        <v>1537</v>
      </c>
      <c r="I2270" s="1710" t="s">
        <v>1538</v>
      </c>
      <c r="J2270" s="1710" t="s">
        <v>1539</v>
      </c>
      <c r="K2270" s="1710" t="s">
        <v>1540</v>
      </c>
      <c r="L2270" s="47"/>
    </row>
    <row r="2271" spans="1:12" s="1153" customFormat="1" ht="31.5" customHeight="1" thickBot="1" x14ac:dyDescent="0.3">
      <c r="A2271" s="1655"/>
      <c r="B2271" s="1655"/>
      <c r="C2271" s="1655"/>
      <c r="D2271" s="1655"/>
      <c r="E2271" s="1655"/>
      <c r="F2271" s="1655"/>
      <c r="G2271" s="1067" t="s">
        <v>116</v>
      </c>
      <c r="H2271" s="1709"/>
      <c r="I2271" s="1710"/>
      <c r="J2271" s="1710"/>
      <c r="K2271" s="1710"/>
      <c r="L2271" s="1152"/>
    </row>
    <row r="2272" spans="1:12" ht="18" x14ac:dyDescent="0.25">
      <c r="A2272" s="1051"/>
      <c r="B2272" s="1041"/>
      <c r="C2272" s="1055" t="s">
        <v>993</v>
      </c>
      <c r="D2272" s="199"/>
      <c r="E2272" s="199"/>
      <c r="F2272" s="393"/>
      <c r="G2272" s="100"/>
      <c r="H2272" s="101"/>
      <c r="I2272" s="101"/>
      <c r="J2272" s="101"/>
      <c r="K2272" s="102"/>
    </row>
    <row r="2273" spans="1:12" ht="18" x14ac:dyDescent="0.25">
      <c r="A2273" s="1051"/>
      <c r="B2273" s="1041"/>
      <c r="C2273" s="38" t="s">
        <v>994</v>
      </c>
      <c r="D2273" s="157"/>
      <c r="E2273" s="199"/>
      <c r="F2273" s="184"/>
      <c r="G2273" s="100"/>
      <c r="H2273" s="101"/>
      <c r="I2273" s="101"/>
      <c r="J2273" s="101"/>
      <c r="K2273" s="102"/>
    </row>
    <row r="2274" spans="1:12" ht="18" x14ac:dyDescent="0.25">
      <c r="A2274" s="1051"/>
      <c r="B2274" s="1041"/>
      <c r="C2274" s="38" t="s">
        <v>995</v>
      </c>
      <c r="D2274" s="157"/>
      <c r="E2274" s="199"/>
      <c r="F2274" s="184"/>
      <c r="G2274" s="100"/>
      <c r="H2274" s="101"/>
      <c r="I2274" s="101"/>
      <c r="J2274" s="101"/>
      <c r="K2274" s="102"/>
    </row>
    <row r="2275" spans="1:12" ht="18" x14ac:dyDescent="0.25">
      <c r="A2275" s="1051"/>
      <c r="B2275" s="1041"/>
      <c r="C2275" s="1088" t="s">
        <v>996</v>
      </c>
      <c r="D2275" s="157"/>
      <c r="E2275" s="157"/>
      <c r="F2275" s="393"/>
      <c r="G2275" s="100"/>
      <c r="H2275" s="101"/>
      <c r="I2275" s="101"/>
      <c r="J2275" s="101"/>
      <c r="K2275" s="102"/>
    </row>
    <row r="2276" spans="1:12" ht="18" x14ac:dyDescent="0.25">
      <c r="A2276" s="1051"/>
      <c r="B2276" s="1041"/>
      <c r="C2276" s="38" t="s">
        <v>997</v>
      </c>
      <c r="D2276" s="157"/>
      <c r="E2276" s="157"/>
      <c r="F2276" s="393"/>
      <c r="G2276" s="100"/>
      <c r="H2276" s="101"/>
      <c r="I2276" s="101"/>
      <c r="J2276" s="101"/>
      <c r="K2276" s="102"/>
    </row>
    <row r="2277" spans="1:12" ht="18" x14ac:dyDescent="0.25">
      <c r="A2277" s="1051"/>
      <c r="B2277" s="1041"/>
      <c r="C2277" s="38" t="s">
        <v>998</v>
      </c>
      <c r="D2277" s="303"/>
      <c r="E2277" s="303"/>
      <c r="F2277" s="393"/>
      <c r="G2277" s="100"/>
      <c r="H2277" s="101"/>
      <c r="I2277" s="101"/>
      <c r="J2277" s="101"/>
      <c r="K2277" s="102"/>
    </row>
    <row r="2278" spans="1:12" ht="18" x14ac:dyDescent="0.25">
      <c r="A2278" s="1051"/>
      <c r="B2278" s="1041"/>
      <c r="C2278" s="38" t="s">
        <v>999</v>
      </c>
      <c r="D2278" s="303"/>
      <c r="E2278" s="303"/>
      <c r="F2278" s="393"/>
      <c r="G2278" s="100"/>
      <c r="H2278" s="101"/>
      <c r="I2278" s="101"/>
      <c r="J2278" s="101"/>
      <c r="K2278" s="102"/>
    </row>
    <row r="2279" spans="1:12" ht="18" x14ac:dyDescent="0.25">
      <c r="A2279" s="1051"/>
      <c r="B2279" s="1041"/>
      <c r="C2279" s="38" t="s">
        <v>1000</v>
      </c>
      <c r="D2279" s="303"/>
      <c r="E2279" s="303"/>
      <c r="F2279" s="393"/>
      <c r="G2279" s="100"/>
      <c r="H2279" s="101"/>
      <c r="I2279" s="101"/>
      <c r="J2279" s="101"/>
      <c r="K2279" s="102"/>
    </row>
    <row r="2280" spans="1:12" ht="18" x14ac:dyDescent="0.25">
      <c r="A2280" s="1051"/>
      <c r="B2280" s="1041"/>
      <c r="C2280" s="38" t="s">
        <v>1002</v>
      </c>
      <c r="D2280" s="303"/>
      <c r="E2280" s="303"/>
      <c r="F2280" s="393"/>
      <c r="G2280" s="100"/>
      <c r="H2280" s="105"/>
      <c r="I2280" s="105"/>
      <c r="J2280" s="105"/>
      <c r="K2280" s="106"/>
    </row>
    <row r="2281" spans="1:12" s="146" customFormat="1" ht="18" x14ac:dyDescent="0.25">
      <c r="A2281" s="1051"/>
      <c r="B2281" s="1041"/>
      <c r="C2281" s="404" t="s">
        <v>15</v>
      </c>
      <c r="D2281" s="573"/>
      <c r="E2281" s="153"/>
      <c r="F2281" s="417"/>
      <c r="G2281" s="100"/>
      <c r="H2281" s="1158">
        <f>SUM(H2273:H2280)</f>
        <v>0</v>
      </c>
      <c r="I2281" s="1158">
        <f>SUM(I2273:I2280)</f>
        <v>0</v>
      </c>
      <c r="J2281" s="1158">
        <f>SUM(J2273:J2280)</f>
        <v>0</v>
      </c>
      <c r="K2281" s="1157">
        <f>SUM(K2273:K2280)</f>
        <v>0</v>
      </c>
      <c r="L2281" s="10"/>
    </row>
    <row r="2282" spans="1:12" s="146" customFormat="1" ht="18" x14ac:dyDescent="0.25">
      <c r="A2282" s="1051"/>
      <c r="B2282" s="1041"/>
      <c r="C2282" s="416"/>
      <c r="D2282" s="1090"/>
      <c r="E2282" s="153"/>
      <c r="F2282" s="153"/>
      <c r="G2282" s="195"/>
      <c r="H2282" s="101"/>
      <c r="I2282" s="101"/>
      <c r="J2282" s="101"/>
      <c r="K2282" s="102"/>
      <c r="L2282" s="10"/>
    </row>
    <row r="2283" spans="1:12" s="146" customFormat="1" ht="18" x14ac:dyDescent="0.25">
      <c r="A2283" s="1051"/>
      <c r="B2283" s="1041"/>
      <c r="C2283" s="1055" t="s">
        <v>1004</v>
      </c>
      <c r="D2283" s="199"/>
      <c r="E2283" s="199"/>
      <c r="F2283" s="393"/>
      <c r="G2283" s="100"/>
      <c r="H2283" s="101"/>
      <c r="I2283" s="101"/>
      <c r="J2283" s="101"/>
      <c r="K2283" s="102"/>
      <c r="L2283" s="10"/>
    </row>
    <row r="2284" spans="1:12" s="146" customFormat="1" ht="18" x14ac:dyDescent="0.25">
      <c r="A2284" s="1051"/>
      <c r="B2284" s="1041"/>
      <c r="C2284" s="38" t="s">
        <v>1005</v>
      </c>
      <c r="D2284" s="184"/>
      <c r="E2284" s="184"/>
      <c r="F2284" s="184"/>
      <c r="G2284" s="100"/>
      <c r="H2284" s="101"/>
      <c r="I2284" s="101"/>
      <c r="J2284" s="101"/>
      <c r="K2284" s="102"/>
      <c r="L2284" s="10"/>
    </row>
    <row r="2285" spans="1:12" s="146" customFormat="1" ht="18" x14ac:dyDescent="0.25">
      <c r="A2285" s="1051"/>
      <c r="B2285" s="1041"/>
      <c r="C2285" s="38" t="s">
        <v>1006</v>
      </c>
      <c r="D2285" s="421"/>
      <c r="E2285" s="184"/>
      <c r="F2285" s="421"/>
      <c r="G2285" s="100"/>
      <c r="H2285" s="101"/>
      <c r="I2285" s="101"/>
      <c r="J2285" s="101"/>
      <c r="K2285" s="102"/>
      <c r="L2285" s="10"/>
    </row>
    <row r="2286" spans="1:12" s="146" customFormat="1" ht="18" x14ac:dyDescent="0.25">
      <c r="A2286" s="1051"/>
      <c r="B2286" s="1041"/>
      <c r="C2286" s="38" t="s">
        <v>1007</v>
      </c>
      <c r="D2286" s="421"/>
      <c r="E2286" s="184"/>
      <c r="F2286" s="421"/>
      <c r="G2286" s="100"/>
      <c r="H2286" s="101"/>
      <c r="I2286" s="101"/>
      <c r="J2286" s="101"/>
      <c r="K2286" s="102"/>
      <c r="L2286" s="10"/>
    </row>
    <row r="2287" spans="1:12" s="146" customFormat="1" ht="18" x14ac:dyDescent="0.25">
      <c r="A2287" s="1051"/>
      <c r="B2287" s="1041"/>
      <c r="C2287" s="38" t="s">
        <v>1009</v>
      </c>
      <c r="D2287" s="204"/>
      <c r="E2287" s="184"/>
      <c r="F2287" s="204"/>
      <c r="G2287" s="100"/>
      <c r="H2287" s="101"/>
      <c r="I2287" s="101"/>
      <c r="J2287" s="101"/>
      <c r="K2287" s="102"/>
      <c r="L2287" s="10"/>
    </row>
    <row r="2288" spans="1:12" s="146" customFormat="1" ht="18" x14ac:dyDescent="0.25">
      <c r="A2288" s="1051"/>
      <c r="B2288" s="1041"/>
      <c r="C2288" s="1088" t="s">
        <v>1011</v>
      </c>
      <c r="D2288" s="204"/>
      <c r="E2288" s="422"/>
      <c r="F2288" s="204"/>
      <c r="G2288" s="100"/>
      <c r="H2288" s="101"/>
      <c r="I2288" s="101"/>
      <c r="J2288" s="101"/>
      <c r="K2288" s="102"/>
      <c r="L2288" s="10"/>
    </row>
    <row r="2289" spans="1:12" s="146" customFormat="1" ht="18" x14ac:dyDescent="0.25">
      <c r="A2289" s="1051"/>
      <c r="B2289" s="1041"/>
      <c r="C2289" s="1088" t="s">
        <v>1012</v>
      </c>
      <c r="D2289" s="204"/>
      <c r="E2289" s="422"/>
      <c r="F2289" s="204"/>
      <c r="G2289" s="100"/>
      <c r="H2289" s="101"/>
      <c r="I2289" s="101"/>
      <c r="J2289" s="101"/>
      <c r="K2289" s="102"/>
      <c r="L2289" s="10"/>
    </row>
    <row r="2290" spans="1:12" s="146" customFormat="1" ht="18" x14ac:dyDescent="0.25">
      <c r="A2290" s="1051"/>
      <c r="B2290" s="1041"/>
      <c r="C2290" s="38" t="s">
        <v>1015</v>
      </c>
      <c r="D2290" s="184"/>
      <c r="E2290" s="184"/>
      <c r="F2290" s="184"/>
      <c r="G2290" s="100"/>
      <c r="H2290" s="101"/>
      <c r="I2290" s="101"/>
      <c r="J2290" s="101"/>
      <c r="K2290" s="102"/>
      <c r="L2290" s="10"/>
    </row>
    <row r="2291" spans="1:12" s="146" customFormat="1" ht="18" x14ac:dyDescent="0.25">
      <c r="A2291" s="1051"/>
      <c r="B2291" s="1041"/>
      <c r="C2291" s="38" t="s">
        <v>1016</v>
      </c>
      <c r="D2291" s="204"/>
      <c r="E2291" s="184"/>
      <c r="F2291" s="204"/>
      <c r="G2291" s="100"/>
      <c r="H2291" s="101"/>
      <c r="I2291" s="101"/>
      <c r="J2291" s="101"/>
      <c r="K2291" s="102"/>
      <c r="L2291" s="10"/>
    </row>
    <row r="2292" spans="1:12" s="146" customFormat="1" ht="18" x14ac:dyDescent="0.25">
      <c r="A2292" s="1051"/>
      <c r="B2292" s="1041"/>
      <c r="C2292" s="38" t="s">
        <v>1017</v>
      </c>
      <c r="D2292" s="204"/>
      <c r="E2292" s="184"/>
      <c r="F2292" s="204"/>
      <c r="G2292" s="100"/>
      <c r="H2292" s="101"/>
      <c r="I2292" s="101"/>
      <c r="J2292" s="101"/>
      <c r="K2292" s="102"/>
      <c r="L2292" s="10"/>
    </row>
    <row r="2293" spans="1:12" s="146" customFormat="1" ht="18" x14ac:dyDescent="0.25">
      <c r="A2293" s="1051"/>
      <c r="B2293" s="1041"/>
      <c r="C2293" s="38" t="s">
        <v>1019</v>
      </c>
      <c r="D2293" s="393"/>
      <c r="E2293" s="184"/>
      <c r="F2293" s="393"/>
      <c r="G2293" s="100"/>
      <c r="H2293" s="101"/>
      <c r="I2293" s="101"/>
      <c r="J2293" s="101"/>
      <c r="K2293" s="102"/>
      <c r="L2293" s="10"/>
    </row>
    <row r="2294" spans="1:12" s="146" customFormat="1" ht="18" x14ac:dyDescent="0.25">
      <c r="A2294" s="1051"/>
      <c r="B2294" s="1041"/>
      <c r="C2294" s="38" t="s">
        <v>1020</v>
      </c>
      <c r="D2294" s="393"/>
      <c r="E2294" s="184"/>
      <c r="F2294" s="393"/>
      <c r="G2294" s="100"/>
      <c r="H2294" s="101"/>
      <c r="I2294" s="101"/>
      <c r="J2294" s="101"/>
      <c r="K2294" s="102"/>
      <c r="L2294" s="10"/>
    </row>
    <row r="2295" spans="1:12" ht="18" x14ac:dyDescent="0.25">
      <c r="A2295" s="1051"/>
      <c r="B2295" s="1041"/>
      <c r="C2295" s="404" t="s">
        <v>15</v>
      </c>
      <c r="E2295" s="113"/>
      <c r="F2295" s="114"/>
      <c r="G2295" s="100"/>
      <c r="H2295" s="119">
        <f>SUM(H2284:H2294)</f>
        <v>0</v>
      </c>
      <c r="I2295" s="119">
        <f>SUM(I2284:I2294)</f>
        <v>0</v>
      </c>
      <c r="J2295" s="119">
        <f>SUM(J2284:J2294)</f>
        <v>0</v>
      </c>
      <c r="K2295" s="150">
        <f>SUM(K2284:K2294)</f>
        <v>0</v>
      </c>
    </row>
    <row r="2296" spans="1:12" ht="18" x14ac:dyDescent="0.25">
      <c r="A2296" s="1051"/>
      <c r="B2296" s="1041"/>
      <c r="C2296" s="170"/>
      <c r="D2296" s="404"/>
      <c r="E2296" s="113"/>
      <c r="F2296" s="113"/>
      <c r="G2296" s="100"/>
      <c r="H2296" s="155"/>
      <c r="I2296" s="155"/>
      <c r="J2296" s="155"/>
      <c r="K2296" s="156"/>
    </row>
    <row r="2297" spans="1:12" ht="18" x14ac:dyDescent="0.25">
      <c r="A2297" s="1051"/>
      <c r="B2297" s="1041"/>
      <c r="C2297" s="1055" t="s">
        <v>1021</v>
      </c>
      <c r="D2297" s="199"/>
      <c r="E2297" s="199"/>
      <c r="F2297" s="393"/>
      <c r="G2297" s="100"/>
      <c r="H2297" s="101"/>
      <c r="I2297" s="101"/>
      <c r="J2297" s="101"/>
      <c r="K2297" s="102"/>
    </row>
    <row r="2298" spans="1:12" ht="39" customHeight="1" x14ac:dyDescent="0.25">
      <c r="A2298" s="1051"/>
      <c r="B2298" s="1041"/>
      <c r="C2298" s="1602" t="s">
        <v>1022</v>
      </c>
      <c r="D2298" s="1603"/>
      <c r="E2298" s="1603"/>
      <c r="F2298" s="1603"/>
      <c r="G2298" s="100"/>
      <c r="H2298" s="101"/>
      <c r="I2298" s="101"/>
      <c r="J2298" s="101"/>
      <c r="K2298" s="102"/>
    </row>
    <row r="2299" spans="1:12" s="179" customFormat="1" ht="21.75" customHeight="1" thickBot="1" x14ac:dyDescent="0.3">
      <c r="A2299" s="1081"/>
      <c r="B2299" s="1044"/>
      <c r="C2299" s="1648" t="s">
        <v>1023</v>
      </c>
      <c r="D2299" s="1649"/>
      <c r="E2299" s="1649"/>
      <c r="F2299" s="1649"/>
      <c r="G2299" s="423"/>
      <c r="H2299" s="182"/>
      <c r="I2299" s="182"/>
      <c r="J2299" s="182"/>
      <c r="K2299" s="183"/>
      <c r="L2299" s="193"/>
    </row>
    <row r="2300" spans="1:12" s="146" customFormat="1" ht="18" x14ac:dyDescent="0.25">
      <c r="A2300" s="1051"/>
      <c r="B2300" s="1041"/>
      <c r="C2300" s="404" t="s">
        <v>15</v>
      </c>
      <c r="D2300" s="573"/>
      <c r="E2300" s="1041"/>
      <c r="F2300" s="1039"/>
      <c r="G2300" s="100"/>
      <c r="H2300" s="155">
        <f>SUM(H2298:H2299)</f>
        <v>0</v>
      </c>
      <c r="I2300" s="155">
        <f>SUM(I2298:I2299)</f>
        <v>0</v>
      </c>
      <c r="J2300" s="155">
        <f>SUM(J2298:J2299)</f>
        <v>0</v>
      </c>
      <c r="K2300" s="156">
        <f>SUM(K2298:K2299)</f>
        <v>0</v>
      </c>
      <c r="L2300" s="10"/>
    </row>
    <row r="2301" spans="1:12" s="146" customFormat="1" ht="18" x14ac:dyDescent="0.25">
      <c r="A2301" s="1051"/>
      <c r="B2301" s="1041"/>
      <c r="C2301" s="1045"/>
      <c r="D2301" s="404"/>
      <c r="E2301" s="1041"/>
      <c r="F2301" s="1039"/>
      <c r="G2301" s="100"/>
      <c r="H2301" s="155"/>
      <c r="I2301" s="155"/>
      <c r="J2301" s="155"/>
      <c r="K2301" s="156"/>
      <c r="L2301" s="10"/>
    </row>
    <row r="2302" spans="1:12" s="146" customFormat="1" ht="18" x14ac:dyDescent="0.25">
      <c r="A2302" s="1051"/>
      <c r="B2302" s="1041"/>
      <c r="C2302" s="1055" t="s">
        <v>1028</v>
      </c>
      <c r="D2302" s="113"/>
      <c r="E2302" s="113"/>
      <c r="F2302" s="113"/>
      <c r="G2302" s="100"/>
      <c r="H2302" s="101"/>
      <c r="I2302" s="101"/>
      <c r="J2302" s="101"/>
      <c r="K2302" s="102"/>
      <c r="L2302" s="10"/>
    </row>
    <row r="2303" spans="1:12" s="313" customFormat="1" ht="18" x14ac:dyDescent="0.25">
      <c r="A2303" s="1081"/>
      <c r="B2303" s="1044"/>
      <c r="C2303" s="426" t="s">
        <v>1029</v>
      </c>
      <c r="D2303" s="174"/>
      <c r="E2303" s="174"/>
      <c r="F2303" s="174"/>
      <c r="G2303" s="423"/>
      <c r="H2303" s="102"/>
      <c r="I2303" s="102"/>
      <c r="J2303" s="102"/>
      <c r="K2303" s="102"/>
      <c r="L2303" s="193"/>
    </row>
    <row r="2304" spans="1:12" s="313" customFormat="1" ht="71.25" customHeight="1" x14ac:dyDescent="0.25">
      <c r="A2304" s="1081"/>
      <c r="B2304" s="1044"/>
      <c r="C2304" s="1638" t="s">
        <v>1030</v>
      </c>
      <c r="D2304" s="1638"/>
      <c r="E2304" s="174"/>
      <c r="F2304" s="174"/>
      <c r="G2304" s="423"/>
      <c r="H2304" s="102"/>
      <c r="I2304" s="102"/>
      <c r="J2304" s="102"/>
      <c r="K2304" s="102"/>
      <c r="L2304" s="193"/>
    </row>
    <row r="2305" spans="1:12" s="313" customFormat="1" ht="71.25" customHeight="1" x14ac:dyDescent="0.25">
      <c r="A2305" s="1081"/>
      <c r="B2305" s="1044"/>
      <c r="C2305" s="1638" t="s">
        <v>1031</v>
      </c>
      <c r="D2305" s="1638"/>
      <c r="E2305" s="174"/>
      <c r="F2305" s="174"/>
      <c r="G2305" s="423"/>
      <c r="H2305" s="102"/>
      <c r="I2305" s="102"/>
      <c r="J2305" s="102"/>
      <c r="K2305" s="102"/>
      <c r="L2305" s="193"/>
    </row>
    <row r="2306" spans="1:12" s="313" customFormat="1" ht="35.25" customHeight="1" x14ac:dyDescent="0.25">
      <c r="A2306" s="1081"/>
      <c r="B2306" s="1044"/>
      <c r="C2306" s="1628" t="s">
        <v>1032</v>
      </c>
      <c r="D2306" s="1628"/>
      <c r="E2306" s="174"/>
      <c r="F2306" s="175"/>
      <c r="G2306" s="423"/>
      <c r="H2306" s="102"/>
      <c r="I2306" s="102"/>
      <c r="J2306" s="102"/>
      <c r="K2306" s="102"/>
      <c r="L2306" s="193"/>
    </row>
    <row r="2307" spans="1:12" s="388" customFormat="1" ht="18" x14ac:dyDescent="0.25">
      <c r="A2307" s="1042"/>
      <c r="B2307" s="1042"/>
      <c r="C2307" s="426" t="s">
        <v>1917</v>
      </c>
      <c r="D2307" s="402"/>
      <c r="E2307" s="125"/>
      <c r="F2307" s="125"/>
      <c r="G2307" s="381"/>
      <c r="H2307" s="101"/>
      <c r="I2307" s="101"/>
      <c r="J2307" s="101"/>
      <c r="K2307" s="102"/>
      <c r="L2307" s="207"/>
    </row>
    <row r="2308" spans="1:12" s="313" customFormat="1" ht="34.5" customHeight="1" x14ac:dyDescent="0.25">
      <c r="A2308" s="1081"/>
      <c r="B2308" s="1044"/>
      <c r="C2308" s="1622" t="s">
        <v>1918</v>
      </c>
      <c r="D2308" s="1622"/>
      <c r="E2308" s="192"/>
      <c r="F2308" s="192"/>
      <c r="G2308" s="423"/>
      <c r="H2308" s="102"/>
      <c r="I2308" s="102"/>
      <c r="J2308" s="102"/>
      <c r="K2308" s="102"/>
      <c r="L2308" s="193"/>
    </row>
    <row r="2309" spans="1:12" s="313" customFormat="1" ht="37.5" customHeight="1" x14ac:dyDescent="0.25">
      <c r="A2309" s="1081"/>
      <c r="B2309" s="1044"/>
      <c r="C2309" s="1622" t="s">
        <v>1919</v>
      </c>
      <c r="D2309" s="1622"/>
      <c r="E2309" s="192"/>
      <c r="F2309" s="192"/>
      <c r="G2309" s="423"/>
      <c r="H2309" s="102"/>
      <c r="I2309" s="102"/>
      <c r="J2309" s="102"/>
      <c r="K2309" s="102"/>
      <c r="L2309" s="193"/>
    </row>
    <row r="2310" spans="1:12" s="313" customFormat="1" ht="18" customHeight="1" x14ac:dyDescent="0.25">
      <c r="A2310" s="1081"/>
      <c r="B2310" s="1044"/>
      <c r="C2310" s="1073" t="s">
        <v>1920</v>
      </c>
      <c r="D2310" s="652"/>
      <c r="E2310" s="192"/>
      <c r="F2310" s="192"/>
      <c r="G2310" s="423"/>
      <c r="H2310" s="102"/>
      <c r="I2310" s="102"/>
      <c r="J2310" s="102"/>
      <c r="K2310" s="102"/>
      <c r="L2310" s="193"/>
    </row>
    <row r="2311" spans="1:12" s="313" customFormat="1" ht="38.25" customHeight="1" x14ac:dyDescent="0.25">
      <c r="A2311" s="1081"/>
      <c r="B2311" s="1044"/>
      <c r="C2311" s="1622" t="s">
        <v>1921</v>
      </c>
      <c r="D2311" s="1622"/>
      <c r="E2311" s="192"/>
      <c r="F2311" s="192"/>
      <c r="G2311" s="423"/>
      <c r="H2311" s="102"/>
      <c r="I2311" s="102"/>
      <c r="J2311" s="102"/>
      <c r="K2311" s="102"/>
      <c r="L2311" s="193"/>
    </row>
    <row r="2312" spans="1:12" s="313" customFormat="1" ht="18.75" customHeight="1" x14ac:dyDescent="0.25">
      <c r="A2312" s="1081" t="s">
        <v>1040</v>
      </c>
      <c r="B2312" s="1044"/>
      <c r="C2312" s="225" t="s">
        <v>1922</v>
      </c>
      <c r="D2312" s="225"/>
      <c r="E2312" s="192"/>
      <c r="F2312" s="192"/>
      <c r="G2312" s="423"/>
      <c r="H2312" s="102"/>
      <c r="I2312" s="102"/>
      <c r="J2312" s="102"/>
      <c r="K2312" s="102"/>
      <c r="L2312" s="193"/>
    </row>
    <row r="2313" spans="1:12" s="146" customFormat="1" ht="18" x14ac:dyDescent="0.25">
      <c r="A2313" s="1051"/>
      <c r="B2313" s="1041"/>
      <c r="C2313" s="404" t="s">
        <v>15</v>
      </c>
      <c r="D2313" s="573"/>
      <c r="E2313" s="113"/>
      <c r="F2313" s="113"/>
      <c r="G2313" s="100"/>
      <c r="H2313" s="119">
        <f>SUM(H2304:H2312)</f>
        <v>0</v>
      </c>
      <c r="I2313" s="119">
        <f>SUM(I2304:I2312)</f>
        <v>0</v>
      </c>
      <c r="J2313" s="119">
        <f>SUM(J2304:J2312)</f>
        <v>0</v>
      </c>
      <c r="K2313" s="150">
        <f>SUM(K2304:K2312)</f>
        <v>0</v>
      </c>
      <c r="L2313" s="10"/>
    </row>
    <row r="2314" spans="1:12" s="146" customFormat="1" ht="18.75" thickBot="1" x14ac:dyDescent="0.3">
      <c r="A2314" s="187"/>
      <c r="B2314" s="413"/>
      <c r="C2314" s="1258"/>
      <c r="D2314" s="718"/>
      <c r="E2314" s="718"/>
      <c r="F2314" s="718"/>
      <c r="G2314" s="414"/>
      <c r="H2314" s="1259"/>
      <c r="I2314" s="1259"/>
      <c r="J2314" s="1259"/>
      <c r="K2314" s="1260"/>
      <c r="L2314" s="10"/>
    </row>
    <row r="2315" spans="1:12" s="146" customFormat="1" ht="18" x14ac:dyDescent="0.25">
      <c r="A2315" s="1041"/>
      <c r="B2315" s="1041"/>
      <c r="C2315" s="170"/>
      <c r="D2315" s="113"/>
      <c r="E2315" s="113"/>
      <c r="F2315" s="113"/>
      <c r="G2315" s="381"/>
      <c r="H2315" s="141"/>
      <c r="I2315" s="141"/>
      <c r="J2315" s="141"/>
      <c r="K2315" s="122"/>
      <c r="L2315" s="10"/>
    </row>
    <row r="2316" spans="1:12" s="146" customFormat="1" ht="18" x14ac:dyDescent="0.25">
      <c r="A2316" s="1041"/>
      <c r="B2316" s="1041"/>
      <c r="C2316" s="170"/>
      <c r="D2316" s="113"/>
      <c r="E2316" s="113"/>
      <c r="F2316" s="113"/>
      <c r="G2316" s="381"/>
      <c r="H2316" s="141"/>
      <c r="I2316" s="141"/>
      <c r="J2316" s="141"/>
      <c r="K2316" s="122"/>
      <c r="L2316" s="10"/>
    </row>
    <row r="2317" spans="1:12" s="146" customFormat="1" ht="18" x14ac:dyDescent="0.25">
      <c r="A2317" s="1041"/>
      <c r="B2317" s="1041"/>
      <c r="C2317" s="170"/>
      <c r="D2317" s="113"/>
      <c r="E2317" s="113"/>
      <c r="F2317" s="113"/>
      <c r="G2317" s="381"/>
      <c r="H2317" s="141"/>
      <c r="I2317" s="141"/>
      <c r="J2317" s="141"/>
      <c r="K2317" s="122"/>
      <c r="L2317" s="10"/>
    </row>
    <row r="2318" spans="1:12" s="146" customFormat="1" ht="18" x14ac:dyDescent="0.25">
      <c r="A2318" s="1041"/>
      <c r="B2318" s="1041"/>
      <c r="C2318" s="170"/>
      <c r="D2318" s="113"/>
      <c r="E2318" s="113"/>
      <c r="F2318" s="113"/>
      <c r="G2318" s="381"/>
      <c r="H2318" s="141"/>
      <c r="I2318" s="141"/>
      <c r="J2318" s="141"/>
      <c r="K2318" s="122"/>
      <c r="L2318" s="10"/>
    </row>
    <row r="2319" spans="1:12" s="146" customFormat="1" ht="18" x14ac:dyDescent="0.25">
      <c r="A2319" s="1041"/>
      <c r="B2319" s="1041"/>
      <c r="C2319" s="170"/>
      <c r="D2319" s="113"/>
      <c r="E2319" s="113"/>
      <c r="F2319" s="113"/>
      <c r="G2319" s="381"/>
      <c r="H2319" s="141"/>
      <c r="I2319" s="141"/>
      <c r="J2319" s="141"/>
      <c r="K2319" s="122"/>
      <c r="L2319" s="10"/>
    </row>
    <row r="2320" spans="1:12" s="146" customFormat="1" ht="18" x14ac:dyDescent="0.25">
      <c r="A2320" s="1041"/>
      <c r="B2320" s="1041"/>
      <c r="C2320" s="170"/>
      <c r="D2320" s="113"/>
      <c r="E2320" s="113"/>
      <c r="F2320" s="113"/>
      <c r="G2320" s="381"/>
      <c r="H2320" s="141"/>
      <c r="I2320" s="141"/>
      <c r="J2320" s="141"/>
      <c r="K2320" s="122"/>
      <c r="L2320" s="10"/>
    </row>
    <row r="2321" spans="1:12" s="146" customFormat="1" ht="18" x14ac:dyDescent="0.25">
      <c r="A2321" s="1041"/>
      <c r="B2321" s="1041"/>
      <c r="C2321" s="170"/>
      <c r="D2321" s="113"/>
      <c r="E2321" s="113"/>
      <c r="F2321" s="113"/>
      <c r="G2321" s="381"/>
      <c r="H2321" s="141"/>
      <c r="I2321" s="141"/>
      <c r="J2321" s="141"/>
      <c r="K2321" s="122"/>
      <c r="L2321" s="10"/>
    </row>
    <row r="2322" spans="1:12" s="146" customFormat="1" ht="18" x14ac:dyDescent="0.25">
      <c r="A2322" s="1041"/>
      <c r="B2322" s="1041"/>
      <c r="C2322" s="170"/>
      <c r="D2322" s="113"/>
      <c r="E2322" s="113"/>
      <c r="F2322" s="113"/>
      <c r="G2322" s="381"/>
      <c r="H2322" s="141"/>
      <c r="I2322" s="141"/>
      <c r="J2322" s="141"/>
      <c r="K2322" s="122"/>
      <c r="L2322" s="10"/>
    </row>
    <row r="2323" spans="1:12" s="146" customFormat="1" ht="18" x14ac:dyDescent="0.25">
      <c r="A2323" s="1041"/>
      <c r="B2323" s="1041"/>
      <c r="C2323" s="170"/>
      <c r="D2323" s="113"/>
      <c r="E2323" s="113"/>
      <c r="F2323" s="113"/>
      <c r="G2323" s="381"/>
      <c r="H2323" s="141"/>
      <c r="I2323" s="141"/>
      <c r="J2323" s="141"/>
      <c r="K2323" s="122"/>
      <c r="L2323" s="10"/>
    </row>
    <row r="2324" spans="1:12" s="146" customFormat="1" ht="18" x14ac:dyDescent="0.25">
      <c r="A2324" s="1041"/>
      <c r="B2324" s="1041"/>
      <c r="C2324" s="170"/>
      <c r="D2324" s="113"/>
      <c r="E2324" s="113"/>
      <c r="F2324" s="113"/>
      <c r="G2324" s="381"/>
      <c r="H2324" s="141"/>
      <c r="I2324" s="141"/>
      <c r="J2324" s="141"/>
      <c r="K2324" s="122"/>
      <c r="L2324" s="10"/>
    </row>
    <row r="2325" spans="1:12" s="146" customFormat="1" ht="18" x14ac:dyDescent="0.25">
      <c r="A2325" s="1041"/>
      <c r="B2325" s="1041"/>
      <c r="C2325" s="170"/>
      <c r="D2325" s="113"/>
      <c r="E2325" s="113"/>
      <c r="F2325" s="113"/>
      <c r="G2325" s="381"/>
      <c r="H2325" s="141"/>
      <c r="I2325" s="141"/>
      <c r="J2325" s="141"/>
      <c r="K2325" s="122"/>
      <c r="L2325" s="10"/>
    </row>
    <row r="2326" spans="1:12" s="191" customFormat="1" ht="18" customHeight="1" x14ac:dyDescent="0.25">
      <c r="A2326" s="8" t="s">
        <v>112</v>
      </c>
      <c r="B2326" s="8"/>
      <c r="C2326" s="9"/>
      <c r="D2326" s="8"/>
      <c r="E2326" s="8"/>
      <c r="F2326" s="8"/>
      <c r="G2326" s="8"/>
      <c r="H2326" s="4"/>
      <c r="I2326" s="4"/>
      <c r="J2326" s="4"/>
      <c r="K2326" s="5"/>
      <c r="L2326" s="10"/>
    </row>
    <row r="2327" spans="1:12" ht="18" customHeight="1" x14ac:dyDescent="0.25">
      <c r="A2327" s="8" t="s">
        <v>1049</v>
      </c>
    </row>
    <row r="2328" spans="1:12" ht="18" customHeight="1" x14ac:dyDescent="0.25">
      <c r="A2328" s="1636" t="s">
        <v>113</v>
      </c>
      <c r="B2328" s="1636"/>
      <c r="C2328" s="1636"/>
      <c r="D2328" s="1636"/>
      <c r="E2328" s="1636"/>
      <c r="F2328" s="1636"/>
      <c r="G2328" s="1636"/>
      <c r="H2328" s="1636"/>
      <c r="I2328" s="1636"/>
      <c r="J2328" s="1636"/>
      <c r="K2328" s="1060"/>
    </row>
    <row r="2329" spans="1:12" s="7" customFormat="1" ht="18" customHeight="1" x14ac:dyDescent="0.25">
      <c r="A2329" s="1624" t="s">
        <v>114</v>
      </c>
      <c r="B2329" s="1624"/>
      <c r="C2329" s="1624"/>
      <c r="D2329" s="1624"/>
      <c r="E2329" s="1624"/>
      <c r="F2329" s="1624"/>
      <c r="G2329" s="1624"/>
      <c r="H2329" s="1624"/>
      <c r="I2329" s="1624"/>
      <c r="J2329" s="1624"/>
      <c r="K2329" s="159"/>
      <c r="L2329" s="6"/>
    </row>
    <row r="2330" spans="1:12" s="7" customFormat="1" ht="18" customHeight="1" x14ac:dyDescent="0.25">
      <c r="A2330" s="1066"/>
      <c r="B2330" s="1066"/>
      <c r="C2330" s="1066"/>
      <c r="D2330" s="1066"/>
      <c r="E2330" s="1066"/>
      <c r="F2330" s="1066"/>
      <c r="G2330" s="1066"/>
      <c r="H2330" s="1066"/>
      <c r="I2330" s="1066"/>
      <c r="J2330" s="1066"/>
      <c r="K2330" s="159"/>
      <c r="L2330" s="6"/>
    </row>
    <row r="2331" spans="1:12" ht="18.75" thickBot="1" x14ac:dyDescent="0.3">
      <c r="A2331" s="41"/>
      <c r="B2331" s="41"/>
      <c r="C2331" s="63"/>
      <c r="D2331" s="41"/>
      <c r="E2331" s="41"/>
      <c r="F2331" s="41"/>
      <c r="G2331" s="41"/>
    </row>
    <row r="2332" spans="1:12" s="48" customFormat="1" ht="21.75" customHeight="1" thickBot="1" x14ac:dyDescent="0.3">
      <c r="A2332" s="1655" t="s">
        <v>115</v>
      </c>
      <c r="B2332" s="1655"/>
      <c r="C2332" s="1655"/>
      <c r="D2332" s="1655"/>
      <c r="E2332" s="1655"/>
      <c r="F2332" s="1655"/>
      <c r="G2332" s="1151"/>
      <c r="H2332" s="1708" t="s">
        <v>1537</v>
      </c>
      <c r="I2332" s="1710" t="s">
        <v>1538</v>
      </c>
      <c r="J2332" s="1710" t="s">
        <v>1539</v>
      </c>
      <c r="K2332" s="1710" t="s">
        <v>1540</v>
      </c>
      <c r="L2332" s="47"/>
    </row>
    <row r="2333" spans="1:12" s="1153" customFormat="1" ht="31.5" customHeight="1" thickBot="1" x14ac:dyDescent="0.3">
      <c r="A2333" s="1655"/>
      <c r="B2333" s="1655"/>
      <c r="C2333" s="1655"/>
      <c r="D2333" s="1655"/>
      <c r="E2333" s="1655"/>
      <c r="F2333" s="1655"/>
      <c r="G2333" s="1067" t="s">
        <v>116</v>
      </c>
      <c r="H2333" s="1709"/>
      <c r="I2333" s="1710"/>
      <c r="J2333" s="1710"/>
      <c r="K2333" s="1710"/>
      <c r="L2333" s="1152"/>
    </row>
    <row r="2334" spans="1:12" s="146" customFormat="1" ht="18" x14ac:dyDescent="0.25">
      <c r="A2334" s="1051"/>
      <c r="B2334" s="1041"/>
      <c r="C2334" s="1055" t="s">
        <v>1043</v>
      </c>
      <c r="D2334" s="199"/>
      <c r="E2334" s="199"/>
      <c r="F2334" s="393"/>
      <c r="G2334" s="100"/>
      <c r="H2334" s="101"/>
      <c r="I2334" s="101"/>
      <c r="J2334" s="101"/>
      <c r="K2334" s="102"/>
      <c r="L2334" s="10"/>
    </row>
    <row r="2335" spans="1:12" s="146" customFormat="1" ht="18" customHeight="1" x14ac:dyDescent="0.25">
      <c r="A2335" s="1051"/>
      <c r="B2335" s="1041"/>
      <c r="C2335" s="1088" t="s">
        <v>1044</v>
      </c>
      <c r="D2335" s="1086"/>
      <c r="E2335" s="422"/>
      <c r="F2335" s="422"/>
      <c r="G2335" s="100"/>
      <c r="H2335" s="102"/>
      <c r="I2335" s="102"/>
      <c r="J2335" s="102"/>
      <c r="K2335" s="102"/>
      <c r="L2335" s="10"/>
    </row>
    <row r="2336" spans="1:12" s="146" customFormat="1" ht="18" customHeight="1" x14ac:dyDescent="0.25">
      <c r="A2336" s="1051" t="s">
        <v>1040</v>
      </c>
      <c r="B2336" s="1041"/>
      <c r="C2336" s="1088" t="s">
        <v>1045</v>
      </c>
      <c r="D2336" s="199"/>
      <c r="E2336" s="184"/>
      <c r="F2336" s="184"/>
      <c r="G2336" s="100"/>
      <c r="H2336" s="102"/>
      <c r="I2336" s="102"/>
      <c r="J2336" s="102"/>
      <c r="K2336" s="102"/>
      <c r="L2336" s="10"/>
    </row>
    <row r="2337" spans="1:12" s="146" customFormat="1" ht="18" customHeight="1" x14ac:dyDescent="0.25">
      <c r="A2337" s="1051"/>
      <c r="B2337" s="1041"/>
      <c r="C2337" s="1088" t="s">
        <v>1046</v>
      </c>
      <c r="D2337" s="1086"/>
      <c r="E2337" s="422"/>
      <c r="F2337" s="422"/>
      <c r="G2337" s="100"/>
      <c r="H2337" s="102"/>
      <c r="I2337" s="102"/>
      <c r="J2337" s="102"/>
      <c r="K2337" s="102"/>
      <c r="L2337" s="10"/>
    </row>
    <row r="2338" spans="1:12" s="146" customFormat="1" ht="18" customHeight="1" x14ac:dyDescent="0.25">
      <c r="A2338" s="1051"/>
      <c r="B2338" s="1041"/>
      <c r="C2338" s="1088" t="s">
        <v>1923</v>
      </c>
      <c r="D2338" s="1086"/>
      <c r="E2338" s="422"/>
      <c r="F2338" s="422"/>
      <c r="G2338" s="100"/>
      <c r="H2338" s="102"/>
      <c r="I2338" s="102"/>
      <c r="J2338" s="102"/>
      <c r="K2338" s="102"/>
      <c r="L2338" s="10"/>
    </row>
    <row r="2339" spans="1:12" s="146" customFormat="1" ht="18" customHeight="1" x14ac:dyDescent="0.25">
      <c r="A2339" s="1051"/>
      <c r="B2339" s="1041"/>
      <c r="C2339" s="1088" t="s">
        <v>1047</v>
      </c>
      <c r="D2339" s="199"/>
      <c r="E2339" s="184"/>
      <c r="F2339" s="184"/>
      <c r="G2339" s="100"/>
      <c r="H2339" s="102"/>
      <c r="I2339" s="102"/>
      <c r="J2339" s="102"/>
      <c r="K2339" s="102"/>
      <c r="L2339" s="10"/>
    </row>
    <row r="2340" spans="1:12" s="146" customFormat="1" ht="18" customHeight="1" x14ac:dyDescent="0.25">
      <c r="A2340" s="1051"/>
      <c r="B2340" s="1041"/>
      <c r="C2340" s="1088" t="s">
        <v>1048</v>
      </c>
      <c r="D2340" s="199"/>
      <c r="E2340" s="184"/>
      <c r="F2340" s="184"/>
      <c r="G2340" s="100"/>
      <c r="H2340" s="106"/>
      <c r="I2340" s="106"/>
      <c r="J2340" s="106"/>
      <c r="K2340" s="106"/>
      <c r="L2340" s="10"/>
    </row>
    <row r="2341" spans="1:12" s="146" customFormat="1" ht="18.75" thickBot="1" x14ac:dyDescent="0.3">
      <c r="A2341" s="1051"/>
      <c r="B2341" s="1041"/>
      <c r="C2341" s="404" t="s">
        <v>15</v>
      </c>
      <c r="E2341" s="113"/>
      <c r="F2341" s="114"/>
      <c r="G2341" s="308"/>
      <c r="H2341" s="182">
        <f>SUM(H2335:H2340)</f>
        <v>0</v>
      </c>
      <c r="I2341" s="182">
        <f>SUM(I2335:I2340)</f>
        <v>0</v>
      </c>
      <c r="J2341" s="182">
        <f>SUM(J2335:J2340)</f>
        <v>0</v>
      </c>
      <c r="K2341" s="183">
        <f>SUM(K2335:K2340)</f>
        <v>0</v>
      </c>
      <c r="L2341" s="10"/>
    </row>
    <row r="2342" spans="1:12" s="146" customFormat="1" ht="18" x14ac:dyDescent="0.25">
      <c r="A2342" s="1051"/>
      <c r="B2342" s="1041"/>
      <c r="C2342" s="170"/>
      <c r="D2342" s="113"/>
      <c r="E2342" s="113"/>
      <c r="F2342" s="114"/>
      <c r="G2342" s="100"/>
      <c r="H2342" s="101"/>
      <c r="I2342" s="101"/>
      <c r="J2342" s="101"/>
      <c r="K2342" s="102"/>
      <c r="L2342" s="10"/>
    </row>
    <row r="2343" spans="1:12" s="146" customFormat="1" ht="18" x14ac:dyDescent="0.25">
      <c r="A2343" s="1051"/>
      <c r="B2343" s="1041"/>
      <c r="C2343" s="1055" t="s">
        <v>1050</v>
      </c>
      <c r="D2343" s="199"/>
      <c r="E2343" s="199"/>
      <c r="F2343" s="393"/>
      <c r="G2343" s="100"/>
      <c r="H2343" s="101"/>
      <c r="I2343" s="101"/>
      <c r="J2343" s="101"/>
      <c r="K2343" s="102"/>
      <c r="L2343" s="10"/>
    </row>
    <row r="2344" spans="1:12" s="146" customFormat="1" ht="18" x14ac:dyDescent="0.25">
      <c r="A2344" s="1051"/>
      <c r="B2344" s="1041"/>
      <c r="C2344" s="1088" t="s">
        <v>1628</v>
      </c>
      <c r="D2344" s="199"/>
      <c r="E2344" s="199"/>
      <c r="F2344" s="393"/>
      <c r="G2344" s="100"/>
      <c r="H2344" s="101"/>
      <c r="I2344" s="101"/>
      <c r="J2344" s="101"/>
      <c r="K2344" s="102"/>
      <c r="L2344" s="10"/>
    </row>
    <row r="2345" spans="1:12" s="146" customFormat="1" ht="18" x14ac:dyDescent="0.25">
      <c r="A2345" s="1051"/>
      <c r="B2345" s="1041"/>
      <c r="C2345" s="38" t="s">
        <v>1924</v>
      </c>
      <c r="D2345" s="198"/>
      <c r="E2345" s="198"/>
      <c r="F2345" s="1039"/>
      <c r="G2345" s="100"/>
      <c r="H2345" s="101"/>
      <c r="I2345" s="101"/>
      <c r="J2345" s="101"/>
      <c r="K2345" s="102"/>
      <c r="L2345" s="10"/>
    </row>
    <row r="2346" spans="1:12" s="146" customFormat="1" ht="18" x14ac:dyDescent="0.25">
      <c r="A2346" s="1051"/>
      <c r="B2346" s="1041"/>
      <c r="C2346" s="38" t="s">
        <v>1052</v>
      </c>
      <c r="D2346" s="3"/>
      <c r="E2346" s="199"/>
      <c r="F2346" s="1039"/>
      <c r="G2346" s="100"/>
      <c r="H2346" s="101"/>
      <c r="I2346" s="101"/>
      <c r="J2346" s="101"/>
      <c r="K2346" s="102"/>
      <c r="L2346" s="10"/>
    </row>
    <row r="2347" spans="1:12" s="146" customFormat="1" ht="18" x14ac:dyDescent="0.25">
      <c r="A2347" s="1051"/>
      <c r="B2347" s="1041"/>
      <c r="C2347" s="38" t="s">
        <v>1053</v>
      </c>
      <c r="D2347" s="3"/>
      <c r="E2347" s="199"/>
      <c r="F2347" s="1039"/>
      <c r="G2347" s="100"/>
      <c r="H2347" s="101"/>
      <c r="I2347" s="101"/>
      <c r="J2347" s="101"/>
      <c r="K2347" s="102"/>
      <c r="L2347" s="10"/>
    </row>
    <row r="2348" spans="1:12" s="146" customFormat="1" ht="18" x14ac:dyDescent="0.25">
      <c r="A2348" s="1051"/>
      <c r="B2348" s="1041"/>
      <c r="C2348" s="1088" t="s">
        <v>1054</v>
      </c>
      <c r="D2348" s="3"/>
      <c r="E2348" s="199"/>
      <c r="F2348" s="1039"/>
      <c r="G2348" s="100"/>
      <c r="H2348" s="101"/>
      <c r="I2348" s="101"/>
      <c r="J2348" s="101"/>
      <c r="K2348" s="102"/>
      <c r="L2348" s="10"/>
    </row>
    <row r="2349" spans="1:12" s="146" customFormat="1" ht="18" x14ac:dyDescent="0.25">
      <c r="A2349" s="1051"/>
      <c r="B2349" s="1041"/>
      <c r="C2349" s="1088" t="s">
        <v>1055</v>
      </c>
      <c r="D2349" s="3"/>
      <c r="E2349" s="199"/>
      <c r="F2349" s="1039"/>
      <c r="G2349" s="100"/>
      <c r="H2349" s="101"/>
      <c r="I2349" s="101"/>
      <c r="J2349" s="101"/>
      <c r="K2349" s="102"/>
      <c r="L2349" s="10"/>
    </row>
    <row r="2350" spans="1:12" s="146" customFormat="1" ht="52.5" customHeight="1" x14ac:dyDescent="0.25">
      <c r="A2350" s="1051"/>
      <c r="B2350" s="1041"/>
      <c r="C2350" s="1634" t="s">
        <v>1925</v>
      </c>
      <c r="D2350" s="1634"/>
      <c r="E2350" s="428"/>
      <c r="F2350" s="1039"/>
      <c r="G2350" s="100"/>
      <c r="H2350" s="101"/>
      <c r="I2350" s="101"/>
      <c r="J2350" s="101"/>
      <c r="K2350" s="102"/>
      <c r="L2350" s="10"/>
    </row>
    <row r="2351" spans="1:12" s="146" customFormat="1" ht="18" x14ac:dyDescent="0.25">
      <c r="A2351" s="1051"/>
      <c r="B2351" s="1041"/>
      <c r="C2351" s="180" t="s">
        <v>1926</v>
      </c>
      <c r="D2351" s="225"/>
      <c r="E2351" s="225"/>
      <c r="F2351" s="1039"/>
      <c r="G2351" s="100"/>
      <c r="H2351" s="101"/>
      <c r="I2351" s="101"/>
      <c r="J2351" s="101"/>
      <c r="K2351" s="102"/>
      <c r="L2351" s="10"/>
    </row>
    <row r="2352" spans="1:12" s="146" customFormat="1" ht="18" x14ac:dyDescent="0.25">
      <c r="A2352" s="1051"/>
      <c r="B2352" s="1041"/>
      <c r="C2352" s="1639" t="s">
        <v>1927</v>
      </c>
      <c r="D2352" s="1639"/>
      <c r="E2352" s="1639"/>
      <c r="F2352" s="1039"/>
      <c r="G2352" s="100"/>
      <c r="H2352" s="101"/>
      <c r="I2352" s="101"/>
      <c r="J2352" s="101"/>
      <c r="K2352" s="102"/>
      <c r="L2352" s="10"/>
    </row>
    <row r="2353" spans="1:12" s="146" customFormat="1" ht="18" x14ac:dyDescent="0.25">
      <c r="A2353" s="1051"/>
      <c r="B2353" s="1041"/>
      <c r="C2353" s="1646" t="s">
        <v>1928</v>
      </c>
      <c r="D2353" s="1646"/>
      <c r="E2353" s="44"/>
      <c r="F2353" s="1046"/>
      <c r="G2353" s="205"/>
      <c r="H2353" s="102"/>
      <c r="I2353" s="102"/>
      <c r="J2353" s="102"/>
      <c r="K2353" s="102"/>
      <c r="L2353" s="10"/>
    </row>
    <row r="2354" spans="1:12" s="146" customFormat="1" ht="18.75" customHeight="1" x14ac:dyDescent="0.25">
      <c r="A2354" s="1051"/>
      <c r="B2354" s="1041"/>
      <c r="C2354" s="1628" t="s">
        <v>742</v>
      </c>
      <c r="D2354" s="1628"/>
      <c r="E2354" s="1628"/>
      <c r="F2354" s="1647"/>
      <c r="G2354" s="205"/>
      <c r="H2354" s="106"/>
      <c r="I2354" s="106"/>
      <c r="J2354" s="106"/>
      <c r="K2354" s="106"/>
      <c r="L2354" s="10"/>
    </row>
    <row r="2355" spans="1:12" s="146" customFormat="1" ht="18" x14ac:dyDescent="0.25">
      <c r="A2355" s="1051"/>
      <c r="B2355" s="1041"/>
      <c r="C2355" s="404" t="s">
        <v>15</v>
      </c>
      <c r="E2355" s="1041"/>
      <c r="F2355" s="1039"/>
      <c r="G2355" s="100"/>
      <c r="H2355" s="119">
        <f>SUM(H2344:H2354)</f>
        <v>0</v>
      </c>
      <c r="I2355" s="119">
        <f>SUM(I2344:I2354)</f>
        <v>0</v>
      </c>
      <c r="J2355" s="119">
        <f>SUM(J2344:J2354)</f>
        <v>0</v>
      </c>
      <c r="K2355" s="150">
        <f>SUM(K2344:K2354)</f>
        <v>0</v>
      </c>
      <c r="L2355" s="10"/>
    </row>
    <row r="2356" spans="1:12" s="146" customFormat="1" ht="18" x14ac:dyDescent="0.25">
      <c r="A2356" s="1051"/>
      <c r="B2356" s="1041"/>
      <c r="C2356" s="170"/>
      <c r="D2356" s="113"/>
      <c r="E2356" s="113"/>
      <c r="F2356" s="113"/>
      <c r="G2356" s="100"/>
      <c r="H2356" s="101"/>
      <c r="I2356" s="101"/>
      <c r="J2356" s="101"/>
      <c r="K2356" s="102"/>
      <c r="L2356" s="10"/>
    </row>
    <row r="2357" spans="1:12" ht="18" x14ac:dyDescent="0.25">
      <c r="A2357" s="1051"/>
      <c r="B2357" s="1041"/>
      <c r="C2357" s="1055" t="s">
        <v>1061</v>
      </c>
      <c r="D2357" s="199"/>
      <c r="E2357" s="199"/>
      <c r="F2357" s="393"/>
      <c r="G2357" s="100"/>
      <c r="H2357" s="101"/>
      <c r="I2357" s="101"/>
      <c r="J2357" s="101"/>
      <c r="K2357" s="102"/>
    </row>
    <row r="2358" spans="1:12" ht="18" x14ac:dyDescent="0.25">
      <c r="A2358" s="1051"/>
      <c r="B2358" s="1041"/>
      <c r="C2358" s="1634" t="s">
        <v>1062</v>
      </c>
      <c r="D2358" s="1634"/>
      <c r="E2358" s="199"/>
      <c r="F2358" s="393"/>
      <c r="G2358" s="195"/>
      <c r="H2358" s="101"/>
      <c r="I2358" s="101"/>
      <c r="J2358" s="101"/>
      <c r="K2358" s="102"/>
    </row>
    <row r="2359" spans="1:12" ht="55.5" customHeight="1" x14ac:dyDescent="0.25">
      <c r="A2359" s="1051"/>
      <c r="B2359" s="1041"/>
      <c r="C2359" s="1634" t="s">
        <v>1063</v>
      </c>
      <c r="D2359" s="1634"/>
      <c r="E2359" s="199"/>
      <c r="F2359" s="393"/>
      <c r="G2359" s="195"/>
      <c r="H2359" s="101"/>
      <c r="I2359" s="101"/>
      <c r="J2359" s="101"/>
      <c r="K2359" s="102"/>
    </row>
    <row r="2360" spans="1:12" ht="36" customHeight="1" x14ac:dyDescent="0.25">
      <c r="A2360" s="1051"/>
      <c r="B2360" s="1041"/>
      <c r="C2360" s="1634" t="s">
        <v>1064</v>
      </c>
      <c r="D2360" s="1634"/>
      <c r="E2360" s="199"/>
      <c r="F2360" s="393"/>
      <c r="G2360" s="195"/>
      <c r="H2360" s="101"/>
      <c r="I2360" s="101"/>
      <c r="J2360" s="101"/>
      <c r="K2360" s="102"/>
    </row>
    <row r="2361" spans="1:12" ht="18" x14ac:dyDescent="0.25">
      <c r="A2361" s="1051"/>
      <c r="B2361" s="1041"/>
      <c r="C2361" s="427" t="s">
        <v>1066</v>
      </c>
      <c r="D2361" s="427"/>
      <c r="E2361" s="199"/>
      <c r="F2361" s="393"/>
      <c r="G2361" s="195"/>
      <c r="H2361" s="101"/>
      <c r="I2361" s="101"/>
      <c r="J2361" s="101"/>
      <c r="K2361" s="102"/>
    </row>
    <row r="2362" spans="1:12" ht="18" x14ac:dyDescent="0.25">
      <c r="A2362" s="1051"/>
      <c r="B2362" s="1041"/>
      <c r="C2362" s="427" t="s">
        <v>1070</v>
      </c>
      <c r="D2362" s="427"/>
      <c r="E2362" s="199"/>
      <c r="F2362" s="393"/>
      <c r="G2362" s="195"/>
      <c r="H2362" s="101"/>
      <c r="I2362" s="101"/>
      <c r="J2362" s="101"/>
      <c r="K2362" s="102"/>
    </row>
    <row r="2363" spans="1:12" ht="104.25" customHeight="1" x14ac:dyDescent="0.25">
      <c r="A2363" s="1051"/>
      <c r="B2363" s="1041"/>
      <c r="C2363" s="1651" t="s">
        <v>1929</v>
      </c>
      <c r="D2363" s="1651"/>
      <c r="E2363" s="199"/>
      <c r="F2363" s="393"/>
      <c r="G2363" s="195"/>
      <c r="H2363" s="101"/>
      <c r="I2363" s="101"/>
      <c r="J2363" s="101"/>
      <c r="K2363" s="102"/>
    </row>
    <row r="2364" spans="1:12" ht="34.5" customHeight="1" x14ac:dyDescent="0.25">
      <c r="A2364" s="1051"/>
      <c r="B2364" s="1041"/>
      <c r="C2364" s="1617" t="s">
        <v>1930</v>
      </c>
      <c r="D2364" s="1617"/>
      <c r="E2364" s="199"/>
      <c r="F2364" s="393"/>
      <c r="G2364" s="195"/>
      <c r="H2364" s="101"/>
      <c r="I2364" s="101"/>
      <c r="J2364" s="101"/>
      <c r="K2364" s="102"/>
    </row>
    <row r="2365" spans="1:12" ht="18" x14ac:dyDescent="0.25">
      <c r="A2365" s="1051"/>
      <c r="B2365" s="1041"/>
      <c r="C2365" s="38" t="s">
        <v>1065</v>
      </c>
      <c r="D2365" s="199"/>
      <c r="E2365" s="1041"/>
      <c r="F2365" s="1039"/>
      <c r="G2365" s="195"/>
      <c r="H2365" s="101"/>
      <c r="I2365" s="101"/>
      <c r="J2365" s="101"/>
      <c r="K2365" s="102"/>
    </row>
    <row r="2366" spans="1:12" s="146" customFormat="1" ht="18" x14ac:dyDescent="0.25">
      <c r="A2366" s="1051"/>
      <c r="B2366" s="1041"/>
      <c r="C2366" s="38" t="s">
        <v>1068</v>
      </c>
      <c r="D2366" s="199"/>
      <c r="E2366" s="1041"/>
      <c r="F2366" s="1039"/>
      <c r="G2366" s="195"/>
      <c r="H2366" s="101"/>
      <c r="I2366" s="101"/>
      <c r="J2366" s="101"/>
      <c r="K2366" s="102"/>
      <c r="L2366" s="10"/>
    </row>
    <row r="2367" spans="1:12" s="146" customFormat="1" ht="18" x14ac:dyDescent="0.25">
      <c r="A2367" s="1051"/>
      <c r="B2367" s="1041"/>
      <c r="C2367" s="38" t="s">
        <v>1069</v>
      </c>
      <c r="D2367" s="199"/>
      <c r="E2367" s="1041"/>
      <c r="F2367" s="1039"/>
      <c r="G2367" s="195"/>
      <c r="H2367" s="101"/>
      <c r="I2367" s="101"/>
      <c r="J2367" s="101"/>
      <c r="K2367" s="102"/>
      <c r="L2367" s="10"/>
    </row>
    <row r="2368" spans="1:12" s="146" customFormat="1" ht="18" x14ac:dyDescent="0.25">
      <c r="A2368" s="1051"/>
      <c r="B2368" s="1041"/>
      <c r="C2368" s="1611" t="s">
        <v>1071</v>
      </c>
      <c r="D2368" s="1611"/>
      <c r="E2368" s="1611"/>
      <c r="F2368" s="1602"/>
      <c r="G2368" s="195"/>
      <c r="H2368" s="101"/>
      <c r="I2368" s="101"/>
      <c r="J2368" s="101"/>
      <c r="K2368" s="102"/>
      <c r="L2368" s="10"/>
    </row>
    <row r="2369" spans="1:12" s="146" customFormat="1" ht="90.75" customHeight="1" x14ac:dyDescent="0.25">
      <c r="A2369" s="1051"/>
      <c r="B2369" s="1041"/>
      <c r="C2369" s="1622" t="s">
        <v>1931</v>
      </c>
      <c r="D2369" s="1622"/>
      <c r="E2369" s="1041"/>
      <c r="F2369" s="1039"/>
      <c r="G2369" s="100"/>
      <c r="H2369" s="101"/>
      <c r="I2369" s="101"/>
      <c r="J2369" s="101"/>
      <c r="K2369" s="102"/>
      <c r="L2369" s="10"/>
    </row>
    <row r="2370" spans="1:12" s="146" customFormat="1" ht="18" customHeight="1" x14ac:dyDescent="0.25">
      <c r="A2370" s="1051"/>
      <c r="B2370" s="1041"/>
      <c r="C2370" s="429" t="s">
        <v>1074</v>
      </c>
      <c r="D2370" s="1074"/>
      <c r="E2370" s="1074"/>
      <c r="F2370" s="1039"/>
      <c r="G2370" s="100"/>
      <c r="H2370" s="101"/>
      <c r="I2370" s="101"/>
      <c r="J2370" s="101"/>
      <c r="K2370" s="102"/>
      <c r="L2370" s="10"/>
    </row>
    <row r="2371" spans="1:12" s="146" customFormat="1" ht="18" customHeight="1" x14ac:dyDescent="0.25">
      <c r="A2371" s="1051"/>
      <c r="B2371" s="1041"/>
      <c r="C2371" s="429" t="s">
        <v>1075</v>
      </c>
      <c r="D2371" s="1074"/>
      <c r="E2371" s="1074"/>
      <c r="F2371" s="1039"/>
      <c r="G2371" s="100"/>
      <c r="H2371" s="101"/>
      <c r="I2371" s="101"/>
      <c r="J2371" s="101"/>
      <c r="K2371" s="102"/>
      <c r="L2371" s="10"/>
    </row>
    <row r="2372" spans="1:12" s="146" customFormat="1" ht="18" customHeight="1" x14ac:dyDescent="0.25">
      <c r="A2372" s="1051"/>
      <c r="B2372" s="1041"/>
      <c r="C2372" s="429" t="s">
        <v>1077</v>
      </c>
      <c r="D2372" s="1074"/>
      <c r="E2372" s="1074"/>
      <c r="F2372" s="1076"/>
      <c r="G2372" s="100"/>
      <c r="H2372" s="101"/>
      <c r="I2372" s="101"/>
      <c r="J2372" s="101"/>
      <c r="K2372" s="102"/>
      <c r="L2372" s="10"/>
    </row>
    <row r="2373" spans="1:12" s="146" customFormat="1" ht="18" customHeight="1" x14ac:dyDescent="0.25">
      <c r="A2373" s="1051"/>
      <c r="B2373" s="1041"/>
      <c r="C2373" s="1634" t="s">
        <v>1932</v>
      </c>
      <c r="D2373" s="1634"/>
      <c r="E2373" s="1074"/>
      <c r="F2373" s="1076"/>
      <c r="G2373" s="100"/>
      <c r="H2373" s="101"/>
      <c r="I2373" s="101"/>
      <c r="J2373" s="101"/>
      <c r="K2373" s="102"/>
      <c r="L2373" s="10"/>
    </row>
    <row r="2374" spans="1:12" s="146" customFormat="1" ht="18" customHeight="1" x14ac:dyDescent="0.25">
      <c r="A2374" s="1051"/>
      <c r="B2374" s="1041"/>
      <c r="C2374" s="429" t="s">
        <v>1078</v>
      </c>
      <c r="D2374" s="1074"/>
      <c r="E2374" s="1074"/>
      <c r="F2374" s="1076"/>
      <c r="G2374" s="100"/>
      <c r="H2374" s="102"/>
      <c r="I2374" s="102"/>
      <c r="J2374" s="102"/>
      <c r="K2374" s="102"/>
      <c r="L2374" s="10"/>
    </row>
    <row r="2375" spans="1:12" s="146" customFormat="1" ht="18" customHeight="1" x14ac:dyDescent="0.25">
      <c r="A2375" s="1051"/>
      <c r="B2375" s="1041"/>
      <c r="C2375" s="429" t="s">
        <v>1079</v>
      </c>
      <c r="D2375" s="1074"/>
      <c r="E2375" s="1074"/>
      <c r="F2375" s="1076"/>
      <c r="G2375" s="100"/>
      <c r="H2375" s="101"/>
      <c r="I2375" s="101"/>
      <c r="J2375" s="101"/>
      <c r="K2375" s="102"/>
      <c r="L2375" s="10"/>
    </row>
    <row r="2376" spans="1:12" s="146" customFormat="1" ht="35.25" customHeight="1" x14ac:dyDescent="0.25">
      <c r="A2376" s="1051"/>
      <c r="B2376" s="1041"/>
      <c r="C2376" s="1637" t="s">
        <v>1080</v>
      </c>
      <c r="D2376" s="1637"/>
      <c r="E2376" s="1074"/>
      <c r="F2376" s="1076"/>
      <c r="G2376" s="100"/>
      <c r="H2376" s="101"/>
      <c r="I2376" s="101"/>
      <c r="J2376" s="101"/>
      <c r="K2376" s="102"/>
      <c r="L2376" s="10"/>
    </row>
    <row r="2377" spans="1:12" s="146" customFormat="1" ht="18" x14ac:dyDescent="0.25">
      <c r="A2377" s="1051"/>
      <c r="B2377" s="1041"/>
      <c r="C2377" s="153" t="s">
        <v>15</v>
      </c>
      <c r="E2377" s="1041"/>
      <c r="F2377" s="1039"/>
      <c r="G2377" s="100"/>
      <c r="H2377" s="1158">
        <f>SUM(H2358:H2376)</f>
        <v>0</v>
      </c>
      <c r="I2377" s="1158">
        <f>SUM(I2358:I2376)</f>
        <v>0</v>
      </c>
      <c r="J2377" s="1158">
        <f>SUM(J2358:J2376)</f>
        <v>0</v>
      </c>
      <c r="K2377" s="1157">
        <f>SUM(K2358:K2376)</f>
        <v>0</v>
      </c>
      <c r="L2377" s="10"/>
    </row>
    <row r="2378" spans="1:12" s="146" customFormat="1" ht="17.45" customHeight="1" x14ac:dyDescent="0.25">
      <c r="A2378" s="1051"/>
      <c r="B2378" s="1041"/>
      <c r="C2378" s="652"/>
      <c r="D2378" s="1044"/>
      <c r="E2378" s="1041"/>
      <c r="F2378" s="1041"/>
      <c r="G2378" s="381"/>
      <c r="H2378" s="101"/>
      <c r="I2378" s="101"/>
      <c r="J2378" s="101"/>
      <c r="K2378" s="102"/>
      <c r="L2378" s="10"/>
    </row>
    <row r="2379" spans="1:12" s="146" customFormat="1" ht="17.45" customHeight="1" x14ac:dyDescent="0.25">
      <c r="A2379" s="1051"/>
      <c r="B2379" s="1041"/>
      <c r="C2379" s="652"/>
      <c r="D2379" s="1044"/>
      <c r="E2379" s="1041"/>
      <c r="F2379" s="1041"/>
      <c r="G2379" s="381"/>
      <c r="H2379" s="101"/>
      <c r="I2379" s="101"/>
      <c r="J2379" s="101"/>
      <c r="K2379" s="102"/>
      <c r="L2379" s="10"/>
    </row>
    <row r="2380" spans="1:12" s="146" customFormat="1" ht="17.45" customHeight="1" thickBot="1" x14ac:dyDescent="0.3">
      <c r="A2380" s="187"/>
      <c r="B2380" s="413"/>
      <c r="C2380" s="999"/>
      <c r="D2380" s="1261"/>
      <c r="E2380" s="413"/>
      <c r="F2380" s="413"/>
      <c r="G2380" s="414"/>
      <c r="H2380" s="219"/>
      <c r="I2380" s="219"/>
      <c r="J2380" s="219"/>
      <c r="K2380" s="220"/>
      <c r="L2380" s="10"/>
    </row>
    <row r="2381" spans="1:12" s="146" customFormat="1" ht="17.45" customHeight="1" x14ac:dyDescent="0.25">
      <c r="A2381" s="1041"/>
      <c r="B2381" s="1041"/>
      <c r="C2381" s="652"/>
      <c r="D2381" s="1044"/>
      <c r="E2381" s="1041"/>
      <c r="F2381" s="1041"/>
      <c r="G2381" s="381"/>
      <c r="H2381" s="141"/>
      <c r="I2381" s="141"/>
      <c r="J2381" s="141"/>
      <c r="K2381" s="122"/>
      <c r="L2381" s="10"/>
    </row>
    <row r="2382" spans="1:12" s="146" customFormat="1" ht="17.45" customHeight="1" x14ac:dyDescent="0.25">
      <c r="A2382" s="1041"/>
      <c r="B2382" s="1041"/>
      <c r="C2382" s="652"/>
      <c r="D2382" s="1044"/>
      <c r="E2382" s="1041"/>
      <c r="F2382" s="1041"/>
      <c r="G2382" s="381"/>
      <c r="H2382" s="141"/>
      <c r="I2382" s="141"/>
      <c r="J2382" s="141"/>
      <c r="K2382" s="122"/>
      <c r="L2382" s="10"/>
    </row>
    <row r="2383" spans="1:12" s="146" customFormat="1" ht="17.45" customHeight="1" x14ac:dyDescent="0.25">
      <c r="A2383" s="1041"/>
      <c r="B2383" s="1041"/>
      <c r="C2383" s="652"/>
      <c r="D2383" s="1044"/>
      <c r="E2383" s="1041"/>
      <c r="F2383" s="1041"/>
      <c r="G2383" s="381"/>
      <c r="H2383" s="141"/>
      <c r="I2383" s="141"/>
      <c r="J2383" s="141"/>
      <c r="K2383" s="122"/>
      <c r="L2383" s="10"/>
    </row>
    <row r="2384" spans="1:12" ht="18" customHeight="1" x14ac:dyDescent="0.25">
      <c r="A2384" s="8" t="s">
        <v>112</v>
      </c>
    </row>
    <row r="2385" spans="1:12" ht="18" customHeight="1" x14ac:dyDescent="0.25">
      <c r="A2385" s="8" t="s">
        <v>1098</v>
      </c>
    </row>
    <row r="2386" spans="1:12" ht="18" customHeight="1" x14ac:dyDescent="0.25">
      <c r="A2386" s="1636" t="s">
        <v>113</v>
      </c>
      <c r="B2386" s="1636"/>
      <c r="C2386" s="1636"/>
      <c r="D2386" s="1636"/>
      <c r="E2386" s="1636"/>
      <c r="F2386" s="1636"/>
      <c r="G2386" s="1636"/>
      <c r="H2386" s="1636"/>
      <c r="I2386" s="1636"/>
      <c r="J2386" s="1636"/>
      <c r="K2386" s="1060"/>
    </row>
    <row r="2387" spans="1:12" s="7" customFormat="1" ht="18" customHeight="1" x14ac:dyDescent="0.25">
      <c r="A2387" s="1624" t="s">
        <v>114</v>
      </c>
      <c r="B2387" s="1624"/>
      <c r="C2387" s="1624"/>
      <c r="D2387" s="1624"/>
      <c r="E2387" s="1624"/>
      <c r="F2387" s="1624"/>
      <c r="G2387" s="1624"/>
      <c r="H2387" s="1624"/>
      <c r="I2387" s="1624"/>
      <c r="J2387" s="1624"/>
      <c r="K2387" s="159"/>
      <c r="L2387" s="6"/>
    </row>
    <row r="2388" spans="1:12" s="7" customFormat="1" ht="12" customHeight="1" x14ac:dyDescent="0.25">
      <c r="A2388" s="1066"/>
      <c r="B2388" s="1066"/>
      <c r="C2388" s="1066"/>
      <c r="D2388" s="1066"/>
      <c r="E2388" s="1066"/>
      <c r="F2388" s="1066"/>
      <c r="G2388" s="1066"/>
      <c r="H2388" s="1066"/>
      <c r="I2388" s="1066"/>
      <c r="J2388" s="1066"/>
      <c r="K2388" s="159"/>
      <c r="L2388" s="6"/>
    </row>
    <row r="2389" spans="1:12" ht="12" customHeight="1" thickBot="1" x14ac:dyDescent="0.3">
      <c r="A2389" s="41"/>
      <c r="B2389" s="41"/>
      <c r="C2389" s="63"/>
      <c r="D2389" s="41"/>
      <c r="E2389" s="41"/>
      <c r="F2389" s="41"/>
      <c r="G2389" s="41"/>
    </row>
    <row r="2390" spans="1:12" s="48" customFormat="1" ht="21.75" customHeight="1" thickBot="1" x14ac:dyDescent="0.3">
      <c r="A2390" s="1655" t="s">
        <v>115</v>
      </c>
      <c r="B2390" s="1655"/>
      <c r="C2390" s="1655"/>
      <c r="D2390" s="1655"/>
      <c r="E2390" s="1655"/>
      <c r="F2390" s="1655"/>
      <c r="G2390" s="1151"/>
      <c r="H2390" s="1708" t="s">
        <v>1537</v>
      </c>
      <c r="I2390" s="1710" t="s">
        <v>1538</v>
      </c>
      <c r="J2390" s="1710" t="s">
        <v>1539</v>
      </c>
      <c r="K2390" s="1710" t="s">
        <v>1540</v>
      </c>
      <c r="L2390" s="47"/>
    </row>
    <row r="2391" spans="1:12" s="1153" customFormat="1" ht="31.5" customHeight="1" thickBot="1" x14ac:dyDescent="0.3">
      <c r="A2391" s="1655"/>
      <c r="B2391" s="1655"/>
      <c r="C2391" s="1655"/>
      <c r="D2391" s="1655"/>
      <c r="E2391" s="1655"/>
      <c r="F2391" s="1655"/>
      <c r="G2391" s="1067" t="s">
        <v>116</v>
      </c>
      <c r="H2391" s="1709"/>
      <c r="I2391" s="1710"/>
      <c r="J2391" s="1710"/>
      <c r="K2391" s="1710"/>
      <c r="L2391" s="1152"/>
    </row>
    <row r="2392" spans="1:12" ht="18" x14ac:dyDescent="0.25">
      <c r="A2392" s="1051"/>
      <c r="B2392" s="1041"/>
      <c r="C2392" s="1055" t="s">
        <v>1360</v>
      </c>
      <c r="D2392" s="199"/>
      <c r="E2392" s="199"/>
      <c r="F2392" s="393"/>
      <c r="G2392" s="100"/>
      <c r="H2392" s="101"/>
      <c r="I2392" s="101"/>
      <c r="J2392" s="101"/>
      <c r="K2392" s="102"/>
    </row>
    <row r="2393" spans="1:12" ht="21.75" customHeight="1" x14ac:dyDescent="0.25">
      <c r="A2393" s="1051"/>
      <c r="B2393" s="1041"/>
      <c r="C2393" s="1622" t="s">
        <v>1933</v>
      </c>
      <c r="D2393" s="1622"/>
      <c r="E2393" s="199"/>
      <c r="F2393" s="393"/>
      <c r="G2393" s="100"/>
      <c r="H2393" s="101"/>
      <c r="I2393" s="101"/>
      <c r="J2393" s="101"/>
      <c r="K2393" s="102"/>
    </row>
    <row r="2394" spans="1:12" ht="18" x14ac:dyDescent="0.25">
      <c r="A2394" s="1051"/>
      <c r="B2394" s="1041"/>
      <c r="C2394" s="271" t="s">
        <v>1934</v>
      </c>
      <c r="D2394" s="199"/>
      <c r="E2394" s="199"/>
      <c r="F2394" s="393"/>
      <c r="G2394" s="100"/>
      <c r="H2394" s="101"/>
      <c r="I2394" s="101"/>
      <c r="J2394" s="101"/>
      <c r="K2394" s="102"/>
    </row>
    <row r="2395" spans="1:12" s="146" customFormat="1" ht="18" x14ac:dyDescent="0.25">
      <c r="A2395" s="1051"/>
      <c r="B2395" s="1041"/>
      <c r="C2395" s="36" t="s">
        <v>1093</v>
      </c>
      <c r="D2395" s="199"/>
      <c r="E2395" s="199"/>
      <c r="F2395" s="1039"/>
      <c r="G2395" s="100"/>
      <c r="H2395" s="101"/>
      <c r="I2395" s="101"/>
      <c r="J2395" s="101"/>
      <c r="K2395" s="102"/>
      <c r="L2395" s="10"/>
    </row>
    <row r="2396" spans="1:12" s="146" customFormat="1" ht="17.45" customHeight="1" x14ac:dyDescent="0.25">
      <c r="A2396" s="1051"/>
      <c r="B2396" s="1041"/>
      <c r="C2396" s="38" t="s">
        <v>1094</v>
      </c>
      <c r="D2396" s="199"/>
      <c r="E2396" s="199"/>
      <c r="F2396" s="1039"/>
      <c r="G2396" s="100"/>
      <c r="H2396" s="101"/>
      <c r="I2396" s="101"/>
      <c r="J2396" s="101"/>
      <c r="K2396" s="102"/>
      <c r="L2396" s="10"/>
    </row>
    <row r="2397" spans="1:12" s="146" customFormat="1" ht="17.45" customHeight="1" x14ac:dyDescent="0.25">
      <c r="A2397" s="1051"/>
      <c r="B2397" s="1041"/>
      <c r="C2397" s="38" t="s">
        <v>1095</v>
      </c>
      <c r="D2397" s="199"/>
      <c r="E2397" s="199"/>
      <c r="F2397" s="1039"/>
      <c r="G2397" s="100"/>
      <c r="H2397" s="101"/>
      <c r="I2397" s="101"/>
      <c r="J2397" s="101"/>
      <c r="K2397" s="102"/>
      <c r="L2397" s="10"/>
    </row>
    <row r="2398" spans="1:12" s="146" customFormat="1" ht="36.75" customHeight="1" x14ac:dyDescent="0.25">
      <c r="A2398" s="1051"/>
      <c r="B2398" s="1041"/>
      <c r="C2398" s="1623" t="s">
        <v>1096</v>
      </c>
      <c r="D2398" s="1623"/>
      <c r="E2398" s="199"/>
      <c r="F2398" s="1039"/>
      <c r="G2398" s="100"/>
      <c r="H2398" s="101"/>
      <c r="I2398" s="101"/>
      <c r="J2398" s="101"/>
      <c r="K2398" s="102"/>
      <c r="L2398" s="10"/>
    </row>
    <row r="2399" spans="1:12" s="146" customFormat="1" ht="17.45" customHeight="1" x14ac:dyDescent="0.25">
      <c r="A2399" s="1051"/>
      <c r="B2399" s="1041"/>
      <c r="C2399" s="38" t="s">
        <v>1097</v>
      </c>
      <c r="D2399" s="199"/>
      <c r="E2399" s="199"/>
      <c r="F2399" s="1039"/>
      <c r="G2399" s="195"/>
      <c r="H2399" s="101"/>
      <c r="I2399" s="101"/>
      <c r="J2399" s="101"/>
      <c r="K2399" s="102"/>
      <c r="L2399" s="10"/>
    </row>
    <row r="2400" spans="1:12" s="146" customFormat="1" ht="17.45" customHeight="1" x14ac:dyDescent="0.25">
      <c r="A2400" s="1051"/>
      <c r="B2400" s="1041"/>
      <c r="C2400" s="38" t="s">
        <v>1099</v>
      </c>
      <c r="D2400" s="199"/>
      <c r="E2400" s="199"/>
      <c r="F2400" s="1039"/>
      <c r="G2400" s="100"/>
      <c r="H2400" s="101"/>
      <c r="I2400" s="101"/>
      <c r="J2400" s="101"/>
      <c r="K2400" s="102"/>
      <c r="L2400" s="10"/>
    </row>
    <row r="2401" spans="1:12" s="146" customFormat="1" ht="36" customHeight="1" x14ac:dyDescent="0.25">
      <c r="A2401" s="1051"/>
      <c r="B2401" s="1041"/>
      <c r="C2401" s="1623" t="s">
        <v>1100</v>
      </c>
      <c r="D2401" s="1623"/>
      <c r="E2401" s="199"/>
      <c r="F2401" s="1039"/>
      <c r="G2401" s="100"/>
      <c r="H2401" s="101"/>
      <c r="I2401" s="101"/>
      <c r="J2401" s="101"/>
      <c r="K2401" s="102"/>
      <c r="L2401" s="10"/>
    </row>
    <row r="2402" spans="1:12" s="146" customFormat="1" ht="18" x14ac:dyDescent="0.25">
      <c r="A2402" s="1051"/>
      <c r="B2402" s="1041"/>
      <c r="C2402" s="38" t="s">
        <v>1101</v>
      </c>
      <c r="D2402" s="199"/>
      <c r="E2402" s="199"/>
      <c r="F2402" s="1039"/>
      <c r="G2402" s="100"/>
      <c r="H2402" s="101"/>
      <c r="I2402" s="101"/>
      <c r="J2402" s="101"/>
      <c r="K2402" s="102"/>
      <c r="L2402" s="10"/>
    </row>
    <row r="2403" spans="1:12" s="146" customFormat="1" ht="35.25" customHeight="1" x14ac:dyDescent="0.25">
      <c r="A2403" s="1051"/>
      <c r="B2403" s="1041"/>
      <c r="C2403" s="1623" t="s">
        <v>1102</v>
      </c>
      <c r="D2403" s="1623"/>
      <c r="E2403" s="199"/>
      <c r="F2403" s="1039"/>
      <c r="G2403" s="100"/>
      <c r="H2403" s="101"/>
      <c r="I2403" s="101"/>
      <c r="J2403" s="101"/>
      <c r="K2403" s="102"/>
      <c r="L2403" s="10"/>
    </row>
    <row r="2404" spans="1:12" s="146" customFormat="1" ht="36.75" customHeight="1" x14ac:dyDescent="0.25">
      <c r="A2404" s="1051"/>
      <c r="B2404" s="1041"/>
      <c r="C2404" s="1623" t="s">
        <v>1103</v>
      </c>
      <c r="D2404" s="1623"/>
      <c r="E2404" s="199"/>
      <c r="F2404" s="1039"/>
      <c r="G2404" s="100"/>
      <c r="H2404" s="101"/>
      <c r="I2404" s="101"/>
      <c r="J2404" s="101"/>
      <c r="K2404" s="102"/>
      <c r="L2404" s="10"/>
    </row>
    <row r="2405" spans="1:12" s="146" customFormat="1" ht="18" x14ac:dyDescent="0.25">
      <c r="A2405" s="1051"/>
      <c r="B2405" s="1041"/>
      <c r="C2405" s="38" t="s">
        <v>1104</v>
      </c>
      <c r="D2405" s="199"/>
      <c r="E2405" s="199"/>
      <c r="F2405" s="1039"/>
      <c r="G2405" s="100"/>
      <c r="H2405" s="101"/>
      <c r="I2405" s="101"/>
      <c r="J2405" s="101"/>
      <c r="K2405" s="102"/>
      <c r="L2405" s="10"/>
    </row>
    <row r="2406" spans="1:12" s="146" customFormat="1" ht="18" x14ac:dyDescent="0.25">
      <c r="A2406" s="1051"/>
      <c r="B2406" s="1041"/>
      <c r="C2406" s="38" t="s">
        <v>1105</v>
      </c>
      <c r="D2406" s="199"/>
      <c r="E2406" s="199"/>
      <c r="F2406" s="1039"/>
      <c r="G2406" s="100"/>
      <c r="H2406" s="101"/>
      <c r="I2406" s="101"/>
      <c r="J2406" s="101"/>
      <c r="K2406" s="102"/>
      <c r="L2406" s="10"/>
    </row>
    <row r="2407" spans="1:12" s="146" customFormat="1" ht="18" x14ac:dyDescent="0.25">
      <c r="A2407" s="1051"/>
      <c r="B2407" s="1041"/>
      <c r="C2407" s="36" t="s">
        <v>1106</v>
      </c>
      <c r="D2407" s="199"/>
      <c r="E2407" s="199"/>
      <c r="F2407" s="1039"/>
      <c r="G2407" s="100"/>
      <c r="H2407" s="101"/>
      <c r="I2407" s="101"/>
      <c r="J2407" s="101"/>
      <c r="K2407" s="102"/>
      <c r="L2407" s="10"/>
    </row>
    <row r="2408" spans="1:12" s="146" customFormat="1" ht="17.45" customHeight="1" x14ac:dyDescent="0.25">
      <c r="A2408" s="1051"/>
      <c r="B2408" s="1041"/>
      <c r="C2408" s="38" t="s">
        <v>1107</v>
      </c>
      <c r="D2408" s="199"/>
      <c r="E2408" s="199"/>
      <c r="F2408" s="1039"/>
      <c r="G2408" s="100"/>
      <c r="H2408" s="101"/>
      <c r="I2408" s="101"/>
      <c r="J2408" s="101"/>
      <c r="K2408" s="102"/>
      <c r="L2408" s="10"/>
    </row>
    <row r="2409" spans="1:12" s="146" customFormat="1" ht="17.45" customHeight="1" x14ac:dyDescent="0.25">
      <c r="A2409" s="1051"/>
      <c r="B2409" s="1041"/>
      <c r="C2409" s="38" t="s">
        <v>1108</v>
      </c>
      <c r="D2409" s="199"/>
      <c r="E2409" s="199"/>
      <c r="F2409" s="1039"/>
      <c r="G2409" s="100"/>
      <c r="H2409" s="101"/>
      <c r="I2409" s="101"/>
      <c r="J2409" s="101"/>
      <c r="K2409" s="102"/>
      <c r="L2409" s="10"/>
    </row>
    <row r="2410" spans="1:12" s="146" customFormat="1" ht="17.45" customHeight="1" x14ac:dyDescent="0.25">
      <c r="A2410" s="1051"/>
      <c r="B2410" s="1041"/>
      <c r="C2410" s="38" t="s">
        <v>1109</v>
      </c>
      <c r="D2410" s="199"/>
      <c r="E2410" s="199"/>
      <c r="F2410" s="1039"/>
      <c r="G2410" s="716"/>
      <c r="H2410" s="101"/>
      <c r="I2410" s="101"/>
      <c r="J2410" s="101"/>
      <c r="K2410" s="102"/>
      <c r="L2410" s="10"/>
    </row>
    <row r="2411" spans="1:12" s="146" customFormat="1" ht="17.45" customHeight="1" x14ac:dyDescent="0.25">
      <c r="A2411" s="1051"/>
      <c r="B2411" s="1041"/>
      <c r="C2411" s="38" t="s">
        <v>1110</v>
      </c>
      <c r="D2411" s="199"/>
      <c r="E2411" s="199"/>
      <c r="F2411" s="1039"/>
      <c r="G2411" s="716"/>
      <c r="H2411" s="101"/>
      <c r="I2411" s="101"/>
      <c r="J2411" s="101"/>
      <c r="K2411" s="102"/>
      <c r="L2411" s="10"/>
    </row>
    <row r="2412" spans="1:12" s="146" customFormat="1" ht="17.45" customHeight="1" x14ac:dyDescent="0.25">
      <c r="A2412" s="1051"/>
      <c r="B2412" s="1041"/>
      <c r="C2412" s="38" t="s">
        <v>1935</v>
      </c>
      <c r="D2412" s="199"/>
      <c r="E2412" s="199"/>
      <c r="F2412" s="1039"/>
      <c r="G2412" s="716"/>
      <c r="H2412" s="101"/>
      <c r="I2412" s="101"/>
      <c r="J2412" s="101"/>
      <c r="K2412" s="102"/>
      <c r="L2412" s="10"/>
    </row>
    <row r="2413" spans="1:12" s="146" customFormat="1" ht="17.45" customHeight="1" x14ac:dyDescent="0.25">
      <c r="A2413" s="1051"/>
      <c r="B2413" s="1041"/>
      <c r="C2413" s="38" t="s">
        <v>1111</v>
      </c>
      <c r="D2413" s="199"/>
      <c r="E2413" s="199"/>
      <c r="F2413" s="1039"/>
      <c r="G2413" s="716"/>
      <c r="H2413" s="101"/>
      <c r="I2413" s="101"/>
      <c r="J2413" s="101"/>
      <c r="K2413" s="102"/>
      <c r="L2413" s="10"/>
    </row>
    <row r="2414" spans="1:12" s="146" customFormat="1" ht="17.45" customHeight="1" x14ac:dyDescent="0.25">
      <c r="A2414" s="1051"/>
      <c r="B2414" s="1041"/>
      <c r="C2414" s="38" t="s">
        <v>1112</v>
      </c>
      <c r="D2414" s="199"/>
      <c r="E2414" s="199"/>
      <c r="F2414" s="1039"/>
      <c r="G2414" s="716"/>
      <c r="H2414" s="101"/>
      <c r="I2414" s="101"/>
      <c r="J2414" s="101"/>
      <c r="K2414" s="102"/>
      <c r="L2414" s="10"/>
    </row>
    <row r="2415" spans="1:12" s="146" customFormat="1" ht="17.45" customHeight="1" x14ac:dyDescent="0.25">
      <c r="A2415" s="1051"/>
      <c r="B2415" s="1041"/>
      <c r="C2415" s="38" t="s">
        <v>1113</v>
      </c>
      <c r="D2415" s="199"/>
      <c r="E2415" s="199"/>
      <c r="F2415" s="1039"/>
      <c r="G2415" s="716"/>
      <c r="H2415" s="101"/>
      <c r="I2415" s="101"/>
      <c r="J2415" s="101"/>
      <c r="K2415" s="102"/>
      <c r="L2415" s="10"/>
    </row>
    <row r="2416" spans="1:12" s="146" customFormat="1" ht="17.45" customHeight="1" x14ac:dyDescent="0.25">
      <c r="A2416" s="1051"/>
      <c r="B2416" s="1041"/>
      <c r="C2416" s="38" t="s">
        <v>1114</v>
      </c>
      <c r="D2416" s="199"/>
      <c r="E2416" s="199"/>
      <c r="F2416" s="1039"/>
      <c r="G2416" s="716"/>
      <c r="H2416" s="101"/>
      <c r="I2416" s="101"/>
      <c r="J2416" s="101"/>
      <c r="K2416" s="102"/>
      <c r="L2416" s="10"/>
    </row>
    <row r="2417" spans="1:12" s="146" customFormat="1" ht="17.45" customHeight="1" x14ac:dyDescent="0.25">
      <c r="A2417" s="1051"/>
      <c r="B2417" s="1041"/>
      <c r="C2417" s="38" t="s">
        <v>1115</v>
      </c>
      <c r="D2417" s="199"/>
      <c r="E2417" s="199"/>
      <c r="F2417" s="1039"/>
      <c r="G2417" s="716"/>
      <c r="H2417" s="101"/>
      <c r="I2417" s="101"/>
      <c r="J2417" s="101"/>
      <c r="K2417" s="102"/>
      <c r="L2417" s="10"/>
    </row>
    <row r="2418" spans="1:12" s="146" customFormat="1" ht="17.45" customHeight="1" x14ac:dyDescent="0.25">
      <c r="A2418" s="1051"/>
      <c r="B2418" s="1041"/>
      <c r="C2418" s="38" t="s">
        <v>1116</v>
      </c>
      <c r="D2418" s="199"/>
      <c r="E2418" s="199"/>
      <c r="F2418" s="1039"/>
      <c r="G2418" s="716"/>
      <c r="H2418" s="101"/>
      <c r="I2418" s="101"/>
      <c r="J2418" s="101"/>
      <c r="K2418" s="102"/>
      <c r="L2418" s="10"/>
    </row>
    <row r="2419" spans="1:12" s="146" customFormat="1" ht="17.100000000000001" customHeight="1" x14ac:dyDescent="0.25">
      <c r="A2419" s="1051"/>
      <c r="B2419" s="1041"/>
      <c r="C2419" s="153" t="s">
        <v>15</v>
      </c>
      <c r="D2419" s="573"/>
      <c r="E2419" s="1041"/>
      <c r="F2419" s="1039"/>
      <c r="G2419" s="716"/>
      <c r="H2419" s="119">
        <f>SUM(H2393:H2418)</f>
        <v>0</v>
      </c>
      <c r="I2419" s="119">
        <f>SUM(I2393:I2418)</f>
        <v>0</v>
      </c>
      <c r="J2419" s="119">
        <f>SUM(J2393:J2418)</f>
        <v>0</v>
      </c>
      <c r="K2419" s="150">
        <f>SUM(K2393:K2418)</f>
        <v>0</v>
      </c>
      <c r="L2419" s="10"/>
    </row>
    <row r="2420" spans="1:12" s="146" customFormat="1" ht="11.25" customHeight="1" x14ac:dyDescent="0.25">
      <c r="A2420" s="1051"/>
      <c r="B2420" s="1041"/>
      <c r="C2420" s="153"/>
      <c r="D2420" s="573"/>
      <c r="E2420" s="1041"/>
      <c r="F2420" s="1041"/>
      <c r="G2420" s="381"/>
      <c r="H2420" s="1157"/>
      <c r="I2420" s="1157"/>
      <c r="J2420" s="1157"/>
      <c r="K2420" s="1157"/>
      <c r="L2420" s="10"/>
    </row>
    <row r="2421" spans="1:12" s="146" customFormat="1" ht="17.100000000000001" customHeight="1" x14ac:dyDescent="0.25">
      <c r="A2421" s="1051"/>
      <c r="B2421" s="1041"/>
      <c r="C2421" s="1058" t="s">
        <v>33</v>
      </c>
      <c r="D2421" s="153"/>
      <c r="E2421" s="1041"/>
      <c r="F2421" s="1039"/>
      <c r="G2421" s="716"/>
      <c r="H2421" s="155"/>
      <c r="I2421" s="155"/>
      <c r="J2421" s="155"/>
      <c r="K2421" s="156"/>
      <c r="L2421" s="10"/>
    </row>
    <row r="2422" spans="1:12" s="203" customFormat="1" ht="38.25" customHeight="1" x14ac:dyDescent="0.25">
      <c r="A2422" s="1051"/>
      <c r="B2422" s="1041"/>
      <c r="C2422" s="1628" t="s">
        <v>1117</v>
      </c>
      <c r="D2422" s="1628"/>
      <c r="E2422" s="1041"/>
      <c r="F2422" s="1039"/>
      <c r="G2422" s="716"/>
      <c r="H2422" s="101"/>
      <c r="I2422" s="101"/>
      <c r="J2422" s="101"/>
      <c r="K2422" s="102"/>
      <c r="L2422" s="10"/>
    </row>
    <row r="2423" spans="1:12" s="203" customFormat="1" ht="36" customHeight="1" x14ac:dyDescent="0.25">
      <c r="A2423" s="1051"/>
      <c r="B2423" s="1041"/>
      <c r="C2423" s="1574" t="s">
        <v>1118</v>
      </c>
      <c r="D2423" s="1574"/>
      <c r="E2423" s="1041"/>
      <c r="F2423" s="1039"/>
      <c r="G2423" s="100"/>
      <c r="H2423" s="101"/>
      <c r="I2423" s="101"/>
      <c r="J2423" s="101"/>
      <c r="K2423" s="102"/>
      <c r="L2423" s="10"/>
    </row>
    <row r="2424" spans="1:12" s="146" customFormat="1" ht="18" x14ac:dyDescent="0.25">
      <c r="A2424" s="1051"/>
      <c r="B2424" s="1041"/>
      <c r="C2424" s="1062" t="s">
        <v>1119</v>
      </c>
      <c r="D2424" s="153"/>
      <c r="E2424" s="1041"/>
      <c r="F2424" s="1039"/>
      <c r="G2424" s="100"/>
      <c r="H2424" s="106"/>
      <c r="I2424" s="106"/>
      <c r="J2424" s="106"/>
      <c r="K2424" s="106"/>
      <c r="L2424" s="10"/>
    </row>
    <row r="2425" spans="1:12" s="146" customFormat="1" ht="17.100000000000001" customHeight="1" x14ac:dyDescent="0.25">
      <c r="A2425" s="1051"/>
      <c r="B2425" s="1041"/>
      <c r="C2425" s="153" t="s">
        <v>15</v>
      </c>
      <c r="D2425" s="573"/>
      <c r="E2425" s="1041"/>
      <c r="F2425" s="1039"/>
      <c r="G2425" s="716"/>
      <c r="H2425" s="156">
        <f>SUM(H2422:H2424)</f>
        <v>0</v>
      </c>
      <c r="I2425" s="156">
        <f>SUM(I2422:I2424)</f>
        <v>0</v>
      </c>
      <c r="J2425" s="156">
        <f>SUM(J2422:J2424)</f>
        <v>0</v>
      </c>
      <c r="K2425" s="156">
        <f>SUM(K2422:K2424)</f>
        <v>0</v>
      </c>
      <c r="L2425" s="10"/>
    </row>
    <row r="2426" spans="1:12" s="146" customFormat="1" ht="11.25" customHeight="1" x14ac:dyDescent="0.25">
      <c r="A2426" s="1051"/>
      <c r="B2426" s="1041"/>
      <c r="C2426" s="153"/>
      <c r="D2426" s="573"/>
      <c r="E2426" s="1041"/>
      <c r="F2426" s="1039"/>
      <c r="G2426" s="716"/>
      <c r="H2426" s="156"/>
      <c r="I2426" s="156"/>
      <c r="J2426" s="156"/>
      <c r="K2426" s="156"/>
      <c r="L2426" s="10"/>
    </row>
    <row r="2427" spans="1:12" s="146" customFormat="1" ht="18" x14ac:dyDescent="0.25">
      <c r="A2427" s="1051"/>
      <c r="B2427" s="1041"/>
      <c r="C2427" s="1055" t="s">
        <v>1120</v>
      </c>
      <c r="D2427" s="199"/>
      <c r="E2427" s="199"/>
      <c r="F2427" s="432"/>
      <c r="G2427" s="100"/>
      <c r="H2427" s="101"/>
      <c r="I2427" s="101"/>
      <c r="J2427" s="101"/>
      <c r="K2427" s="102"/>
      <c r="L2427" s="10"/>
    </row>
    <row r="2428" spans="1:12" s="146" customFormat="1" ht="18" x14ac:dyDescent="0.25">
      <c r="A2428" s="1051"/>
      <c r="B2428" s="1041"/>
      <c r="C2428" s="36" t="s">
        <v>1121</v>
      </c>
      <c r="D2428" s="1086"/>
      <c r="E2428" s="1041"/>
      <c r="F2428" s="1039"/>
      <c r="G2428" s="100"/>
      <c r="H2428" s="101"/>
      <c r="I2428" s="101"/>
      <c r="J2428" s="101"/>
      <c r="K2428" s="102"/>
      <c r="L2428" s="10"/>
    </row>
    <row r="2429" spans="1:12" s="146" customFormat="1" ht="17.45" customHeight="1" x14ac:dyDescent="0.25">
      <c r="A2429" s="1051"/>
      <c r="B2429" s="1041"/>
      <c r="C2429" s="1088" t="s">
        <v>1936</v>
      </c>
      <c r="D2429" s="3"/>
      <c r="E2429" s="1041"/>
      <c r="F2429" s="1039"/>
      <c r="G2429" s="100"/>
      <c r="H2429" s="101"/>
      <c r="I2429" s="101"/>
      <c r="J2429" s="101"/>
      <c r="K2429" s="102"/>
      <c r="L2429" s="10"/>
    </row>
    <row r="2430" spans="1:12" s="146" customFormat="1" ht="17.45" customHeight="1" x14ac:dyDescent="0.25">
      <c r="A2430" s="1051"/>
      <c r="B2430" s="1041"/>
      <c r="C2430" s="1088" t="s">
        <v>1937</v>
      </c>
      <c r="D2430" s="3"/>
      <c r="E2430" s="1041"/>
      <c r="F2430" s="1039"/>
      <c r="G2430" s="100"/>
      <c r="H2430" s="101"/>
      <c r="I2430" s="101"/>
      <c r="J2430" s="101"/>
      <c r="K2430" s="102"/>
      <c r="L2430" s="10"/>
    </row>
    <row r="2431" spans="1:12" s="146" customFormat="1" ht="17.45" customHeight="1" x14ac:dyDescent="0.25">
      <c r="A2431" s="1051"/>
      <c r="B2431" s="1041"/>
      <c r="C2431" s="1088" t="s">
        <v>1938</v>
      </c>
      <c r="D2431" s="3"/>
      <c r="E2431" s="1041"/>
      <c r="F2431" s="1039"/>
      <c r="G2431" s="100"/>
      <c r="H2431" s="101"/>
      <c r="I2431" s="101"/>
      <c r="J2431" s="101"/>
      <c r="K2431" s="102"/>
      <c r="L2431" s="10"/>
    </row>
    <row r="2432" spans="1:12" s="146" customFormat="1" ht="17.45" customHeight="1" x14ac:dyDescent="0.25">
      <c r="A2432" s="1051"/>
      <c r="B2432" s="1041"/>
      <c r="C2432" s="1088" t="s">
        <v>1939</v>
      </c>
      <c r="D2432" s="3"/>
      <c r="E2432" s="1041"/>
      <c r="F2432" s="1039"/>
      <c r="G2432" s="100"/>
      <c r="H2432" s="101"/>
      <c r="I2432" s="101"/>
      <c r="J2432" s="101"/>
      <c r="K2432" s="102"/>
      <c r="L2432" s="10"/>
    </row>
    <row r="2433" spans="1:12" s="146" customFormat="1" ht="17.45" customHeight="1" x14ac:dyDescent="0.25">
      <c r="A2433" s="1051"/>
      <c r="B2433" s="1041"/>
      <c r="C2433" s="1088" t="s">
        <v>1940</v>
      </c>
      <c r="D2433" s="125"/>
      <c r="E2433" s="1041"/>
      <c r="F2433" s="1039"/>
      <c r="G2433" s="100"/>
      <c r="H2433" s="101"/>
      <c r="I2433" s="101"/>
      <c r="J2433" s="101"/>
      <c r="K2433" s="102"/>
      <c r="L2433" s="10"/>
    </row>
    <row r="2434" spans="1:12" s="146" customFormat="1" ht="17.45" customHeight="1" x14ac:dyDescent="0.25">
      <c r="A2434" s="1051"/>
      <c r="B2434" s="1041"/>
      <c r="C2434" s="1088" t="s">
        <v>1941</v>
      </c>
      <c r="D2434" s="44"/>
      <c r="E2434" s="1041"/>
      <c r="F2434" s="1039"/>
      <c r="G2434" s="100"/>
      <c r="H2434" s="101"/>
      <c r="I2434" s="101"/>
      <c r="J2434" s="101"/>
      <c r="K2434" s="102"/>
      <c r="L2434" s="10"/>
    </row>
    <row r="2435" spans="1:12" s="146" customFormat="1" ht="17.45" customHeight="1" x14ac:dyDescent="0.25">
      <c r="A2435" s="1051"/>
      <c r="B2435" s="1041"/>
      <c r="C2435" s="1088" t="s">
        <v>1942</v>
      </c>
      <c r="D2435" s="125"/>
      <c r="E2435" s="1041"/>
      <c r="F2435" s="1039"/>
      <c r="G2435" s="100"/>
      <c r="H2435" s="101"/>
      <c r="I2435" s="101"/>
      <c r="J2435" s="101"/>
      <c r="K2435" s="102"/>
      <c r="L2435" s="10"/>
    </row>
    <row r="2436" spans="1:12" s="146" customFormat="1" ht="17.45" customHeight="1" x14ac:dyDescent="0.25">
      <c r="A2436" s="1051"/>
      <c r="B2436" s="1041"/>
      <c r="C2436" s="1088" t="s">
        <v>1943</v>
      </c>
      <c r="D2436" s="125"/>
      <c r="E2436" s="1041"/>
      <c r="F2436" s="1039"/>
      <c r="G2436" s="100"/>
      <c r="H2436" s="101"/>
      <c r="I2436" s="101"/>
      <c r="J2436" s="101"/>
      <c r="K2436" s="102"/>
      <c r="L2436" s="10"/>
    </row>
    <row r="2437" spans="1:12" s="146" customFormat="1" ht="18" x14ac:dyDescent="0.25">
      <c r="A2437" s="1051"/>
      <c r="B2437" s="1041"/>
      <c r="C2437" s="36" t="s">
        <v>1138</v>
      </c>
      <c r="D2437" s="1086"/>
      <c r="E2437" s="1041"/>
      <c r="F2437" s="1039"/>
      <c r="G2437" s="100"/>
      <c r="H2437" s="101"/>
      <c r="I2437" s="101"/>
      <c r="J2437" s="101"/>
      <c r="K2437" s="102"/>
      <c r="L2437" s="10"/>
    </row>
    <row r="2438" spans="1:12" s="146" customFormat="1" ht="18" x14ac:dyDescent="0.25">
      <c r="A2438" s="1051"/>
      <c r="B2438" s="1041"/>
      <c r="C2438" s="38" t="s">
        <v>1944</v>
      </c>
      <c r="D2438" s="1086"/>
      <c r="E2438" s="1041"/>
      <c r="F2438" s="1039"/>
      <c r="G2438" s="100"/>
      <c r="H2438" s="101"/>
      <c r="I2438" s="101"/>
      <c r="J2438" s="101"/>
      <c r="K2438" s="102"/>
      <c r="L2438" s="10"/>
    </row>
    <row r="2439" spans="1:12" s="146" customFormat="1" ht="36" customHeight="1" x14ac:dyDescent="0.25">
      <c r="A2439" s="1051"/>
      <c r="B2439" s="1041"/>
      <c r="C2439" s="1623" t="s">
        <v>1945</v>
      </c>
      <c r="D2439" s="1623"/>
      <c r="E2439" s="1041"/>
      <c r="F2439" s="1039"/>
      <c r="G2439" s="100"/>
      <c r="H2439" s="101"/>
      <c r="I2439" s="101"/>
      <c r="J2439" s="101"/>
      <c r="K2439" s="102"/>
      <c r="L2439" s="10"/>
    </row>
    <row r="2440" spans="1:12" s="146" customFormat="1" ht="18" x14ac:dyDescent="0.25">
      <c r="A2440" s="1051"/>
      <c r="B2440" s="1041"/>
      <c r="C2440" s="1088" t="s">
        <v>1946</v>
      </c>
      <c r="D2440" s="3"/>
      <c r="E2440" s="1041"/>
      <c r="F2440" s="1039"/>
      <c r="G2440" s="100"/>
      <c r="H2440" s="101"/>
      <c r="I2440" s="101"/>
      <c r="J2440" s="101"/>
      <c r="K2440" s="102"/>
      <c r="L2440" s="10"/>
    </row>
    <row r="2441" spans="1:12" s="146" customFormat="1" ht="18" x14ac:dyDescent="0.25">
      <c r="A2441" s="1051"/>
      <c r="B2441" s="1041"/>
      <c r="C2441" s="1088" t="s">
        <v>1947</v>
      </c>
      <c r="D2441" s="3"/>
      <c r="E2441" s="1041"/>
      <c r="F2441" s="1039"/>
      <c r="G2441" s="100"/>
      <c r="H2441" s="101"/>
      <c r="I2441" s="101"/>
      <c r="J2441" s="101"/>
      <c r="K2441" s="102"/>
      <c r="L2441" s="10"/>
    </row>
    <row r="2442" spans="1:12" s="146" customFormat="1" ht="18" x14ac:dyDescent="0.25">
      <c r="A2442" s="1051"/>
      <c r="B2442" s="1041"/>
      <c r="C2442" s="1088" t="s">
        <v>1948</v>
      </c>
      <c r="D2442" s="3"/>
      <c r="E2442" s="1041"/>
      <c r="F2442" s="1039"/>
      <c r="G2442" s="100"/>
      <c r="H2442" s="101"/>
      <c r="I2442" s="101"/>
      <c r="J2442" s="101"/>
      <c r="K2442" s="102"/>
      <c r="L2442" s="10"/>
    </row>
    <row r="2443" spans="1:12" s="146" customFormat="1" ht="18" x14ac:dyDescent="0.25">
      <c r="A2443" s="1051"/>
      <c r="B2443" s="1041"/>
      <c r="C2443" s="1639" t="s">
        <v>1949</v>
      </c>
      <c r="D2443" s="1639"/>
      <c r="E2443" s="1639"/>
      <c r="F2443" s="1640"/>
      <c r="G2443" s="100"/>
      <c r="H2443" s="101"/>
      <c r="I2443" s="101"/>
      <c r="J2443" s="101"/>
      <c r="K2443" s="102"/>
      <c r="L2443" s="10"/>
    </row>
    <row r="2444" spans="1:12" s="146" customFormat="1" ht="18" x14ac:dyDescent="0.25">
      <c r="A2444" s="1051"/>
      <c r="B2444" s="1041"/>
      <c r="C2444" s="1088" t="s">
        <v>1950</v>
      </c>
      <c r="D2444" s="125"/>
      <c r="E2444" s="1041"/>
      <c r="F2444" s="1039"/>
      <c r="G2444" s="100"/>
      <c r="H2444" s="101"/>
      <c r="I2444" s="101"/>
      <c r="J2444" s="101"/>
      <c r="K2444" s="102"/>
      <c r="L2444" s="10"/>
    </row>
    <row r="2445" spans="1:12" s="146" customFormat="1" ht="18" x14ac:dyDescent="0.25">
      <c r="A2445" s="1051"/>
      <c r="B2445" s="1041"/>
      <c r="C2445" s="1088" t="s">
        <v>1951</v>
      </c>
      <c r="D2445" s="125"/>
      <c r="E2445" s="1041"/>
      <c r="F2445" s="1039"/>
      <c r="G2445" s="100"/>
      <c r="H2445" s="101"/>
      <c r="I2445" s="101"/>
      <c r="J2445" s="101"/>
      <c r="K2445" s="102"/>
      <c r="L2445" s="10"/>
    </row>
    <row r="2446" spans="1:12" ht="18" x14ac:dyDescent="0.25">
      <c r="A2446" s="1051"/>
      <c r="B2446" s="1041"/>
      <c r="C2446" s="38" t="s">
        <v>1152</v>
      </c>
      <c r="D2446" s="199"/>
      <c r="E2446" s="1041"/>
      <c r="F2446" s="1039"/>
      <c r="G2446" s="100"/>
      <c r="H2446" s="101"/>
      <c r="I2446" s="101"/>
      <c r="J2446" s="101"/>
      <c r="K2446" s="102"/>
    </row>
    <row r="2447" spans="1:12" ht="18" x14ac:dyDescent="0.25">
      <c r="A2447" s="1051"/>
      <c r="B2447" s="1041"/>
      <c r="C2447" s="38" t="s">
        <v>1952</v>
      </c>
      <c r="D2447" s="199"/>
      <c r="E2447" s="1041"/>
      <c r="F2447" s="1039"/>
      <c r="G2447" s="100"/>
      <c r="H2447" s="101"/>
      <c r="I2447" s="101"/>
      <c r="J2447" s="101"/>
      <c r="K2447" s="102"/>
    </row>
    <row r="2448" spans="1:12" s="191" customFormat="1" ht="18" x14ac:dyDescent="0.25">
      <c r="A2448" s="433"/>
      <c r="B2448" s="435"/>
      <c r="C2448" s="240" t="s">
        <v>1153</v>
      </c>
      <c r="D2448" s="434"/>
      <c r="E2448" s="435"/>
      <c r="F2448" s="436"/>
      <c r="G2448" s="437"/>
      <c r="H2448" s="438"/>
      <c r="I2448" s="438"/>
      <c r="J2448" s="438"/>
      <c r="K2448" s="439"/>
      <c r="L2448" s="10"/>
    </row>
    <row r="2449" spans="1:12" s="191" customFormat="1" ht="18" x14ac:dyDescent="0.25">
      <c r="A2449" s="433"/>
      <c r="B2449" s="435"/>
      <c r="C2449" s="240" t="s">
        <v>1154</v>
      </c>
      <c r="D2449" s="434"/>
      <c r="E2449" s="435"/>
      <c r="F2449" s="436"/>
      <c r="G2449" s="437"/>
      <c r="H2449" s="438"/>
      <c r="I2449" s="438"/>
      <c r="J2449" s="438"/>
      <c r="K2449" s="439"/>
      <c r="L2449" s="10"/>
    </row>
    <row r="2450" spans="1:12" s="191" customFormat="1" ht="18" x14ac:dyDescent="0.25">
      <c r="A2450" s="433"/>
      <c r="B2450" s="435"/>
      <c r="C2450" s="240" t="s">
        <v>1155</v>
      </c>
      <c r="D2450" s="434"/>
      <c r="E2450" s="435"/>
      <c r="F2450" s="436"/>
      <c r="G2450" s="437"/>
      <c r="H2450" s="440"/>
      <c r="I2450" s="440"/>
      <c r="J2450" s="440"/>
      <c r="K2450" s="441"/>
      <c r="L2450" s="10"/>
    </row>
    <row r="2451" spans="1:12" ht="18.75" thickBot="1" x14ac:dyDescent="0.3">
      <c r="A2451" s="187"/>
      <c r="B2451" s="413"/>
      <c r="C2451" s="420" t="s">
        <v>15</v>
      </c>
      <c r="D2451" s="556"/>
      <c r="E2451" s="413"/>
      <c r="F2451" s="431"/>
      <c r="G2451" s="308"/>
      <c r="H2451" s="123">
        <f>SUM(H2428:H2450)</f>
        <v>0</v>
      </c>
      <c r="I2451" s="123">
        <f>SUM(I2428:I2450)</f>
        <v>0</v>
      </c>
      <c r="J2451" s="123">
        <f>SUM(J2428:J2450)</f>
        <v>0</v>
      </c>
      <c r="K2451" s="158">
        <f>SUM(K2428:K2450)</f>
        <v>0</v>
      </c>
    </row>
    <row r="2452" spans="1:12" s="146" customFormat="1" ht="17.100000000000001" customHeight="1" x14ac:dyDescent="0.25">
      <c r="A2452" s="1041"/>
      <c r="B2452" s="1041"/>
      <c r="C2452" s="153"/>
      <c r="D2452" s="573"/>
      <c r="E2452" s="1041"/>
      <c r="F2452" s="1041"/>
      <c r="G2452" s="381"/>
      <c r="H2452" s="127"/>
      <c r="I2452" s="127"/>
      <c r="J2452" s="127"/>
      <c r="K2452" s="127"/>
      <c r="L2452" s="10"/>
    </row>
    <row r="2453" spans="1:12" ht="18" customHeight="1" x14ac:dyDescent="0.25">
      <c r="A2453" s="8" t="s">
        <v>112</v>
      </c>
    </row>
    <row r="2454" spans="1:12" ht="18" customHeight="1" x14ac:dyDescent="0.25">
      <c r="A2454" s="8" t="s">
        <v>1137</v>
      </c>
    </row>
    <row r="2455" spans="1:12" ht="18" customHeight="1" x14ac:dyDescent="0.25">
      <c r="A2455" s="1636" t="s">
        <v>113</v>
      </c>
      <c r="B2455" s="1636"/>
      <c r="C2455" s="1636"/>
      <c r="D2455" s="1636"/>
      <c r="E2455" s="1636"/>
      <c r="F2455" s="1636"/>
      <c r="G2455" s="1636"/>
      <c r="H2455" s="1636"/>
      <c r="I2455" s="1636"/>
      <c r="J2455" s="1636"/>
      <c r="K2455" s="1060"/>
    </row>
    <row r="2456" spans="1:12" s="7" customFormat="1" ht="18" customHeight="1" x14ac:dyDescent="0.25">
      <c r="A2456" s="1624" t="s">
        <v>114</v>
      </c>
      <c r="B2456" s="1624"/>
      <c r="C2456" s="1624"/>
      <c r="D2456" s="1624"/>
      <c r="E2456" s="1624"/>
      <c r="F2456" s="1624"/>
      <c r="G2456" s="1624"/>
      <c r="H2456" s="1624"/>
      <c r="I2456" s="1624"/>
      <c r="J2456" s="1624"/>
      <c r="K2456" s="159"/>
      <c r="L2456" s="6"/>
    </row>
    <row r="2457" spans="1:12" s="7" customFormat="1" ht="18" customHeight="1" x14ac:dyDescent="0.25">
      <c r="A2457" s="1066"/>
      <c r="B2457" s="1066"/>
      <c r="C2457" s="1066"/>
      <c r="D2457" s="1066"/>
      <c r="E2457" s="1066"/>
      <c r="F2457" s="1066"/>
      <c r="G2457" s="1066"/>
      <c r="H2457" s="1066"/>
      <c r="I2457" s="1066"/>
      <c r="J2457" s="1066"/>
      <c r="K2457" s="159"/>
      <c r="L2457" s="6"/>
    </row>
    <row r="2458" spans="1:12" ht="18.75" thickBot="1" x14ac:dyDescent="0.3">
      <c r="A2458" s="41"/>
      <c r="B2458" s="41"/>
      <c r="C2458" s="63"/>
      <c r="D2458" s="41"/>
      <c r="E2458" s="41"/>
      <c r="F2458" s="41"/>
      <c r="G2458" s="41"/>
    </row>
    <row r="2459" spans="1:12" s="48" customFormat="1" ht="21.75" customHeight="1" thickBot="1" x14ac:dyDescent="0.3">
      <c r="A2459" s="1655" t="s">
        <v>115</v>
      </c>
      <c r="B2459" s="1655"/>
      <c r="C2459" s="1655"/>
      <c r="D2459" s="1655"/>
      <c r="E2459" s="1655"/>
      <c r="F2459" s="1655"/>
      <c r="G2459" s="1151"/>
      <c r="H2459" s="1708" t="s">
        <v>1537</v>
      </c>
      <c r="I2459" s="1710" t="s">
        <v>1538</v>
      </c>
      <c r="J2459" s="1710" t="s">
        <v>1539</v>
      </c>
      <c r="K2459" s="1710" t="s">
        <v>1540</v>
      </c>
      <c r="L2459" s="47"/>
    </row>
    <row r="2460" spans="1:12" s="1153" customFormat="1" ht="31.5" customHeight="1" thickBot="1" x14ac:dyDescent="0.3">
      <c r="A2460" s="1655"/>
      <c r="B2460" s="1655"/>
      <c r="C2460" s="1655"/>
      <c r="D2460" s="1655"/>
      <c r="E2460" s="1655"/>
      <c r="F2460" s="1655"/>
      <c r="G2460" s="1067" t="s">
        <v>116</v>
      </c>
      <c r="H2460" s="1709"/>
      <c r="I2460" s="1710"/>
      <c r="J2460" s="1710"/>
      <c r="K2460" s="1710"/>
      <c r="L2460" s="1152"/>
    </row>
    <row r="2461" spans="1:12" ht="18" x14ac:dyDescent="0.25">
      <c r="A2461" s="1051"/>
      <c r="B2461" s="1041"/>
      <c r="C2461" s="1055" t="s">
        <v>1156</v>
      </c>
      <c r="D2461" s="199"/>
      <c r="E2461" s="199"/>
      <c r="F2461" s="393"/>
      <c r="G2461" s="100"/>
      <c r="H2461" s="101"/>
      <c r="I2461" s="101"/>
      <c r="J2461" s="101"/>
      <c r="K2461" s="102"/>
    </row>
    <row r="2462" spans="1:12" ht="18" x14ac:dyDescent="0.25">
      <c r="A2462" s="1051"/>
      <c r="B2462" s="1041"/>
      <c r="C2462" s="442" t="s">
        <v>1953</v>
      </c>
      <c r="D2462" s="199"/>
      <c r="E2462" s="199"/>
      <c r="F2462" s="393"/>
      <c r="G2462" s="100"/>
      <c r="H2462" s="101"/>
      <c r="I2462" s="101"/>
      <c r="J2462" s="101"/>
      <c r="K2462" s="102"/>
    </row>
    <row r="2463" spans="1:12" ht="18" x14ac:dyDescent="0.25">
      <c r="A2463" s="1051"/>
      <c r="B2463" s="1041"/>
      <c r="C2463" s="38" t="s">
        <v>1158</v>
      </c>
      <c r="D2463" s="1041"/>
      <c r="E2463" s="1041"/>
      <c r="F2463" s="1039"/>
      <c r="G2463" s="100"/>
      <c r="H2463" s="101"/>
      <c r="I2463" s="101"/>
      <c r="J2463" s="101"/>
      <c r="K2463" s="102"/>
      <c r="L2463" s="444"/>
    </row>
    <row r="2464" spans="1:12" ht="18" x14ac:dyDescent="0.25">
      <c r="A2464" s="1051"/>
      <c r="B2464" s="1041"/>
      <c r="C2464" s="38" t="s">
        <v>1159</v>
      </c>
      <c r="D2464" s="1041"/>
      <c r="E2464" s="1041"/>
      <c r="F2464" s="1039"/>
      <c r="G2464" s="100"/>
      <c r="H2464" s="101"/>
      <c r="I2464" s="101"/>
      <c r="J2464" s="101"/>
      <c r="K2464" s="102"/>
      <c r="L2464" s="444"/>
    </row>
    <row r="2465" spans="1:12" ht="36" customHeight="1" x14ac:dyDescent="0.25">
      <c r="A2465" s="1051"/>
      <c r="B2465" s="1041"/>
      <c r="C2465" s="1623" t="s">
        <v>1160</v>
      </c>
      <c r="D2465" s="1623"/>
      <c r="E2465" s="1041"/>
      <c r="F2465" s="1039"/>
      <c r="G2465" s="100"/>
      <c r="H2465" s="101"/>
      <c r="I2465" s="101"/>
      <c r="J2465" s="101"/>
      <c r="K2465" s="102"/>
    </row>
    <row r="2466" spans="1:12" ht="39" customHeight="1" x14ac:dyDescent="0.25">
      <c r="A2466" s="1051"/>
      <c r="B2466" s="1041"/>
      <c r="C2466" s="1637" t="s">
        <v>1162</v>
      </c>
      <c r="D2466" s="1637"/>
      <c r="E2466" s="1637"/>
      <c r="F2466" s="1641"/>
      <c r="G2466" s="100"/>
      <c r="H2466" s="101"/>
      <c r="I2466" s="101"/>
      <c r="J2466" s="101"/>
      <c r="K2466" s="102"/>
    </row>
    <row r="2467" spans="1:12" ht="18" x14ac:dyDescent="0.25">
      <c r="A2467" s="1051"/>
      <c r="B2467" s="1041"/>
      <c r="C2467" s="153" t="s">
        <v>200</v>
      </c>
      <c r="D2467" s="235"/>
      <c r="E2467" s="1041"/>
      <c r="F2467" s="1039"/>
      <c r="G2467" s="100"/>
      <c r="H2467" s="119">
        <f>SUM(H2463:H2466)</f>
        <v>0</v>
      </c>
      <c r="I2467" s="119">
        <f>SUM(I2463:I2466)</f>
        <v>0</v>
      </c>
      <c r="J2467" s="119">
        <f>SUM(J2463:J2466)</f>
        <v>0</v>
      </c>
      <c r="K2467" s="150">
        <f>SUM(K2463:K2466)</f>
        <v>0</v>
      </c>
    </row>
    <row r="2468" spans="1:12" ht="18" x14ac:dyDescent="0.25">
      <c r="A2468" s="1051"/>
      <c r="B2468" s="1041"/>
      <c r="C2468" s="153"/>
      <c r="D2468" s="235"/>
      <c r="E2468" s="1041"/>
      <c r="F2468" s="1039"/>
      <c r="G2468" s="100"/>
      <c r="H2468" s="155"/>
      <c r="I2468" s="155"/>
      <c r="J2468" s="155"/>
      <c r="K2468" s="156"/>
    </row>
    <row r="2469" spans="1:12" ht="18" x14ac:dyDescent="0.25">
      <c r="A2469" s="1051"/>
      <c r="B2469" s="1041"/>
      <c r="C2469" s="36" t="s">
        <v>1676</v>
      </c>
      <c r="D2469" s="1041"/>
      <c r="E2469" s="1041"/>
      <c r="F2469" s="1039"/>
      <c r="G2469" s="100"/>
      <c r="H2469" s="101"/>
      <c r="I2469" s="101"/>
      <c r="J2469" s="101"/>
      <c r="K2469" s="102"/>
    </row>
    <row r="2470" spans="1:12" ht="18" x14ac:dyDescent="0.25">
      <c r="A2470" s="1051"/>
      <c r="B2470" s="1041"/>
      <c r="C2470" s="38" t="s">
        <v>1165</v>
      </c>
      <c r="D2470" s="199"/>
      <c r="E2470" s="199"/>
      <c r="F2470" s="1039"/>
      <c r="G2470" s="100"/>
      <c r="H2470" s="101"/>
      <c r="I2470" s="101"/>
      <c r="J2470" s="101"/>
      <c r="K2470" s="102"/>
    </row>
    <row r="2471" spans="1:12" ht="36.75" customHeight="1" x14ac:dyDescent="0.25">
      <c r="A2471" s="1051"/>
      <c r="B2471" s="1041"/>
      <c r="C2471" s="1623" t="s">
        <v>1954</v>
      </c>
      <c r="D2471" s="1623"/>
      <c r="E2471" s="199"/>
      <c r="F2471" s="1039"/>
      <c r="G2471" s="100"/>
      <c r="H2471" s="101"/>
      <c r="I2471" s="101"/>
      <c r="J2471" s="101"/>
      <c r="K2471" s="102"/>
    </row>
    <row r="2472" spans="1:12" ht="17.45" customHeight="1" x14ac:dyDescent="0.25">
      <c r="A2472" s="1051"/>
      <c r="B2472" s="1041"/>
      <c r="C2472" s="38" t="s">
        <v>1677</v>
      </c>
      <c r="D2472" s="1065"/>
      <c r="E2472" s="199"/>
      <c r="F2472" s="1039"/>
      <c r="G2472" s="100"/>
      <c r="H2472" s="101"/>
      <c r="I2472" s="101"/>
      <c r="J2472" s="101"/>
      <c r="K2472" s="102"/>
    </row>
    <row r="2473" spans="1:12" s="146" customFormat="1" ht="18" x14ac:dyDescent="0.25">
      <c r="A2473" s="1051"/>
      <c r="B2473" s="1041"/>
      <c r="C2473" s="38" t="s">
        <v>1678</v>
      </c>
      <c r="D2473" s="199"/>
      <c r="E2473" s="199"/>
      <c r="F2473" s="1039"/>
      <c r="G2473" s="100"/>
      <c r="H2473" s="101"/>
      <c r="I2473" s="1180"/>
      <c r="J2473" s="1180"/>
      <c r="K2473" s="1180"/>
      <c r="L2473" s="10"/>
    </row>
    <row r="2474" spans="1:12" s="146" customFormat="1" ht="18" x14ac:dyDescent="0.25">
      <c r="A2474" s="1051"/>
      <c r="B2474" s="1041"/>
      <c r="C2474" s="38" t="s">
        <v>1679</v>
      </c>
      <c r="D2474" s="199"/>
      <c r="E2474" s="199"/>
      <c r="F2474" s="1039"/>
      <c r="G2474" s="100"/>
      <c r="H2474" s="102"/>
      <c r="I2474" s="102"/>
      <c r="J2474" s="102"/>
      <c r="K2474" s="102"/>
      <c r="L2474" s="10"/>
    </row>
    <row r="2475" spans="1:12" s="146" customFormat="1" ht="18" x14ac:dyDescent="0.25">
      <c r="A2475" s="1051"/>
      <c r="B2475" s="1041"/>
      <c r="C2475" s="38" t="s">
        <v>1955</v>
      </c>
      <c r="D2475" s="199"/>
      <c r="E2475" s="199"/>
      <c r="F2475" s="1039"/>
      <c r="G2475" s="100"/>
      <c r="H2475" s="102"/>
      <c r="I2475" s="102"/>
      <c r="J2475" s="102"/>
      <c r="K2475" s="102"/>
      <c r="L2475" s="10"/>
    </row>
    <row r="2476" spans="1:12" s="146" customFormat="1" ht="18" x14ac:dyDescent="0.25">
      <c r="A2476" s="1051"/>
      <c r="B2476" s="1041"/>
      <c r="C2476" s="38" t="s">
        <v>1956</v>
      </c>
      <c r="D2476" s="199"/>
      <c r="E2476" s="199"/>
      <c r="F2476" s="1039"/>
      <c r="G2476" s="100"/>
      <c r="H2476" s="102"/>
      <c r="I2476" s="102"/>
      <c r="J2476" s="102"/>
      <c r="K2476" s="102"/>
      <c r="L2476" s="10"/>
    </row>
    <row r="2477" spans="1:12" s="146" customFormat="1" ht="18" x14ac:dyDescent="0.25">
      <c r="A2477" s="1051"/>
      <c r="B2477" s="1041"/>
      <c r="C2477" s="38" t="s">
        <v>1957</v>
      </c>
      <c r="D2477" s="199"/>
      <c r="E2477" s="199"/>
      <c r="F2477" s="1039"/>
      <c r="G2477" s="100"/>
      <c r="H2477" s="102"/>
      <c r="I2477" s="102"/>
      <c r="J2477" s="102"/>
      <c r="K2477" s="102"/>
      <c r="L2477" s="10"/>
    </row>
    <row r="2478" spans="1:12" s="146" customFormat="1" ht="18" x14ac:dyDescent="0.25">
      <c r="A2478" s="1051"/>
      <c r="B2478" s="1041"/>
      <c r="C2478" s="38" t="s">
        <v>1958</v>
      </c>
      <c r="D2478" s="199"/>
      <c r="E2478" s="199"/>
      <c r="F2478" s="1039"/>
      <c r="G2478" s="100"/>
      <c r="H2478" s="101"/>
      <c r="I2478" s="101"/>
      <c r="J2478" s="101"/>
      <c r="K2478" s="102"/>
      <c r="L2478" s="10"/>
    </row>
    <row r="2479" spans="1:12" s="146" customFormat="1" ht="18" x14ac:dyDescent="0.25">
      <c r="A2479" s="1051"/>
      <c r="B2479" s="1041"/>
      <c r="C2479" s="38" t="s">
        <v>1959</v>
      </c>
      <c r="D2479" s="199"/>
      <c r="E2479" s="199"/>
      <c r="F2479" s="1039"/>
      <c r="G2479" s="100"/>
      <c r="H2479" s="101"/>
      <c r="I2479" s="101"/>
      <c r="J2479" s="101"/>
      <c r="K2479" s="102"/>
      <c r="L2479" s="10"/>
    </row>
    <row r="2480" spans="1:12" s="146" customFormat="1" ht="36.75" customHeight="1" x14ac:dyDescent="0.25">
      <c r="A2480" s="1051"/>
      <c r="B2480" s="1041"/>
      <c r="C2480" s="1623" t="s">
        <v>1960</v>
      </c>
      <c r="D2480" s="1623"/>
      <c r="E2480" s="199"/>
      <c r="F2480" s="1039"/>
      <c r="G2480" s="100"/>
      <c r="H2480" s="101"/>
      <c r="I2480" s="101"/>
      <c r="J2480" s="101"/>
      <c r="K2480" s="102"/>
      <c r="L2480" s="10"/>
    </row>
    <row r="2481" spans="1:12" s="146" customFormat="1" ht="18.75" customHeight="1" x14ac:dyDescent="0.25">
      <c r="A2481" s="1051"/>
      <c r="B2481" s="1041"/>
      <c r="C2481" s="1086" t="s">
        <v>1680</v>
      </c>
      <c r="D2481" s="1065"/>
      <c r="E2481" s="199"/>
      <c r="F2481" s="1039"/>
      <c r="G2481" s="100"/>
      <c r="H2481" s="101"/>
      <c r="I2481" s="101"/>
      <c r="J2481" s="101"/>
      <c r="K2481" s="102"/>
      <c r="L2481" s="10"/>
    </row>
    <row r="2482" spans="1:12" s="146" customFormat="1" ht="18.75" customHeight="1" x14ac:dyDescent="0.25">
      <c r="A2482" s="1051"/>
      <c r="B2482" s="1041"/>
      <c r="C2482" s="1086" t="s">
        <v>1681</v>
      </c>
      <c r="D2482" s="1065"/>
      <c r="E2482" s="199"/>
      <c r="F2482" s="1039"/>
      <c r="G2482" s="100"/>
      <c r="H2482" s="101"/>
      <c r="I2482" s="101"/>
      <c r="J2482" s="101"/>
      <c r="K2482" s="102"/>
      <c r="L2482" s="10"/>
    </row>
    <row r="2483" spans="1:12" s="146" customFormat="1" ht="18" x14ac:dyDescent="0.25">
      <c r="A2483" s="1051"/>
      <c r="B2483" s="1041"/>
      <c r="C2483" s="38" t="s">
        <v>1682</v>
      </c>
      <c r="D2483" s="199"/>
      <c r="E2483" s="199"/>
      <c r="F2483" s="1039"/>
      <c r="G2483" s="100"/>
      <c r="H2483" s="101"/>
      <c r="I2483" s="101"/>
      <c r="J2483" s="101"/>
      <c r="K2483" s="102"/>
      <c r="L2483" s="10"/>
    </row>
    <row r="2484" spans="1:12" s="146" customFormat="1" ht="36" customHeight="1" x14ac:dyDescent="0.25">
      <c r="A2484" s="1051"/>
      <c r="B2484" s="1041"/>
      <c r="C2484" s="1623" t="s">
        <v>1683</v>
      </c>
      <c r="D2484" s="1623"/>
      <c r="E2484" s="199"/>
      <c r="F2484" s="1039"/>
      <c r="G2484" s="100"/>
      <c r="H2484" s="101"/>
      <c r="I2484" s="101"/>
      <c r="J2484" s="101"/>
      <c r="K2484" s="102"/>
      <c r="L2484" s="10"/>
    </row>
    <row r="2485" spans="1:12" s="146" customFormat="1" ht="18" x14ac:dyDescent="0.25">
      <c r="A2485" s="1051"/>
      <c r="B2485" s="1041"/>
      <c r="C2485" s="38" t="s">
        <v>1961</v>
      </c>
      <c r="D2485" s="199"/>
      <c r="E2485" s="199"/>
      <c r="F2485" s="1039"/>
      <c r="G2485" s="100"/>
      <c r="H2485" s="101"/>
      <c r="I2485" s="101"/>
      <c r="J2485" s="101"/>
      <c r="K2485" s="102"/>
      <c r="L2485" s="10"/>
    </row>
    <row r="2486" spans="1:12" s="146" customFormat="1" ht="36.75" customHeight="1" x14ac:dyDescent="0.25">
      <c r="A2486" s="1051"/>
      <c r="B2486" s="1041"/>
      <c r="C2486" s="1623" t="s">
        <v>1684</v>
      </c>
      <c r="D2486" s="1623"/>
      <c r="E2486" s="199"/>
      <c r="F2486" s="1039"/>
      <c r="G2486" s="100"/>
      <c r="H2486" s="101"/>
      <c r="I2486" s="101"/>
      <c r="J2486" s="101"/>
      <c r="K2486" s="102"/>
      <c r="L2486" s="10"/>
    </row>
    <row r="2487" spans="1:12" s="146" customFormat="1" ht="18" x14ac:dyDescent="0.25">
      <c r="A2487" s="1051"/>
      <c r="B2487" s="1041"/>
      <c r="C2487" s="38" t="s">
        <v>1685</v>
      </c>
      <c r="D2487" s="199"/>
      <c r="E2487" s="199"/>
      <c r="F2487" s="1039"/>
      <c r="G2487" s="100"/>
      <c r="H2487" s="101"/>
      <c r="I2487" s="101"/>
      <c r="J2487" s="101"/>
      <c r="K2487" s="102"/>
      <c r="L2487" s="10"/>
    </row>
    <row r="2488" spans="1:12" s="146" customFormat="1" ht="18" customHeight="1" x14ac:dyDescent="0.25">
      <c r="A2488" s="1051"/>
      <c r="B2488" s="1041"/>
      <c r="C2488" s="1634" t="s">
        <v>1962</v>
      </c>
      <c r="D2488" s="1634"/>
      <c r="E2488" s="199"/>
      <c r="F2488" s="1039"/>
      <c r="G2488" s="100"/>
      <c r="H2488" s="101"/>
      <c r="I2488" s="101"/>
      <c r="J2488" s="101"/>
      <c r="K2488" s="102"/>
      <c r="L2488" s="10"/>
    </row>
    <row r="2489" spans="1:12" s="146" customFormat="1" ht="36.75" customHeight="1" x14ac:dyDescent="0.25">
      <c r="A2489" s="1051"/>
      <c r="B2489" s="1041"/>
      <c r="C2489" s="1634" t="s">
        <v>1687</v>
      </c>
      <c r="D2489" s="1634"/>
      <c r="E2489" s="199"/>
      <c r="F2489" s="1039"/>
      <c r="G2489" s="100"/>
      <c r="H2489" s="101"/>
      <c r="I2489" s="101"/>
      <c r="J2489" s="101"/>
      <c r="K2489" s="102"/>
      <c r="L2489" s="10"/>
    </row>
    <row r="2490" spans="1:12" s="146" customFormat="1" ht="17.45" customHeight="1" x14ac:dyDescent="0.25">
      <c r="A2490" s="1051"/>
      <c r="B2490" s="1041"/>
      <c r="C2490" s="1183" t="s">
        <v>1963</v>
      </c>
      <c r="D2490" s="1075"/>
      <c r="E2490" s="199"/>
      <c r="F2490" s="1039"/>
      <c r="G2490" s="100"/>
      <c r="H2490" s="105"/>
      <c r="I2490" s="105"/>
      <c r="J2490" s="105"/>
      <c r="K2490" s="106"/>
      <c r="L2490" s="10"/>
    </row>
    <row r="2491" spans="1:12" s="146" customFormat="1" ht="18" x14ac:dyDescent="0.25">
      <c r="A2491" s="1051"/>
      <c r="B2491" s="1041"/>
      <c r="C2491" s="153" t="s">
        <v>200</v>
      </c>
      <c r="E2491" s="1041"/>
      <c r="F2491" s="1039"/>
      <c r="G2491" s="100"/>
      <c r="H2491" s="119">
        <f>SUM(H2470:H2490)</f>
        <v>0</v>
      </c>
      <c r="I2491" s="119">
        <f>SUM(I2470:I2490)</f>
        <v>0</v>
      </c>
      <c r="J2491" s="119">
        <f>SUM(J2470:J2490)</f>
        <v>0</v>
      </c>
      <c r="K2491" s="150">
        <f>SUM(K2470:K2490)</f>
        <v>0</v>
      </c>
      <c r="L2491" s="446"/>
    </row>
    <row r="2492" spans="1:12" s="146" customFormat="1" ht="18" x14ac:dyDescent="0.25">
      <c r="A2492" s="1051"/>
      <c r="B2492" s="1041"/>
      <c r="C2492" s="38"/>
      <c r="D2492" s="153"/>
      <c r="E2492" s="1041"/>
      <c r="F2492" s="1039"/>
      <c r="G2492" s="100"/>
      <c r="H2492" s="155"/>
      <c r="I2492" s="155"/>
      <c r="J2492" s="155"/>
      <c r="K2492" s="156"/>
      <c r="L2492" s="10"/>
    </row>
    <row r="2493" spans="1:12" s="146" customFormat="1" ht="18" x14ac:dyDescent="0.25">
      <c r="A2493" s="1051"/>
      <c r="B2493" s="1041"/>
      <c r="C2493" s="152" t="s">
        <v>1964</v>
      </c>
      <c r="D2493" s="152"/>
      <c r="E2493" s="152"/>
      <c r="F2493" s="295"/>
      <c r="G2493" s="100"/>
      <c r="H2493" s="101"/>
      <c r="I2493" s="101"/>
      <c r="J2493" s="101"/>
      <c r="K2493" s="102"/>
      <c r="L2493" s="10"/>
    </row>
    <row r="2494" spans="1:12" s="146" customFormat="1" ht="18" x14ac:dyDescent="0.25">
      <c r="A2494" s="1051"/>
      <c r="B2494" s="1041"/>
      <c r="C2494" s="38" t="s">
        <v>1185</v>
      </c>
      <c r="D2494" s="199"/>
      <c r="E2494" s="199"/>
      <c r="F2494" s="1039"/>
      <c r="G2494" s="100"/>
      <c r="H2494" s="101"/>
      <c r="I2494" s="101"/>
      <c r="J2494" s="101"/>
      <c r="K2494" s="102"/>
      <c r="L2494" s="10"/>
    </row>
    <row r="2495" spans="1:12" s="146" customFormat="1" ht="18.75" customHeight="1" x14ac:dyDescent="0.25">
      <c r="A2495" s="1051"/>
      <c r="B2495" s="1041"/>
      <c r="C2495" s="1073" t="s">
        <v>1187</v>
      </c>
      <c r="D2495" s="1075"/>
      <c r="E2495" s="199"/>
      <c r="F2495" s="1039"/>
      <c r="G2495" s="100"/>
      <c r="H2495" s="101"/>
      <c r="I2495" s="101"/>
      <c r="J2495" s="101"/>
      <c r="K2495" s="102"/>
      <c r="L2495" s="10"/>
    </row>
    <row r="2496" spans="1:12" s="146" customFormat="1" ht="18.75" customHeight="1" x14ac:dyDescent="0.25">
      <c r="A2496" s="1051"/>
      <c r="B2496" s="1041"/>
      <c r="C2496" s="1073" t="s">
        <v>1188</v>
      </c>
      <c r="D2496" s="1075"/>
      <c r="E2496" s="199"/>
      <c r="F2496" s="1039"/>
      <c r="G2496" s="100"/>
      <c r="H2496" s="101"/>
      <c r="I2496" s="101"/>
      <c r="J2496" s="101"/>
      <c r="K2496" s="102"/>
      <c r="L2496" s="10"/>
    </row>
    <row r="2497" spans="1:12" s="146" customFormat="1" ht="18.75" customHeight="1" x14ac:dyDescent="0.25">
      <c r="A2497" s="1051"/>
      <c r="B2497" s="1041"/>
      <c r="C2497" s="1073" t="s">
        <v>1189</v>
      </c>
      <c r="D2497" s="1075"/>
      <c r="E2497" s="199"/>
      <c r="F2497" s="1039"/>
      <c r="G2497" s="100"/>
      <c r="H2497" s="101"/>
      <c r="I2497" s="101"/>
      <c r="J2497" s="101"/>
      <c r="K2497" s="102"/>
      <c r="L2497" s="10"/>
    </row>
    <row r="2498" spans="1:12" s="146" customFormat="1" ht="18.75" customHeight="1" x14ac:dyDescent="0.25">
      <c r="A2498" s="1051"/>
      <c r="B2498" s="1041"/>
      <c r="C2498" s="1073" t="s">
        <v>1688</v>
      </c>
      <c r="D2498" s="1075"/>
      <c r="E2498" s="199"/>
      <c r="F2498" s="1039"/>
      <c r="G2498" s="100"/>
      <c r="H2498" s="101"/>
      <c r="I2498" s="101"/>
      <c r="J2498" s="101"/>
      <c r="K2498" s="102"/>
      <c r="L2498" s="10"/>
    </row>
    <row r="2499" spans="1:12" s="146" customFormat="1" ht="18.75" customHeight="1" x14ac:dyDescent="0.25">
      <c r="A2499" s="1051"/>
      <c r="B2499" s="1041"/>
      <c r="C2499" s="1073" t="s">
        <v>1190</v>
      </c>
      <c r="D2499" s="1075"/>
      <c r="E2499" s="199"/>
      <c r="F2499" s="1039"/>
      <c r="G2499" s="100"/>
      <c r="H2499" s="101"/>
      <c r="I2499" s="101"/>
      <c r="J2499" s="101"/>
      <c r="K2499" s="102"/>
      <c r="L2499" s="10"/>
    </row>
    <row r="2500" spans="1:12" s="146" customFormat="1" ht="18.75" customHeight="1" x14ac:dyDescent="0.25">
      <c r="A2500" s="1051"/>
      <c r="B2500" s="1041"/>
      <c r="C2500" s="1634" t="s">
        <v>1191</v>
      </c>
      <c r="D2500" s="1634"/>
      <c r="E2500" s="199"/>
      <c r="F2500" s="1039"/>
      <c r="G2500" s="100"/>
      <c r="H2500" s="101"/>
      <c r="I2500" s="101"/>
      <c r="J2500" s="101"/>
      <c r="K2500" s="102"/>
      <c r="L2500" s="10"/>
    </row>
    <row r="2501" spans="1:12" s="146" customFormat="1" ht="33.75" customHeight="1" x14ac:dyDescent="0.25">
      <c r="A2501" s="1051"/>
      <c r="B2501" s="1041"/>
      <c r="C2501" s="1638" t="s">
        <v>1689</v>
      </c>
      <c r="D2501" s="1638"/>
      <c r="E2501" s="1050"/>
      <c r="F2501" s="1046"/>
      <c r="G2501" s="205"/>
      <c r="H2501" s="102"/>
      <c r="I2501" s="102"/>
      <c r="J2501" s="102"/>
      <c r="K2501" s="102"/>
      <c r="L2501" s="10"/>
    </row>
    <row r="2502" spans="1:12" s="146" customFormat="1" ht="21" customHeight="1" x14ac:dyDescent="0.25">
      <c r="A2502" s="1051"/>
      <c r="B2502" s="1041"/>
      <c r="C2502" s="1623" t="s">
        <v>1690</v>
      </c>
      <c r="D2502" s="1623"/>
      <c r="E2502" s="1065"/>
      <c r="F2502" s="1039"/>
      <c r="G2502" s="100"/>
      <c r="H2502" s="101"/>
      <c r="I2502" s="101"/>
      <c r="J2502" s="101"/>
      <c r="K2502" s="102"/>
      <c r="L2502" s="10"/>
    </row>
    <row r="2503" spans="1:12" s="146" customFormat="1" ht="19.5" customHeight="1" x14ac:dyDescent="0.25">
      <c r="A2503" s="1051"/>
      <c r="B2503" s="1041"/>
      <c r="C2503" s="1623" t="s">
        <v>1691</v>
      </c>
      <c r="D2503" s="1623"/>
      <c r="E2503" s="1065"/>
      <c r="F2503" s="1039"/>
      <c r="G2503" s="100"/>
      <c r="H2503" s="101"/>
      <c r="I2503" s="101"/>
      <c r="J2503" s="101"/>
      <c r="K2503" s="102"/>
      <c r="L2503" s="10"/>
    </row>
    <row r="2504" spans="1:12" s="146" customFormat="1" ht="19.5" customHeight="1" x14ac:dyDescent="0.25">
      <c r="A2504" s="1051"/>
      <c r="B2504" s="1041"/>
      <c r="C2504" s="1088" t="s">
        <v>1692</v>
      </c>
      <c r="D2504" s="1065"/>
      <c r="E2504" s="1065"/>
      <c r="F2504" s="1039"/>
      <c r="G2504" s="100"/>
      <c r="H2504" s="101"/>
      <c r="I2504" s="101"/>
      <c r="J2504" s="101"/>
      <c r="K2504" s="102"/>
      <c r="L2504" s="10"/>
    </row>
    <row r="2505" spans="1:12" s="313" customFormat="1" ht="60" customHeight="1" x14ac:dyDescent="0.25">
      <c r="A2505" s="1081"/>
      <c r="B2505" s="1044"/>
      <c r="C2505" s="1628" t="s">
        <v>1693</v>
      </c>
      <c r="D2505" s="1628"/>
      <c r="E2505" s="1075"/>
      <c r="F2505" s="1080"/>
      <c r="G2505" s="423"/>
      <c r="H2505" s="101"/>
      <c r="I2505" s="101"/>
      <c r="J2505" s="101"/>
      <c r="K2505" s="102"/>
      <c r="L2505" s="193"/>
    </row>
    <row r="2506" spans="1:12" s="146" customFormat="1" ht="19.5" customHeight="1" x14ac:dyDescent="0.25">
      <c r="A2506" s="1051"/>
      <c r="B2506" s="1041"/>
      <c r="C2506" s="1073" t="s">
        <v>1694</v>
      </c>
      <c r="D2506" s="1065"/>
      <c r="E2506" s="1065"/>
      <c r="F2506" s="1039"/>
      <c r="G2506" s="100"/>
      <c r="H2506" s="101"/>
      <c r="I2506" s="101"/>
      <c r="J2506" s="101"/>
      <c r="K2506" s="102"/>
      <c r="L2506" s="10"/>
    </row>
    <row r="2507" spans="1:12" s="146" customFormat="1" ht="38.25" customHeight="1" x14ac:dyDescent="0.25">
      <c r="A2507" s="1051"/>
      <c r="B2507" s="1041"/>
      <c r="C2507" s="1622" t="s">
        <v>1197</v>
      </c>
      <c r="D2507" s="1622"/>
      <c r="E2507" s="1065"/>
      <c r="F2507" s="1039"/>
      <c r="G2507" s="100"/>
      <c r="H2507" s="101"/>
      <c r="I2507" s="101"/>
      <c r="J2507" s="101"/>
      <c r="K2507" s="102"/>
      <c r="L2507" s="10"/>
    </row>
    <row r="2508" spans="1:12" s="146" customFormat="1" ht="18.75" thickBot="1" x14ac:dyDescent="0.3">
      <c r="A2508" s="187"/>
      <c r="B2508" s="413"/>
      <c r="C2508" s="420" t="s">
        <v>200</v>
      </c>
      <c r="D2508" s="561"/>
      <c r="E2508" s="413"/>
      <c r="F2508" s="431"/>
      <c r="G2508" s="308"/>
      <c r="H2508" s="123">
        <f>SUM(H2494:H2507)</f>
        <v>0</v>
      </c>
      <c r="I2508" s="123">
        <f>SUM(I2494:I2507)</f>
        <v>0</v>
      </c>
      <c r="J2508" s="123">
        <f>SUM(J2494:J2507)</f>
        <v>0</v>
      </c>
      <c r="K2508" s="158">
        <f>SUM(K2494:K2507)</f>
        <v>0</v>
      </c>
      <c r="L2508" s="156"/>
    </row>
    <row r="2509" spans="1:12" s="146" customFormat="1" ht="18" x14ac:dyDescent="0.25">
      <c r="A2509" s="1041"/>
      <c r="B2509" s="1041"/>
      <c r="C2509" s="153"/>
      <c r="E2509" s="1041"/>
      <c r="F2509" s="1041"/>
      <c r="G2509" s="381"/>
      <c r="H2509" s="126"/>
      <c r="I2509" s="126"/>
      <c r="J2509" s="126"/>
      <c r="K2509" s="127"/>
      <c r="L2509" s="127"/>
    </row>
    <row r="2510" spans="1:12" s="146" customFormat="1" ht="18" x14ac:dyDescent="0.25">
      <c r="A2510" s="1041"/>
      <c r="B2510" s="1041"/>
      <c r="C2510" s="153"/>
      <c r="E2510" s="1041"/>
      <c r="F2510" s="1041"/>
      <c r="G2510" s="381"/>
      <c r="H2510" s="126"/>
      <c r="I2510" s="126"/>
      <c r="J2510" s="126"/>
      <c r="K2510" s="127"/>
      <c r="L2510" s="127"/>
    </row>
    <row r="2511" spans="1:12" s="146" customFormat="1" ht="18" x14ac:dyDescent="0.25">
      <c r="A2511" s="1041"/>
      <c r="B2511" s="1041"/>
      <c r="C2511" s="153"/>
      <c r="E2511" s="1041"/>
      <c r="F2511" s="1041"/>
      <c r="G2511" s="381"/>
      <c r="H2511" s="126"/>
      <c r="I2511" s="126"/>
      <c r="J2511" s="126"/>
      <c r="K2511" s="127"/>
      <c r="L2511" s="127"/>
    </row>
    <row r="2512" spans="1:12" s="146" customFormat="1" ht="18" x14ac:dyDescent="0.25">
      <c r="A2512" s="1041"/>
      <c r="B2512" s="1041"/>
      <c r="C2512" s="153"/>
      <c r="E2512" s="1041"/>
      <c r="F2512" s="1041"/>
      <c r="G2512" s="381"/>
      <c r="H2512" s="126"/>
      <c r="I2512" s="126"/>
      <c r="J2512" s="126"/>
      <c r="K2512" s="127"/>
      <c r="L2512" s="127"/>
    </row>
    <row r="2513" spans="1:12" s="146" customFormat="1" ht="18" x14ac:dyDescent="0.25">
      <c r="A2513" s="1041"/>
      <c r="B2513" s="1041"/>
      <c r="C2513" s="153"/>
      <c r="E2513" s="1041"/>
      <c r="F2513" s="1041"/>
      <c r="G2513" s="381"/>
      <c r="H2513" s="126"/>
      <c r="I2513" s="126"/>
      <c r="J2513" s="126"/>
      <c r="K2513" s="127"/>
      <c r="L2513" s="127"/>
    </row>
    <row r="2514" spans="1:12" ht="18" customHeight="1" x14ac:dyDescent="0.25">
      <c r="A2514" s="8" t="s">
        <v>112</v>
      </c>
    </row>
    <row r="2515" spans="1:12" ht="18" customHeight="1" x14ac:dyDescent="0.25">
      <c r="A2515" s="8" t="s">
        <v>1174</v>
      </c>
    </row>
    <row r="2516" spans="1:12" ht="18" customHeight="1" x14ac:dyDescent="0.25">
      <c r="A2516" s="1636" t="s">
        <v>113</v>
      </c>
      <c r="B2516" s="1636"/>
      <c r="C2516" s="1636"/>
      <c r="D2516" s="1636"/>
      <c r="E2516" s="1636"/>
      <c r="F2516" s="1636"/>
      <c r="G2516" s="1636"/>
      <c r="H2516" s="1636"/>
      <c r="I2516" s="1636"/>
      <c r="J2516" s="1636"/>
      <c r="K2516" s="1060"/>
    </row>
    <row r="2517" spans="1:12" s="7" customFormat="1" ht="18" customHeight="1" x14ac:dyDescent="0.25">
      <c r="A2517" s="1624" t="s">
        <v>114</v>
      </c>
      <c r="B2517" s="1624"/>
      <c r="C2517" s="1624"/>
      <c r="D2517" s="1624"/>
      <c r="E2517" s="1624"/>
      <c r="F2517" s="1624"/>
      <c r="G2517" s="1624"/>
      <c r="H2517" s="1624"/>
      <c r="I2517" s="1624"/>
      <c r="J2517" s="1624"/>
      <c r="K2517" s="159"/>
      <c r="L2517" s="6"/>
    </row>
    <row r="2518" spans="1:12" s="7" customFormat="1" ht="18" customHeight="1" x14ac:dyDescent="0.25">
      <c r="A2518" s="1066"/>
      <c r="B2518" s="1066"/>
      <c r="C2518" s="1066"/>
      <c r="D2518" s="1066"/>
      <c r="E2518" s="1066"/>
      <c r="F2518" s="1066"/>
      <c r="G2518" s="1066"/>
      <c r="H2518" s="1066"/>
      <c r="I2518" s="1066"/>
      <c r="J2518" s="1066"/>
      <c r="K2518" s="159"/>
      <c r="L2518" s="6"/>
    </row>
    <row r="2519" spans="1:12" ht="18.75" thickBot="1" x14ac:dyDescent="0.3">
      <c r="A2519" s="41"/>
      <c r="B2519" s="41"/>
      <c r="C2519" s="63"/>
      <c r="D2519" s="41"/>
      <c r="E2519" s="41"/>
      <c r="F2519" s="41"/>
      <c r="G2519" s="41"/>
    </row>
    <row r="2520" spans="1:12" s="48" customFormat="1" ht="21.75" customHeight="1" thickBot="1" x14ac:dyDescent="0.3">
      <c r="A2520" s="1655" t="s">
        <v>115</v>
      </c>
      <c r="B2520" s="1655"/>
      <c r="C2520" s="1655"/>
      <c r="D2520" s="1655"/>
      <c r="E2520" s="1655"/>
      <c r="F2520" s="1655"/>
      <c r="G2520" s="1151"/>
      <c r="H2520" s="1708" t="s">
        <v>1537</v>
      </c>
      <c r="I2520" s="1710" t="s">
        <v>1538</v>
      </c>
      <c r="J2520" s="1710" t="s">
        <v>1539</v>
      </c>
      <c r="K2520" s="1710" t="s">
        <v>1540</v>
      </c>
      <c r="L2520" s="47"/>
    </row>
    <row r="2521" spans="1:12" s="1153" customFormat="1" ht="31.5" customHeight="1" thickBot="1" x14ac:dyDescent="0.3">
      <c r="A2521" s="1655"/>
      <c r="B2521" s="1655"/>
      <c r="C2521" s="1655"/>
      <c r="D2521" s="1655"/>
      <c r="E2521" s="1655"/>
      <c r="F2521" s="1655"/>
      <c r="G2521" s="1067" t="s">
        <v>116</v>
      </c>
      <c r="H2521" s="1709"/>
      <c r="I2521" s="1710"/>
      <c r="J2521" s="1710"/>
      <c r="K2521" s="1710"/>
      <c r="L2521" s="1152"/>
    </row>
    <row r="2522" spans="1:12" s="146" customFormat="1" ht="18" x14ac:dyDescent="0.25">
      <c r="A2522" s="1051"/>
      <c r="B2522" s="1041"/>
      <c r="C2522" s="36" t="s">
        <v>1965</v>
      </c>
      <c r="D2522" s="184"/>
      <c r="E2522" s="184"/>
      <c r="F2522" s="184"/>
      <c r="G2522" s="100"/>
      <c r="H2522" s="101"/>
      <c r="I2522" s="101"/>
      <c r="J2522" s="101"/>
      <c r="K2522" s="102"/>
      <c r="L2522" s="10"/>
    </row>
    <row r="2523" spans="1:12" s="146" customFormat="1" ht="18" x14ac:dyDescent="0.25">
      <c r="A2523" s="1051"/>
      <c r="B2523" s="1041"/>
      <c r="C2523" s="1055" t="s">
        <v>1202</v>
      </c>
      <c r="D2523" s="3"/>
      <c r="E2523" s="1086"/>
      <c r="F2523" s="422"/>
      <c r="G2523" s="100"/>
      <c r="H2523" s="101"/>
      <c r="I2523" s="101"/>
      <c r="J2523" s="101"/>
      <c r="K2523" s="102"/>
      <c r="L2523" s="203"/>
    </row>
    <row r="2524" spans="1:12" s="146" customFormat="1" ht="36.75" customHeight="1" x14ac:dyDescent="0.25">
      <c r="A2524" s="1051"/>
      <c r="B2524" s="1041"/>
      <c r="C2524" s="1637" t="s">
        <v>1204</v>
      </c>
      <c r="D2524" s="1637"/>
      <c r="E2524" s="1074"/>
      <c r="F2524" s="400"/>
      <c r="G2524" s="100"/>
      <c r="H2524" s="101"/>
      <c r="I2524" s="101"/>
      <c r="J2524" s="101"/>
      <c r="K2524" s="102"/>
      <c r="L2524" s="10"/>
    </row>
    <row r="2525" spans="1:12" s="146" customFormat="1" ht="18" customHeight="1" x14ac:dyDescent="0.25">
      <c r="A2525" s="1051"/>
      <c r="B2525" s="1041"/>
      <c r="C2525" s="1062" t="s">
        <v>1205</v>
      </c>
      <c r="D2525" s="1074"/>
      <c r="E2525" s="1074"/>
      <c r="F2525" s="400"/>
      <c r="G2525" s="100"/>
      <c r="H2525" s="102"/>
      <c r="I2525" s="102"/>
      <c r="J2525" s="102"/>
      <c r="K2525" s="102"/>
      <c r="L2525" s="10"/>
    </row>
    <row r="2526" spans="1:12" s="146" customFormat="1" ht="18" customHeight="1" x14ac:dyDescent="0.25">
      <c r="A2526" s="1051"/>
      <c r="B2526" s="1041"/>
      <c r="C2526" s="1062" t="s">
        <v>1206</v>
      </c>
      <c r="D2526" s="1074"/>
      <c r="E2526" s="1074"/>
      <c r="F2526" s="400"/>
      <c r="G2526" s="100"/>
      <c r="H2526" s="102"/>
      <c r="I2526" s="102"/>
      <c r="J2526" s="102"/>
      <c r="K2526" s="102"/>
      <c r="L2526" s="10"/>
    </row>
    <row r="2527" spans="1:12" s="146" customFormat="1" ht="18" customHeight="1" x14ac:dyDescent="0.25">
      <c r="A2527" s="1051"/>
      <c r="B2527" s="1041"/>
      <c r="C2527" s="1062" t="s">
        <v>1207</v>
      </c>
      <c r="D2527" s="1074"/>
      <c r="E2527" s="1074"/>
      <c r="F2527" s="400"/>
      <c r="G2527" s="100"/>
      <c r="H2527" s="102"/>
      <c r="I2527" s="102"/>
      <c r="J2527" s="102"/>
      <c r="K2527" s="102"/>
      <c r="L2527" s="10"/>
    </row>
    <row r="2528" spans="1:12" s="146" customFormat="1" ht="18" customHeight="1" x14ac:dyDescent="0.25">
      <c r="A2528" s="1051"/>
      <c r="B2528" s="1041"/>
      <c r="C2528" s="1062" t="s">
        <v>1208</v>
      </c>
      <c r="D2528" s="1074"/>
      <c r="E2528" s="1074"/>
      <c r="F2528" s="400"/>
      <c r="G2528" s="100"/>
      <c r="H2528" s="102"/>
      <c r="I2528" s="102"/>
      <c r="J2528" s="102"/>
      <c r="K2528" s="102"/>
      <c r="L2528" s="10"/>
    </row>
    <row r="2529" spans="1:12" s="146" customFormat="1" ht="18" customHeight="1" x14ac:dyDescent="0.25">
      <c r="A2529" s="1051"/>
      <c r="B2529" s="1041"/>
      <c r="C2529" s="1062" t="s">
        <v>1209</v>
      </c>
      <c r="D2529" s="1074"/>
      <c r="E2529" s="1074"/>
      <c r="F2529" s="400"/>
      <c r="G2529" s="100"/>
      <c r="H2529" s="102"/>
      <c r="I2529" s="102"/>
      <c r="J2529" s="102"/>
      <c r="K2529" s="102"/>
      <c r="L2529" s="10"/>
    </row>
    <row r="2530" spans="1:12" s="146" customFormat="1" ht="18" customHeight="1" x14ac:dyDescent="0.25">
      <c r="A2530" s="1051"/>
      <c r="B2530" s="1041"/>
      <c r="C2530" s="1062" t="s">
        <v>1210</v>
      </c>
      <c r="D2530" s="1074"/>
      <c r="E2530" s="1074"/>
      <c r="F2530" s="400"/>
      <c r="G2530" s="100"/>
      <c r="H2530" s="102"/>
      <c r="I2530" s="102"/>
      <c r="J2530" s="102"/>
      <c r="K2530" s="102"/>
      <c r="L2530" s="10"/>
    </row>
    <row r="2531" spans="1:12" s="146" customFormat="1" ht="18" customHeight="1" x14ac:dyDescent="0.25">
      <c r="A2531" s="1051"/>
      <c r="B2531" s="1041"/>
      <c r="C2531" s="1062" t="s">
        <v>1211</v>
      </c>
      <c r="D2531" s="1074"/>
      <c r="E2531" s="1074"/>
      <c r="F2531" s="400"/>
      <c r="G2531" s="100"/>
      <c r="H2531" s="102"/>
      <c r="I2531" s="102"/>
      <c r="J2531" s="102"/>
      <c r="K2531" s="102"/>
      <c r="L2531" s="10"/>
    </row>
    <row r="2532" spans="1:12" s="146" customFormat="1" ht="36" customHeight="1" x14ac:dyDescent="0.25">
      <c r="A2532" s="1051"/>
      <c r="B2532" s="1041"/>
      <c r="C2532" s="1574" t="s">
        <v>1212</v>
      </c>
      <c r="D2532" s="1574"/>
      <c r="E2532" s="1074"/>
      <c r="F2532" s="400"/>
      <c r="G2532" s="100"/>
      <c r="H2532" s="102"/>
      <c r="I2532" s="102"/>
      <c r="J2532" s="102"/>
      <c r="K2532" s="102"/>
      <c r="L2532" s="10"/>
    </row>
    <row r="2533" spans="1:12" s="146" customFormat="1" ht="18" customHeight="1" x14ac:dyDescent="0.25">
      <c r="A2533" s="1051"/>
      <c r="B2533" s="1041"/>
      <c r="C2533" s="1062" t="s">
        <v>1213</v>
      </c>
      <c r="D2533" s="1074"/>
      <c r="E2533" s="1074"/>
      <c r="F2533" s="400"/>
      <c r="G2533" s="100"/>
      <c r="H2533" s="101"/>
      <c r="I2533" s="101"/>
      <c r="J2533" s="101"/>
      <c r="K2533" s="102"/>
      <c r="L2533" s="10"/>
    </row>
    <row r="2534" spans="1:12" s="146" customFormat="1" ht="18" customHeight="1" x14ac:dyDescent="0.25">
      <c r="A2534" s="1051"/>
      <c r="B2534" s="1041"/>
      <c r="C2534" s="1062" t="s">
        <v>1216</v>
      </c>
      <c r="D2534" s="1074"/>
      <c r="E2534" s="1074"/>
      <c r="F2534" s="400"/>
      <c r="G2534" s="100"/>
      <c r="H2534" s="101"/>
      <c r="I2534" s="101"/>
      <c r="J2534" s="101"/>
      <c r="K2534" s="102"/>
      <c r="L2534" s="10"/>
    </row>
    <row r="2535" spans="1:12" s="146" customFormat="1" ht="54.75" customHeight="1" x14ac:dyDescent="0.25">
      <c r="A2535" s="1051"/>
      <c r="B2535" s="1041"/>
      <c r="C2535" s="1637" t="s">
        <v>1217</v>
      </c>
      <c r="D2535" s="1637"/>
      <c r="E2535" s="1074"/>
      <c r="F2535" s="400"/>
      <c r="G2535" s="100"/>
      <c r="H2535" s="101"/>
      <c r="I2535" s="101"/>
      <c r="J2535" s="101"/>
      <c r="K2535" s="102"/>
      <c r="L2535" s="10"/>
    </row>
    <row r="2536" spans="1:12" s="146" customFormat="1" ht="18" customHeight="1" x14ac:dyDescent="0.25">
      <c r="A2536" s="1051"/>
      <c r="B2536" s="1041"/>
      <c r="C2536" s="1062" t="s">
        <v>1218</v>
      </c>
      <c r="D2536" s="1074"/>
      <c r="E2536" s="1074"/>
      <c r="F2536" s="400"/>
      <c r="G2536" s="100"/>
      <c r="H2536" s="101"/>
      <c r="I2536" s="101"/>
      <c r="J2536" s="101"/>
      <c r="K2536" s="102"/>
      <c r="L2536" s="10"/>
    </row>
    <row r="2537" spans="1:12" s="146" customFormat="1" ht="37.5" customHeight="1" x14ac:dyDescent="0.25">
      <c r="A2537" s="1051"/>
      <c r="B2537" s="1041"/>
      <c r="C2537" s="1637" t="s">
        <v>1219</v>
      </c>
      <c r="D2537" s="1637"/>
      <c r="E2537" s="1074"/>
      <c r="F2537" s="400"/>
      <c r="G2537" s="100"/>
      <c r="H2537" s="101"/>
      <c r="I2537" s="101"/>
      <c r="J2537" s="101"/>
      <c r="K2537" s="102"/>
      <c r="L2537" s="10"/>
    </row>
    <row r="2538" spans="1:12" s="146" customFormat="1" ht="19.5" customHeight="1" x14ac:dyDescent="0.25">
      <c r="A2538" s="1051"/>
      <c r="B2538" s="1041"/>
      <c r="C2538" s="1184" t="s">
        <v>1697</v>
      </c>
      <c r="D2538" s="1183"/>
      <c r="E2538" s="1074"/>
      <c r="F2538" s="400"/>
      <c r="G2538" s="100"/>
      <c r="H2538" s="101"/>
      <c r="I2538" s="101"/>
      <c r="J2538" s="101"/>
      <c r="K2538" s="102"/>
      <c r="L2538" s="10"/>
    </row>
    <row r="2539" spans="1:12" s="146" customFormat="1" ht="18" customHeight="1" x14ac:dyDescent="0.25">
      <c r="A2539" s="1051"/>
      <c r="B2539" s="1041"/>
      <c r="C2539" s="1062" t="s">
        <v>1220</v>
      </c>
      <c r="D2539" s="1074"/>
      <c r="E2539" s="1074"/>
      <c r="F2539" s="400"/>
      <c r="G2539" s="100"/>
      <c r="H2539" s="102"/>
      <c r="I2539" s="102"/>
      <c r="J2539" s="102"/>
      <c r="K2539" s="102"/>
      <c r="L2539" s="10"/>
    </row>
    <row r="2540" spans="1:12" s="146" customFormat="1" ht="18" customHeight="1" x14ac:dyDescent="0.25">
      <c r="A2540" s="1051"/>
      <c r="B2540" s="1041"/>
      <c r="C2540" s="1062" t="s">
        <v>1966</v>
      </c>
      <c r="D2540" s="1074"/>
      <c r="E2540" s="1074"/>
      <c r="F2540" s="400"/>
      <c r="G2540" s="100"/>
      <c r="H2540" s="102"/>
      <c r="I2540" s="102"/>
      <c r="J2540" s="102"/>
      <c r="K2540" s="102"/>
      <c r="L2540" s="10"/>
    </row>
    <row r="2541" spans="1:12" s="146" customFormat="1" ht="18" customHeight="1" x14ac:dyDescent="0.25">
      <c r="A2541" s="1051"/>
      <c r="B2541" s="1041"/>
      <c r="C2541" s="1062" t="s">
        <v>1221</v>
      </c>
      <c r="D2541" s="1074"/>
      <c r="E2541" s="1074"/>
      <c r="F2541" s="400"/>
      <c r="G2541" s="100"/>
      <c r="H2541" s="101"/>
      <c r="I2541" s="101"/>
      <c r="J2541" s="101"/>
      <c r="K2541" s="102"/>
      <c r="L2541" s="10"/>
    </row>
    <row r="2542" spans="1:12" s="146" customFormat="1" ht="18" customHeight="1" x14ac:dyDescent="0.25">
      <c r="A2542" s="1051"/>
      <c r="B2542" s="1041"/>
      <c r="C2542" s="1062" t="s">
        <v>1222</v>
      </c>
      <c r="D2542" s="1074"/>
      <c r="E2542" s="1074"/>
      <c r="F2542" s="400"/>
      <c r="G2542" s="100"/>
      <c r="H2542" s="101"/>
      <c r="I2542" s="101"/>
      <c r="J2542" s="101"/>
      <c r="K2542" s="102"/>
      <c r="L2542" s="10"/>
    </row>
    <row r="2543" spans="1:12" s="146" customFormat="1" ht="18" customHeight="1" x14ac:dyDescent="0.25">
      <c r="A2543" s="1051"/>
      <c r="B2543" s="1041"/>
      <c r="C2543" s="1062" t="s">
        <v>1699</v>
      </c>
      <c r="D2543" s="1074"/>
      <c r="E2543" s="1074"/>
      <c r="F2543" s="400"/>
      <c r="G2543" s="100"/>
      <c r="H2543" s="101"/>
      <c r="I2543" s="101"/>
      <c r="J2543" s="101"/>
      <c r="K2543" s="102"/>
      <c r="L2543" s="10"/>
    </row>
    <row r="2544" spans="1:12" s="146" customFormat="1" ht="18" customHeight="1" x14ac:dyDescent="0.25">
      <c r="A2544" s="1051"/>
      <c r="B2544" s="1041"/>
      <c r="C2544" s="1062" t="s">
        <v>1223</v>
      </c>
      <c r="D2544" s="1074"/>
      <c r="E2544" s="1074"/>
      <c r="F2544" s="400"/>
      <c r="G2544" s="100"/>
      <c r="H2544" s="102"/>
      <c r="I2544" s="102"/>
      <c r="J2544" s="102"/>
      <c r="K2544" s="102"/>
      <c r="L2544" s="10"/>
    </row>
    <row r="2545" spans="1:12" s="146" customFormat="1" ht="36.75" customHeight="1" x14ac:dyDescent="0.25">
      <c r="A2545" s="1051"/>
      <c r="B2545" s="1041"/>
      <c r="C2545" s="1637" t="s">
        <v>1224</v>
      </c>
      <c r="D2545" s="1637"/>
      <c r="E2545" s="1074"/>
      <c r="F2545" s="400"/>
      <c r="G2545" s="100"/>
      <c r="H2545" s="102"/>
      <c r="I2545" s="102"/>
      <c r="J2545" s="102"/>
      <c r="K2545" s="102"/>
      <c r="L2545" s="10"/>
    </row>
    <row r="2546" spans="1:12" s="146" customFormat="1" ht="18" customHeight="1" x14ac:dyDescent="0.25">
      <c r="A2546" s="1051"/>
      <c r="B2546" s="1041"/>
      <c r="C2546" s="1062" t="s">
        <v>1225</v>
      </c>
      <c r="D2546" s="1074"/>
      <c r="E2546" s="1074"/>
      <c r="F2546" s="400"/>
      <c r="G2546" s="100"/>
      <c r="H2546" s="101"/>
      <c r="I2546" s="101"/>
      <c r="J2546" s="101"/>
      <c r="K2546" s="102"/>
      <c r="L2546" s="10"/>
    </row>
    <row r="2547" spans="1:12" s="146" customFormat="1" ht="18" x14ac:dyDescent="0.25">
      <c r="A2547" s="1051"/>
      <c r="B2547" s="1041"/>
      <c r="C2547" s="153" t="s">
        <v>200</v>
      </c>
      <c r="E2547" s="1041"/>
      <c r="F2547" s="1039"/>
      <c r="G2547" s="100"/>
      <c r="H2547" s="119">
        <f>SUM(H2523:H2546)</f>
        <v>0</v>
      </c>
      <c r="I2547" s="119">
        <f>SUM(I2523:I2546)</f>
        <v>0</v>
      </c>
      <c r="J2547" s="119">
        <f>SUM(J2523:J2546)</f>
        <v>0</v>
      </c>
      <c r="K2547" s="150">
        <f>SUM(K2523:K2546)</f>
        <v>0</v>
      </c>
      <c r="L2547" s="10"/>
    </row>
    <row r="2548" spans="1:12" s="146" customFormat="1" ht="18" x14ac:dyDescent="0.25">
      <c r="A2548" s="1051"/>
      <c r="B2548" s="1041"/>
      <c r="C2548" s="1045"/>
      <c r="D2548" s="153"/>
      <c r="E2548" s="1041"/>
      <c r="F2548" s="1041"/>
      <c r="G2548" s="100"/>
      <c r="H2548" s="155"/>
      <c r="I2548" s="155"/>
      <c r="J2548" s="155"/>
      <c r="K2548" s="156"/>
      <c r="L2548" s="10"/>
    </row>
    <row r="2549" spans="1:12" s="146" customFormat="1" ht="18" x14ac:dyDescent="0.25">
      <c r="A2549" s="1051"/>
      <c r="B2549" s="1041"/>
      <c r="C2549" s="369" t="s">
        <v>1226</v>
      </c>
      <c r="D2549" s="153"/>
      <c r="E2549" s="1041"/>
      <c r="F2549" s="1041"/>
      <c r="G2549" s="100"/>
      <c r="H2549" s="155"/>
      <c r="I2549" s="155"/>
      <c r="J2549" s="155"/>
      <c r="K2549" s="156"/>
      <c r="L2549" s="10"/>
    </row>
    <row r="2550" spans="1:12" s="146" customFormat="1" ht="18" x14ac:dyDescent="0.25">
      <c r="A2550" s="1051"/>
      <c r="B2550" s="1041"/>
      <c r="C2550" s="1062" t="s">
        <v>1227</v>
      </c>
      <c r="D2550" s="153"/>
      <c r="E2550" s="1041"/>
      <c r="F2550" s="1041"/>
      <c r="G2550" s="100"/>
      <c r="H2550" s="101"/>
      <c r="I2550" s="101"/>
      <c r="J2550" s="101"/>
      <c r="K2550" s="102"/>
      <c r="L2550" s="10"/>
    </row>
    <row r="2551" spans="1:12" s="146" customFormat="1" ht="18" x14ac:dyDescent="0.25">
      <c r="A2551" s="1051"/>
      <c r="B2551" s="1041"/>
      <c r="C2551" s="153" t="s">
        <v>200</v>
      </c>
      <c r="E2551" s="1041"/>
      <c r="F2551" s="1041"/>
      <c r="G2551" s="100"/>
      <c r="H2551" s="119">
        <f>SUM(H2550:H2550)</f>
        <v>0</v>
      </c>
      <c r="I2551" s="119">
        <f>SUM(I2550:I2550)</f>
        <v>0</v>
      </c>
      <c r="J2551" s="119">
        <f>SUM(J2550:J2550)</f>
        <v>0</v>
      </c>
      <c r="K2551" s="150">
        <f>SUM(K2550:K2550)</f>
        <v>0</v>
      </c>
      <c r="L2551" s="10"/>
    </row>
    <row r="2552" spans="1:12" s="146" customFormat="1" ht="18" x14ac:dyDescent="0.25">
      <c r="A2552" s="1051"/>
      <c r="B2552" s="1041"/>
      <c r="C2552" s="153"/>
      <c r="E2552" s="1041"/>
      <c r="F2552" s="1041"/>
      <c r="G2552" s="100"/>
      <c r="H2552" s="155"/>
      <c r="I2552" s="155"/>
      <c r="J2552" s="155"/>
      <c r="K2552" s="156"/>
      <c r="L2552" s="10"/>
    </row>
    <row r="2553" spans="1:12" s="146" customFormat="1" ht="18" x14ac:dyDescent="0.25">
      <c r="A2553" s="1051"/>
      <c r="B2553" s="1041"/>
      <c r="C2553" s="36" t="s">
        <v>1228</v>
      </c>
      <c r="D2553" s="450"/>
      <c r="E2553" s="400"/>
      <c r="F2553" s="400"/>
      <c r="G2553" s="100"/>
      <c r="H2553" s="101"/>
      <c r="I2553" s="101"/>
      <c r="J2553" s="101"/>
      <c r="K2553" s="102"/>
      <c r="L2553" s="10"/>
    </row>
    <row r="2554" spans="1:12" s="146" customFormat="1" ht="18" x14ac:dyDescent="0.25">
      <c r="A2554" s="1051"/>
      <c r="B2554" s="1041"/>
      <c r="C2554" s="1062" t="s">
        <v>1229</v>
      </c>
      <c r="D2554" s="157"/>
      <c r="E2554" s="400"/>
      <c r="F2554" s="400"/>
      <c r="G2554" s="100"/>
      <c r="H2554" s="101"/>
      <c r="I2554" s="101"/>
      <c r="J2554" s="101"/>
      <c r="K2554" s="102"/>
      <c r="L2554" s="10"/>
    </row>
    <row r="2555" spans="1:12" s="146" customFormat="1" ht="18" x14ac:dyDescent="0.25">
      <c r="A2555" s="1051"/>
      <c r="B2555" s="1041"/>
      <c r="C2555" s="1062" t="s">
        <v>1230</v>
      </c>
      <c r="D2555" s="157"/>
      <c r="E2555" s="400"/>
      <c r="F2555" s="400"/>
      <c r="G2555" s="100"/>
      <c r="H2555" s="101"/>
      <c r="I2555" s="101"/>
      <c r="J2555" s="101"/>
      <c r="K2555" s="102"/>
      <c r="L2555" s="10"/>
    </row>
    <row r="2556" spans="1:12" s="146" customFormat="1" ht="18" x14ac:dyDescent="0.25">
      <c r="A2556" s="1051"/>
      <c r="B2556" s="1041"/>
      <c r="C2556" s="1062" t="s">
        <v>1231</v>
      </c>
      <c r="D2556" s="157"/>
      <c r="E2556" s="400"/>
      <c r="F2556" s="400"/>
      <c r="G2556" s="100"/>
      <c r="H2556" s="101"/>
      <c r="I2556" s="101"/>
      <c r="J2556" s="101"/>
      <c r="K2556" s="102"/>
      <c r="L2556" s="10"/>
    </row>
    <row r="2557" spans="1:12" s="146" customFormat="1" ht="18" x14ac:dyDescent="0.25">
      <c r="A2557" s="1051"/>
      <c r="B2557" s="1041"/>
      <c r="C2557" s="1062" t="s">
        <v>1232</v>
      </c>
      <c r="D2557" s="157"/>
      <c r="E2557" s="400"/>
      <c r="F2557" s="400"/>
      <c r="G2557" s="100"/>
      <c r="H2557" s="101"/>
      <c r="I2557" s="101"/>
      <c r="J2557" s="101"/>
      <c r="K2557" s="102"/>
      <c r="L2557" s="10"/>
    </row>
    <row r="2558" spans="1:12" s="146" customFormat="1" ht="18" x14ac:dyDescent="0.25">
      <c r="A2558" s="1051"/>
      <c r="B2558" s="1041"/>
      <c r="C2558" s="1062" t="s">
        <v>1233</v>
      </c>
      <c r="D2558" s="157"/>
      <c r="E2558" s="400"/>
      <c r="F2558" s="400"/>
      <c r="G2558" s="100"/>
      <c r="H2558" s="101"/>
      <c r="I2558" s="101"/>
      <c r="J2558" s="101"/>
      <c r="K2558" s="102"/>
      <c r="L2558" s="10"/>
    </row>
    <row r="2559" spans="1:12" s="146" customFormat="1" ht="18" x14ac:dyDescent="0.25">
      <c r="A2559" s="1051"/>
      <c r="B2559" s="1041"/>
      <c r="C2559" s="1062" t="s">
        <v>1234</v>
      </c>
      <c r="D2559" s="157"/>
      <c r="E2559" s="400"/>
      <c r="F2559" s="400"/>
      <c r="G2559" s="100"/>
      <c r="H2559" s="101"/>
      <c r="I2559" s="101"/>
      <c r="J2559" s="101"/>
      <c r="K2559" s="102"/>
      <c r="L2559" s="10"/>
    </row>
    <row r="2560" spans="1:12" s="146" customFormat="1" ht="18" x14ac:dyDescent="0.25">
      <c r="A2560" s="1051"/>
      <c r="B2560" s="1041"/>
      <c r="C2560" s="1062" t="s">
        <v>1235</v>
      </c>
      <c r="D2560" s="157"/>
      <c r="E2560" s="400"/>
      <c r="F2560" s="400"/>
      <c r="G2560" s="100"/>
      <c r="H2560" s="105"/>
      <c r="I2560" s="105"/>
      <c r="J2560" s="105"/>
      <c r="K2560" s="106"/>
      <c r="L2560" s="10"/>
    </row>
    <row r="2561" spans="1:13" s="146" customFormat="1" ht="18" x14ac:dyDescent="0.25">
      <c r="A2561" s="1051"/>
      <c r="B2561" s="1041"/>
      <c r="C2561" s="153" t="s">
        <v>200</v>
      </c>
      <c r="E2561" s="1041"/>
      <c r="F2561" s="1039"/>
      <c r="G2561" s="100"/>
      <c r="H2561" s="119">
        <f>SUM(H2554:H2560)</f>
        <v>0</v>
      </c>
      <c r="I2561" s="119">
        <f>SUM(I2554:I2560)</f>
        <v>0</v>
      </c>
      <c r="J2561" s="119">
        <f>SUM(J2554:J2560)</f>
        <v>0</v>
      </c>
      <c r="K2561" s="150">
        <f>SUM(K2554:K2560)</f>
        <v>0</v>
      </c>
      <c r="L2561" s="10"/>
    </row>
    <row r="2562" spans="1:13" ht="18.75" thickBot="1" x14ac:dyDescent="0.3">
      <c r="A2562" s="1051"/>
      <c r="B2562" s="1041"/>
      <c r="C2562" s="1047" t="s">
        <v>15</v>
      </c>
      <c r="E2562" s="1041"/>
      <c r="F2562" s="1039"/>
      <c r="G2562" s="308"/>
      <c r="H2562" s="123">
        <f>H2561+H2547+H2508+H2491+H2467+H2551</f>
        <v>0</v>
      </c>
      <c r="I2562" s="123">
        <f>I2561+I2547+I2508+I2491+I2467+I2551</f>
        <v>0</v>
      </c>
      <c r="J2562" s="123">
        <f>J2561+J2547+J2508+J2491+J2467+J2551</f>
        <v>0</v>
      </c>
      <c r="K2562" s="158">
        <f>K2561+K2547+K2508+K2491+K2467+K2551</f>
        <v>0</v>
      </c>
    </row>
    <row r="2563" spans="1:13" s="10" customFormat="1" ht="18.75" thickBot="1" x14ac:dyDescent="0.3">
      <c r="A2563" s="1051"/>
      <c r="B2563" s="1041"/>
      <c r="C2563" s="1045"/>
      <c r="D2563" s="1047"/>
      <c r="E2563" s="413"/>
      <c r="F2563" s="1041"/>
      <c r="G2563" s="100"/>
      <c r="H2563" s="155"/>
      <c r="I2563" s="155"/>
      <c r="J2563" s="155"/>
      <c r="K2563" s="156"/>
      <c r="M2563"/>
    </row>
    <row r="2564" spans="1:13" s="10" customFormat="1" ht="18" x14ac:dyDescent="0.25">
      <c r="A2564" s="1188"/>
      <c r="B2564" s="1188"/>
      <c r="C2564" s="1262"/>
      <c r="D2564" s="1084"/>
      <c r="E2564" s="1188"/>
      <c r="F2564" s="1188"/>
      <c r="G2564" s="1263"/>
      <c r="H2564" s="1189"/>
      <c r="I2564" s="1189"/>
      <c r="J2564" s="1189"/>
      <c r="K2564" s="1190"/>
      <c r="M2564"/>
    </row>
    <row r="2565" spans="1:13" s="10" customFormat="1" ht="18" x14ac:dyDescent="0.25">
      <c r="A2565" s="1041"/>
      <c r="B2565" s="1041"/>
      <c r="C2565" s="1045"/>
      <c r="D2565" s="1047"/>
      <c r="E2565" s="1041"/>
      <c r="F2565" s="1041"/>
      <c r="G2565" s="381"/>
      <c r="H2565" s="126"/>
      <c r="I2565" s="126"/>
      <c r="J2565" s="126"/>
      <c r="K2565" s="127"/>
      <c r="M2565"/>
    </row>
    <row r="2566" spans="1:13" s="10" customFormat="1" ht="18" x14ac:dyDescent="0.25">
      <c r="A2566" s="1041"/>
      <c r="B2566" s="1041"/>
      <c r="C2566" s="1045"/>
      <c r="D2566" s="1047"/>
      <c r="E2566" s="1041"/>
      <c r="F2566" s="1041"/>
      <c r="G2566" s="381"/>
      <c r="H2566" s="126"/>
      <c r="I2566" s="126"/>
      <c r="J2566" s="126"/>
      <c r="K2566" s="127"/>
      <c r="M2566"/>
    </row>
    <row r="2567" spans="1:13" s="10" customFormat="1" ht="18" x14ac:dyDescent="0.25">
      <c r="A2567" s="1041"/>
      <c r="B2567" s="1041"/>
      <c r="C2567" s="1045"/>
      <c r="D2567" s="1047"/>
      <c r="E2567" s="1041"/>
      <c r="F2567" s="1041"/>
      <c r="G2567" s="381"/>
      <c r="H2567" s="126"/>
      <c r="I2567" s="126"/>
      <c r="J2567" s="126"/>
      <c r="K2567" s="127"/>
      <c r="M2567"/>
    </row>
    <row r="2568" spans="1:13" s="10" customFormat="1" ht="18" x14ac:dyDescent="0.25">
      <c r="A2568" s="1041"/>
      <c r="B2568" s="1041"/>
      <c r="C2568" s="1045"/>
      <c r="D2568" s="1047"/>
      <c r="E2568" s="1041"/>
      <c r="F2568" s="1041"/>
      <c r="G2568" s="381"/>
      <c r="H2568" s="126"/>
      <c r="I2568" s="126"/>
      <c r="J2568" s="126"/>
      <c r="K2568" s="127"/>
      <c r="M2568"/>
    </row>
    <row r="2569" spans="1:13" s="10" customFormat="1" ht="18" x14ac:dyDescent="0.25">
      <c r="A2569" s="1041"/>
      <c r="B2569" s="1041"/>
      <c r="C2569" s="1045"/>
      <c r="D2569" s="1047"/>
      <c r="E2569" s="1041"/>
      <c r="F2569" s="1041"/>
      <c r="G2569" s="381"/>
      <c r="H2569" s="126"/>
      <c r="I2569" s="126"/>
      <c r="J2569" s="126"/>
      <c r="K2569" s="127"/>
      <c r="M2569"/>
    </row>
    <row r="2570" spans="1:13" s="10" customFormat="1" ht="18" x14ac:dyDescent="0.25">
      <c r="A2570" s="1041"/>
      <c r="B2570" s="1041"/>
      <c r="C2570" s="1045"/>
      <c r="D2570" s="1047"/>
      <c r="E2570" s="1041"/>
      <c r="F2570" s="1041"/>
      <c r="G2570" s="381"/>
      <c r="H2570" s="126"/>
      <c r="I2570" s="126"/>
      <c r="J2570" s="126"/>
      <c r="K2570" s="127"/>
      <c r="M2570"/>
    </row>
    <row r="2571" spans="1:13" s="10" customFormat="1" ht="18" x14ac:dyDescent="0.25">
      <c r="A2571" s="1041"/>
      <c r="B2571" s="1041"/>
      <c r="C2571" s="1045"/>
      <c r="D2571" s="1047"/>
      <c r="E2571" s="1041"/>
      <c r="F2571" s="1041"/>
      <c r="G2571" s="381"/>
      <c r="H2571" s="126"/>
      <c r="I2571" s="126"/>
      <c r="J2571" s="126"/>
      <c r="K2571" s="127"/>
      <c r="M2571"/>
    </row>
    <row r="2572" spans="1:13" s="10" customFormat="1" ht="18" x14ac:dyDescent="0.25">
      <c r="A2572" s="1041"/>
      <c r="B2572" s="1041"/>
      <c r="C2572" s="1045"/>
      <c r="D2572" s="1047"/>
      <c r="E2572" s="1041"/>
      <c r="F2572" s="1041"/>
      <c r="G2572" s="381"/>
      <c r="H2572" s="126"/>
      <c r="I2572" s="126"/>
      <c r="J2572" s="126"/>
      <c r="K2572" s="127"/>
      <c r="M2572"/>
    </row>
    <row r="2573" spans="1:13" s="10" customFormat="1" ht="18" x14ac:dyDescent="0.25">
      <c r="A2573" s="1041"/>
      <c r="B2573" s="1041"/>
      <c r="C2573" s="1045"/>
      <c r="D2573" s="1047"/>
      <c r="E2573" s="1041"/>
      <c r="F2573" s="1041"/>
      <c r="G2573" s="381"/>
      <c r="H2573" s="126"/>
      <c r="I2573" s="126"/>
      <c r="J2573" s="126"/>
      <c r="K2573" s="127"/>
      <c r="M2573"/>
    </row>
    <row r="2574" spans="1:13" s="10" customFormat="1" ht="18" x14ac:dyDescent="0.25">
      <c r="A2574" s="1041"/>
      <c r="B2574" s="1041"/>
      <c r="C2574" s="1045"/>
      <c r="D2574" s="1047"/>
      <c r="E2574" s="1041"/>
      <c r="F2574" s="1041"/>
      <c r="G2574" s="381"/>
      <c r="H2574" s="126"/>
      <c r="I2574" s="126"/>
      <c r="J2574" s="126"/>
      <c r="K2574" s="127"/>
      <c r="M2574"/>
    </row>
    <row r="2575" spans="1:13" s="10" customFormat="1" ht="18" x14ac:dyDescent="0.25">
      <c r="A2575" s="1041"/>
      <c r="B2575" s="1041"/>
      <c r="C2575" s="1045"/>
      <c r="D2575" s="1047"/>
      <c r="E2575" s="1041"/>
      <c r="F2575" s="1041"/>
      <c r="G2575" s="381"/>
      <c r="H2575" s="126"/>
      <c r="I2575" s="126"/>
      <c r="J2575" s="126"/>
      <c r="K2575" s="127"/>
      <c r="M2575"/>
    </row>
    <row r="2576" spans="1:13" s="10" customFormat="1" ht="18" x14ac:dyDescent="0.25">
      <c r="A2576" s="1041"/>
      <c r="B2576" s="1041"/>
      <c r="C2576" s="1045"/>
      <c r="D2576" s="1047"/>
      <c r="E2576" s="1041"/>
      <c r="F2576" s="1041"/>
      <c r="G2576" s="381"/>
      <c r="H2576" s="126"/>
      <c r="I2576" s="126"/>
      <c r="J2576" s="126"/>
      <c r="K2576" s="127"/>
      <c r="M2576"/>
    </row>
    <row r="2577" spans="1:13" s="10" customFormat="1" ht="18" x14ac:dyDescent="0.25">
      <c r="A2577" s="1041"/>
      <c r="B2577" s="1041"/>
      <c r="C2577" s="1045"/>
      <c r="D2577" s="1047"/>
      <c r="E2577" s="1041"/>
      <c r="F2577" s="1041"/>
      <c r="G2577" s="381"/>
      <c r="H2577" s="126"/>
      <c r="I2577" s="126"/>
      <c r="J2577" s="126"/>
      <c r="K2577" s="127"/>
      <c r="M2577"/>
    </row>
    <row r="2578" spans="1:13" s="10" customFormat="1" ht="18" x14ac:dyDescent="0.25">
      <c r="A2578" s="1041"/>
      <c r="B2578" s="1041"/>
      <c r="C2578" s="1045"/>
      <c r="D2578" s="1047"/>
      <c r="E2578" s="1041"/>
      <c r="F2578" s="1041"/>
      <c r="G2578" s="381"/>
      <c r="H2578" s="126"/>
      <c r="I2578" s="126"/>
      <c r="J2578" s="126"/>
      <c r="K2578" s="127"/>
      <c r="M2578"/>
    </row>
    <row r="2579" spans="1:13" ht="18" x14ac:dyDescent="0.25">
      <c r="A2579" s="1041"/>
      <c r="B2579" s="1041"/>
      <c r="C2579" s="1045"/>
      <c r="D2579" s="1047"/>
      <c r="E2579" s="1041"/>
      <c r="F2579" s="1041"/>
      <c r="G2579" s="381"/>
      <c r="H2579" s="126"/>
      <c r="I2579" s="126"/>
      <c r="J2579" s="126"/>
      <c r="K2579" s="127"/>
    </row>
    <row r="2580" spans="1:13" ht="18" x14ac:dyDescent="0.25">
      <c r="A2580" s="1041"/>
      <c r="B2580" s="1041"/>
      <c r="C2580" s="1045"/>
      <c r="D2580" s="1047"/>
      <c r="E2580" s="1041"/>
      <c r="F2580" s="1041"/>
      <c r="G2580" s="381"/>
      <c r="H2580" s="126"/>
      <c r="I2580" s="126"/>
      <c r="J2580" s="126"/>
      <c r="K2580" s="127"/>
    </row>
    <row r="2581" spans="1:13" ht="18" customHeight="1" x14ac:dyDescent="0.25">
      <c r="A2581" s="8" t="s">
        <v>112</v>
      </c>
    </row>
    <row r="2582" spans="1:13" ht="18" customHeight="1" x14ac:dyDescent="0.25">
      <c r="A2582" s="8" t="s">
        <v>1214</v>
      </c>
    </row>
    <row r="2583" spans="1:13" ht="18" customHeight="1" x14ac:dyDescent="0.25">
      <c r="A2583" s="1636" t="s">
        <v>113</v>
      </c>
      <c r="B2583" s="1636"/>
      <c r="C2583" s="1636"/>
      <c r="D2583" s="1636"/>
      <c r="E2583" s="1636"/>
      <c r="F2583" s="1636"/>
      <c r="G2583" s="1636"/>
      <c r="H2583" s="1636"/>
      <c r="I2583" s="1636"/>
      <c r="J2583" s="1636"/>
      <c r="K2583" s="1060"/>
    </row>
    <row r="2584" spans="1:13" s="7" customFormat="1" ht="18" customHeight="1" x14ac:dyDescent="0.25">
      <c r="A2584" s="1624" t="s">
        <v>114</v>
      </c>
      <c r="B2584" s="1624"/>
      <c r="C2584" s="1624"/>
      <c r="D2584" s="1624"/>
      <c r="E2584" s="1624"/>
      <c r="F2584" s="1624"/>
      <c r="G2584" s="1624"/>
      <c r="H2584" s="1624"/>
      <c r="I2584" s="1624"/>
      <c r="J2584" s="1624"/>
      <c r="K2584" s="159"/>
      <c r="L2584" s="6"/>
    </row>
    <row r="2585" spans="1:13" s="7" customFormat="1" ht="18" customHeight="1" x14ac:dyDescent="0.25">
      <c r="A2585" s="1066"/>
      <c r="B2585" s="1066"/>
      <c r="C2585" s="1066"/>
      <c r="D2585" s="1066"/>
      <c r="E2585" s="1066"/>
      <c r="F2585" s="1066"/>
      <c r="G2585" s="1066"/>
      <c r="H2585" s="1066"/>
      <c r="I2585" s="1066"/>
      <c r="J2585" s="1066"/>
      <c r="K2585" s="159"/>
      <c r="L2585" s="6"/>
    </row>
    <row r="2586" spans="1:13" ht="18.75" thickBot="1" x14ac:dyDescent="0.3">
      <c r="A2586" s="41"/>
      <c r="B2586" s="41"/>
      <c r="C2586" s="63"/>
      <c r="D2586" s="41"/>
      <c r="E2586" s="41"/>
      <c r="F2586" s="41"/>
      <c r="G2586" s="41"/>
    </row>
    <row r="2587" spans="1:13" s="48" customFormat="1" ht="21.75" customHeight="1" thickBot="1" x14ac:dyDescent="0.3">
      <c r="A2587" s="1655" t="s">
        <v>115</v>
      </c>
      <c r="B2587" s="1655"/>
      <c r="C2587" s="1655"/>
      <c r="D2587" s="1655"/>
      <c r="E2587" s="1655"/>
      <c r="F2587" s="1655"/>
      <c r="G2587" s="1151"/>
      <c r="H2587" s="1708" t="s">
        <v>1537</v>
      </c>
      <c r="I2587" s="1710" t="s">
        <v>1538</v>
      </c>
      <c r="J2587" s="1710" t="s">
        <v>1539</v>
      </c>
      <c r="K2587" s="1710" t="s">
        <v>1540</v>
      </c>
      <c r="L2587" s="47"/>
    </row>
    <row r="2588" spans="1:13" s="1153" customFormat="1" ht="31.5" customHeight="1" thickBot="1" x14ac:dyDescent="0.3">
      <c r="A2588" s="1655"/>
      <c r="B2588" s="1655"/>
      <c r="C2588" s="1655"/>
      <c r="D2588" s="1655"/>
      <c r="E2588" s="1655"/>
      <c r="F2588" s="1655"/>
      <c r="G2588" s="1067" t="s">
        <v>116</v>
      </c>
      <c r="H2588" s="1709"/>
      <c r="I2588" s="1710"/>
      <c r="J2588" s="1710"/>
      <c r="K2588" s="1710"/>
      <c r="L2588" s="1152"/>
    </row>
    <row r="2589" spans="1:13" ht="18" x14ac:dyDescent="0.25">
      <c r="A2589" s="1051"/>
      <c r="B2589" s="1041"/>
      <c r="C2589" s="36" t="s">
        <v>1236</v>
      </c>
      <c r="D2589" s="199"/>
      <c r="E2589" s="199"/>
      <c r="F2589" s="199"/>
      <c r="G2589" s="100"/>
      <c r="H2589" s="101"/>
      <c r="I2589" s="101"/>
      <c r="J2589" s="101"/>
      <c r="K2589" s="102"/>
    </row>
    <row r="2590" spans="1:13" ht="18" customHeight="1" x14ac:dyDescent="0.25">
      <c r="A2590" s="1051"/>
      <c r="B2590" s="1041"/>
      <c r="C2590" s="1622" t="s">
        <v>1967</v>
      </c>
      <c r="D2590" s="1622"/>
      <c r="E2590" s="199"/>
      <c r="F2590" s="199"/>
      <c r="G2590" s="100"/>
      <c r="H2590" s="101"/>
      <c r="I2590" s="101"/>
      <c r="J2590" s="101"/>
      <c r="K2590" s="102"/>
    </row>
    <row r="2591" spans="1:13" ht="18" customHeight="1" x14ac:dyDescent="0.25">
      <c r="A2591" s="1051"/>
      <c r="B2591" s="1041"/>
      <c r="C2591" s="1622" t="s">
        <v>1968</v>
      </c>
      <c r="D2591" s="1622"/>
      <c r="E2591" s="199"/>
      <c r="F2591" s="199"/>
      <c r="G2591" s="100"/>
      <c r="H2591" s="101"/>
      <c r="I2591" s="101"/>
      <c r="J2591" s="101"/>
      <c r="K2591" s="102"/>
    </row>
    <row r="2592" spans="1:13" ht="18" customHeight="1" x14ac:dyDescent="0.25">
      <c r="A2592" s="1051"/>
      <c r="B2592" s="1041"/>
      <c r="C2592" s="1622" t="s">
        <v>1969</v>
      </c>
      <c r="D2592" s="1622"/>
      <c r="E2592" s="199"/>
      <c r="F2592" s="199"/>
      <c r="G2592" s="100"/>
      <c r="H2592" s="101"/>
      <c r="I2592" s="101"/>
      <c r="J2592" s="101"/>
      <c r="K2592" s="102"/>
    </row>
    <row r="2593" spans="1:12" ht="18" customHeight="1" x14ac:dyDescent="0.25">
      <c r="A2593" s="1051"/>
      <c r="B2593" s="1041"/>
      <c r="C2593" s="1622" t="s">
        <v>1970</v>
      </c>
      <c r="D2593" s="1622"/>
      <c r="E2593" s="199"/>
      <c r="F2593" s="199"/>
      <c r="G2593" s="100"/>
      <c r="H2593" s="101"/>
      <c r="I2593" s="101"/>
      <c r="J2593" s="101"/>
      <c r="K2593" s="102"/>
    </row>
    <row r="2594" spans="1:12" ht="18" x14ac:dyDescent="0.25">
      <c r="A2594" s="1051"/>
      <c r="B2594" s="1041"/>
      <c r="C2594" s="1614" t="s">
        <v>1250</v>
      </c>
      <c r="D2594" s="1614"/>
      <c r="E2594" s="199"/>
      <c r="F2594" s="199"/>
      <c r="G2594" s="100"/>
      <c r="H2594" s="101"/>
      <c r="I2594" s="101"/>
      <c r="J2594" s="101"/>
      <c r="K2594" s="102"/>
    </row>
    <row r="2595" spans="1:12" ht="18" x14ac:dyDescent="0.25">
      <c r="A2595" s="1051"/>
      <c r="B2595" s="1041"/>
      <c r="C2595" s="1042" t="s">
        <v>1971</v>
      </c>
      <c r="D2595" s="1041"/>
      <c r="E2595" s="199"/>
      <c r="F2595" s="199"/>
      <c r="G2595" s="100"/>
      <c r="H2595" s="101"/>
      <c r="I2595" s="101"/>
      <c r="J2595" s="101"/>
      <c r="K2595" s="102"/>
    </row>
    <row r="2596" spans="1:12" ht="18" x14ac:dyDescent="0.25">
      <c r="A2596" s="1051"/>
      <c r="B2596" s="1041"/>
      <c r="C2596" s="1042" t="s">
        <v>1972</v>
      </c>
      <c r="D2596" s="1041"/>
      <c r="E2596" s="199"/>
      <c r="F2596" s="199"/>
      <c r="G2596" s="100"/>
      <c r="H2596" s="101"/>
      <c r="I2596" s="101"/>
      <c r="J2596" s="101"/>
      <c r="K2596" s="102"/>
    </row>
    <row r="2597" spans="1:12" ht="18" customHeight="1" x14ac:dyDescent="0.25">
      <c r="A2597" s="1051"/>
      <c r="B2597" s="1041"/>
      <c r="C2597" s="1622" t="s">
        <v>1973</v>
      </c>
      <c r="D2597" s="1622"/>
      <c r="E2597" s="199"/>
      <c r="F2597" s="199"/>
      <c r="G2597" s="100"/>
      <c r="H2597" s="101"/>
      <c r="I2597" s="101"/>
      <c r="J2597" s="101"/>
      <c r="K2597" s="102"/>
    </row>
    <row r="2598" spans="1:12" ht="18" x14ac:dyDescent="0.25">
      <c r="A2598" s="1051"/>
      <c r="B2598" s="1041"/>
      <c r="C2598" s="1042" t="s">
        <v>1974</v>
      </c>
      <c r="D2598" s="1041"/>
      <c r="E2598" s="199"/>
      <c r="F2598" s="199"/>
      <c r="G2598" s="100"/>
      <c r="H2598" s="101"/>
      <c r="I2598" s="101"/>
      <c r="J2598" s="101"/>
      <c r="K2598" s="102"/>
    </row>
    <row r="2599" spans="1:12" ht="18" x14ac:dyDescent="0.25">
      <c r="A2599" s="1051"/>
      <c r="B2599" s="1041"/>
      <c r="C2599" s="1042" t="s">
        <v>1975</v>
      </c>
      <c r="D2599" s="1041"/>
      <c r="E2599" s="199"/>
      <c r="F2599" s="199"/>
      <c r="G2599" s="100"/>
      <c r="H2599" s="101"/>
      <c r="I2599" s="101"/>
      <c r="J2599" s="101"/>
      <c r="K2599" s="102"/>
    </row>
    <row r="2600" spans="1:12" ht="18" customHeight="1" x14ac:dyDescent="0.25">
      <c r="A2600" s="1051"/>
      <c r="B2600" s="1041"/>
      <c r="C2600" s="1622" t="s">
        <v>1976</v>
      </c>
      <c r="D2600" s="1622"/>
      <c r="E2600" s="199"/>
      <c r="F2600" s="199"/>
      <c r="G2600" s="100"/>
      <c r="H2600" s="101"/>
      <c r="I2600" s="101"/>
      <c r="J2600" s="101"/>
      <c r="K2600" s="102"/>
    </row>
    <row r="2601" spans="1:12" s="146" customFormat="1" ht="15.75" customHeight="1" x14ac:dyDescent="0.25">
      <c r="A2601" s="1051"/>
      <c r="B2601" s="1041"/>
      <c r="C2601" s="38" t="s">
        <v>1237</v>
      </c>
      <c r="D2601" s="157"/>
      <c r="E2601" s="199"/>
      <c r="F2601" s="38"/>
      <c r="G2601" s="100"/>
      <c r="H2601" s="101"/>
      <c r="I2601" s="101"/>
      <c r="J2601" s="101"/>
      <c r="K2601" s="102"/>
      <c r="L2601" s="10"/>
    </row>
    <row r="2602" spans="1:12" s="146" customFormat="1" ht="18" x14ac:dyDescent="0.25">
      <c r="A2602" s="1051"/>
      <c r="B2602" s="1041"/>
      <c r="C2602" s="38" t="s">
        <v>1238</v>
      </c>
      <c r="D2602" s="157"/>
      <c r="E2602" s="199"/>
      <c r="F2602" s="199"/>
      <c r="G2602" s="100"/>
      <c r="H2602" s="101"/>
      <c r="I2602" s="101"/>
      <c r="J2602" s="101"/>
      <c r="K2602" s="102"/>
      <c r="L2602" s="10"/>
    </row>
    <row r="2603" spans="1:12" s="146" customFormat="1" ht="18" x14ac:dyDescent="0.25">
      <c r="A2603" s="1051"/>
      <c r="B2603" s="1041"/>
      <c r="C2603" s="38" t="s">
        <v>1239</v>
      </c>
      <c r="D2603" s="157"/>
      <c r="E2603" s="199"/>
      <c r="F2603" s="199"/>
      <c r="G2603" s="100"/>
      <c r="H2603" s="101"/>
      <c r="I2603" s="101"/>
      <c r="J2603" s="101"/>
      <c r="K2603" s="102"/>
      <c r="L2603" s="10"/>
    </row>
    <row r="2604" spans="1:12" s="146" customFormat="1" ht="18" x14ac:dyDescent="0.25">
      <c r="A2604" s="1051"/>
      <c r="B2604" s="1041"/>
      <c r="C2604" s="38" t="s">
        <v>1240</v>
      </c>
      <c r="D2604" s="157"/>
      <c r="E2604" s="199"/>
      <c r="F2604" s="199"/>
      <c r="G2604" s="100"/>
      <c r="H2604" s="101"/>
      <c r="I2604" s="101"/>
      <c r="J2604" s="101"/>
      <c r="K2604" s="102"/>
      <c r="L2604" s="10"/>
    </row>
    <row r="2605" spans="1:12" s="313" customFormat="1" ht="18" customHeight="1" x14ac:dyDescent="0.25">
      <c r="A2605" s="1081"/>
      <c r="B2605" s="1044"/>
      <c r="C2605" s="1073" t="s">
        <v>1241</v>
      </c>
      <c r="D2605" s="1075"/>
      <c r="E2605" s="427"/>
      <c r="F2605" s="427"/>
      <c r="G2605" s="423"/>
      <c r="H2605" s="101"/>
      <c r="I2605" s="101"/>
      <c r="J2605" s="101"/>
      <c r="K2605" s="102"/>
      <c r="L2605" s="193"/>
    </row>
    <row r="2606" spans="1:12" s="313" customFormat="1" ht="18" customHeight="1" x14ac:dyDescent="0.25">
      <c r="A2606" s="1081"/>
      <c r="B2606" s="1044"/>
      <c r="C2606" s="1073" t="s">
        <v>1242</v>
      </c>
      <c r="D2606" s="1075"/>
      <c r="E2606" s="427"/>
      <c r="F2606" s="427"/>
      <c r="G2606" s="423"/>
      <c r="H2606" s="101"/>
      <c r="I2606" s="101"/>
      <c r="J2606" s="101"/>
      <c r="K2606" s="102"/>
      <c r="L2606" s="193"/>
    </row>
    <row r="2607" spans="1:12" s="313" customFormat="1" ht="18" customHeight="1" x14ac:dyDescent="0.25">
      <c r="A2607" s="1081"/>
      <c r="B2607" s="1044"/>
      <c r="C2607" s="1073" t="s">
        <v>1243</v>
      </c>
      <c r="D2607" s="1075"/>
      <c r="E2607" s="427"/>
      <c r="F2607" s="427"/>
      <c r="G2607" s="423"/>
      <c r="H2607" s="101"/>
      <c r="I2607" s="101"/>
      <c r="J2607" s="101"/>
      <c r="K2607" s="102"/>
      <c r="L2607" s="193"/>
    </row>
    <row r="2608" spans="1:12" s="313" customFormat="1" ht="18.75" customHeight="1" x14ac:dyDescent="0.25">
      <c r="A2608" s="1081"/>
      <c r="B2608" s="1044"/>
      <c r="C2608" s="1628" t="s">
        <v>1244</v>
      </c>
      <c r="D2608" s="1628"/>
      <c r="E2608" s="427"/>
      <c r="F2608" s="427"/>
      <c r="G2608" s="423"/>
      <c r="H2608" s="101"/>
      <c r="I2608" s="101"/>
      <c r="J2608" s="101"/>
      <c r="K2608" s="102"/>
      <c r="L2608" s="193"/>
    </row>
    <row r="2609" spans="1:12" s="146" customFormat="1" ht="18" x14ac:dyDescent="0.25">
      <c r="A2609" s="1051"/>
      <c r="B2609" s="1041"/>
      <c r="C2609" s="38" t="s">
        <v>1371</v>
      </c>
      <c r="D2609" s="157"/>
      <c r="E2609" s="451"/>
      <c r="F2609" s="199"/>
      <c r="G2609" s="100"/>
      <c r="H2609" s="101"/>
      <c r="I2609" s="101"/>
      <c r="J2609" s="101"/>
      <c r="K2609" s="102"/>
      <c r="L2609" s="10"/>
    </row>
    <row r="2610" spans="1:12" s="313" customFormat="1" ht="18" customHeight="1" x14ac:dyDescent="0.25">
      <c r="A2610" s="1081"/>
      <c r="B2610" s="1044"/>
      <c r="C2610" s="1073" t="s">
        <v>1245</v>
      </c>
      <c r="D2610" s="1075"/>
      <c r="E2610" s="427"/>
      <c r="F2610" s="427"/>
      <c r="G2610" s="423"/>
      <c r="H2610" s="101"/>
      <c r="I2610" s="101"/>
      <c r="J2610" s="101"/>
      <c r="K2610" s="102"/>
      <c r="L2610" s="193"/>
    </row>
    <row r="2611" spans="1:12" s="146" customFormat="1" ht="18" x14ac:dyDescent="0.25">
      <c r="A2611" s="1051"/>
      <c r="B2611" s="1041"/>
      <c r="C2611" s="38" t="s">
        <v>1246</v>
      </c>
      <c r="D2611" s="157"/>
      <c r="E2611" s="199"/>
      <c r="F2611" s="199"/>
      <c r="G2611" s="100"/>
      <c r="H2611" s="101"/>
      <c r="I2611" s="101"/>
      <c r="J2611" s="101"/>
      <c r="K2611" s="102"/>
      <c r="L2611" s="10"/>
    </row>
    <row r="2612" spans="1:12" s="313" customFormat="1" ht="18" customHeight="1" x14ac:dyDescent="0.25">
      <c r="A2612" s="1081"/>
      <c r="B2612" s="1044"/>
      <c r="C2612" s="1073" t="s">
        <v>1247</v>
      </c>
      <c r="D2612" s="1075"/>
      <c r="E2612" s="427"/>
      <c r="F2612" s="427"/>
      <c r="G2612" s="423"/>
      <c r="H2612" s="101"/>
      <c r="I2612" s="101"/>
      <c r="J2612" s="101"/>
      <c r="K2612" s="102"/>
      <c r="L2612" s="193"/>
    </row>
    <row r="2613" spans="1:12" s="146" customFormat="1" ht="15.75" customHeight="1" x14ac:dyDescent="0.25">
      <c r="A2613" s="1051"/>
      <c r="B2613" s="1041"/>
      <c r="C2613" s="38" t="s">
        <v>1977</v>
      </c>
      <c r="D2613" s="157"/>
      <c r="E2613" s="199"/>
      <c r="F2613" s="38"/>
      <c r="G2613" s="100"/>
      <c r="H2613" s="101"/>
      <c r="I2613" s="101"/>
      <c r="J2613" s="101"/>
      <c r="K2613" s="102"/>
      <c r="L2613" s="10"/>
    </row>
    <row r="2614" spans="1:12" s="313" customFormat="1" ht="18" customHeight="1" x14ac:dyDescent="0.25">
      <c r="A2614" s="1081"/>
      <c r="B2614" s="1044"/>
      <c r="C2614" s="1073" t="s">
        <v>1248</v>
      </c>
      <c r="D2614" s="1075"/>
      <c r="E2614" s="427"/>
      <c r="F2614" s="427"/>
      <c r="G2614" s="423"/>
      <c r="H2614" s="101"/>
      <c r="I2614" s="101"/>
      <c r="J2614" s="101"/>
      <c r="K2614" s="102"/>
      <c r="L2614" s="193"/>
    </row>
    <row r="2615" spans="1:12" s="146" customFormat="1" ht="32.25" customHeight="1" x14ac:dyDescent="0.25">
      <c r="A2615" s="1051"/>
      <c r="B2615" s="1041"/>
      <c r="C2615" s="1623" t="s">
        <v>1249</v>
      </c>
      <c r="D2615" s="1623"/>
      <c r="E2615" s="199"/>
      <c r="F2615" s="199"/>
      <c r="G2615" s="100"/>
      <c r="H2615" s="101"/>
      <c r="I2615" s="101"/>
      <c r="J2615" s="101"/>
      <c r="K2615" s="102"/>
      <c r="L2615" s="10"/>
    </row>
    <row r="2616" spans="1:12" s="146" customFormat="1" ht="18" x14ac:dyDescent="0.25">
      <c r="A2616" s="1051"/>
      <c r="B2616" s="1041"/>
      <c r="C2616" s="38" t="s">
        <v>1253</v>
      </c>
      <c r="D2616" s="157"/>
      <c r="E2616" s="199"/>
      <c r="F2616" s="305"/>
      <c r="G2616" s="100"/>
      <c r="H2616" s="101"/>
      <c r="I2616" s="101"/>
      <c r="J2616" s="101"/>
      <c r="K2616" s="102"/>
      <c r="L2616" s="10"/>
    </row>
    <row r="2617" spans="1:12" s="146" customFormat="1" ht="15.75" customHeight="1" x14ac:dyDescent="0.25">
      <c r="A2617" s="1051"/>
      <c r="B2617" s="1041"/>
      <c r="C2617" s="1088" t="s">
        <v>1748</v>
      </c>
      <c r="D2617" s="1264"/>
      <c r="E2617" s="199"/>
      <c r="F2617" s="38"/>
      <c r="G2617" s="423"/>
      <c r="H2617" s="101"/>
      <c r="I2617" s="105"/>
      <c r="J2617" s="105"/>
      <c r="K2617" s="106"/>
      <c r="L2617" s="10"/>
    </row>
    <row r="2618" spans="1:12" s="146" customFormat="1" ht="18" x14ac:dyDescent="0.25">
      <c r="A2618" s="1051"/>
      <c r="B2618" s="1041"/>
      <c r="C2618" s="153" t="s">
        <v>15</v>
      </c>
      <c r="E2618" s="199"/>
      <c r="F2618" s="305"/>
      <c r="G2618" s="100"/>
      <c r="H2618" s="119">
        <f>SUM(H2601:H2616)</f>
        <v>0</v>
      </c>
      <c r="I2618" s="119">
        <f>SUM(I2601:I2616)</f>
        <v>0</v>
      </c>
      <c r="J2618" s="119">
        <f>SUM(J2601:J2616)</f>
        <v>0</v>
      </c>
      <c r="K2618" s="150">
        <f>SUM(K2601:K2616)</f>
        <v>0</v>
      </c>
      <c r="L2618" s="10"/>
    </row>
    <row r="2619" spans="1:12" s="146" customFormat="1" ht="18" x14ac:dyDescent="0.25">
      <c r="A2619" s="1051"/>
      <c r="B2619" s="1041"/>
      <c r="C2619" s="153"/>
      <c r="E2619" s="199"/>
      <c r="F2619" s="305"/>
      <c r="G2619" s="100"/>
      <c r="H2619" s="155"/>
      <c r="I2619" s="155"/>
      <c r="J2619" s="155"/>
      <c r="K2619" s="156"/>
      <c r="L2619" s="10"/>
    </row>
    <row r="2620" spans="1:12" s="146" customFormat="1" ht="18" x14ac:dyDescent="0.25">
      <c r="A2620" s="1051"/>
      <c r="B2620" s="1041"/>
      <c r="C2620" s="36" t="s">
        <v>1336</v>
      </c>
      <c r="D2620" s="199"/>
      <c r="E2620" s="199"/>
      <c r="F2620" s="199"/>
      <c r="G2620" s="100"/>
      <c r="H2620" s="101"/>
      <c r="I2620" s="101"/>
      <c r="J2620" s="101"/>
      <c r="K2620" s="102"/>
      <c r="L2620" s="10"/>
    </row>
    <row r="2621" spans="1:12" s="146" customFormat="1" ht="35.25" customHeight="1" x14ac:dyDescent="0.25">
      <c r="A2621" s="1051"/>
      <c r="B2621" s="1041"/>
      <c r="C2621" s="1628" t="s">
        <v>616</v>
      </c>
      <c r="D2621" s="1628"/>
      <c r="E2621" s="199"/>
      <c r="F2621" s="199"/>
      <c r="G2621" s="100"/>
      <c r="H2621" s="101"/>
      <c r="I2621" s="101"/>
      <c r="J2621" s="101"/>
      <c r="K2621" s="102"/>
      <c r="L2621" s="10"/>
    </row>
    <row r="2622" spans="1:12" s="146" customFormat="1" ht="42" customHeight="1" x14ac:dyDescent="0.25">
      <c r="A2622" s="1051"/>
      <c r="B2622" s="1041"/>
      <c r="C2622" s="1628" t="s">
        <v>1978</v>
      </c>
      <c r="D2622" s="1628"/>
      <c r="E2622" s="199"/>
      <c r="F2622" s="199"/>
      <c r="G2622" s="100"/>
      <c r="H2622" s="101"/>
      <c r="I2622" s="101"/>
      <c r="J2622" s="101"/>
      <c r="K2622" s="102"/>
      <c r="L2622" s="10"/>
    </row>
    <row r="2623" spans="1:12" s="146" customFormat="1" ht="18" x14ac:dyDescent="0.25">
      <c r="A2623" s="1051"/>
      <c r="B2623" s="1041"/>
      <c r="C2623" s="153" t="s">
        <v>15</v>
      </c>
      <c r="E2623" s="199"/>
      <c r="F2623" s="198"/>
      <c r="G2623" s="100"/>
      <c r="H2623" s="119"/>
      <c r="I2623" s="119">
        <f>SUM(I2621:I2622)</f>
        <v>0</v>
      </c>
      <c r="J2623" s="119">
        <f>SUM(J2621:J2622)</f>
        <v>0</v>
      </c>
      <c r="K2623" s="150">
        <f>SUM(K2621:K2622)</f>
        <v>0</v>
      </c>
      <c r="L2623" s="10"/>
    </row>
    <row r="2624" spans="1:12" s="146" customFormat="1" ht="18" x14ac:dyDescent="0.25">
      <c r="A2624" s="1051"/>
      <c r="B2624" s="1041"/>
      <c r="C2624" s="38"/>
      <c r="D2624" s="153"/>
      <c r="E2624" s="199"/>
      <c r="F2624" s="198"/>
      <c r="G2624" s="100"/>
      <c r="H2624" s="155"/>
      <c r="I2624" s="155"/>
      <c r="J2624" s="155"/>
      <c r="K2624" s="156"/>
      <c r="L2624" s="10"/>
    </row>
    <row r="2625" spans="1:12" ht="18" x14ac:dyDescent="0.25">
      <c r="A2625" s="1051"/>
      <c r="B2625" s="1041"/>
      <c r="C2625" s="36" t="s">
        <v>1373</v>
      </c>
      <c r="D2625" s="199"/>
      <c r="E2625" s="199"/>
      <c r="F2625" s="199"/>
      <c r="G2625" s="100"/>
      <c r="H2625" s="101"/>
      <c r="I2625" s="101"/>
      <c r="J2625" s="101"/>
      <c r="K2625" s="102"/>
    </row>
    <row r="2626" spans="1:12" ht="18" x14ac:dyDescent="0.25">
      <c r="A2626" s="1051"/>
      <c r="B2626" s="1041"/>
      <c r="C2626" s="38" t="s">
        <v>1979</v>
      </c>
      <c r="D2626" s="199"/>
      <c r="E2626" s="199"/>
      <c r="F2626" s="199"/>
      <c r="G2626" s="100"/>
      <c r="H2626" s="101"/>
      <c r="I2626" s="101"/>
      <c r="J2626" s="101"/>
      <c r="K2626" s="102"/>
    </row>
    <row r="2627" spans="1:12" ht="18" x14ac:dyDescent="0.25">
      <c r="A2627" s="1051"/>
      <c r="B2627" s="1041"/>
      <c r="C2627" s="153" t="s">
        <v>15</v>
      </c>
      <c r="E2627" s="1041"/>
      <c r="F2627" s="1039"/>
      <c r="G2627" s="100"/>
      <c r="H2627" s="119"/>
      <c r="I2627" s="119">
        <f>SUM(I2626:I2626)</f>
        <v>0</v>
      </c>
      <c r="J2627" s="119">
        <f>SUM(J2626:J2626)</f>
        <v>0</v>
      </c>
      <c r="K2627" s="150">
        <f>SUM(K2626:K2626)</f>
        <v>0</v>
      </c>
    </row>
    <row r="2628" spans="1:12" s="146" customFormat="1" ht="22.5" customHeight="1" x14ac:dyDescent="0.25">
      <c r="A2628" s="1072"/>
      <c r="B2628" s="1045"/>
      <c r="C2628" s="1632" t="s">
        <v>1374</v>
      </c>
      <c r="D2628" s="1632"/>
      <c r="E2628" s="1632"/>
      <c r="F2628" s="1633"/>
      <c r="G2628" s="205"/>
      <c r="H2628" s="360">
        <f>H2627+H2623+H2618+H2562+H2451+H2419+H2377+H2355+H2341+H2313+H2300+H2295+H2281+H2259+H2246+H2238+H2219+H2193+H2175+H2158+H2089+H2025+H2003+H1978+H1961+H1952+H1936+H2425+H2042+H2082</f>
        <v>0</v>
      </c>
      <c r="I2628" s="360">
        <f>I2627+I2623+I2618+I2562+I2451+I2419+I2377+I2355+I2341+I2313+I2300+I2295+I2281+I2259+I2246+I2238+I2219+I2193+I2175+I2158+I2089+I2025+I2003+I1978+I1961+I1952+I1936+I2425+I2042+I2082</f>
        <v>18745527</v>
      </c>
      <c r="J2628" s="360">
        <f>J2627+J2623+J2618+J2562+J2451+J2419+J2377+J2355+J2341+J2313+J2300+J2295+J2281+J2259+J2246+J2238+J2219+J2193+J2175+J2158+J2089+J2025+J2003+J1978+J1961+J1952+J1936+J2425+J2042+J2082</f>
        <v>16803527</v>
      </c>
      <c r="K2628" s="360">
        <f>K2627+K2623+K2618+K2562+K2451+K2419+K2377+K2355+K2341+K2313+K2300+K2295+K2281+K2259+K2246+K2238+K2219+K2193+K2175+K2158+K2089+K2025+K2003+K1978+K1961+K1952+K1936+K2425+K2042+K2082</f>
        <v>20989602</v>
      </c>
      <c r="L2628" s="10"/>
    </row>
    <row r="2629" spans="1:12" s="146" customFormat="1" ht="19.5" customHeight="1" x14ac:dyDescent="0.25">
      <c r="A2629" s="1051"/>
      <c r="B2629" s="1041"/>
      <c r="C2629" s="152" t="s">
        <v>1375</v>
      </c>
      <c r="D2629" s="152"/>
      <c r="F2629" s="1048"/>
      <c r="G2629" s="301"/>
      <c r="H2629" s="316" t="e">
        <f>#REF!+H1543+H1862+H1870+H1873+H1880+H2628+H1829+H1646+H1589</f>
        <v>#REF!</v>
      </c>
      <c r="I2629" s="316" t="e">
        <f>#REF!+I1543+I1862+I1870+I1873+I1880+I2628+I1829+I1646+I1589</f>
        <v>#REF!</v>
      </c>
      <c r="J2629" s="316" t="e">
        <f>#REF!+J1543+J1862+J1870+J1873+J1880+J2628+J1829+J1646+J1589</f>
        <v>#REF!</v>
      </c>
      <c r="K2629" s="316" t="e">
        <f>#REF!+K1543+K1862+K1870+K1873+K1880+K2628+K1829+K1646+K1589</f>
        <v>#REF!</v>
      </c>
      <c r="L2629" s="10"/>
    </row>
    <row r="2630" spans="1:12" s="146" customFormat="1" ht="18.75" thickBot="1" x14ac:dyDescent="0.3">
      <c r="A2630" s="187"/>
      <c r="B2630" s="413"/>
      <c r="C2630" s="318"/>
      <c r="D2630" s="1096"/>
      <c r="E2630" s="1096"/>
      <c r="F2630" s="660"/>
      <c r="G2630" s="392"/>
      <c r="H2630" s="182"/>
      <c r="I2630" s="182"/>
      <c r="J2630" s="182"/>
      <c r="K2630" s="183"/>
      <c r="L2630" s="10"/>
    </row>
    <row r="2631" spans="1:12" s="146" customFormat="1" ht="18" x14ac:dyDescent="0.25">
      <c r="A2631" s="1041"/>
      <c r="B2631" s="1041"/>
      <c r="C2631" s="1045"/>
      <c r="D2631" s="1041"/>
      <c r="E2631" s="1041"/>
      <c r="F2631" s="1041"/>
      <c r="G2631" s="381"/>
      <c r="H2631" s="141"/>
      <c r="I2631" s="1265"/>
      <c r="J2631" s="1265"/>
      <c r="K2631" s="1266"/>
      <c r="L2631" s="10"/>
    </row>
    <row r="2632" spans="1:12" s="146" customFormat="1" ht="18" x14ac:dyDescent="0.25">
      <c r="A2632" s="1041"/>
      <c r="B2632" s="1041"/>
      <c r="C2632" s="1045"/>
      <c r="D2632" s="1041"/>
      <c r="E2632" s="1041"/>
      <c r="F2632" s="1041"/>
      <c r="G2632" s="381"/>
      <c r="H2632" s="141"/>
      <c r="I2632" s="1265"/>
      <c r="J2632" s="141"/>
      <c r="K2632" s="122"/>
      <c r="L2632" s="10"/>
    </row>
    <row r="2633" spans="1:12" s="146" customFormat="1" ht="18" x14ac:dyDescent="0.25">
      <c r="A2633" s="1041"/>
      <c r="B2633" s="1041"/>
      <c r="C2633" s="1045"/>
      <c r="D2633" s="1041"/>
      <c r="E2633" s="1041"/>
      <c r="F2633" s="1041"/>
      <c r="G2633" s="381"/>
      <c r="H2633" s="141"/>
      <c r="I2633" s="1265"/>
      <c r="J2633" s="141"/>
      <c r="K2633" s="122"/>
      <c r="L2633" s="10"/>
    </row>
    <row r="2634" spans="1:12" s="146" customFormat="1" ht="18" x14ac:dyDescent="0.25">
      <c r="A2634" s="1041"/>
      <c r="B2634" s="1041"/>
      <c r="C2634" s="1045"/>
      <c r="D2634" s="1041"/>
      <c r="E2634" s="1041"/>
      <c r="F2634" s="1041"/>
      <c r="G2634" s="381"/>
      <c r="H2634" s="141"/>
      <c r="I2634" s="1265"/>
      <c r="J2634" s="141"/>
      <c r="K2634" s="122"/>
      <c r="L2634" s="10"/>
    </row>
    <row r="2635" spans="1:12" s="146" customFormat="1" ht="18" x14ac:dyDescent="0.25">
      <c r="A2635" s="1041"/>
      <c r="B2635" s="1041"/>
      <c r="C2635" s="1045"/>
      <c r="D2635" s="1041"/>
      <c r="E2635" s="1041"/>
      <c r="F2635" s="1041"/>
      <c r="G2635" s="381"/>
      <c r="H2635" s="141"/>
      <c r="I2635" s="1265"/>
      <c r="J2635" s="141"/>
      <c r="K2635" s="122"/>
      <c r="L2635" s="10"/>
    </row>
    <row r="2636" spans="1:12" s="146" customFormat="1" ht="18" x14ac:dyDescent="0.25">
      <c r="A2636" s="1041"/>
      <c r="B2636" s="1041"/>
      <c r="C2636" s="1045"/>
      <c r="D2636" s="1041"/>
      <c r="E2636" s="1041"/>
      <c r="F2636" s="1041"/>
      <c r="G2636" s="381"/>
      <c r="H2636" s="141"/>
      <c r="I2636" s="141"/>
      <c r="J2636" s="141"/>
      <c r="K2636" s="122"/>
      <c r="L2636" s="10"/>
    </row>
    <row r="2637" spans="1:12" s="146" customFormat="1" ht="18" x14ac:dyDescent="0.25">
      <c r="A2637" s="1041"/>
      <c r="B2637" s="1041"/>
      <c r="C2637" s="1045"/>
      <c r="D2637" s="1041"/>
      <c r="E2637" s="1041"/>
      <c r="F2637" s="1041"/>
      <c r="G2637" s="381"/>
      <c r="H2637" s="141"/>
      <c r="I2637" s="141"/>
      <c r="J2637" s="141"/>
      <c r="K2637" s="122"/>
      <c r="L2637" s="10"/>
    </row>
    <row r="2638" spans="1:12" s="146" customFormat="1" ht="18" x14ac:dyDescent="0.25">
      <c r="A2638" s="1041"/>
      <c r="B2638" s="1041"/>
      <c r="C2638" s="1045"/>
      <c r="D2638" s="1041"/>
      <c r="E2638" s="1041"/>
      <c r="F2638" s="1041"/>
      <c r="G2638" s="381"/>
      <c r="H2638" s="141"/>
      <c r="I2638" s="141"/>
      <c r="J2638" s="141"/>
      <c r="K2638" s="122"/>
      <c r="L2638" s="10"/>
    </row>
    <row r="2639" spans="1:12" s="146" customFormat="1" ht="18" x14ac:dyDescent="0.25">
      <c r="A2639" s="1041"/>
      <c r="B2639" s="1041"/>
      <c r="C2639" s="1045"/>
      <c r="D2639" s="1041"/>
      <c r="E2639" s="1041"/>
      <c r="F2639" s="1041"/>
      <c r="G2639" s="381"/>
      <c r="H2639" s="141"/>
      <c r="I2639" s="141"/>
      <c r="J2639" s="141"/>
      <c r="K2639" s="122"/>
      <c r="L2639" s="10"/>
    </row>
    <row r="2640" spans="1:12" s="146" customFormat="1" ht="18" x14ac:dyDescent="0.25">
      <c r="A2640" s="1041"/>
      <c r="B2640" s="1041"/>
      <c r="C2640" s="1045"/>
      <c r="D2640" s="1041"/>
      <c r="E2640" s="1041"/>
      <c r="F2640" s="1041"/>
      <c r="G2640" s="381"/>
      <c r="H2640" s="141"/>
      <c r="I2640" s="141"/>
      <c r="J2640" s="141"/>
      <c r="K2640" s="122"/>
      <c r="L2640" s="10"/>
    </row>
    <row r="2641" spans="1:12" s="146" customFormat="1" ht="18" x14ac:dyDescent="0.25">
      <c r="A2641" s="1041"/>
      <c r="B2641" s="1041"/>
      <c r="C2641" s="1045"/>
      <c r="D2641" s="1041"/>
      <c r="E2641" s="1041"/>
      <c r="F2641" s="1041"/>
      <c r="G2641" s="381"/>
      <c r="H2641" s="141"/>
      <c r="I2641" s="141"/>
      <c r="J2641" s="141"/>
      <c r="K2641" s="122"/>
      <c r="L2641" s="10"/>
    </row>
    <row r="2642" spans="1:12" s="146" customFormat="1" ht="18" x14ac:dyDescent="0.25">
      <c r="A2642" s="1041"/>
      <c r="B2642" s="1041"/>
      <c r="C2642" s="1045"/>
      <c r="D2642" s="1041"/>
      <c r="E2642" s="1041"/>
      <c r="F2642" s="1041"/>
      <c r="G2642" s="381"/>
      <c r="H2642" s="141"/>
      <c r="I2642" s="141"/>
      <c r="J2642" s="141"/>
      <c r="K2642" s="122"/>
      <c r="L2642" s="10"/>
    </row>
    <row r="2643" spans="1:12" s="146" customFormat="1" ht="18" x14ac:dyDescent="0.25">
      <c r="A2643" s="1041"/>
      <c r="B2643" s="1041"/>
      <c r="C2643" s="1045"/>
      <c r="D2643" s="1041"/>
      <c r="E2643" s="1041"/>
      <c r="F2643" s="1041"/>
      <c r="G2643" s="381"/>
      <c r="H2643" s="141"/>
      <c r="I2643" s="141"/>
      <c r="J2643" s="141"/>
      <c r="K2643" s="122"/>
      <c r="L2643" s="10"/>
    </row>
    <row r="2644" spans="1:12" s="146" customFormat="1" ht="18" x14ac:dyDescent="0.25">
      <c r="A2644" s="1041"/>
      <c r="B2644" s="1041"/>
      <c r="C2644" s="1045"/>
      <c r="D2644" s="1041"/>
      <c r="E2644" s="1041"/>
      <c r="F2644" s="1041"/>
      <c r="G2644" s="381"/>
      <c r="H2644" s="141"/>
      <c r="I2644" s="141"/>
      <c r="J2644" s="141"/>
      <c r="K2644" s="122"/>
      <c r="L2644" s="10"/>
    </row>
    <row r="2645" spans="1:12" s="146" customFormat="1" ht="18" x14ac:dyDescent="0.25">
      <c r="A2645" s="1041"/>
      <c r="B2645" s="1041"/>
      <c r="C2645" s="1045"/>
      <c r="D2645" s="1041"/>
      <c r="E2645" s="1041"/>
      <c r="F2645" s="1041"/>
      <c r="G2645" s="381"/>
      <c r="H2645" s="141"/>
      <c r="I2645" s="141"/>
      <c r="J2645" s="141"/>
      <c r="K2645" s="122"/>
      <c r="L2645" s="10"/>
    </row>
    <row r="2646" spans="1:12" s="146" customFormat="1" ht="18" x14ac:dyDescent="0.25">
      <c r="A2646" s="1041"/>
      <c r="B2646" s="1041"/>
      <c r="C2646" s="1045"/>
      <c r="D2646" s="1041"/>
      <c r="E2646" s="1041"/>
      <c r="F2646" s="1041"/>
      <c r="G2646" s="381"/>
      <c r="H2646" s="141"/>
      <c r="I2646" s="141"/>
      <c r="J2646" s="141"/>
      <c r="K2646" s="122"/>
      <c r="L2646" s="10"/>
    </row>
    <row r="2647" spans="1:12" s="146" customFormat="1" ht="18" x14ac:dyDescent="0.25">
      <c r="A2647" s="1041"/>
      <c r="B2647" s="1041"/>
      <c r="C2647" s="1045"/>
      <c r="D2647" s="1041"/>
      <c r="E2647" s="1041"/>
      <c r="F2647" s="1041"/>
      <c r="G2647" s="381"/>
      <c r="H2647" s="141"/>
      <c r="I2647" s="141"/>
      <c r="J2647" s="141"/>
      <c r="K2647" s="122"/>
      <c r="L2647" s="10"/>
    </row>
    <row r="2648" spans="1:12" s="146" customFormat="1" ht="18" x14ac:dyDescent="0.25">
      <c r="A2648" s="1041"/>
      <c r="B2648" s="1041"/>
      <c r="C2648" s="1045"/>
      <c r="D2648" s="1041"/>
      <c r="E2648" s="1041"/>
      <c r="F2648" s="1041"/>
      <c r="G2648" s="381"/>
      <c r="H2648" s="141"/>
      <c r="I2648" s="141"/>
      <c r="J2648" s="141"/>
      <c r="K2648" s="122"/>
      <c r="L2648" s="10"/>
    </row>
    <row r="2649" spans="1:12" s="146" customFormat="1" ht="18" x14ac:dyDescent="0.25">
      <c r="A2649" s="1041"/>
      <c r="B2649" s="1041"/>
      <c r="C2649" s="1045"/>
      <c r="D2649" s="1041"/>
      <c r="E2649" s="1041"/>
      <c r="F2649" s="1041"/>
      <c r="G2649" s="381"/>
      <c r="H2649" s="141"/>
      <c r="I2649" s="141"/>
      <c r="J2649" s="141"/>
      <c r="K2649" s="122"/>
      <c r="L2649" s="10"/>
    </row>
    <row r="2650" spans="1:12" s="146" customFormat="1" ht="18" x14ac:dyDescent="0.25">
      <c r="A2650" s="1041"/>
      <c r="B2650" s="1041"/>
      <c r="C2650" s="1045"/>
      <c r="D2650" s="1041"/>
      <c r="E2650" s="1041"/>
      <c r="F2650" s="1041"/>
      <c r="G2650" s="381"/>
      <c r="H2650" s="141"/>
      <c r="I2650" s="141"/>
      <c r="J2650" s="141"/>
      <c r="K2650" s="122"/>
      <c r="L2650" s="10"/>
    </row>
    <row r="2651" spans="1:12" s="146" customFormat="1" ht="18" x14ac:dyDescent="0.25">
      <c r="A2651" s="1041"/>
      <c r="B2651" s="1041"/>
      <c r="C2651" s="1045"/>
      <c r="D2651" s="1041"/>
      <c r="E2651" s="1041"/>
      <c r="F2651" s="1041"/>
      <c r="G2651" s="381"/>
      <c r="H2651" s="141"/>
      <c r="I2651" s="141"/>
      <c r="J2651" s="141"/>
      <c r="K2651" s="122"/>
      <c r="L2651" s="10"/>
    </row>
    <row r="2652" spans="1:12" ht="18" customHeight="1" x14ac:dyDescent="0.25">
      <c r="A2652" s="8" t="s">
        <v>112</v>
      </c>
    </row>
    <row r="2653" spans="1:12" ht="18" customHeight="1" x14ac:dyDescent="0.25">
      <c r="A2653" s="8" t="s">
        <v>1980</v>
      </c>
    </row>
    <row r="2654" spans="1:12" ht="18" customHeight="1" x14ac:dyDescent="0.25"/>
    <row r="2655" spans="1:12" ht="18" customHeight="1" x14ac:dyDescent="0.25">
      <c r="A2655" s="1636" t="s">
        <v>113</v>
      </c>
      <c r="B2655" s="1636"/>
      <c r="C2655" s="1636"/>
      <c r="D2655" s="1636"/>
      <c r="E2655" s="1636"/>
      <c r="F2655" s="1636"/>
      <c r="G2655" s="1636"/>
      <c r="H2655" s="1636"/>
      <c r="I2655" s="1636"/>
      <c r="J2655" s="1636"/>
      <c r="K2655" s="1060"/>
    </row>
    <row r="2656" spans="1:12" s="7" customFormat="1" ht="18" customHeight="1" x14ac:dyDescent="0.25">
      <c r="A2656" s="1624" t="s">
        <v>114</v>
      </c>
      <c r="B2656" s="1624"/>
      <c r="C2656" s="1624"/>
      <c r="D2656" s="1624"/>
      <c r="E2656" s="1624"/>
      <c r="F2656" s="1624"/>
      <c r="G2656" s="1624"/>
      <c r="H2656" s="1624"/>
      <c r="I2656" s="1624"/>
      <c r="J2656" s="1624"/>
      <c r="K2656" s="159"/>
      <c r="L2656" s="6"/>
    </row>
    <row r="2657" spans="1:13" s="7" customFormat="1" ht="18" customHeight="1" x14ac:dyDescent="0.25">
      <c r="A2657" s="1066"/>
      <c r="B2657" s="1066"/>
      <c r="C2657" s="1066"/>
      <c r="D2657" s="1066"/>
      <c r="E2657" s="1066"/>
      <c r="F2657" s="1066"/>
      <c r="G2657" s="1066"/>
      <c r="H2657" s="1066"/>
      <c r="I2657" s="1066"/>
      <c r="J2657" s="1066"/>
      <c r="K2657" s="159"/>
      <c r="L2657" s="6"/>
    </row>
    <row r="2658" spans="1:13" ht="19.5" customHeight="1" x14ac:dyDescent="0.25">
      <c r="C2658" s="44"/>
      <c r="D2658" s="125"/>
      <c r="E2658" s="125"/>
      <c r="F2658" s="125"/>
      <c r="G2658" s="380"/>
      <c r="H2658" s="160"/>
      <c r="I2658" s="160"/>
      <c r="J2658" s="160"/>
      <c r="K2658" s="161"/>
    </row>
    <row r="2659" spans="1:13" s="146" customFormat="1" ht="18" x14ac:dyDescent="0.25">
      <c r="A2659" s="459"/>
      <c r="B2659" s="235"/>
      <c r="C2659" s="38" t="s">
        <v>1301</v>
      </c>
      <c r="D2659" s="235"/>
      <c r="E2659" s="235"/>
      <c r="F2659" s="235"/>
      <c r="G2659" s="394" t="s">
        <v>1302</v>
      </c>
      <c r="H2659" s="101"/>
      <c r="I2659" s="101"/>
      <c r="J2659" s="101"/>
      <c r="K2659" s="102"/>
      <c r="L2659" s="10"/>
    </row>
    <row r="2660" spans="1:13" ht="18" x14ac:dyDescent="0.25">
      <c r="A2660" s="459"/>
      <c r="B2660" s="235"/>
      <c r="C2660" s="38" t="s">
        <v>204</v>
      </c>
      <c r="D2660" s="235"/>
      <c r="E2660" s="235"/>
      <c r="F2660" s="235"/>
      <c r="G2660" s="394"/>
      <c r="H2660" s="101"/>
      <c r="I2660" s="105"/>
      <c r="J2660" s="105"/>
      <c r="K2660" s="106"/>
    </row>
    <row r="2661" spans="1:13" ht="18" x14ac:dyDescent="0.25">
      <c r="A2661" s="459"/>
      <c r="B2661" s="235"/>
      <c r="C2661" s="51"/>
      <c r="D2661" s="153" t="s">
        <v>200</v>
      </c>
      <c r="E2661" s="153"/>
      <c r="F2661" s="153"/>
      <c r="G2661" s="463"/>
      <c r="H2661" s="119" t="e">
        <f>SUM(H1386:H2660)</f>
        <v>#REF!</v>
      </c>
      <c r="I2661" s="119" t="e">
        <f>SUM(I1386:I2660)</f>
        <v>#REF!</v>
      </c>
      <c r="J2661" s="119" t="e">
        <f>SUM(J1386:J2660)</f>
        <v>#REF!</v>
      </c>
      <c r="K2661" s="150" t="e">
        <f>SUM(K1386:K2660)</f>
        <v>#REF!</v>
      </c>
    </row>
    <row r="2662" spans="1:13" ht="18.75" thickBot="1" x14ac:dyDescent="0.3">
      <c r="A2662" s="459"/>
      <c r="B2662" s="235"/>
      <c r="C2662" s="51"/>
      <c r="D2662" s="198" t="s">
        <v>15</v>
      </c>
      <c r="E2662" s="592"/>
      <c r="F2662" s="1268"/>
      <c r="G2662" s="462"/>
      <c r="H2662" s="182" t="e">
        <f>SUM(H2661+H1384+H1373)</f>
        <v>#REF!</v>
      </c>
      <c r="I2662" s="182" t="e">
        <f>SUM(I2661+I1384+I1373)</f>
        <v>#REF!</v>
      </c>
      <c r="J2662" s="182" t="e">
        <f>SUM(J2661+J1384+J1373)</f>
        <v>#REF!</v>
      </c>
      <c r="K2662" s="183" t="e">
        <f>SUM(K2661+K1384+K1373)</f>
        <v>#REF!</v>
      </c>
    </row>
    <row r="2663" spans="1:13" ht="18.75" thickBot="1" x14ac:dyDescent="0.3">
      <c r="A2663" s="464"/>
      <c r="B2663" s="556"/>
      <c r="C2663" s="465"/>
      <c r="D2663" s="466"/>
      <c r="E2663" s="461"/>
      <c r="F2663" s="1267"/>
      <c r="G2663" s="467"/>
      <c r="H2663" s="1269"/>
      <c r="I2663" s="1269"/>
      <c r="J2663" s="1269"/>
      <c r="K2663" s="1270"/>
    </row>
    <row r="2664" spans="1:13" s="281" customFormat="1" ht="15" x14ac:dyDescent="0.25">
      <c r="A2664" s="589"/>
      <c r="B2664" s="592"/>
      <c r="C2664" s="591" t="s">
        <v>1375</v>
      </c>
      <c r="D2664" s="592"/>
      <c r="E2664" s="592"/>
      <c r="F2664" s="1268"/>
      <c r="G2664" s="592"/>
      <c r="H2664" s="1271" t="e">
        <f>H2629</f>
        <v>#REF!</v>
      </c>
      <c r="I2664" s="1271" t="e">
        <f>I2629</f>
        <v>#REF!</v>
      </c>
      <c r="J2664" s="1271" t="e">
        <f>J2629</f>
        <v>#REF!</v>
      </c>
      <c r="K2664" s="1271" t="e">
        <f>K2629</f>
        <v>#REF!</v>
      </c>
      <c r="L2664" s="593"/>
    </row>
    <row r="2665" spans="1:13" s="281" customFormat="1" ht="15" x14ac:dyDescent="0.25">
      <c r="A2665" s="589"/>
      <c r="B2665" s="592"/>
      <c r="C2665" s="591" t="s">
        <v>1378</v>
      </c>
      <c r="D2665" s="592"/>
      <c r="E2665" s="592"/>
      <c r="F2665" s="1268"/>
      <c r="G2665" s="592"/>
      <c r="H2665" s="315" t="e">
        <f>SUM(H2662+H1326+H1259)</f>
        <v>#REF!</v>
      </c>
      <c r="I2665" s="315" t="e">
        <f>SUM(I2662+I1326+I1259)</f>
        <v>#REF!</v>
      </c>
      <c r="J2665" s="315" t="e">
        <f>SUM(J2662+J1326+J1259)</f>
        <v>#REF!</v>
      </c>
      <c r="K2665" s="315" t="e">
        <f>SUM(K2662+K1326+K1259)</f>
        <v>#REF!</v>
      </c>
      <c r="L2665" s="593"/>
    </row>
    <row r="2666" spans="1:13" s="281" customFormat="1" thickBot="1" x14ac:dyDescent="0.3">
      <c r="A2666" s="460"/>
      <c r="B2666" s="461"/>
      <c r="C2666" s="594" t="s">
        <v>1379</v>
      </c>
      <c r="D2666" s="461"/>
      <c r="E2666" s="461"/>
      <c r="F2666" s="1267"/>
      <c r="G2666" s="461"/>
      <c r="H2666" s="457" t="e">
        <f>SUM(H2664:H2665)</f>
        <v>#REF!</v>
      </c>
      <c r="I2666" s="457" t="e">
        <f>SUM(I2664:I2665)</f>
        <v>#REF!</v>
      </c>
      <c r="J2666" s="457" t="e">
        <f>SUM(J2664:J2665)</f>
        <v>#REF!</v>
      </c>
      <c r="K2666" s="457" t="e">
        <f>SUM(K2664:K2665)</f>
        <v>#REF!</v>
      </c>
      <c r="L2666" s="593"/>
    </row>
    <row r="2667" spans="1:13" x14ac:dyDescent="0.25">
      <c r="H2667" s="1272"/>
      <c r="I2667" s="1272"/>
      <c r="J2667" s="1272"/>
      <c r="K2667" s="1273"/>
    </row>
    <row r="2668" spans="1:13" ht="18" x14ac:dyDescent="0.25">
      <c r="E2668" s="41"/>
      <c r="F2668" s="41"/>
      <c r="G2668" s="41"/>
      <c r="H2668" s="1275"/>
      <c r="I2668" s="1276">
        <v>1055271768.92</v>
      </c>
      <c r="J2668" s="1277">
        <v>970766268.91999996</v>
      </c>
      <c r="K2668" s="1278">
        <v>799845957.49000001</v>
      </c>
      <c r="L2668" s="200"/>
    </row>
    <row r="2669" spans="1:13" ht="18" x14ac:dyDescent="0.25">
      <c r="E2669" s="41"/>
      <c r="F2669" s="41"/>
      <c r="G2669" s="41"/>
      <c r="H2669" s="1274" t="e">
        <f>H2668-H2666</f>
        <v>#REF!</v>
      </c>
      <c r="I2669" s="1274" t="e">
        <f>I2668-I2666</f>
        <v>#REF!</v>
      </c>
      <c r="J2669" s="1274" t="e">
        <f>J2668-J2666</f>
        <v>#REF!</v>
      </c>
      <c r="K2669" s="1274" t="e">
        <f>K2668-K2666</f>
        <v>#REF!</v>
      </c>
      <c r="L2669" s="1279"/>
    </row>
    <row r="2670" spans="1:13" s="281" customFormat="1" ht="18" x14ac:dyDescent="0.25">
      <c r="A2670" s="597"/>
      <c r="B2670" s="597"/>
      <c r="C2670" s="1682" t="s">
        <v>1380</v>
      </c>
      <c r="D2670" s="1682"/>
      <c r="E2670" s="151"/>
      <c r="F2670" s="151"/>
      <c r="G2670" s="151"/>
      <c r="H2670" s="1280"/>
      <c r="I2670" s="1281"/>
      <c r="J2670" s="1281"/>
      <c r="K2670" s="1281"/>
      <c r="L2670" s="1282"/>
    </row>
    <row r="2671" spans="1:13" s="10" customFormat="1" ht="18" x14ac:dyDescent="0.25">
      <c r="A2671" s="8"/>
      <c r="B2671" s="8"/>
      <c r="C2671" s="63"/>
      <c r="D2671" s="41"/>
      <c r="E2671" s="41"/>
      <c r="F2671" s="41"/>
      <c r="G2671" s="41"/>
      <c r="H2671" s="1283"/>
      <c r="I2671" s="1284"/>
      <c r="J2671" s="1284"/>
      <c r="K2671" s="1284"/>
      <c r="M2671"/>
    </row>
    <row r="2672" spans="1:13" s="10" customFormat="1" ht="18" x14ac:dyDescent="0.25">
      <c r="A2672" s="8"/>
      <c r="B2672" s="8"/>
      <c r="C2672" s="63"/>
      <c r="D2672" s="41"/>
      <c r="E2672" s="41"/>
      <c r="F2672" s="41"/>
      <c r="G2672" s="41"/>
      <c r="H2672" s="1283"/>
      <c r="I2672" s="1284"/>
      <c r="J2672" s="1284"/>
      <c r="K2672" s="1284"/>
      <c r="M2672"/>
    </row>
    <row r="2673" spans="1:13" s="10" customFormat="1" ht="18" x14ac:dyDescent="0.25">
      <c r="A2673" s="8"/>
      <c r="B2673" s="8"/>
      <c r="C2673" s="1083" t="s">
        <v>1989</v>
      </c>
      <c r="D2673" s="1083"/>
      <c r="E2673" s="8"/>
      <c r="F2673" s="8"/>
      <c r="G2673" s="8"/>
      <c r="H2673" s="1272"/>
      <c r="I2673" s="1272"/>
      <c r="J2673" s="1272"/>
      <c r="K2673" s="1273"/>
      <c r="M2673"/>
    </row>
    <row r="2674" spans="1:13" s="10" customFormat="1" ht="18" x14ac:dyDescent="0.25">
      <c r="A2674" s="8"/>
      <c r="B2674" s="8"/>
      <c r="C2674" s="1094" t="s">
        <v>1990</v>
      </c>
      <c r="D2674" s="1094"/>
      <c r="E2674" s="8"/>
      <c r="F2674" s="8"/>
      <c r="G2674" s="8"/>
      <c r="H2674" s="200"/>
      <c r="I2674" s="200"/>
      <c r="J2674" s="200"/>
      <c r="K2674" s="201"/>
      <c r="M2674"/>
    </row>
    <row r="2675" spans="1:13" s="10" customFormat="1" x14ac:dyDescent="0.25">
      <c r="A2675" s="8"/>
      <c r="B2675" s="8"/>
      <c r="C2675" s="9"/>
      <c r="D2675" s="8"/>
      <c r="E2675" s="8"/>
      <c r="F2675" s="8"/>
      <c r="G2675" s="8"/>
      <c r="H2675" s="200"/>
      <c r="I2675" s="200"/>
      <c r="J2675" s="200"/>
      <c r="K2675" s="201"/>
      <c r="M2675"/>
    </row>
    <row r="2676" spans="1:13" s="10" customFormat="1" x14ac:dyDescent="0.25">
      <c r="A2676" s="8"/>
      <c r="B2676" s="8"/>
      <c r="C2676" s="9"/>
      <c r="D2676" s="8"/>
      <c r="E2676" s="8"/>
      <c r="F2676" s="8"/>
      <c r="G2676" s="8"/>
      <c r="H2676" s="200"/>
      <c r="I2676" s="200"/>
      <c r="J2676" s="200"/>
      <c r="K2676" s="201"/>
      <c r="M2676"/>
    </row>
    <row r="2677" spans="1:13" s="10" customFormat="1" x14ac:dyDescent="0.25">
      <c r="A2677" s="8"/>
      <c r="B2677" s="8"/>
      <c r="C2677" s="9"/>
      <c r="D2677" s="8"/>
      <c r="E2677" s="8"/>
      <c r="F2677" s="8"/>
      <c r="G2677" s="8"/>
      <c r="H2677" s="200"/>
      <c r="I2677" s="200"/>
      <c r="J2677" s="200"/>
      <c r="K2677" s="201"/>
      <c r="M2677"/>
    </row>
    <row r="2678" spans="1:13" s="10" customFormat="1" x14ac:dyDescent="0.25">
      <c r="A2678" s="8"/>
      <c r="B2678" s="8"/>
      <c r="C2678" s="9"/>
      <c r="D2678" s="8"/>
      <c r="E2678" s="8"/>
      <c r="F2678" s="8"/>
      <c r="G2678" s="8"/>
      <c r="H2678" s="200"/>
      <c r="I2678" s="200"/>
      <c r="J2678" s="200"/>
      <c r="K2678" s="201"/>
      <c r="M2678"/>
    </row>
    <row r="2679" spans="1:13" s="10" customFormat="1" x14ac:dyDescent="0.25">
      <c r="A2679" s="8"/>
      <c r="B2679" s="8"/>
      <c r="C2679" s="9"/>
      <c r="D2679" s="8"/>
      <c r="E2679" s="8"/>
      <c r="F2679" s="8"/>
      <c r="G2679" s="8"/>
      <c r="H2679" s="200"/>
      <c r="I2679" s="200"/>
      <c r="J2679" s="200"/>
      <c r="K2679" s="201"/>
      <c r="M2679"/>
    </row>
    <row r="2680" spans="1:13" s="10" customFormat="1" x14ac:dyDescent="0.25">
      <c r="A2680" s="8"/>
      <c r="B2680" s="8"/>
      <c r="C2680" s="9"/>
      <c r="D2680" s="8"/>
      <c r="E2680" s="8"/>
      <c r="F2680" s="8"/>
      <c r="G2680" s="8"/>
      <c r="H2680" s="200"/>
      <c r="I2680" s="200"/>
      <c r="J2680" s="200"/>
      <c r="K2680" s="201"/>
      <c r="M2680"/>
    </row>
    <row r="2681" spans="1:13" s="10" customFormat="1" x14ac:dyDescent="0.25">
      <c r="A2681" s="8"/>
      <c r="B2681" s="8"/>
      <c r="C2681" s="9"/>
      <c r="D2681" s="8"/>
      <c r="E2681" s="8"/>
      <c r="F2681" s="8"/>
      <c r="G2681" s="8"/>
      <c r="H2681" s="200"/>
      <c r="I2681" s="200"/>
      <c r="J2681" s="200"/>
      <c r="K2681" s="201"/>
      <c r="M2681"/>
    </row>
    <row r="2682" spans="1:13" s="10" customFormat="1" x14ac:dyDescent="0.25">
      <c r="A2682" s="8"/>
      <c r="B2682" s="8"/>
      <c r="C2682" s="9"/>
      <c r="D2682" s="8"/>
      <c r="E2682" s="8"/>
      <c r="F2682" s="8"/>
      <c r="G2682" s="8"/>
      <c r="H2682" s="200"/>
      <c r="I2682" s="200"/>
      <c r="J2682" s="200"/>
      <c r="K2682" s="201"/>
      <c r="M2682"/>
    </row>
    <row r="2683" spans="1:13" s="10" customFormat="1" x14ac:dyDescent="0.25">
      <c r="A2683" s="8"/>
      <c r="B2683" s="8"/>
      <c r="C2683" s="9"/>
      <c r="D2683" s="8"/>
      <c r="E2683" s="8"/>
      <c r="F2683" s="8"/>
      <c r="G2683" s="8"/>
      <c r="H2683" s="200"/>
      <c r="I2683" s="200"/>
      <c r="J2683" s="200"/>
      <c r="K2683" s="201"/>
      <c r="M2683"/>
    </row>
    <row r="2684" spans="1:13" s="10" customFormat="1" x14ac:dyDescent="0.25">
      <c r="A2684" s="8"/>
      <c r="B2684" s="8"/>
      <c r="C2684" s="9"/>
      <c r="D2684" s="8"/>
      <c r="E2684" s="8"/>
      <c r="F2684" s="8"/>
      <c r="G2684" s="8"/>
      <c r="H2684" s="200"/>
      <c r="I2684" s="200"/>
      <c r="J2684" s="200"/>
      <c r="K2684" s="201"/>
      <c r="M2684"/>
    </row>
    <row r="2685" spans="1:13" s="10" customFormat="1" x14ac:dyDescent="0.25">
      <c r="A2685" s="8"/>
      <c r="B2685" s="8"/>
      <c r="C2685" s="9"/>
      <c r="D2685" s="8"/>
      <c r="E2685" s="8"/>
      <c r="F2685" s="8"/>
      <c r="G2685" s="8"/>
      <c r="H2685" s="200"/>
      <c r="I2685" s="200"/>
      <c r="J2685" s="200"/>
      <c r="K2685" s="201"/>
      <c r="M2685"/>
    </row>
    <row r="2686" spans="1:13" s="10" customFormat="1" x14ac:dyDescent="0.25">
      <c r="A2686" s="8"/>
      <c r="B2686" s="8"/>
      <c r="C2686" s="9"/>
      <c r="D2686" s="8"/>
      <c r="E2686" s="8"/>
      <c r="F2686" s="8"/>
      <c r="G2686" s="8"/>
      <c r="H2686" s="200"/>
      <c r="I2686" s="200"/>
      <c r="J2686" s="200"/>
      <c r="K2686" s="201"/>
      <c r="M2686"/>
    </row>
    <row r="2687" spans="1:13" s="10" customFormat="1" x14ac:dyDescent="0.25">
      <c r="A2687" s="8"/>
      <c r="B2687" s="8"/>
      <c r="C2687" s="9"/>
      <c r="D2687" s="8"/>
      <c r="E2687" s="8"/>
      <c r="F2687" s="8"/>
      <c r="G2687" s="8"/>
      <c r="H2687" s="200"/>
      <c r="I2687" s="200"/>
      <c r="J2687" s="200"/>
      <c r="K2687" s="201"/>
      <c r="M2687"/>
    </row>
    <row r="2688" spans="1:13" s="10" customFormat="1" x14ac:dyDescent="0.25">
      <c r="A2688" s="8"/>
      <c r="B2688" s="8"/>
      <c r="C2688" s="9"/>
      <c r="D2688" s="8"/>
      <c r="E2688" s="8"/>
      <c r="F2688" s="8"/>
      <c r="G2688" s="8"/>
      <c r="H2688" s="200"/>
      <c r="I2688" s="200"/>
      <c r="J2688" s="200"/>
      <c r="K2688" s="201"/>
      <c r="M2688"/>
    </row>
    <row r="2689" spans="1:13" s="10" customFormat="1" x14ac:dyDescent="0.25">
      <c r="A2689" s="8"/>
      <c r="B2689" s="8"/>
      <c r="C2689" s="9"/>
      <c r="D2689" s="8"/>
      <c r="E2689" s="8"/>
      <c r="F2689" s="8"/>
      <c r="G2689" s="8"/>
      <c r="H2689" s="200"/>
      <c r="I2689" s="200"/>
      <c r="J2689" s="200"/>
      <c r="K2689" s="201"/>
      <c r="M2689"/>
    </row>
    <row r="2690" spans="1:13" s="10" customFormat="1" x14ac:dyDescent="0.25">
      <c r="A2690" s="8"/>
      <c r="B2690" s="8"/>
      <c r="C2690" s="9"/>
      <c r="D2690" s="8"/>
      <c r="E2690" s="8"/>
      <c r="F2690" s="8"/>
      <c r="G2690" s="8"/>
      <c r="H2690" s="200"/>
      <c r="I2690" s="200"/>
      <c r="J2690" s="200"/>
      <c r="K2690" s="201"/>
      <c r="M2690"/>
    </row>
    <row r="2691" spans="1:13" s="10" customFormat="1" x14ac:dyDescent="0.25">
      <c r="A2691" s="8"/>
      <c r="B2691" s="8"/>
      <c r="C2691" s="9"/>
      <c r="D2691" s="8"/>
      <c r="E2691" s="8"/>
      <c r="F2691" s="8"/>
      <c r="G2691" s="8"/>
      <c r="H2691" s="200"/>
      <c r="I2691" s="200"/>
      <c r="J2691" s="200"/>
      <c r="K2691" s="201"/>
      <c r="M2691"/>
    </row>
    <row r="2692" spans="1:13" s="10" customFormat="1" ht="16.5" thickBot="1" x14ac:dyDescent="0.3">
      <c r="A2692" s="8"/>
      <c r="B2692" s="8"/>
      <c r="C2692" s="9"/>
      <c r="D2692" s="8"/>
      <c r="E2692" s="8"/>
      <c r="F2692" s="8"/>
      <c r="G2692" s="8"/>
      <c r="H2692" s="200"/>
      <c r="I2692" s="200"/>
      <c r="J2692" s="200"/>
      <c r="K2692" s="201"/>
      <c r="M2692"/>
    </row>
    <row r="2693" spans="1:13" s="48" customFormat="1" ht="21.75" customHeight="1" thickBot="1" x14ac:dyDescent="0.3">
      <c r="A2693" s="1655" t="s">
        <v>115</v>
      </c>
      <c r="B2693" s="1655"/>
      <c r="C2693" s="1655"/>
      <c r="D2693" s="1655"/>
      <c r="E2693" s="1655"/>
      <c r="F2693" s="1655"/>
      <c r="G2693" s="1151"/>
      <c r="H2693" s="1708" t="s">
        <v>1537</v>
      </c>
      <c r="I2693" s="1710" t="s">
        <v>1538</v>
      </c>
      <c r="J2693" s="1710" t="s">
        <v>1539</v>
      </c>
      <c r="K2693" s="1710" t="s">
        <v>1540</v>
      </c>
      <c r="L2693" s="47"/>
    </row>
    <row r="2694" spans="1:13" s="1153" customFormat="1" ht="31.5" customHeight="1" thickBot="1" x14ac:dyDescent="0.3">
      <c r="A2694" s="1655"/>
      <c r="B2694" s="1655"/>
      <c r="C2694" s="1655"/>
      <c r="D2694" s="1655"/>
      <c r="E2694" s="1655"/>
      <c r="F2694" s="1655"/>
      <c r="G2694" s="1067" t="s">
        <v>116</v>
      </c>
      <c r="H2694" s="1709"/>
      <c r="I2694" s="1710"/>
      <c r="J2694" s="1710"/>
      <c r="K2694" s="1710"/>
      <c r="L2694" s="1152"/>
    </row>
    <row r="2695" spans="1:13" x14ac:dyDescent="0.25">
      <c r="A2695" s="1285" t="s">
        <v>1331</v>
      </c>
      <c r="B2695" s="1285"/>
      <c r="C2695" s="1286"/>
      <c r="D2695" s="1287"/>
      <c r="E2695" s="1287"/>
      <c r="F2695" s="1287"/>
      <c r="G2695" s="1287"/>
      <c r="H2695" s="1288"/>
      <c r="I2695" s="1288"/>
      <c r="J2695" s="1288"/>
    </row>
    <row r="2696" spans="1:13" x14ac:dyDescent="0.25">
      <c r="A2696" s="1289" t="s">
        <v>3</v>
      </c>
      <c r="B2696" s="1289"/>
      <c r="C2696" s="1286"/>
      <c r="D2696" s="1287"/>
      <c r="E2696" s="1287"/>
      <c r="F2696" s="1287"/>
      <c r="G2696" s="1287"/>
      <c r="H2696" s="1290">
        <f>H175</f>
        <v>0</v>
      </c>
      <c r="I2696" s="1290">
        <f>I175</f>
        <v>6595710.9400000004</v>
      </c>
      <c r="J2696" s="1290">
        <f>J175</f>
        <v>6595710.9400000004</v>
      </c>
      <c r="K2696" s="1290">
        <f>K175</f>
        <v>6685453.6699999999</v>
      </c>
    </row>
    <row r="2697" spans="1:13" x14ac:dyDescent="0.25">
      <c r="A2697" s="1289" t="s">
        <v>1499</v>
      </c>
      <c r="B2697" s="1289"/>
      <c r="C2697" s="1286"/>
      <c r="D2697" s="1287"/>
      <c r="E2697" s="1287"/>
      <c r="F2697" s="1287"/>
      <c r="G2697" s="1287"/>
      <c r="H2697" s="1290">
        <f>H226</f>
        <v>0</v>
      </c>
      <c r="I2697" s="1290">
        <f>I226</f>
        <v>8160437.0599999996</v>
      </c>
      <c r="J2697" s="1290">
        <f>J226</f>
        <v>8160437.0599999996</v>
      </c>
      <c r="K2697" s="1290">
        <f>K226</f>
        <v>7920529.6500000004</v>
      </c>
    </row>
    <row r="2698" spans="1:13" x14ac:dyDescent="0.25">
      <c r="A2698" s="1289" t="s">
        <v>1991</v>
      </c>
      <c r="B2698" s="1289"/>
      <c r="C2698" s="1286"/>
      <c r="D2698" s="1287"/>
      <c r="E2698" s="1287"/>
      <c r="F2698" s="1287"/>
      <c r="G2698" s="1287"/>
      <c r="H2698" s="1290">
        <f>H257</f>
        <v>0</v>
      </c>
      <c r="I2698" s="1290">
        <f>I257</f>
        <v>674317.75</v>
      </c>
      <c r="J2698" s="1290">
        <f>J257</f>
        <v>674317.75</v>
      </c>
      <c r="K2698" s="1290">
        <f>K257</f>
        <v>647720.72</v>
      </c>
    </row>
    <row r="2699" spans="1:13" x14ac:dyDescent="0.25">
      <c r="A2699" s="1289" t="s">
        <v>1501</v>
      </c>
      <c r="B2699" s="1289"/>
      <c r="C2699" s="1286"/>
      <c r="D2699" s="1287"/>
      <c r="E2699" s="1287"/>
      <c r="F2699" s="1287"/>
      <c r="G2699" s="1287"/>
      <c r="H2699" s="1290">
        <f>H292</f>
        <v>0</v>
      </c>
      <c r="I2699" s="1290">
        <f>I292</f>
        <v>1889982.46</v>
      </c>
      <c r="J2699" s="1290">
        <f>J292</f>
        <v>1889982.46</v>
      </c>
      <c r="K2699" s="1290">
        <f>K292</f>
        <v>2485379.73</v>
      </c>
    </row>
    <row r="2700" spans="1:13" x14ac:dyDescent="0.25">
      <c r="A2700" s="1289" t="s">
        <v>1502</v>
      </c>
      <c r="B2700" s="1289"/>
      <c r="C2700" s="1286"/>
      <c r="D2700" s="1287"/>
      <c r="E2700" s="1287"/>
      <c r="F2700" s="1287"/>
      <c r="G2700" s="1287"/>
      <c r="H2700" s="1290" t="e">
        <f>#REF!</f>
        <v>#REF!</v>
      </c>
      <c r="I2700" s="1290" t="e">
        <f>#REF!</f>
        <v>#REF!</v>
      </c>
      <c r="J2700" s="1290" t="e">
        <f>#REF!</f>
        <v>#REF!</v>
      </c>
      <c r="K2700" s="1290" t="e">
        <f>#REF!</f>
        <v>#REF!</v>
      </c>
    </row>
    <row r="2701" spans="1:13" x14ac:dyDescent="0.25">
      <c r="A2701" s="1289" t="s">
        <v>1503</v>
      </c>
      <c r="B2701" s="1289"/>
      <c r="C2701" s="1286"/>
      <c r="D2701" s="1287"/>
      <c r="E2701" s="1287"/>
      <c r="F2701" s="1287"/>
      <c r="G2701" s="1287"/>
      <c r="H2701" s="1290" t="e">
        <f>#REF!</f>
        <v>#REF!</v>
      </c>
      <c r="I2701" s="1290" t="e">
        <f>#REF!</f>
        <v>#REF!</v>
      </c>
      <c r="J2701" s="1290" t="e">
        <f>#REF!</f>
        <v>#REF!</v>
      </c>
      <c r="K2701" s="1290" t="e">
        <f>#REF!</f>
        <v>#REF!</v>
      </c>
    </row>
    <row r="2702" spans="1:13" x14ac:dyDescent="0.25">
      <c r="A2702" s="1289" t="s">
        <v>1024</v>
      </c>
      <c r="B2702" s="1289"/>
      <c r="C2702" s="1286"/>
      <c r="D2702" s="1287"/>
      <c r="E2702" s="1287"/>
      <c r="F2702" s="1287"/>
      <c r="G2702" s="1287"/>
      <c r="H2702" s="1290" t="e">
        <f>#REF!</f>
        <v>#REF!</v>
      </c>
      <c r="I2702" s="1290" t="e">
        <f>#REF!</f>
        <v>#REF!</v>
      </c>
      <c r="J2702" s="1290" t="e">
        <f>#REF!</f>
        <v>#REF!</v>
      </c>
      <c r="K2702" s="1290" t="e">
        <f>#REF!</f>
        <v>#REF!</v>
      </c>
    </row>
    <row r="2703" spans="1:13" x14ac:dyDescent="0.25">
      <c r="A2703" s="1289" t="s">
        <v>1992</v>
      </c>
      <c r="B2703" s="1289"/>
      <c r="C2703" s="1286"/>
      <c r="D2703" s="1287"/>
      <c r="E2703" s="1287"/>
      <c r="F2703" s="1287"/>
      <c r="G2703" s="1287"/>
      <c r="H2703" s="1290">
        <f>H416</f>
        <v>0</v>
      </c>
      <c r="I2703" s="1290">
        <f>I416</f>
        <v>1146214.6100000001</v>
      </c>
      <c r="J2703" s="1290">
        <f>J416</f>
        <v>1146214.6100000001</v>
      </c>
      <c r="K2703" s="1290">
        <f>K416</f>
        <v>1100011.5</v>
      </c>
    </row>
    <row r="2704" spans="1:13" s="4" customFormat="1" x14ac:dyDescent="0.25">
      <c r="A2704" s="1289" t="s">
        <v>1321</v>
      </c>
      <c r="B2704" s="1289"/>
      <c r="C2704" s="1286"/>
      <c r="D2704" s="1287"/>
      <c r="E2704" s="1287"/>
      <c r="F2704" s="1287"/>
      <c r="G2704" s="1287"/>
      <c r="H2704" s="1290" t="e">
        <f>#REF!</f>
        <v>#REF!</v>
      </c>
      <c r="I2704" s="1290" t="e">
        <f>#REF!</f>
        <v>#REF!</v>
      </c>
      <c r="J2704" s="1290" t="e">
        <f>#REF!</f>
        <v>#REF!</v>
      </c>
      <c r="K2704" s="1290" t="e">
        <f>#REF!</f>
        <v>#REF!</v>
      </c>
      <c r="L2704" s="10"/>
      <c r="M2704"/>
    </row>
    <row r="2705" spans="1:13" s="4" customFormat="1" x14ac:dyDescent="0.25">
      <c r="A2705" s="1289" t="s">
        <v>1504</v>
      </c>
      <c r="B2705" s="1289"/>
      <c r="C2705" s="1286"/>
      <c r="D2705" s="1287"/>
      <c r="E2705" s="1287"/>
      <c r="F2705" s="1287"/>
      <c r="G2705" s="1287"/>
      <c r="H2705" s="1290" t="e">
        <f>#REF!</f>
        <v>#REF!</v>
      </c>
      <c r="I2705" s="1290" t="e">
        <f>#REF!</f>
        <v>#REF!</v>
      </c>
      <c r="J2705" s="1290" t="e">
        <f>#REF!</f>
        <v>#REF!</v>
      </c>
      <c r="K2705" s="1290" t="e">
        <f>#REF!</f>
        <v>#REF!</v>
      </c>
      <c r="L2705" s="10"/>
      <c r="M2705"/>
    </row>
    <row r="2706" spans="1:13" s="4" customFormat="1" x14ac:dyDescent="0.25">
      <c r="A2706" s="1289" t="s">
        <v>1505</v>
      </c>
      <c r="B2706" s="1289"/>
      <c r="C2706" s="1286"/>
      <c r="D2706" s="1287"/>
      <c r="E2706" s="1287"/>
      <c r="F2706" s="1287"/>
      <c r="G2706" s="1287"/>
      <c r="H2706" s="1290" t="e">
        <f>#REF!</f>
        <v>#REF!</v>
      </c>
      <c r="I2706" s="1290" t="e">
        <f>#REF!</f>
        <v>#REF!</v>
      </c>
      <c r="J2706" s="1290" t="e">
        <f>#REF!</f>
        <v>#REF!</v>
      </c>
      <c r="K2706" s="1290" t="e">
        <f>#REF!</f>
        <v>#REF!</v>
      </c>
      <c r="L2706" s="10"/>
      <c r="M2706"/>
    </row>
    <row r="2707" spans="1:13" s="4" customFormat="1" x14ac:dyDescent="0.25">
      <c r="A2707" s="1289" t="s">
        <v>1506</v>
      </c>
      <c r="B2707" s="1289"/>
      <c r="C2707" s="1286"/>
      <c r="D2707" s="1287"/>
      <c r="E2707" s="1287"/>
      <c r="F2707" s="1287"/>
      <c r="G2707" s="1287"/>
      <c r="H2707" s="1290" t="e">
        <f>#REF!</f>
        <v>#REF!</v>
      </c>
      <c r="I2707" s="1290" t="e">
        <f>#REF!</f>
        <v>#REF!</v>
      </c>
      <c r="J2707" s="1290" t="e">
        <f>#REF!</f>
        <v>#REF!</v>
      </c>
      <c r="K2707" s="1290" t="e">
        <f>#REF!</f>
        <v>#REF!</v>
      </c>
      <c r="L2707" s="10"/>
      <c r="M2707"/>
    </row>
    <row r="2708" spans="1:13" s="4" customFormat="1" x14ac:dyDescent="0.25">
      <c r="A2708" s="1289" t="s">
        <v>1507</v>
      </c>
      <c r="B2708" s="1289"/>
      <c r="C2708" s="1286"/>
      <c r="D2708" s="1287"/>
      <c r="E2708" s="1287"/>
      <c r="F2708" s="1287"/>
      <c r="G2708" s="1287"/>
      <c r="H2708" s="1290" t="e">
        <f>#REF!</f>
        <v>#REF!</v>
      </c>
      <c r="I2708" s="1290" t="e">
        <f>#REF!</f>
        <v>#REF!</v>
      </c>
      <c r="J2708" s="1290" t="e">
        <f>#REF!</f>
        <v>#REF!</v>
      </c>
      <c r="K2708" s="1290" t="e">
        <f>#REF!</f>
        <v>#REF!</v>
      </c>
      <c r="L2708" s="10"/>
      <c r="M2708"/>
    </row>
    <row r="2709" spans="1:13" s="4" customFormat="1" x14ac:dyDescent="0.25">
      <c r="A2709" s="1289" t="s">
        <v>1993</v>
      </c>
      <c r="B2709" s="1289"/>
      <c r="C2709" s="1286"/>
      <c r="D2709" s="1287"/>
      <c r="E2709" s="1287"/>
      <c r="F2709" s="1287"/>
      <c r="G2709" s="1287"/>
      <c r="H2709" s="1290" t="e">
        <f>#REF!</f>
        <v>#REF!</v>
      </c>
      <c r="I2709" s="1290" t="e">
        <f>#REF!</f>
        <v>#REF!</v>
      </c>
      <c r="J2709" s="1290" t="e">
        <f>#REF!</f>
        <v>#REF!</v>
      </c>
      <c r="K2709" s="1290" t="e">
        <f>#REF!</f>
        <v>#REF!</v>
      </c>
      <c r="L2709" s="10"/>
      <c r="M2709"/>
    </row>
    <row r="2710" spans="1:13" s="4" customFormat="1" x14ac:dyDescent="0.25">
      <c r="A2710" s="1289" t="s">
        <v>1994</v>
      </c>
      <c r="B2710" s="1289"/>
      <c r="C2710" s="1286"/>
      <c r="D2710" s="1287"/>
      <c r="E2710" s="1287"/>
      <c r="F2710" s="1287"/>
      <c r="G2710" s="1287"/>
      <c r="H2710" s="1290" t="e">
        <f>#REF!</f>
        <v>#REF!</v>
      </c>
      <c r="I2710" s="1290" t="e">
        <f>#REF!</f>
        <v>#REF!</v>
      </c>
      <c r="J2710" s="1290" t="e">
        <f>#REF!</f>
        <v>#REF!</v>
      </c>
      <c r="K2710" s="1290" t="e">
        <f>#REF!</f>
        <v>#REF!</v>
      </c>
      <c r="L2710" s="10"/>
      <c r="M2710"/>
    </row>
    <row r="2711" spans="1:13" s="4" customFormat="1" x14ac:dyDescent="0.25">
      <c r="A2711" s="1289" t="s">
        <v>1995</v>
      </c>
      <c r="B2711" s="1289"/>
      <c r="C2711" s="1286"/>
      <c r="D2711" s="1287"/>
      <c r="E2711" s="1287"/>
      <c r="F2711" s="1287"/>
      <c r="G2711" s="1287"/>
      <c r="H2711" s="1290" t="e">
        <f>#REF!</f>
        <v>#REF!</v>
      </c>
      <c r="I2711" s="1290" t="e">
        <f>#REF!</f>
        <v>#REF!</v>
      </c>
      <c r="J2711" s="1290" t="e">
        <f>#REF!</f>
        <v>#REF!</v>
      </c>
      <c r="K2711" s="1290" t="e">
        <f>#REF!</f>
        <v>#REF!</v>
      </c>
      <c r="L2711" s="10"/>
      <c r="M2711"/>
    </row>
    <row r="2712" spans="1:13" s="4" customFormat="1" x14ac:dyDescent="0.25">
      <c r="A2712" s="1289" t="s">
        <v>1510</v>
      </c>
      <c r="B2712" s="1289"/>
      <c r="C2712" s="1286"/>
      <c r="D2712" s="1287"/>
      <c r="E2712" s="1287"/>
      <c r="F2712" s="1287"/>
      <c r="G2712" s="1287"/>
      <c r="H2712" s="1290" t="e">
        <f>#REF!</f>
        <v>#REF!</v>
      </c>
      <c r="I2712" s="1290" t="e">
        <f>#REF!</f>
        <v>#REF!</v>
      </c>
      <c r="J2712" s="1290" t="e">
        <f>#REF!</f>
        <v>#REF!</v>
      </c>
      <c r="K2712" s="1290" t="e">
        <f>#REF!</f>
        <v>#REF!</v>
      </c>
      <c r="L2712" s="10"/>
      <c r="M2712"/>
    </row>
    <row r="2713" spans="1:13" s="4" customFormat="1" x14ac:dyDescent="0.25">
      <c r="A2713" s="1289" t="s">
        <v>27</v>
      </c>
      <c r="B2713" s="1289"/>
      <c r="C2713" s="1286"/>
      <c r="D2713" s="1287"/>
      <c r="E2713" s="1287"/>
      <c r="F2713" s="1287"/>
      <c r="G2713" s="1287"/>
      <c r="H2713" s="1290" t="e">
        <f>#REF!</f>
        <v>#REF!</v>
      </c>
      <c r="I2713" s="1290" t="e">
        <f>#REF!</f>
        <v>#REF!</v>
      </c>
      <c r="J2713" s="1290" t="e">
        <f>#REF!</f>
        <v>#REF!</v>
      </c>
      <c r="K2713" s="1290" t="e">
        <f>#REF!</f>
        <v>#REF!</v>
      </c>
      <c r="L2713" s="10"/>
      <c r="M2713"/>
    </row>
    <row r="2714" spans="1:13" s="4" customFormat="1" x14ac:dyDescent="0.25">
      <c r="A2714" s="1289" t="s">
        <v>28</v>
      </c>
      <c r="B2714" s="1289"/>
      <c r="C2714" s="1286"/>
      <c r="D2714" s="1287"/>
      <c r="E2714" s="1287"/>
      <c r="F2714" s="1287"/>
      <c r="G2714" s="1287"/>
      <c r="H2714" s="1290" t="e">
        <f>#REF!</f>
        <v>#REF!</v>
      </c>
      <c r="I2714" s="1290" t="e">
        <f>#REF!</f>
        <v>#REF!</v>
      </c>
      <c r="J2714" s="1290" t="e">
        <f>#REF!</f>
        <v>#REF!</v>
      </c>
      <c r="K2714" s="1290" t="e">
        <f>#REF!</f>
        <v>#REF!</v>
      </c>
      <c r="L2714" s="10"/>
      <c r="M2714"/>
    </row>
    <row r="2715" spans="1:13" s="4" customFormat="1" x14ac:dyDescent="0.25">
      <c r="A2715" s="1289" t="s">
        <v>29</v>
      </c>
      <c r="B2715" s="1289"/>
      <c r="C2715" s="1286"/>
      <c r="D2715" s="1287"/>
      <c r="E2715" s="1287"/>
      <c r="F2715" s="1287"/>
      <c r="G2715" s="1287"/>
      <c r="H2715" s="1290" t="e">
        <f>#REF!</f>
        <v>#REF!</v>
      </c>
      <c r="I2715" s="1290" t="e">
        <f>#REF!</f>
        <v>#REF!</v>
      </c>
      <c r="J2715" s="1290" t="e">
        <f>#REF!</f>
        <v>#REF!</v>
      </c>
      <c r="K2715" s="1290" t="e">
        <f>#REF!</f>
        <v>#REF!</v>
      </c>
      <c r="L2715" s="10"/>
      <c r="M2715"/>
    </row>
    <row r="2716" spans="1:13" s="4" customFormat="1" x14ac:dyDescent="0.25">
      <c r="A2716" s="1289" t="s">
        <v>31</v>
      </c>
      <c r="B2716" s="1289"/>
      <c r="C2716" s="1286"/>
      <c r="D2716" s="1287"/>
      <c r="E2716" s="1287"/>
      <c r="F2716" s="1287"/>
      <c r="G2716" s="1287"/>
      <c r="H2716" s="1290" t="e">
        <f>#REF!</f>
        <v>#REF!</v>
      </c>
      <c r="I2716" s="1290" t="e">
        <f>#REF!</f>
        <v>#REF!</v>
      </c>
      <c r="J2716" s="1290" t="e">
        <f>#REF!</f>
        <v>#REF!</v>
      </c>
      <c r="K2716" s="1290" t="e">
        <f>#REF!</f>
        <v>#REF!</v>
      </c>
      <c r="L2716" s="10"/>
      <c r="M2716"/>
    </row>
    <row r="2717" spans="1:13" s="4" customFormat="1" x14ac:dyDescent="0.25">
      <c r="A2717" s="1289" t="s">
        <v>32</v>
      </c>
      <c r="B2717" s="1289"/>
      <c r="C2717" s="1286"/>
      <c r="D2717" s="1287"/>
      <c r="E2717" s="1287"/>
      <c r="F2717" s="1287"/>
      <c r="G2717" s="1287"/>
      <c r="H2717" s="1290" t="e">
        <f>#REF!</f>
        <v>#REF!</v>
      </c>
      <c r="I2717" s="1290" t="e">
        <f>#REF!</f>
        <v>#REF!</v>
      </c>
      <c r="J2717" s="1290" t="e">
        <f>#REF!</f>
        <v>#REF!</v>
      </c>
      <c r="K2717" s="1290" t="e">
        <f>#REF!</f>
        <v>#REF!</v>
      </c>
      <c r="L2717" s="10"/>
      <c r="M2717"/>
    </row>
    <row r="2718" spans="1:13" s="4" customFormat="1" x14ac:dyDescent="0.25">
      <c r="A2718" s="1289" t="s">
        <v>33</v>
      </c>
      <c r="B2718" s="1289"/>
      <c r="C2718" s="1286"/>
      <c r="D2718" s="1287"/>
      <c r="E2718" s="1287"/>
      <c r="F2718" s="1287"/>
      <c r="G2718" s="1287"/>
      <c r="H2718" s="1290" t="e">
        <f>#REF!</f>
        <v>#REF!</v>
      </c>
      <c r="I2718" s="1290" t="e">
        <f>#REF!</f>
        <v>#REF!</v>
      </c>
      <c r="J2718" s="1290" t="e">
        <f>#REF!</f>
        <v>#REF!</v>
      </c>
      <c r="K2718" s="1290" t="e">
        <f>#REF!</f>
        <v>#REF!</v>
      </c>
      <c r="L2718" s="10"/>
      <c r="M2718"/>
    </row>
    <row r="2719" spans="1:13" s="4" customFormat="1" x14ac:dyDescent="0.25">
      <c r="A2719" s="1289" t="s">
        <v>1996</v>
      </c>
      <c r="B2719" s="1289"/>
      <c r="C2719" s="1286"/>
      <c r="D2719" s="1287"/>
      <c r="E2719" s="1287"/>
      <c r="F2719" s="1287"/>
      <c r="G2719" s="1287"/>
      <c r="H2719" s="1290" t="e">
        <f>#REF!</f>
        <v>#REF!</v>
      </c>
      <c r="I2719" s="1290" t="e">
        <f>#REF!</f>
        <v>#REF!</v>
      </c>
      <c r="J2719" s="1290" t="e">
        <f>#REF!</f>
        <v>#REF!</v>
      </c>
      <c r="K2719" s="1290" t="e">
        <f>#REF!</f>
        <v>#REF!</v>
      </c>
      <c r="L2719" s="10"/>
      <c r="M2719"/>
    </row>
    <row r="2720" spans="1:13" s="4" customFormat="1" x14ac:dyDescent="0.25">
      <c r="A2720" s="1289" t="s">
        <v>35</v>
      </c>
      <c r="B2720" s="1289"/>
      <c r="C2720" s="1286"/>
      <c r="D2720" s="1287"/>
      <c r="E2720" s="1287"/>
      <c r="F2720" s="1287"/>
      <c r="G2720" s="1287"/>
      <c r="H2720" s="1290" t="e">
        <f>#REF!</f>
        <v>#REF!</v>
      </c>
      <c r="I2720" s="1290" t="e">
        <f>#REF!</f>
        <v>#REF!</v>
      </c>
      <c r="J2720" s="1290" t="e">
        <f>#REF!</f>
        <v>#REF!</v>
      </c>
      <c r="K2720" s="1290" t="e">
        <f>#REF!</f>
        <v>#REF!</v>
      </c>
      <c r="L2720" s="10"/>
      <c r="M2720"/>
    </row>
    <row r="2721" spans="1:13" s="4" customFormat="1" x14ac:dyDescent="0.25">
      <c r="A2721" s="1289" t="s">
        <v>1322</v>
      </c>
      <c r="B2721" s="1289"/>
      <c r="C2721" s="1286"/>
      <c r="D2721" s="1287"/>
      <c r="E2721" s="1287"/>
      <c r="F2721" s="1287"/>
      <c r="G2721" s="1287"/>
      <c r="H2721" s="1290" t="e">
        <f>#REF!</f>
        <v>#REF!</v>
      </c>
      <c r="I2721" s="1290" t="e">
        <f>#REF!</f>
        <v>#REF!</v>
      </c>
      <c r="J2721" s="1290" t="e">
        <f>#REF!</f>
        <v>#REF!</v>
      </c>
      <c r="K2721" s="1290" t="e">
        <f>#REF!</f>
        <v>#REF!</v>
      </c>
      <c r="L2721" s="10"/>
      <c r="M2721"/>
    </row>
    <row r="2722" spans="1:13" s="4" customFormat="1" x14ac:dyDescent="0.25">
      <c r="A2722" s="1289" t="s">
        <v>1997</v>
      </c>
      <c r="B2722" s="1289"/>
      <c r="C2722" s="1286"/>
      <c r="D2722" s="1287"/>
      <c r="E2722" s="1287"/>
      <c r="F2722" s="1287"/>
      <c r="G2722" s="1287"/>
      <c r="H2722" s="1290" t="e">
        <f>#REF!</f>
        <v>#REF!</v>
      </c>
      <c r="I2722" s="1290" t="e">
        <f>#REF!</f>
        <v>#REF!</v>
      </c>
      <c r="J2722" s="1290" t="e">
        <f>#REF!</f>
        <v>#REF!</v>
      </c>
      <c r="K2722" s="1290" t="e">
        <f>#REF!</f>
        <v>#REF!</v>
      </c>
      <c r="L2722" s="10"/>
      <c r="M2722"/>
    </row>
    <row r="2723" spans="1:13" s="4" customFormat="1" x14ac:dyDescent="0.25">
      <c r="A2723" s="1289" t="s">
        <v>1998</v>
      </c>
      <c r="B2723" s="1289"/>
      <c r="C2723" s="1286"/>
      <c r="D2723" s="1287"/>
      <c r="E2723" s="1287"/>
      <c r="F2723" s="1287"/>
      <c r="G2723" s="1287"/>
      <c r="H2723" s="1290" t="e">
        <f>#REF!</f>
        <v>#REF!</v>
      </c>
      <c r="I2723" s="1290" t="e">
        <f>#REF!</f>
        <v>#REF!</v>
      </c>
      <c r="J2723" s="1290" t="e">
        <f>#REF!</f>
        <v>#REF!</v>
      </c>
      <c r="K2723" s="1290" t="e">
        <f>#REF!</f>
        <v>#REF!</v>
      </c>
      <c r="L2723" s="10"/>
      <c r="M2723"/>
    </row>
    <row r="2724" spans="1:13" s="4" customFormat="1" x14ac:dyDescent="0.25">
      <c r="A2724" s="1289" t="s">
        <v>40</v>
      </c>
      <c r="B2724" s="1289"/>
      <c r="C2724" s="1286"/>
      <c r="D2724" s="1287"/>
      <c r="E2724" s="1287"/>
      <c r="F2724" s="1287"/>
      <c r="G2724" s="1287"/>
      <c r="H2724" s="1290" t="e">
        <f>#REF!</f>
        <v>#REF!</v>
      </c>
      <c r="I2724" s="1290" t="e">
        <f>#REF!</f>
        <v>#REF!</v>
      </c>
      <c r="J2724" s="1290" t="e">
        <f>#REF!</f>
        <v>#REF!</v>
      </c>
      <c r="K2724" s="1290" t="e">
        <f>#REF!</f>
        <v>#REF!</v>
      </c>
      <c r="L2724" s="10"/>
      <c r="M2724"/>
    </row>
    <row r="2725" spans="1:13" s="4" customFormat="1" x14ac:dyDescent="0.25">
      <c r="A2725" s="1289" t="s">
        <v>1999</v>
      </c>
      <c r="B2725" s="1289"/>
      <c r="C2725" s="1286"/>
      <c r="D2725" s="1287"/>
      <c r="E2725" s="1287"/>
      <c r="F2725" s="1287"/>
      <c r="G2725" s="1287"/>
      <c r="H2725" s="1290" t="e">
        <f>#REF!</f>
        <v>#REF!</v>
      </c>
      <c r="I2725" s="1290" t="e">
        <f>#REF!</f>
        <v>#REF!</v>
      </c>
      <c r="J2725" s="1290" t="e">
        <f>#REF!</f>
        <v>#REF!</v>
      </c>
      <c r="K2725" s="1290" t="e">
        <f>#REF!</f>
        <v>#REF!</v>
      </c>
      <c r="L2725" s="10"/>
      <c r="M2725"/>
    </row>
    <row r="2726" spans="1:13" s="4" customFormat="1" x14ac:dyDescent="0.25">
      <c r="A2726" s="1285" t="s">
        <v>2000</v>
      </c>
      <c r="B2726" s="1285"/>
      <c r="C2726" s="1291"/>
      <c r="D2726" s="1287"/>
      <c r="E2726" s="1287"/>
      <c r="F2726" s="1287"/>
      <c r="G2726" s="1287"/>
      <c r="H2726" s="1292" t="e">
        <f>SUM(H2696:H2725)</f>
        <v>#REF!</v>
      </c>
      <c r="I2726" s="1292" t="e">
        <f>SUM(I2696:I2725)</f>
        <v>#REF!</v>
      </c>
      <c r="J2726" s="1292" t="e">
        <f>SUM(J2696:J2725)</f>
        <v>#REF!</v>
      </c>
      <c r="K2726" s="1292" t="e">
        <f>SUM(K2696:K2725)</f>
        <v>#REF!</v>
      </c>
      <c r="L2726" s="10"/>
      <c r="M2726"/>
    </row>
    <row r="2727" spans="1:13" s="4" customFormat="1" x14ac:dyDescent="0.25">
      <c r="A2727" s="1285"/>
      <c r="B2727" s="1285"/>
      <c r="C2727" s="1291"/>
      <c r="D2727" s="1287"/>
      <c r="E2727" s="1287"/>
      <c r="F2727" s="1287"/>
      <c r="G2727" s="1287"/>
      <c r="H2727" s="1288"/>
      <c r="I2727" s="1288"/>
      <c r="J2727" s="1288"/>
      <c r="K2727" s="1293"/>
      <c r="L2727" s="10"/>
      <c r="M2727"/>
    </row>
    <row r="2728" spans="1:13" s="4" customFormat="1" x14ac:dyDescent="0.25">
      <c r="A2728" s="1285" t="s">
        <v>1318</v>
      </c>
      <c r="B2728" s="1285"/>
      <c r="C2728" s="1291"/>
      <c r="D2728" s="1287"/>
      <c r="E2728" s="1287"/>
      <c r="F2728" s="1287"/>
      <c r="G2728" s="1287"/>
      <c r="H2728" s="1288"/>
      <c r="I2728" s="1288"/>
      <c r="J2728" s="1288"/>
      <c r="K2728" s="1293"/>
      <c r="L2728" s="10"/>
      <c r="M2728"/>
    </row>
    <row r="2729" spans="1:13" s="4" customFormat="1" x14ac:dyDescent="0.25">
      <c r="A2729" s="1289" t="s">
        <v>2001</v>
      </c>
      <c r="B2729" s="1289"/>
      <c r="C2729" s="1286"/>
      <c r="D2729" s="1287"/>
      <c r="E2729" s="1287"/>
      <c r="F2729" s="1287"/>
      <c r="G2729" s="1287"/>
      <c r="H2729" s="1290">
        <f>H1231</f>
        <v>0</v>
      </c>
      <c r="I2729" s="1290">
        <f>I1231</f>
        <v>7088622.0199999996</v>
      </c>
      <c r="J2729" s="1290">
        <f>J1231</f>
        <v>7088622.0199999996</v>
      </c>
      <c r="K2729" s="1290">
        <f>K1231</f>
        <v>6898207.6499999994</v>
      </c>
      <c r="L2729" s="10"/>
      <c r="M2729"/>
    </row>
    <row r="2730" spans="1:13" s="4" customFormat="1" x14ac:dyDescent="0.25">
      <c r="A2730" s="1289" t="s">
        <v>1325</v>
      </c>
      <c r="B2730" s="1289"/>
      <c r="C2730" s="1286"/>
      <c r="D2730" s="1287"/>
      <c r="E2730" s="1287"/>
      <c r="F2730" s="1287"/>
      <c r="G2730" s="1287"/>
      <c r="H2730" s="1290">
        <f>H1303</f>
        <v>0</v>
      </c>
      <c r="I2730" s="1290">
        <f>I1303</f>
        <v>3898274.6999999997</v>
      </c>
      <c r="J2730" s="1290">
        <f>J1303</f>
        <v>3898274.6999999997</v>
      </c>
      <c r="K2730" s="1290">
        <f>K1303</f>
        <v>3799599.3099999996</v>
      </c>
      <c r="L2730" s="10"/>
      <c r="M2730"/>
    </row>
    <row r="2731" spans="1:13" s="4" customFormat="1" x14ac:dyDescent="0.25">
      <c r="A2731" s="1289" t="s">
        <v>1326</v>
      </c>
      <c r="B2731" s="1289"/>
      <c r="C2731" s="1286"/>
      <c r="D2731" s="1287"/>
      <c r="E2731" s="1287"/>
      <c r="F2731" s="1287"/>
      <c r="G2731" s="1287"/>
      <c r="H2731" s="1290">
        <f>H1373</f>
        <v>0</v>
      </c>
      <c r="I2731" s="1290">
        <f>I1373</f>
        <v>5805719.5000000009</v>
      </c>
      <c r="J2731" s="1290">
        <f>J1373</f>
        <v>5805719.5000000009</v>
      </c>
      <c r="K2731" s="1290">
        <f>K1373</f>
        <v>5637664.7200000007</v>
      </c>
      <c r="L2731" s="10"/>
      <c r="M2731"/>
    </row>
    <row r="2732" spans="1:13" s="4" customFormat="1" x14ac:dyDescent="0.25">
      <c r="A2732" s="1285" t="s">
        <v>2002</v>
      </c>
      <c r="B2732" s="1285"/>
      <c r="C2732" s="1291"/>
      <c r="D2732" s="1287"/>
      <c r="E2732" s="1287"/>
      <c r="F2732" s="1287"/>
      <c r="G2732" s="1287"/>
      <c r="H2732" s="1292">
        <f>SUM(H2729:H2731)</f>
        <v>0</v>
      </c>
      <c r="I2732" s="1292">
        <f>SUM(I2729:I2731)</f>
        <v>16792616.219999999</v>
      </c>
      <c r="J2732" s="1292">
        <f>SUM(J2729:J2731)</f>
        <v>16792616.219999999</v>
      </c>
      <c r="K2732" s="1292">
        <f>SUM(K2729:K2731)</f>
        <v>16335471.68</v>
      </c>
      <c r="L2732" s="10"/>
      <c r="M2732"/>
    </row>
    <row r="2733" spans="1:13" s="4" customFormat="1" x14ac:dyDescent="0.25">
      <c r="A2733" s="1285" t="s">
        <v>2003</v>
      </c>
      <c r="B2733" s="1285"/>
      <c r="C2733" s="1291"/>
      <c r="D2733" s="1287"/>
      <c r="E2733" s="1287"/>
      <c r="F2733" s="1287"/>
      <c r="G2733" s="1287"/>
      <c r="H2733" s="1292" t="e">
        <f>H2732+H2726</f>
        <v>#REF!</v>
      </c>
      <c r="I2733" s="1292" t="e">
        <f>I2732+I2726</f>
        <v>#REF!</v>
      </c>
      <c r="J2733" s="1292" t="e">
        <f>J2732+J2726</f>
        <v>#REF!</v>
      </c>
      <c r="K2733" s="1292" t="e">
        <f>K2732+K2726</f>
        <v>#REF!</v>
      </c>
      <c r="L2733" s="10"/>
      <c r="M2733"/>
    </row>
    <row r="2735" spans="1:13" s="4" customFormat="1" x14ac:dyDescent="0.25">
      <c r="A2735" s="1285" t="s">
        <v>1431</v>
      </c>
      <c r="B2735" s="1285"/>
      <c r="C2735" s="1286"/>
      <c r="D2735" s="1287"/>
      <c r="E2735" s="1287"/>
      <c r="F2735" s="1287"/>
      <c r="G2735" s="1287"/>
      <c r="H2735" s="1288"/>
      <c r="I2735" s="1288"/>
      <c r="J2735" s="1288"/>
      <c r="K2735" s="5"/>
      <c r="L2735" s="10"/>
      <c r="M2735"/>
    </row>
    <row r="2736" spans="1:13" s="4" customFormat="1" x14ac:dyDescent="0.25">
      <c r="A2736" s="1289" t="s">
        <v>3</v>
      </c>
      <c r="B2736" s="1289"/>
      <c r="C2736" s="1286"/>
      <c r="D2736" s="1287"/>
      <c r="E2736" s="1287"/>
      <c r="F2736" s="1287"/>
      <c r="G2736" s="1287"/>
      <c r="H2736" s="1290" t="e">
        <f>#REF!</f>
        <v>#REF!</v>
      </c>
      <c r="I2736" s="1290" t="e">
        <f>#REF!</f>
        <v>#REF!</v>
      </c>
      <c r="J2736" s="1290" t="e">
        <f>#REF!</f>
        <v>#REF!</v>
      </c>
      <c r="K2736" s="1290" t="e">
        <f>#REF!</f>
        <v>#REF!</v>
      </c>
      <c r="L2736" s="10"/>
      <c r="M2736"/>
    </row>
    <row r="2737" spans="1:13" s="4" customFormat="1" x14ac:dyDescent="0.25">
      <c r="A2737" s="1289" t="s">
        <v>1499</v>
      </c>
      <c r="B2737" s="1289"/>
      <c r="C2737" s="1286"/>
      <c r="D2737" s="1287"/>
      <c r="E2737" s="1287"/>
      <c r="F2737" s="1287"/>
      <c r="G2737" s="1287"/>
      <c r="H2737" s="1290" t="e">
        <f>#REF!</f>
        <v>#REF!</v>
      </c>
      <c r="I2737" s="1290" t="e">
        <f>#REF!</f>
        <v>#REF!</v>
      </c>
      <c r="J2737" s="1290" t="e">
        <f>#REF!</f>
        <v>#REF!</v>
      </c>
      <c r="K2737" s="1290" t="e">
        <f>#REF!</f>
        <v>#REF!</v>
      </c>
      <c r="L2737" s="10"/>
      <c r="M2737"/>
    </row>
    <row r="2738" spans="1:13" s="4" customFormat="1" x14ac:dyDescent="0.25">
      <c r="A2738" s="1289" t="s">
        <v>1991</v>
      </c>
      <c r="B2738" s="1289"/>
      <c r="C2738" s="1286"/>
      <c r="D2738" s="1287"/>
      <c r="E2738" s="1287"/>
      <c r="F2738" s="1287"/>
      <c r="G2738" s="1287"/>
      <c r="H2738" s="1290" t="e">
        <f>#REF!</f>
        <v>#REF!</v>
      </c>
      <c r="I2738" s="1290" t="e">
        <f>#REF!</f>
        <v>#REF!</v>
      </c>
      <c r="J2738" s="1290" t="e">
        <f>#REF!</f>
        <v>#REF!</v>
      </c>
      <c r="K2738" s="1290" t="e">
        <f>#REF!</f>
        <v>#REF!</v>
      </c>
      <c r="L2738" s="10"/>
      <c r="M2738"/>
    </row>
    <row r="2739" spans="1:13" s="4" customFormat="1" x14ac:dyDescent="0.25">
      <c r="A2739" s="1289" t="s">
        <v>1501</v>
      </c>
      <c r="B2739" s="1289"/>
      <c r="C2739" s="1286"/>
      <c r="D2739" s="1287"/>
      <c r="E2739" s="1287"/>
      <c r="F2739" s="1287"/>
      <c r="G2739" s="1287"/>
      <c r="H2739" s="1290" t="e">
        <f>#REF!</f>
        <v>#REF!</v>
      </c>
      <c r="I2739" s="1290" t="e">
        <f>#REF!</f>
        <v>#REF!</v>
      </c>
      <c r="J2739" s="1290" t="e">
        <f>#REF!</f>
        <v>#REF!</v>
      </c>
      <c r="K2739" s="1290" t="e">
        <f>#REF!</f>
        <v>#REF!</v>
      </c>
      <c r="L2739" s="10"/>
      <c r="M2739"/>
    </row>
    <row r="2740" spans="1:13" s="4" customFormat="1" x14ac:dyDescent="0.25">
      <c r="A2740" s="1289" t="s">
        <v>1502</v>
      </c>
      <c r="B2740" s="1289"/>
      <c r="C2740" s="1286"/>
      <c r="D2740" s="1287"/>
      <c r="E2740" s="1287"/>
      <c r="F2740" s="1287"/>
      <c r="G2740" s="1287"/>
      <c r="H2740" s="1290" t="e">
        <f>#REF!</f>
        <v>#REF!</v>
      </c>
      <c r="I2740" s="1290" t="e">
        <f>#REF!</f>
        <v>#REF!</v>
      </c>
      <c r="J2740" s="1290" t="e">
        <f>#REF!</f>
        <v>#REF!</v>
      </c>
      <c r="K2740" s="1290" t="e">
        <f>#REF!</f>
        <v>#REF!</v>
      </c>
      <c r="L2740" s="10"/>
      <c r="M2740"/>
    </row>
    <row r="2741" spans="1:13" s="4" customFormat="1" x14ac:dyDescent="0.25">
      <c r="A2741" s="1289" t="s">
        <v>1503</v>
      </c>
      <c r="B2741" s="1289"/>
      <c r="C2741" s="1286"/>
      <c r="D2741" s="1287"/>
      <c r="E2741" s="1287"/>
      <c r="F2741" s="1287"/>
      <c r="G2741" s="1287"/>
      <c r="H2741" s="1290" t="e">
        <f>#REF!</f>
        <v>#REF!</v>
      </c>
      <c r="I2741" s="1290" t="e">
        <f>#REF!</f>
        <v>#REF!</v>
      </c>
      <c r="J2741" s="1290" t="e">
        <f>#REF!</f>
        <v>#REF!</v>
      </c>
      <c r="K2741" s="1290" t="e">
        <f>#REF!</f>
        <v>#REF!</v>
      </c>
      <c r="L2741" s="10"/>
      <c r="M2741"/>
    </row>
    <row r="2742" spans="1:13" s="4" customFormat="1" x14ac:dyDescent="0.25">
      <c r="A2742" s="1289" t="s">
        <v>1024</v>
      </c>
      <c r="B2742" s="1289"/>
      <c r="C2742" s="1286"/>
      <c r="D2742" s="1287"/>
      <c r="E2742" s="1287"/>
      <c r="F2742" s="1287"/>
      <c r="G2742" s="1287"/>
      <c r="H2742" s="1290" t="e">
        <f>#REF!</f>
        <v>#REF!</v>
      </c>
      <c r="I2742" s="1290" t="e">
        <f>#REF!</f>
        <v>#REF!</v>
      </c>
      <c r="J2742" s="1290" t="e">
        <f>#REF!</f>
        <v>#REF!</v>
      </c>
      <c r="K2742" s="1290" t="e">
        <f>#REF!</f>
        <v>#REF!</v>
      </c>
      <c r="L2742" s="10"/>
      <c r="M2742"/>
    </row>
    <row r="2743" spans="1:13" s="4" customFormat="1" x14ac:dyDescent="0.25">
      <c r="A2743" s="1289" t="s">
        <v>1992</v>
      </c>
      <c r="B2743" s="1289"/>
      <c r="C2743" s="1286"/>
      <c r="D2743" s="1287"/>
      <c r="E2743" s="1287"/>
      <c r="F2743" s="1287"/>
      <c r="G2743" s="1287"/>
      <c r="H2743" s="1290" t="e">
        <f>#REF!</f>
        <v>#REF!</v>
      </c>
      <c r="I2743" s="1290" t="e">
        <f>#REF!</f>
        <v>#REF!</v>
      </c>
      <c r="J2743" s="1290" t="e">
        <f>#REF!</f>
        <v>#REF!</v>
      </c>
      <c r="K2743" s="1290" t="e">
        <f>#REF!</f>
        <v>#REF!</v>
      </c>
      <c r="L2743" s="10"/>
      <c r="M2743"/>
    </row>
    <row r="2744" spans="1:13" s="4" customFormat="1" x14ac:dyDescent="0.25">
      <c r="A2744" s="1289" t="s">
        <v>1321</v>
      </c>
      <c r="B2744" s="1289"/>
      <c r="C2744" s="1286"/>
      <c r="D2744" s="1287"/>
      <c r="E2744" s="1287"/>
      <c r="F2744" s="1287"/>
      <c r="G2744" s="1287"/>
      <c r="H2744" s="1290" t="e">
        <f>#REF!</f>
        <v>#REF!</v>
      </c>
      <c r="I2744" s="1290" t="e">
        <f>#REF!</f>
        <v>#REF!</v>
      </c>
      <c r="J2744" s="1290" t="e">
        <f>#REF!</f>
        <v>#REF!</v>
      </c>
      <c r="K2744" s="1290" t="e">
        <f>#REF!</f>
        <v>#REF!</v>
      </c>
      <c r="L2744" s="10"/>
      <c r="M2744"/>
    </row>
    <row r="2745" spans="1:13" s="4" customFormat="1" x14ac:dyDescent="0.25">
      <c r="A2745" s="1289" t="s">
        <v>1504</v>
      </c>
      <c r="B2745" s="1289"/>
      <c r="C2745" s="1286"/>
      <c r="D2745" s="1287"/>
      <c r="E2745" s="1287"/>
      <c r="F2745" s="1287"/>
      <c r="G2745" s="1287"/>
      <c r="H2745" s="1290" t="e">
        <f>#REF!</f>
        <v>#REF!</v>
      </c>
      <c r="I2745" s="1290" t="e">
        <f>#REF!</f>
        <v>#REF!</v>
      </c>
      <c r="J2745" s="1290" t="e">
        <f>#REF!</f>
        <v>#REF!</v>
      </c>
      <c r="K2745" s="1290" t="e">
        <f>#REF!</f>
        <v>#REF!</v>
      </c>
      <c r="L2745" s="10"/>
      <c r="M2745"/>
    </row>
    <row r="2746" spans="1:13" s="4" customFormat="1" x14ac:dyDescent="0.25">
      <c r="A2746" s="1289" t="s">
        <v>1505</v>
      </c>
      <c r="B2746" s="1289"/>
      <c r="C2746" s="1286"/>
      <c r="D2746" s="1287"/>
      <c r="E2746" s="1287"/>
      <c r="F2746" s="1287"/>
      <c r="G2746" s="1287"/>
      <c r="H2746" s="1290" t="e">
        <f>#REF!</f>
        <v>#REF!</v>
      </c>
      <c r="I2746" s="1290" t="e">
        <f>#REF!</f>
        <v>#REF!</v>
      </c>
      <c r="J2746" s="1290" t="e">
        <f>#REF!</f>
        <v>#REF!</v>
      </c>
      <c r="K2746" s="1290" t="e">
        <f>#REF!</f>
        <v>#REF!</v>
      </c>
      <c r="L2746" s="10"/>
      <c r="M2746"/>
    </row>
    <row r="2747" spans="1:13" s="4" customFormat="1" x14ac:dyDescent="0.25">
      <c r="A2747" s="1289" t="s">
        <v>1506</v>
      </c>
      <c r="B2747" s="1289"/>
      <c r="C2747" s="1286"/>
      <c r="D2747" s="1287"/>
      <c r="E2747" s="1287"/>
      <c r="F2747" s="1287"/>
      <c r="G2747" s="1287"/>
      <c r="H2747" s="1290" t="e">
        <f>#REF!</f>
        <v>#REF!</v>
      </c>
      <c r="I2747" s="1290" t="e">
        <f>#REF!</f>
        <v>#REF!</v>
      </c>
      <c r="J2747" s="1290" t="e">
        <f>#REF!</f>
        <v>#REF!</v>
      </c>
      <c r="K2747" s="1290" t="e">
        <f>#REF!</f>
        <v>#REF!</v>
      </c>
      <c r="L2747" s="10"/>
      <c r="M2747"/>
    </row>
    <row r="2748" spans="1:13" s="4" customFormat="1" x14ac:dyDescent="0.25">
      <c r="A2748" s="1289" t="s">
        <v>1507</v>
      </c>
      <c r="B2748" s="1289"/>
      <c r="C2748" s="1286"/>
      <c r="D2748" s="1287"/>
      <c r="E2748" s="1287"/>
      <c r="F2748" s="1287"/>
      <c r="G2748" s="1287"/>
      <c r="H2748" s="1290" t="e">
        <f>#REF!</f>
        <v>#REF!</v>
      </c>
      <c r="I2748" s="1290" t="e">
        <f>#REF!</f>
        <v>#REF!</v>
      </c>
      <c r="J2748" s="1290" t="e">
        <f>#REF!</f>
        <v>#REF!</v>
      </c>
      <c r="K2748" s="1290" t="e">
        <f>#REF!</f>
        <v>#REF!</v>
      </c>
      <c r="L2748" s="10"/>
      <c r="M2748"/>
    </row>
    <row r="2749" spans="1:13" s="4" customFormat="1" x14ac:dyDescent="0.25">
      <c r="A2749" s="1289" t="s">
        <v>1993</v>
      </c>
      <c r="B2749" s="1289"/>
      <c r="C2749" s="1286"/>
      <c r="D2749" s="1287"/>
      <c r="E2749" s="1287"/>
      <c r="F2749" s="1287"/>
      <c r="G2749" s="1287"/>
      <c r="H2749" s="1290" t="e">
        <f>#REF!</f>
        <v>#REF!</v>
      </c>
      <c r="I2749" s="1290" t="e">
        <f>#REF!</f>
        <v>#REF!</v>
      </c>
      <c r="J2749" s="1290" t="e">
        <f>#REF!</f>
        <v>#REF!</v>
      </c>
      <c r="K2749" s="1290" t="e">
        <f>#REF!</f>
        <v>#REF!</v>
      </c>
      <c r="L2749" s="10"/>
      <c r="M2749"/>
    </row>
    <row r="2750" spans="1:13" s="4" customFormat="1" x14ac:dyDescent="0.25">
      <c r="A2750" s="1289" t="s">
        <v>1994</v>
      </c>
      <c r="B2750" s="1289"/>
      <c r="C2750" s="1286"/>
      <c r="D2750" s="1287"/>
      <c r="E2750" s="1287"/>
      <c r="F2750" s="1287"/>
      <c r="G2750" s="1287"/>
      <c r="H2750" s="1290" t="e">
        <f>#REF!</f>
        <v>#REF!</v>
      </c>
      <c r="I2750" s="1290" t="e">
        <f>#REF!</f>
        <v>#REF!</v>
      </c>
      <c r="J2750" s="1290" t="e">
        <f>#REF!</f>
        <v>#REF!</v>
      </c>
      <c r="K2750" s="1290" t="e">
        <f>#REF!</f>
        <v>#REF!</v>
      </c>
      <c r="L2750" s="10"/>
      <c r="M2750"/>
    </row>
    <row r="2751" spans="1:13" s="4" customFormat="1" x14ac:dyDescent="0.25">
      <c r="A2751" s="1289" t="s">
        <v>1995</v>
      </c>
      <c r="B2751" s="1289"/>
      <c r="C2751" s="1286"/>
      <c r="D2751" s="1287"/>
      <c r="E2751" s="1287"/>
      <c r="F2751" s="1287"/>
      <c r="G2751" s="1287"/>
      <c r="H2751" s="1290" t="e">
        <f>#REF!</f>
        <v>#REF!</v>
      </c>
      <c r="I2751" s="1290" t="e">
        <f>#REF!</f>
        <v>#REF!</v>
      </c>
      <c r="J2751" s="1290" t="e">
        <f>#REF!</f>
        <v>#REF!</v>
      </c>
      <c r="K2751" s="1290" t="e">
        <f>#REF!</f>
        <v>#REF!</v>
      </c>
      <c r="L2751" s="10"/>
      <c r="M2751"/>
    </row>
    <row r="2752" spans="1:13" s="4" customFormat="1" x14ac:dyDescent="0.25">
      <c r="A2752" s="1289" t="s">
        <v>1510</v>
      </c>
      <c r="B2752" s="1289"/>
      <c r="C2752" s="1286"/>
      <c r="D2752" s="1287"/>
      <c r="E2752" s="1287"/>
      <c r="F2752" s="1287"/>
      <c r="G2752" s="1287"/>
      <c r="H2752" s="1290" t="e">
        <f>#REF!</f>
        <v>#REF!</v>
      </c>
      <c r="I2752" s="1290" t="e">
        <f>#REF!</f>
        <v>#REF!</v>
      </c>
      <c r="J2752" s="1290" t="e">
        <f>#REF!</f>
        <v>#REF!</v>
      </c>
      <c r="K2752" s="1290" t="e">
        <f>#REF!</f>
        <v>#REF!</v>
      </c>
      <c r="L2752" s="10"/>
      <c r="M2752"/>
    </row>
    <row r="2753" spans="1:13" s="4" customFormat="1" x14ac:dyDescent="0.25">
      <c r="A2753" s="1289" t="s">
        <v>27</v>
      </c>
      <c r="B2753" s="1289"/>
      <c r="C2753" s="1286"/>
      <c r="D2753" s="1287"/>
      <c r="E2753" s="1287"/>
      <c r="F2753" s="1287"/>
      <c r="G2753" s="1287"/>
      <c r="H2753" s="1290" t="e">
        <f>#REF!</f>
        <v>#REF!</v>
      </c>
      <c r="I2753" s="1290" t="e">
        <f>#REF!</f>
        <v>#REF!</v>
      </c>
      <c r="J2753" s="1290" t="e">
        <f>#REF!</f>
        <v>#REF!</v>
      </c>
      <c r="K2753" s="1290" t="e">
        <f>#REF!</f>
        <v>#REF!</v>
      </c>
      <c r="L2753" s="10"/>
      <c r="M2753"/>
    </row>
    <row r="2754" spans="1:13" s="4" customFormat="1" x14ac:dyDescent="0.25">
      <c r="A2754" s="1289" t="s">
        <v>28</v>
      </c>
      <c r="B2754" s="1289"/>
      <c r="C2754" s="1286"/>
      <c r="D2754" s="1287"/>
      <c r="E2754" s="1287"/>
      <c r="F2754" s="1287"/>
      <c r="G2754" s="1287"/>
      <c r="H2754" s="1290" t="e">
        <f>#REF!</f>
        <v>#REF!</v>
      </c>
      <c r="I2754" s="1290" t="e">
        <f>#REF!</f>
        <v>#REF!</v>
      </c>
      <c r="J2754" s="1290" t="e">
        <f>#REF!</f>
        <v>#REF!</v>
      </c>
      <c r="K2754" s="1290" t="e">
        <f>#REF!</f>
        <v>#REF!</v>
      </c>
      <c r="L2754" s="10"/>
      <c r="M2754"/>
    </row>
    <row r="2755" spans="1:13" s="4" customFormat="1" x14ac:dyDescent="0.25">
      <c r="A2755" s="1289" t="s">
        <v>29</v>
      </c>
      <c r="B2755" s="1289"/>
      <c r="C2755" s="1286"/>
      <c r="D2755" s="1287"/>
      <c r="E2755" s="1287"/>
      <c r="F2755" s="1287"/>
      <c r="G2755" s="1287"/>
      <c r="H2755" s="1290" t="e">
        <f>#REF!</f>
        <v>#REF!</v>
      </c>
      <c r="I2755" s="1290" t="e">
        <f>#REF!</f>
        <v>#REF!</v>
      </c>
      <c r="J2755" s="1290" t="e">
        <f>#REF!</f>
        <v>#REF!</v>
      </c>
      <c r="K2755" s="1290" t="e">
        <f>#REF!</f>
        <v>#REF!</v>
      </c>
      <c r="L2755" s="10"/>
      <c r="M2755"/>
    </row>
    <row r="2756" spans="1:13" s="4" customFormat="1" x14ac:dyDescent="0.25">
      <c r="A2756" s="1289" t="s">
        <v>31</v>
      </c>
      <c r="B2756" s="1289"/>
      <c r="C2756" s="1286"/>
      <c r="D2756" s="1287"/>
      <c r="E2756" s="1287"/>
      <c r="F2756" s="1287"/>
      <c r="G2756" s="1287"/>
      <c r="H2756" s="1290" t="e">
        <f>#REF!</f>
        <v>#REF!</v>
      </c>
      <c r="I2756" s="1290" t="e">
        <f>#REF!</f>
        <v>#REF!</v>
      </c>
      <c r="J2756" s="1290" t="e">
        <f>#REF!</f>
        <v>#REF!</v>
      </c>
      <c r="K2756" s="1290" t="e">
        <f>#REF!</f>
        <v>#REF!</v>
      </c>
      <c r="L2756" s="10"/>
      <c r="M2756"/>
    </row>
    <row r="2757" spans="1:13" s="4" customFormat="1" x14ac:dyDescent="0.25">
      <c r="A2757" s="1289" t="s">
        <v>32</v>
      </c>
      <c r="B2757" s="1289"/>
      <c r="C2757" s="1286"/>
      <c r="D2757" s="1287"/>
      <c r="E2757" s="1287"/>
      <c r="F2757" s="1287"/>
      <c r="G2757" s="1287"/>
      <c r="H2757" s="1290" t="e">
        <f>#REF!</f>
        <v>#REF!</v>
      </c>
      <c r="I2757" s="1290" t="e">
        <f>#REF!</f>
        <v>#REF!</v>
      </c>
      <c r="J2757" s="1290" t="e">
        <f>#REF!</f>
        <v>#REF!</v>
      </c>
      <c r="K2757" s="1290" t="e">
        <f>#REF!</f>
        <v>#REF!</v>
      </c>
      <c r="L2757" s="10"/>
      <c r="M2757"/>
    </row>
    <row r="2758" spans="1:13" s="4" customFormat="1" x14ac:dyDescent="0.25">
      <c r="A2758" s="1289" t="s">
        <v>33</v>
      </c>
      <c r="B2758" s="1289"/>
      <c r="C2758" s="1286"/>
      <c r="D2758" s="1287"/>
      <c r="E2758" s="1287"/>
      <c r="F2758" s="1287"/>
      <c r="G2758" s="1287"/>
      <c r="H2758" s="1290" t="e">
        <f>#REF!</f>
        <v>#REF!</v>
      </c>
      <c r="I2758" s="1290" t="e">
        <f>#REF!</f>
        <v>#REF!</v>
      </c>
      <c r="J2758" s="1290" t="e">
        <f>#REF!</f>
        <v>#REF!</v>
      </c>
      <c r="K2758" s="1290" t="e">
        <f>#REF!</f>
        <v>#REF!</v>
      </c>
      <c r="L2758" s="10"/>
      <c r="M2758"/>
    </row>
    <row r="2759" spans="1:13" s="4" customFormat="1" x14ac:dyDescent="0.25">
      <c r="A2759" s="1289" t="s">
        <v>1996</v>
      </c>
      <c r="B2759" s="1289"/>
      <c r="C2759" s="1286"/>
      <c r="D2759" s="1287"/>
      <c r="E2759" s="1287"/>
      <c r="F2759" s="1287"/>
      <c r="G2759" s="1287"/>
      <c r="H2759" s="1290" t="e">
        <f>#REF!</f>
        <v>#REF!</v>
      </c>
      <c r="I2759" s="1290" t="e">
        <f>#REF!</f>
        <v>#REF!</v>
      </c>
      <c r="J2759" s="1290" t="e">
        <f>#REF!</f>
        <v>#REF!</v>
      </c>
      <c r="K2759" s="1290" t="e">
        <f>#REF!</f>
        <v>#REF!</v>
      </c>
      <c r="L2759" s="10"/>
      <c r="M2759"/>
    </row>
    <row r="2760" spans="1:13" s="4" customFormat="1" x14ac:dyDescent="0.25">
      <c r="A2760" s="1289" t="s">
        <v>35</v>
      </c>
      <c r="B2760" s="1289"/>
      <c r="C2760" s="1286"/>
      <c r="D2760" s="1287"/>
      <c r="E2760" s="1287"/>
      <c r="F2760" s="1287"/>
      <c r="G2760" s="1287"/>
      <c r="H2760" s="1290" t="e">
        <f>#REF!</f>
        <v>#REF!</v>
      </c>
      <c r="I2760" s="1290" t="e">
        <f>#REF!</f>
        <v>#REF!</v>
      </c>
      <c r="J2760" s="1290" t="e">
        <f>#REF!</f>
        <v>#REF!</v>
      </c>
      <c r="K2760" s="1290" t="e">
        <f>#REF!</f>
        <v>#REF!</v>
      </c>
      <c r="L2760" s="10"/>
      <c r="M2760"/>
    </row>
    <row r="2761" spans="1:13" s="4" customFormat="1" x14ac:dyDescent="0.25">
      <c r="A2761" s="1289" t="s">
        <v>1322</v>
      </c>
      <c r="B2761" s="1289"/>
      <c r="C2761" s="1286"/>
      <c r="D2761" s="1287"/>
      <c r="E2761" s="1287"/>
      <c r="F2761" s="1287"/>
      <c r="G2761" s="1287"/>
      <c r="H2761" s="1290" t="e">
        <f>#REF!</f>
        <v>#REF!</v>
      </c>
      <c r="I2761" s="1290" t="e">
        <f>#REF!</f>
        <v>#REF!</v>
      </c>
      <c r="J2761" s="1290" t="e">
        <f>#REF!</f>
        <v>#REF!</v>
      </c>
      <c r="K2761" s="1290" t="e">
        <f>#REF!</f>
        <v>#REF!</v>
      </c>
      <c r="L2761" s="10"/>
      <c r="M2761"/>
    </row>
    <row r="2762" spans="1:13" s="4" customFormat="1" x14ac:dyDescent="0.25">
      <c r="A2762" s="1289" t="s">
        <v>1997</v>
      </c>
      <c r="B2762" s="1289"/>
      <c r="C2762" s="1286"/>
      <c r="D2762" s="1287"/>
      <c r="E2762" s="1287"/>
      <c r="F2762" s="1287"/>
      <c r="G2762" s="1287"/>
      <c r="H2762" s="1290" t="e">
        <f>#REF!</f>
        <v>#REF!</v>
      </c>
      <c r="I2762" s="1290" t="e">
        <f>#REF!</f>
        <v>#REF!</v>
      </c>
      <c r="J2762" s="1290" t="e">
        <f>#REF!</f>
        <v>#REF!</v>
      </c>
      <c r="K2762" s="1290" t="e">
        <f>#REF!</f>
        <v>#REF!</v>
      </c>
      <c r="L2762" s="10"/>
      <c r="M2762"/>
    </row>
    <row r="2763" spans="1:13" s="4" customFormat="1" x14ac:dyDescent="0.25">
      <c r="A2763" s="1289" t="s">
        <v>1998</v>
      </c>
      <c r="B2763" s="1289"/>
      <c r="C2763" s="1286"/>
      <c r="D2763" s="1287"/>
      <c r="E2763" s="1287"/>
      <c r="F2763" s="1287"/>
      <c r="G2763" s="1287"/>
      <c r="H2763" s="1290" t="e">
        <f>#REF!</f>
        <v>#REF!</v>
      </c>
      <c r="I2763" s="1290" t="e">
        <f>#REF!</f>
        <v>#REF!</v>
      </c>
      <c r="J2763" s="1290" t="e">
        <f>#REF!</f>
        <v>#REF!</v>
      </c>
      <c r="K2763" s="1290" t="e">
        <f>#REF!</f>
        <v>#REF!</v>
      </c>
      <c r="L2763" s="10"/>
      <c r="M2763"/>
    </row>
    <row r="2764" spans="1:13" s="4" customFormat="1" x14ac:dyDescent="0.25">
      <c r="A2764" s="1289" t="s">
        <v>40</v>
      </c>
      <c r="B2764" s="1289"/>
      <c r="C2764" s="1286"/>
      <c r="D2764" s="1287"/>
      <c r="E2764" s="1287"/>
      <c r="F2764" s="1287"/>
      <c r="G2764" s="1287"/>
      <c r="H2764" s="1290" t="e">
        <f>#REF!</f>
        <v>#REF!</v>
      </c>
      <c r="I2764" s="1290" t="e">
        <f>#REF!</f>
        <v>#REF!</v>
      </c>
      <c r="J2764" s="1290" t="e">
        <f>#REF!</f>
        <v>#REF!</v>
      </c>
      <c r="K2764" s="1290" t="e">
        <f>#REF!</f>
        <v>#REF!</v>
      </c>
      <c r="L2764" s="10"/>
      <c r="M2764"/>
    </row>
    <row r="2765" spans="1:13" s="4" customFormat="1" x14ac:dyDescent="0.25">
      <c r="A2765" s="1289" t="s">
        <v>1999</v>
      </c>
      <c r="B2765" s="1289"/>
      <c r="C2765" s="1286"/>
      <c r="D2765" s="1287"/>
      <c r="E2765" s="1287"/>
      <c r="F2765" s="1287"/>
      <c r="G2765" s="1287"/>
      <c r="H2765" s="1290" t="e">
        <f>#REF!</f>
        <v>#REF!</v>
      </c>
      <c r="I2765" s="1290" t="e">
        <f>#REF!</f>
        <v>#REF!</v>
      </c>
      <c r="J2765" s="1290" t="e">
        <f>#REF!</f>
        <v>#REF!</v>
      </c>
      <c r="K2765" s="1290" t="e">
        <f>#REF!</f>
        <v>#REF!</v>
      </c>
      <c r="L2765" s="10"/>
      <c r="M2765"/>
    </row>
    <row r="2766" spans="1:13" s="4" customFormat="1" x14ac:dyDescent="0.25">
      <c r="A2766" s="1285" t="s">
        <v>2004</v>
      </c>
      <c r="B2766" s="1285"/>
      <c r="C2766" s="1291"/>
      <c r="D2766" s="1287"/>
      <c r="E2766" s="1287"/>
      <c r="F2766" s="1287"/>
      <c r="G2766" s="1287"/>
      <c r="H2766" s="1292" t="e">
        <f>SUM(H2736:H2765)</f>
        <v>#REF!</v>
      </c>
      <c r="I2766" s="1292" t="e">
        <f>SUM(I2736:I2765)</f>
        <v>#REF!</v>
      </c>
      <c r="J2766" s="1292" t="e">
        <f>SUM(J2736:J2765)</f>
        <v>#REF!</v>
      </c>
      <c r="K2766" s="1292" t="e">
        <f>SUM(K2736:K2765)</f>
        <v>#REF!</v>
      </c>
      <c r="L2766" s="10"/>
      <c r="M2766"/>
    </row>
    <row r="2767" spans="1:13" s="4" customFormat="1" x14ac:dyDescent="0.25">
      <c r="A2767" s="1285"/>
      <c r="B2767" s="1285"/>
      <c r="C2767" s="1291"/>
      <c r="D2767" s="1287"/>
      <c r="E2767" s="1287"/>
      <c r="F2767" s="1287"/>
      <c r="G2767" s="1287"/>
      <c r="H2767" s="1288"/>
      <c r="I2767" s="1288"/>
      <c r="J2767" s="1288"/>
      <c r="K2767" s="5"/>
      <c r="L2767" s="10"/>
      <c r="M2767"/>
    </row>
    <row r="2768" spans="1:13" s="4" customFormat="1" x14ac:dyDescent="0.25">
      <c r="A2768" s="1285" t="s">
        <v>1318</v>
      </c>
      <c r="B2768" s="1285"/>
      <c r="C2768" s="1291"/>
      <c r="D2768" s="1287"/>
      <c r="E2768" s="1287"/>
      <c r="F2768" s="1287"/>
      <c r="G2768" s="1287"/>
      <c r="H2768" s="1288"/>
      <c r="I2768" s="1288"/>
      <c r="J2768" s="1288"/>
      <c r="K2768" s="1288"/>
      <c r="L2768" s="10"/>
      <c r="M2768"/>
    </row>
    <row r="2769" spans="1:13" s="4" customFormat="1" x14ac:dyDescent="0.25">
      <c r="A2769" s="1289" t="s">
        <v>2001</v>
      </c>
      <c r="B2769" s="1289"/>
      <c r="C2769" s="1286"/>
      <c r="D2769" s="1287"/>
      <c r="E2769" s="1287"/>
      <c r="F2769" s="1287"/>
      <c r="G2769" s="1287"/>
      <c r="H2769" s="1290">
        <f>H1245</f>
        <v>0</v>
      </c>
      <c r="I2769" s="1290">
        <f>I1245</f>
        <v>12991382.300000001</v>
      </c>
      <c r="J2769" s="1290">
        <f>J1245</f>
        <v>11629564.98</v>
      </c>
      <c r="K2769" s="1290">
        <f>K1245</f>
        <v>11729564.98</v>
      </c>
      <c r="L2769" s="10"/>
      <c r="M2769"/>
    </row>
    <row r="2770" spans="1:13" s="4" customFormat="1" x14ac:dyDescent="0.25">
      <c r="A2770" s="1289" t="s">
        <v>1325</v>
      </c>
      <c r="B2770" s="1289"/>
      <c r="C2770" s="1286"/>
      <c r="D2770" s="1287"/>
      <c r="E2770" s="1287"/>
      <c r="F2770" s="1287"/>
      <c r="G2770" s="1287"/>
      <c r="H2770" s="1290">
        <f>H1317</f>
        <v>0</v>
      </c>
      <c r="I2770" s="1290">
        <f>I1317</f>
        <v>2697808.64</v>
      </c>
      <c r="J2770" s="1290">
        <f>J1317</f>
        <v>2697808.64</v>
      </c>
      <c r="K2770" s="1290">
        <f>K1317</f>
        <v>3142974.3400000003</v>
      </c>
      <c r="L2770" s="10"/>
      <c r="M2770"/>
    </row>
    <row r="2771" spans="1:13" s="4" customFormat="1" x14ac:dyDescent="0.25">
      <c r="A2771" s="1289" t="s">
        <v>1326</v>
      </c>
      <c r="B2771" s="1289"/>
      <c r="C2771" s="1286"/>
      <c r="D2771" s="1287"/>
      <c r="E2771" s="1287"/>
      <c r="F2771" s="1287"/>
      <c r="G2771" s="1287"/>
      <c r="H2771" s="1290">
        <f>H1384</f>
        <v>0</v>
      </c>
      <c r="I2771" s="1290">
        <f>I1384</f>
        <v>917006</v>
      </c>
      <c r="J2771" s="1290">
        <f>J1384</f>
        <v>917006</v>
      </c>
      <c r="K2771" s="1290">
        <f>K1384</f>
        <v>967006</v>
      </c>
      <c r="L2771" s="10"/>
      <c r="M2771"/>
    </row>
    <row r="2772" spans="1:13" s="4" customFormat="1" x14ac:dyDescent="0.25">
      <c r="A2772" s="1285" t="s">
        <v>2005</v>
      </c>
      <c r="B2772" s="1285"/>
      <c r="C2772" s="1291"/>
      <c r="D2772" s="1287"/>
      <c r="E2772" s="1287"/>
      <c r="F2772" s="1287"/>
      <c r="G2772" s="1287"/>
      <c r="H2772" s="1292">
        <f>SUM(H2769:H2771)</f>
        <v>0</v>
      </c>
      <c r="I2772" s="1292">
        <f>SUM(I2769:I2771)</f>
        <v>16606196.940000001</v>
      </c>
      <c r="J2772" s="1292">
        <f>SUM(J2769:J2771)</f>
        <v>15244379.620000001</v>
      </c>
      <c r="K2772" s="1292">
        <f>SUM(K2769:K2771)</f>
        <v>15839545.32</v>
      </c>
      <c r="L2772" s="10"/>
      <c r="M2772"/>
    </row>
    <row r="2773" spans="1:13" s="4" customFormat="1" x14ac:dyDescent="0.25">
      <c r="A2773" s="1285" t="s">
        <v>2006</v>
      </c>
      <c r="B2773" s="1285"/>
      <c r="C2773" s="1291"/>
      <c r="D2773" s="1287"/>
      <c r="E2773" s="1287"/>
      <c r="F2773" s="1287"/>
      <c r="G2773" s="1287"/>
      <c r="H2773" s="1292" t="e">
        <f>H2772+H2766</f>
        <v>#REF!</v>
      </c>
      <c r="I2773" s="1292" t="e">
        <f>I2772+I2766</f>
        <v>#REF!</v>
      </c>
      <c r="J2773" s="1292" t="e">
        <f>J2772+J2766</f>
        <v>#REF!</v>
      </c>
      <c r="K2773" s="1292" t="e">
        <f>K2772+K2766</f>
        <v>#REF!</v>
      </c>
      <c r="L2773" s="10"/>
      <c r="M2773"/>
    </row>
    <row r="2774" spans="1:13" s="4" customFormat="1" x14ac:dyDescent="0.25">
      <c r="A2774" s="1294"/>
      <c r="B2774" s="1294"/>
      <c r="C2774" s="591"/>
      <c r="D2774" s="235"/>
      <c r="E2774" s="235"/>
      <c r="F2774" s="235"/>
      <c r="G2774" s="235"/>
      <c r="H2774" s="126"/>
      <c r="I2774" s="126"/>
      <c r="J2774" s="126"/>
      <c r="K2774" s="5"/>
      <c r="L2774" s="10"/>
      <c r="M2774"/>
    </row>
    <row r="2775" spans="1:13" s="4" customFormat="1" x14ac:dyDescent="0.25">
      <c r="A2775" s="1294"/>
      <c r="B2775" s="1294"/>
      <c r="C2775" s="591"/>
      <c r="D2775" s="235"/>
      <c r="E2775" s="235"/>
      <c r="F2775" s="235"/>
      <c r="G2775" s="235"/>
      <c r="H2775" s="126"/>
      <c r="I2775" s="126"/>
      <c r="J2775" s="126"/>
      <c r="K2775" s="5"/>
      <c r="L2775" s="10"/>
      <c r="M2775"/>
    </row>
    <row r="2776" spans="1:13" s="4" customFormat="1" ht="16.5" thickBot="1" x14ac:dyDescent="0.3">
      <c r="A2776" s="1294"/>
      <c r="B2776" s="1294"/>
      <c r="C2776" s="591"/>
      <c r="D2776" s="235"/>
      <c r="E2776" s="235"/>
      <c r="F2776" s="235"/>
      <c r="G2776" s="235"/>
      <c r="H2776" s="126"/>
      <c r="I2776" s="126"/>
      <c r="J2776" s="126"/>
      <c r="K2776" s="5"/>
      <c r="L2776" s="10"/>
      <c r="M2776"/>
    </row>
    <row r="2777" spans="1:13" s="48" customFormat="1" ht="21.75" customHeight="1" thickBot="1" x14ac:dyDescent="0.3">
      <c r="A2777" s="1655" t="s">
        <v>115</v>
      </c>
      <c r="B2777" s="1655"/>
      <c r="C2777" s="1655"/>
      <c r="D2777" s="1655"/>
      <c r="E2777" s="1655"/>
      <c r="F2777" s="1655"/>
      <c r="G2777" s="1151"/>
      <c r="H2777" s="1708" t="s">
        <v>1537</v>
      </c>
      <c r="I2777" s="1710" t="s">
        <v>1538</v>
      </c>
      <c r="J2777" s="1710" t="s">
        <v>1539</v>
      </c>
      <c r="K2777" s="1710" t="s">
        <v>1540</v>
      </c>
      <c r="L2777" s="47"/>
    </row>
    <row r="2778" spans="1:13" s="1153" customFormat="1" ht="31.5" customHeight="1" thickBot="1" x14ac:dyDescent="0.3">
      <c r="A2778" s="1655"/>
      <c r="B2778" s="1655"/>
      <c r="C2778" s="1655"/>
      <c r="D2778" s="1655"/>
      <c r="E2778" s="1655"/>
      <c r="F2778" s="1655"/>
      <c r="G2778" s="1067" t="s">
        <v>116</v>
      </c>
      <c r="H2778" s="1709"/>
      <c r="I2778" s="1710"/>
      <c r="J2778" s="1710"/>
      <c r="K2778" s="1710"/>
      <c r="L2778" s="1152"/>
    </row>
    <row r="2779" spans="1:13" s="4" customFormat="1" x14ac:dyDescent="0.25">
      <c r="A2779" s="1285" t="s">
        <v>1484</v>
      </c>
      <c r="B2779" s="1285"/>
      <c r="C2779" s="1286"/>
      <c r="D2779" s="1287"/>
      <c r="E2779" s="1287"/>
      <c r="F2779" s="1287"/>
      <c r="G2779" s="1287"/>
      <c r="H2779" s="1288"/>
      <c r="I2779" s="1288"/>
      <c r="J2779" s="1288"/>
      <c r="K2779" s="5"/>
      <c r="L2779" s="10"/>
      <c r="M2779"/>
    </row>
    <row r="2780" spans="1:13" s="4" customFormat="1" x14ac:dyDescent="0.25">
      <c r="A2780" s="1289" t="s">
        <v>3</v>
      </c>
      <c r="B2780" s="1289"/>
      <c r="C2780" s="1286"/>
      <c r="D2780" s="1287"/>
      <c r="E2780" s="1287"/>
      <c r="F2780" s="1287"/>
      <c r="G2780" s="1287"/>
      <c r="H2780" s="1290" t="e">
        <f>#REF!</f>
        <v>#REF!</v>
      </c>
      <c r="I2780" s="1290" t="e">
        <f>#REF!</f>
        <v>#REF!</v>
      </c>
      <c r="J2780" s="1290" t="e">
        <f>#REF!</f>
        <v>#REF!</v>
      </c>
      <c r="K2780" s="1290" t="e">
        <f>#REF!</f>
        <v>#REF!</v>
      </c>
      <c r="L2780" s="10"/>
      <c r="M2780"/>
    </row>
    <row r="2781" spans="1:13" s="4" customFormat="1" x14ac:dyDescent="0.25">
      <c r="A2781" s="1289" t="s">
        <v>1499</v>
      </c>
      <c r="B2781" s="1289"/>
      <c r="C2781" s="1286"/>
      <c r="D2781" s="1287"/>
      <c r="E2781" s="1287"/>
      <c r="F2781" s="1287"/>
      <c r="G2781" s="1287"/>
      <c r="H2781" s="1290" t="e">
        <f>#REF!</f>
        <v>#REF!</v>
      </c>
      <c r="I2781" s="1290" t="e">
        <f>#REF!</f>
        <v>#REF!</v>
      </c>
      <c r="J2781" s="1290" t="e">
        <f>#REF!</f>
        <v>#REF!</v>
      </c>
      <c r="K2781" s="1290" t="e">
        <f>#REF!</f>
        <v>#REF!</v>
      </c>
      <c r="L2781" s="10"/>
      <c r="M2781"/>
    </row>
    <row r="2782" spans="1:13" s="4" customFormat="1" x14ac:dyDescent="0.25">
      <c r="A2782" s="1289" t="s">
        <v>1991</v>
      </c>
      <c r="B2782" s="1289"/>
      <c r="C2782" s="1286"/>
      <c r="D2782" s="1287"/>
      <c r="E2782" s="1287"/>
      <c r="F2782" s="1290"/>
      <c r="G2782" s="1290" t="e">
        <f>#REF!</f>
        <v>#REF!</v>
      </c>
      <c r="H2782" s="1290" t="e">
        <f>#REF!</f>
        <v>#REF!</v>
      </c>
      <c r="I2782" s="1290" t="e">
        <f>#REF!</f>
        <v>#REF!</v>
      </c>
      <c r="J2782" s="1290" t="e">
        <f>#REF!</f>
        <v>#REF!</v>
      </c>
      <c r="K2782" s="1290" t="e">
        <f>#REF!</f>
        <v>#REF!</v>
      </c>
      <c r="L2782" s="10"/>
      <c r="M2782"/>
    </row>
    <row r="2783" spans="1:13" s="4" customFormat="1" x14ac:dyDescent="0.25">
      <c r="A2783" s="1289" t="s">
        <v>1501</v>
      </c>
      <c r="B2783" s="1289"/>
      <c r="C2783" s="1286"/>
      <c r="D2783" s="1287"/>
      <c r="E2783" s="1287"/>
      <c r="F2783" s="1287"/>
      <c r="G2783" s="1287"/>
      <c r="H2783" s="1290" t="e">
        <f>#REF!</f>
        <v>#REF!</v>
      </c>
      <c r="I2783" s="1290" t="e">
        <f>#REF!</f>
        <v>#REF!</v>
      </c>
      <c r="J2783" s="1290" t="e">
        <f>#REF!</f>
        <v>#REF!</v>
      </c>
      <c r="K2783" s="1290" t="e">
        <f>#REF!</f>
        <v>#REF!</v>
      </c>
      <c r="L2783" s="10"/>
      <c r="M2783"/>
    </row>
    <row r="2784" spans="1:13" s="4" customFormat="1" x14ac:dyDescent="0.25">
      <c r="A2784" s="1289" t="s">
        <v>1502</v>
      </c>
      <c r="B2784" s="1289"/>
      <c r="C2784" s="1286"/>
      <c r="D2784" s="1287"/>
      <c r="E2784" s="1287"/>
      <c r="F2784" s="1287"/>
      <c r="G2784" s="1287"/>
      <c r="H2784" s="1290" t="e">
        <f>#REF!</f>
        <v>#REF!</v>
      </c>
      <c r="I2784" s="1290" t="e">
        <f>#REF!</f>
        <v>#REF!</v>
      </c>
      <c r="J2784" s="1290" t="e">
        <f>#REF!</f>
        <v>#REF!</v>
      </c>
      <c r="K2784" s="1290" t="e">
        <f>#REF!</f>
        <v>#REF!</v>
      </c>
      <c r="L2784" s="10"/>
      <c r="M2784"/>
    </row>
    <row r="2785" spans="1:13" s="4" customFormat="1" x14ac:dyDescent="0.25">
      <c r="A2785" s="1289" t="s">
        <v>1503</v>
      </c>
      <c r="B2785" s="1289"/>
      <c r="C2785" s="1286"/>
      <c r="D2785" s="1287"/>
      <c r="E2785" s="1287"/>
      <c r="F2785" s="1287"/>
      <c r="G2785" s="1287"/>
      <c r="H2785" s="1290" t="e">
        <f>#REF!</f>
        <v>#REF!</v>
      </c>
      <c r="I2785" s="1290" t="e">
        <f>#REF!</f>
        <v>#REF!</v>
      </c>
      <c r="J2785" s="1290" t="e">
        <f>#REF!</f>
        <v>#REF!</v>
      </c>
      <c r="K2785" s="1290" t="e">
        <f>#REF!</f>
        <v>#REF!</v>
      </c>
      <c r="L2785" s="10"/>
      <c r="M2785"/>
    </row>
    <row r="2786" spans="1:13" s="4" customFormat="1" x14ac:dyDescent="0.25">
      <c r="A2786" s="1289" t="s">
        <v>1024</v>
      </c>
      <c r="B2786" s="1289"/>
      <c r="C2786" s="1286"/>
      <c r="D2786" s="1287"/>
      <c r="E2786" s="1287"/>
      <c r="F2786" s="1287"/>
      <c r="G2786" s="1287"/>
      <c r="H2786" s="1290" t="e">
        <f>#REF!</f>
        <v>#REF!</v>
      </c>
      <c r="I2786" s="1290" t="e">
        <f>#REF!</f>
        <v>#REF!</v>
      </c>
      <c r="J2786" s="1290" t="e">
        <f>#REF!</f>
        <v>#REF!</v>
      </c>
      <c r="K2786" s="1290" t="e">
        <f>#REF!</f>
        <v>#REF!</v>
      </c>
      <c r="L2786" s="10"/>
      <c r="M2786"/>
    </row>
    <row r="2787" spans="1:13" s="4" customFormat="1" x14ac:dyDescent="0.25">
      <c r="A2787" s="1289" t="s">
        <v>1992</v>
      </c>
      <c r="B2787" s="1289"/>
      <c r="C2787" s="1286"/>
      <c r="D2787" s="1287"/>
      <c r="E2787" s="1287"/>
      <c r="F2787" s="1287"/>
      <c r="G2787" s="1287"/>
      <c r="H2787" s="1290" t="e">
        <f>#REF!</f>
        <v>#REF!</v>
      </c>
      <c r="I2787" s="1290" t="e">
        <f>#REF!</f>
        <v>#REF!</v>
      </c>
      <c r="J2787" s="1290" t="e">
        <f>#REF!</f>
        <v>#REF!</v>
      </c>
      <c r="K2787" s="1290" t="e">
        <f>#REF!</f>
        <v>#REF!</v>
      </c>
      <c r="L2787" s="10"/>
      <c r="M2787"/>
    </row>
    <row r="2788" spans="1:13" s="4" customFormat="1" x14ac:dyDescent="0.25">
      <c r="A2788" s="1289" t="s">
        <v>1321</v>
      </c>
      <c r="B2788" s="1289"/>
      <c r="C2788" s="1286"/>
      <c r="D2788" s="1287"/>
      <c r="E2788" s="1287"/>
      <c r="F2788" s="1287"/>
      <c r="G2788" s="1287"/>
      <c r="H2788" s="1290"/>
      <c r="I2788" s="1290"/>
      <c r="J2788" s="1290"/>
      <c r="K2788" s="1290"/>
      <c r="L2788" s="10"/>
      <c r="M2788"/>
    </row>
    <row r="2789" spans="1:13" s="4" customFormat="1" x14ac:dyDescent="0.25">
      <c r="A2789" s="1289" t="s">
        <v>1504</v>
      </c>
      <c r="B2789" s="1289"/>
      <c r="C2789" s="1286"/>
      <c r="D2789" s="1287"/>
      <c r="E2789" s="1287"/>
      <c r="F2789" s="1287"/>
      <c r="G2789" s="1287"/>
      <c r="H2789" s="1290"/>
      <c r="I2789" s="1290"/>
      <c r="J2789" s="1290"/>
      <c r="K2789" s="1290"/>
      <c r="L2789" s="10"/>
      <c r="M2789"/>
    </row>
    <row r="2790" spans="1:13" s="4" customFormat="1" x14ac:dyDescent="0.25">
      <c r="A2790" s="1289" t="s">
        <v>1505</v>
      </c>
      <c r="B2790" s="1289"/>
      <c r="C2790" s="1286"/>
      <c r="D2790" s="1287"/>
      <c r="E2790" s="1287"/>
      <c r="F2790" s="1287"/>
      <c r="G2790" s="1287"/>
      <c r="H2790" s="1290" t="e">
        <f>#REF!</f>
        <v>#REF!</v>
      </c>
      <c r="I2790" s="1290" t="e">
        <f>#REF!</f>
        <v>#REF!</v>
      </c>
      <c r="J2790" s="1290" t="e">
        <f>#REF!</f>
        <v>#REF!</v>
      </c>
      <c r="K2790" s="1290" t="e">
        <f>#REF!</f>
        <v>#REF!</v>
      </c>
      <c r="L2790" s="10"/>
      <c r="M2790"/>
    </row>
    <row r="2791" spans="1:13" s="4" customFormat="1" x14ac:dyDescent="0.25">
      <c r="A2791" s="1289" t="s">
        <v>1506</v>
      </c>
      <c r="B2791" s="1289"/>
      <c r="C2791" s="1286"/>
      <c r="D2791" s="1287"/>
      <c r="E2791" s="1287"/>
      <c r="F2791" s="1287"/>
      <c r="G2791" s="1287"/>
      <c r="H2791" s="1290" t="e">
        <f>#REF!</f>
        <v>#REF!</v>
      </c>
      <c r="I2791" s="1290" t="e">
        <f>#REF!</f>
        <v>#REF!</v>
      </c>
      <c r="J2791" s="1290" t="e">
        <f>#REF!</f>
        <v>#REF!</v>
      </c>
      <c r="K2791" s="1290" t="e">
        <f>#REF!</f>
        <v>#REF!</v>
      </c>
      <c r="L2791" s="10"/>
      <c r="M2791"/>
    </row>
    <row r="2792" spans="1:13" s="4" customFormat="1" x14ac:dyDescent="0.25">
      <c r="A2792" s="1289" t="s">
        <v>1507</v>
      </c>
      <c r="B2792" s="1289"/>
      <c r="C2792" s="1286"/>
      <c r="D2792" s="1287"/>
      <c r="E2792" s="1287"/>
      <c r="F2792" s="1287"/>
      <c r="G2792" s="1287"/>
      <c r="H2792" s="1290" t="e">
        <f>#REF!</f>
        <v>#REF!</v>
      </c>
      <c r="I2792" s="1290" t="e">
        <f>#REF!</f>
        <v>#REF!</v>
      </c>
      <c r="J2792" s="1290" t="e">
        <f>#REF!</f>
        <v>#REF!</v>
      </c>
      <c r="K2792" s="1290" t="e">
        <f>#REF!</f>
        <v>#REF!</v>
      </c>
      <c r="L2792" s="10"/>
      <c r="M2792"/>
    </row>
    <row r="2793" spans="1:13" s="4" customFormat="1" x14ac:dyDescent="0.25">
      <c r="A2793" s="1289" t="s">
        <v>1993</v>
      </c>
      <c r="B2793" s="1289"/>
      <c r="C2793" s="1286"/>
      <c r="D2793" s="1287"/>
      <c r="E2793" s="1287"/>
      <c r="F2793" s="1287"/>
      <c r="G2793" s="1287"/>
      <c r="H2793" s="1290"/>
      <c r="I2793" s="1290"/>
      <c r="J2793" s="1290"/>
      <c r="K2793" s="1290"/>
      <c r="L2793" s="10"/>
      <c r="M2793"/>
    </row>
    <row r="2794" spans="1:13" s="4" customFormat="1" x14ac:dyDescent="0.25">
      <c r="A2794" s="1289" t="s">
        <v>1994</v>
      </c>
      <c r="B2794" s="1289"/>
      <c r="C2794" s="1286"/>
      <c r="D2794" s="1287"/>
      <c r="E2794" s="1287"/>
      <c r="F2794" s="1287"/>
      <c r="G2794" s="1287"/>
      <c r="H2794" s="1290" t="e">
        <f>#REF!</f>
        <v>#REF!</v>
      </c>
      <c r="I2794" s="1290" t="e">
        <f>#REF!</f>
        <v>#REF!</v>
      </c>
      <c r="J2794" s="1290" t="e">
        <f>#REF!</f>
        <v>#REF!</v>
      </c>
      <c r="K2794" s="1290" t="e">
        <f>#REF!</f>
        <v>#REF!</v>
      </c>
      <c r="L2794" s="10"/>
      <c r="M2794"/>
    </row>
    <row r="2795" spans="1:13" s="4" customFormat="1" x14ac:dyDescent="0.25">
      <c r="A2795" s="1289" t="s">
        <v>1995</v>
      </c>
      <c r="B2795" s="1289"/>
      <c r="C2795" s="1286"/>
      <c r="D2795" s="1287"/>
      <c r="E2795" s="1287"/>
      <c r="F2795" s="1287"/>
      <c r="G2795" s="1287"/>
      <c r="H2795" s="1290"/>
      <c r="I2795" s="1290"/>
      <c r="J2795" s="1290"/>
      <c r="K2795" s="1290"/>
      <c r="L2795" s="10"/>
      <c r="M2795"/>
    </row>
    <row r="2796" spans="1:13" s="4" customFormat="1" x14ac:dyDescent="0.25">
      <c r="A2796" s="1289" t="s">
        <v>1510</v>
      </c>
      <c r="B2796" s="1289"/>
      <c r="C2796" s="1286"/>
      <c r="D2796" s="1287"/>
      <c r="E2796" s="1287"/>
      <c r="F2796" s="1287"/>
      <c r="G2796" s="1287"/>
      <c r="H2796" s="1290" t="e">
        <f>#REF!</f>
        <v>#REF!</v>
      </c>
      <c r="I2796" s="1290" t="e">
        <f>#REF!</f>
        <v>#REF!</v>
      </c>
      <c r="J2796" s="1290" t="e">
        <f>#REF!</f>
        <v>#REF!</v>
      </c>
      <c r="K2796" s="1290" t="e">
        <f>#REF!</f>
        <v>#REF!</v>
      </c>
      <c r="L2796" s="10"/>
      <c r="M2796"/>
    </row>
    <row r="2797" spans="1:13" s="4" customFormat="1" x14ac:dyDescent="0.25">
      <c r="A2797" s="1289" t="s">
        <v>27</v>
      </c>
      <c r="B2797" s="1289"/>
      <c r="C2797" s="1286"/>
      <c r="D2797" s="1287"/>
      <c r="E2797" s="1287"/>
      <c r="F2797" s="1287"/>
      <c r="G2797" s="1287"/>
      <c r="H2797" s="1290" t="e">
        <f>#REF!</f>
        <v>#REF!</v>
      </c>
      <c r="I2797" s="1290" t="e">
        <f>#REF!</f>
        <v>#REF!</v>
      </c>
      <c r="J2797" s="1290" t="e">
        <f>#REF!</f>
        <v>#REF!</v>
      </c>
      <c r="K2797" s="1290" t="e">
        <f>#REF!</f>
        <v>#REF!</v>
      </c>
      <c r="L2797" s="10"/>
      <c r="M2797"/>
    </row>
    <row r="2798" spans="1:13" s="4" customFormat="1" x14ac:dyDescent="0.25">
      <c r="A2798" s="1289" t="s">
        <v>28</v>
      </c>
      <c r="B2798" s="1289"/>
      <c r="C2798" s="1286"/>
      <c r="D2798" s="1287"/>
      <c r="E2798" s="1287"/>
      <c r="F2798" s="1287"/>
      <c r="G2798" s="1287"/>
      <c r="H2798" s="1290" t="e">
        <f>#REF!</f>
        <v>#REF!</v>
      </c>
      <c r="I2798" s="1290" t="e">
        <f>#REF!</f>
        <v>#REF!</v>
      </c>
      <c r="J2798" s="1290" t="e">
        <f>#REF!</f>
        <v>#REF!</v>
      </c>
      <c r="K2798" s="1290" t="e">
        <f>#REF!</f>
        <v>#REF!</v>
      </c>
      <c r="L2798" s="10"/>
      <c r="M2798"/>
    </row>
    <row r="2799" spans="1:13" s="4" customFormat="1" x14ac:dyDescent="0.25">
      <c r="A2799" s="1289" t="s">
        <v>29</v>
      </c>
      <c r="B2799" s="1289"/>
      <c r="C2799" s="1286"/>
      <c r="D2799" s="1287"/>
      <c r="E2799" s="1287"/>
      <c r="F2799" s="1287"/>
      <c r="G2799" s="1287"/>
      <c r="H2799" s="1290" t="e">
        <f>#REF!</f>
        <v>#REF!</v>
      </c>
      <c r="I2799" s="1290" t="e">
        <f>#REF!</f>
        <v>#REF!</v>
      </c>
      <c r="J2799" s="1290" t="e">
        <f>#REF!</f>
        <v>#REF!</v>
      </c>
      <c r="K2799" s="1290" t="e">
        <f>#REF!</f>
        <v>#REF!</v>
      </c>
      <c r="L2799" s="10"/>
      <c r="M2799"/>
    </row>
    <row r="2800" spans="1:13" s="4" customFormat="1" x14ac:dyDescent="0.25">
      <c r="A2800" s="1289" t="s">
        <v>31</v>
      </c>
      <c r="B2800" s="1289"/>
      <c r="C2800" s="1286"/>
      <c r="D2800" s="1287"/>
      <c r="E2800" s="1287"/>
      <c r="F2800" s="1287"/>
      <c r="G2800" s="1287"/>
      <c r="H2800" s="1290" t="e">
        <f>#REF!</f>
        <v>#REF!</v>
      </c>
      <c r="I2800" s="1290" t="e">
        <f>#REF!</f>
        <v>#REF!</v>
      </c>
      <c r="J2800" s="1290" t="e">
        <f>#REF!</f>
        <v>#REF!</v>
      </c>
      <c r="K2800" s="1290" t="e">
        <f>#REF!</f>
        <v>#REF!</v>
      </c>
      <c r="L2800" s="10"/>
      <c r="M2800"/>
    </row>
    <row r="2801" spans="1:13" s="4" customFormat="1" x14ac:dyDescent="0.25">
      <c r="A2801" s="1289" t="s">
        <v>32</v>
      </c>
      <c r="B2801" s="1289"/>
      <c r="C2801" s="1286"/>
      <c r="D2801" s="1287"/>
      <c r="E2801" s="1287"/>
      <c r="F2801" s="1287"/>
      <c r="G2801" s="1287"/>
      <c r="H2801" s="1290" t="e">
        <f>#REF!</f>
        <v>#REF!</v>
      </c>
      <c r="I2801" s="1290" t="e">
        <f>#REF!</f>
        <v>#REF!</v>
      </c>
      <c r="J2801" s="1290" t="e">
        <f>#REF!</f>
        <v>#REF!</v>
      </c>
      <c r="K2801" s="1290" t="e">
        <f>#REF!</f>
        <v>#REF!</v>
      </c>
      <c r="L2801" s="10"/>
      <c r="M2801"/>
    </row>
    <row r="2802" spans="1:13" s="4" customFormat="1" x14ac:dyDescent="0.25">
      <c r="A2802" s="1289" t="s">
        <v>33</v>
      </c>
      <c r="B2802" s="1289"/>
      <c r="C2802" s="1286"/>
      <c r="D2802" s="1287"/>
      <c r="E2802" s="1287"/>
      <c r="F2802" s="1287"/>
      <c r="G2802" s="1287"/>
      <c r="H2802" s="1290" t="e">
        <f>#REF!</f>
        <v>#REF!</v>
      </c>
      <c r="I2802" s="1290" t="e">
        <f>#REF!</f>
        <v>#REF!</v>
      </c>
      <c r="J2802" s="1290" t="e">
        <f>#REF!</f>
        <v>#REF!</v>
      </c>
      <c r="K2802" s="1290" t="e">
        <f>#REF!</f>
        <v>#REF!</v>
      </c>
      <c r="L2802" s="10"/>
      <c r="M2802"/>
    </row>
    <row r="2803" spans="1:13" s="4" customFormat="1" x14ac:dyDescent="0.25">
      <c r="A2803" s="1289" t="s">
        <v>1996</v>
      </c>
      <c r="B2803" s="1289"/>
      <c r="C2803" s="1286"/>
      <c r="D2803" s="1287"/>
      <c r="E2803" s="1287"/>
      <c r="F2803" s="1287"/>
      <c r="G2803" s="1287"/>
      <c r="H2803" s="1290" t="e">
        <f>#REF!</f>
        <v>#REF!</v>
      </c>
      <c r="I2803" s="1290" t="e">
        <f>#REF!</f>
        <v>#REF!</v>
      </c>
      <c r="J2803" s="1290" t="e">
        <f>#REF!</f>
        <v>#REF!</v>
      </c>
      <c r="K2803" s="1290" t="e">
        <f>#REF!</f>
        <v>#REF!</v>
      </c>
      <c r="L2803" s="10"/>
      <c r="M2803"/>
    </row>
    <row r="2804" spans="1:13" s="4" customFormat="1" x14ac:dyDescent="0.25">
      <c r="A2804" s="1289" t="s">
        <v>35</v>
      </c>
      <c r="B2804" s="1289"/>
      <c r="C2804" s="1286"/>
      <c r="D2804" s="1287"/>
      <c r="E2804" s="1287"/>
      <c r="F2804" s="1287"/>
      <c r="G2804" s="1287"/>
      <c r="H2804" s="1290" t="e">
        <f>#REF!</f>
        <v>#REF!</v>
      </c>
      <c r="I2804" s="1290" t="e">
        <f>#REF!</f>
        <v>#REF!</v>
      </c>
      <c r="J2804" s="1290" t="e">
        <f>#REF!</f>
        <v>#REF!</v>
      </c>
      <c r="K2804" s="1290" t="e">
        <f>#REF!</f>
        <v>#REF!</v>
      </c>
      <c r="L2804" s="10"/>
      <c r="M2804"/>
    </row>
    <row r="2805" spans="1:13" s="4" customFormat="1" x14ac:dyDescent="0.25">
      <c r="A2805" s="1289" t="s">
        <v>1322</v>
      </c>
      <c r="B2805" s="1289"/>
      <c r="C2805" s="1286"/>
      <c r="D2805" s="1287"/>
      <c r="E2805" s="1287"/>
      <c r="F2805" s="1287"/>
      <c r="G2805" s="1287"/>
      <c r="H2805" s="1290" t="e">
        <f>#REF!</f>
        <v>#REF!</v>
      </c>
      <c r="I2805" s="1290" t="e">
        <f>#REF!</f>
        <v>#REF!</v>
      </c>
      <c r="J2805" s="1290" t="e">
        <f>#REF!</f>
        <v>#REF!</v>
      </c>
      <c r="K2805" s="1290" t="e">
        <f>#REF!</f>
        <v>#REF!</v>
      </c>
      <c r="L2805" s="10"/>
      <c r="M2805"/>
    </row>
    <row r="2806" spans="1:13" s="4" customFormat="1" x14ac:dyDescent="0.25">
      <c r="A2806" s="1289" t="s">
        <v>1997</v>
      </c>
      <c r="B2806" s="1289"/>
      <c r="C2806" s="1286"/>
      <c r="D2806" s="1287"/>
      <c r="E2806" s="1287"/>
      <c r="F2806" s="1287"/>
      <c r="G2806" s="1287"/>
      <c r="H2806" s="1290" t="e">
        <f>#REF!</f>
        <v>#REF!</v>
      </c>
      <c r="I2806" s="1290" t="e">
        <f>#REF!</f>
        <v>#REF!</v>
      </c>
      <c r="J2806" s="1290" t="e">
        <f>#REF!</f>
        <v>#REF!</v>
      </c>
      <c r="K2806" s="1290" t="e">
        <f>#REF!</f>
        <v>#REF!</v>
      </c>
      <c r="L2806" s="10"/>
      <c r="M2806"/>
    </row>
    <row r="2807" spans="1:13" s="4" customFormat="1" x14ac:dyDescent="0.25">
      <c r="A2807" s="1289" t="s">
        <v>1998</v>
      </c>
      <c r="B2807" s="1289"/>
      <c r="C2807" s="1286"/>
      <c r="D2807" s="1287"/>
      <c r="E2807" s="1287"/>
      <c r="F2807" s="1287"/>
      <c r="G2807" s="1287"/>
      <c r="H2807" s="1290" t="e">
        <f>#REF!</f>
        <v>#REF!</v>
      </c>
      <c r="I2807" s="1290" t="e">
        <f>#REF!</f>
        <v>#REF!</v>
      </c>
      <c r="J2807" s="1290" t="e">
        <f>#REF!</f>
        <v>#REF!</v>
      </c>
      <c r="K2807" s="1290" t="e">
        <f>#REF!</f>
        <v>#REF!</v>
      </c>
      <c r="L2807" s="10"/>
      <c r="M2807"/>
    </row>
    <row r="2808" spans="1:13" s="4" customFormat="1" x14ac:dyDescent="0.25">
      <c r="A2808" s="1289" t="s">
        <v>40</v>
      </c>
      <c r="B2808" s="1289"/>
      <c r="C2808" s="1286"/>
      <c r="D2808" s="1287"/>
      <c r="E2808" s="1287"/>
      <c r="F2808" s="1287"/>
      <c r="G2808" s="1287"/>
      <c r="H2808" s="1290" t="e">
        <f>#REF!</f>
        <v>#REF!</v>
      </c>
      <c r="I2808" s="1290" t="e">
        <f>#REF!</f>
        <v>#REF!</v>
      </c>
      <c r="J2808" s="1290" t="e">
        <f>#REF!</f>
        <v>#REF!</v>
      </c>
      <c r="K2808" s="1290" t="e">
        <f>#REF!</f>
        <v>#REF!</v>
      </c>
      <c r="L2808" s="10"/>
      <c r="M2808"/>
    </row>
    <row r="2809" spans="1:13" s="4" customFormat="1" x14ac:dyDescent="0.25">
      <c r="A2809" s="1289" t="s">
        <v>1999</v>
      </c>
      <c r="B2809" s="1289"/>
      <c r="C2809" s="1286"/>
      <c r="D2809" s="1287"/>
      <c r="E2809" s="1287"/>
      <c r="F2809" s="1287"/>
      <c r="G2809" s="1287"/>
      <c r="H2809" s="1290" t="e">
        <f>#REF!</f>
        <v>#REF!</v>
      </c>
      <c r="I2809" s="1290" t="e">
        <f>#REF!</f>
        <v>#REF!</v>
      </c>
      <c r="J2809" s="1290" t="e">
        <f>#REF!</f>
        <v>#REF!</v>
      </c>
      <c r="K2809" s="1290" t="e">
        <f>#REF!</f>
        <v>#REF!</v>
      </c>
      <c r="L2809" s="10"/>
      <c r="M2809"/>
    </row>
    <row r="2810" spans="1:13" s="4" customFormat="1" x14ac:dyDescent="0.25">
      <c r="A2810" s="1285" t="s">
        <v>2007</v>
      </c>
      <c r="B2810" s="1285"/>
      <c r="C2810" s="1291"/>
      <c r="D2810" s="1287"/>
      <c r="E2810" s="1287"/>
      <c r="F2810" s="1287"/>
      <c r="G2810" s="1287"/>
      <c r="H2810" s="1292" t="e">
        <f>SUM(H2780:H2809)</f>
        <v>#REF!</v>
      </c>
      <c r="I2810" s="1292" t="e">
        <f>SUM(I2780:I2809)</f>
        <v>#REF!</v>
      </c>
      <c r="J2810" s="1292" t="e">
        <f>SUM(J2780:J2809)</f>
        <v>#REF!</v>
      </c>
      <c r="K2810" s="1292" t="e">
        <f>SUM(K2780:K2809)</f>
        <v>#REF!</v>
      </c>
      <c r="L2810" s="10"/>
      <c r="M2810"/>
    </row>
    <row r="2811" spans="1:13" s="4" customFormat="1" x14ac:dyDescent="0.25">
      <c r="A2811" s="1285"/>
      <c r="B2811" s="1285"/>
      <c r="C2811" s="1291"/>
      <c r="D2811" s="1287"/>
      <c r="E2811" s="1287"/>
      <c r="F2811" s="1287"/>
      <c r="G2811" s="1287"/>
      <c r="H2811" s="1288"/>
      <c r="I2811" s="1288"/>
      <c r="J2811" s="1288"/>
      <c r="K2811" s="1288"/>
      <c r="L2811" s="10"/>
      <c r="M2811"/>
    </row>
    <row r="2812" spans="1:13" s="4" customFormat="1" x14ac:dyDescent="0.25">
      <c r="A2812" s="1285" t="s">
        <v>1318</v>
      </c>
      <c r="B2812" s="1285"/>
      <c r="C2812" s="1291"/>
      <c r="D2812" s="1287"/>
      <c r="E2812" s="1287"/>
      <c r="F2812" s="1287"/>
      <c r="G2812" s="1287"/>
      <c r="H2812" s="1288"/>
      <c r="I2812" s="1288"/>
      <c r="J2812" s="1288"/>
      <c r="K2812" s="1288"/>
      <c r="L2812" s="10"/>
      <c r="M2812"/>
    </row>
    <row r="2813" spans="1:13" s="4" customFormat="1" x14ac:dyDescent="0.25">
      <c r="A2813" s="1289" t="s">
        <v>2001</v>
      </c>
      <c r="B2813" s="1289"/>
      <c r="C2813" s="1286"/>
      <c r="D2813" s="1287"/>
      <c r="E2813" s="1287"/>
      <c r="F2813" s="1287"/>
      <c r="G2813" s="1287"/>
      <c r="H2813" s="1290">
        <f>H1258</f>
        <v>0</v>
      </c>
      <c r="I2813" s="1290">
        <f>I1258</f>
        <v>408000</v>
      </c>
      <c r="J2813" s="1290">
        <f>J1258</f>
        <v>322000</v>
      </c>
      <c r="K2813" s="1290">
        <f>K1258</f>
        <v>322000</v>
      </c>
      <c r="L2813" s="10"/>
      <c r="M2813"/>
    </row>
    <row r="2814" spans="1:13" s="4" customFormat="1" x14ac:dyDescent="0.25">
      <c r="A2814" s="1289" t="s">
        <v>1325</v>
      </c>
      <c r="B2814" s="1289"/>
      <c r="C2814" s="1286"/>
      <c r="D2814" s="1287"/>
      <c r="E2814" s="1287"/>
      <c r="F2814" s="1287"/>
      <c r="G2814" s="1287"/>
      <c r="H2814" s="1290">
        <f>H1325</f>
        <v>0</v>
      </c>
      <c r="I2814" s="1290">
        <f>I1325</f>
        <v>150000</v>
      </c>
      <c r="J2814" s="1290">
        <f>J1325</f>
        <v>150000</v>
      </c>
      <c r="K2814" s="1290">
        <f>K1325</f>
        <v>150000</v>
      </c>
      <c r="L2814" s="10"/>
      <c r="M2814"/>
    </row>
    <row r="2815" spans="1:13" s="4" customFormat="1" x14ac:dyDescent="0.25">
      <c r="A2815" s="1289" t="s">
        <v>1326</v>
      </c>
      <c r="B2815" s="1289"/>
      <c r="C2815" s="1286"/>
      <c r="D2815" s="1287"/>
      <c r="E2815" s="1287"/>
      <c r="F2815" s="1287"/>
      <c r="G2815" s="1287"/>
      <c r="H2815" s="1290" t="e">
        <f>H2661</f>
        <v>#REF!</v>
      </c>
      <c r="I2815" s="1290" t="e">
        <f>I2661</f>
        <v>#REF!</v>
      </c>
      <c r="J2815" s="1290" t="e">
        <f>J2661</f>
        <v>#REF!</v>
      </c>
      <c r="K2815" s="1290" t="e">
        <f>K2661</f>
        <v>#REF!</v>
      </c>
      <c r="L2815" s="10"/>
      <c r="M2815"/>
    </row>
    <row r="2816" spans="1:13" s="4" customFormat="1" x14ac:dyDescent="0.25">
      <c r="A2816" s="1285" t="s">
        <v>2008</v>
      </c>
      <c r="B2816" s="1285"/>
      <c r="C2816" s="1291"/>
      <c r="D2816" s="1287"/>
      <c r="E2816" s="1287"/>
      <c r="F2816" s="1287"/>
      <c r="G2816" s="1287"/>
      <c r="H2816" s="1292" t="e">
        <f>SUM(H2813:H2815)</f>
        <v>#REF!</v>
      </c>
      <c r="I2816" s="1292" t="e">
        <f>SUM(I2813:I2815)</f>
        <v>#REF!</v>
      </c>
      <c r="J2816" s="1292" t="e">
        <f>SUM(J2813:J2815)</f>
        <v>#REF!</v>
      </c>
      <c r="K2816" s="1292" t="e">
        <f>SUM(K2813:K2815)</f>
        <v>#REF!</v>
      </c>
      <c r="L2816" s="10"/>
      <c r="M2816"/>
    </row>
    <row r="2817" spans="1:13" s="4" customFormat="1" x14ac:dyDescent="0.25">
      <c r="A2817" s="1285" t="s">
        <v>2009</v>
      </c>
      <c r="B2817" s="1285"/>
      <c r="C2817" s="1291"/>
      <c r="D2817" s="1287"/>
      <c r="E2817" s="1287"/>
      <c r="F2817" s="1287"/>
      <c r="G2817" s="1287"/>
      <c r="H2817" s="1292" t="e">
        <f>H2816+H2810</f>
        <v>#REF!</v>
      </c>
      <c r="I2817" s="1292" t="e">
        <f>I2816+I2810</f>
        <v>#REF!</v>
      </c>
      <c r="J2817" s="1292" t="e">
        <f>J2816+J2810</f>
        <v>#REF!</v>
      </c>
      <c r="K2817" s="1292" t="e">
        <f>K2816+K2810</f>
        <v>#REF!</v>
      </c>
      <c r="L2817" s="10"/>
      <c r="M2817"/>
    </row>
    <row r="2818" spans="1:13" s="4" customFormat="1" x14ac:dyDescent="0.25">
      <c r="A2818" s="1294"/>
      <c r="B2818" s="1294"/>
      <c r="C2818" s="591"/>
      <c r="D2818" s="235"/>
      <c r="E2818" s="235"/>
      <c r="F2818" s="235"/>
      <c r="G2818" s="235"/>
      <c r="H2818" s="201"/>
      <c r="I2818" s="201"/>
      <c r="J2818" s="201"/>
      <c r="K2818" s="201"/>
      <c r="L2818" s="10"/>
      <c r="M2818"/>
    </row>
    <row r="2819" spans="1:13" s="4" customFormat="1" x14ac:dyDescent="0.25">
      <c r="A2819" s="1285"/>
      <c r="B2819" s="1285"/>
      <c r="C2819" s="1291"/>
      <c r="D2819" s="1287"/>
      <c r="E2819" s="1287"/>
      <c r="F2819" s="1287"/>
      <c r="G2819" s="1287"/>
      <c r="H2819" s="1292"/>
      <c r="I2819" s="1292"/>
      <c r="J2819" s="1292"/>
      <c r="K2819" s="1293"/>
      <c r="L2819" s="10"/>
      <c r="M2819"/>
    </row>
    <row r="2820" spans="1:13" s="4" customFormat="1" x14ac:dyDescent="0.25">
      <c r="A2820" s="1287" t="s">
        <v>2010</v>
      </c>
      <c r="B2820" s="1287"/>
      <c r="C2820" s="1286"/>
      <c r="D2820" s="1287"/>
      <c r="E2820" s="1287"/>
      <c r="F2820" s="1287"/>
      <c r="G2820" s="1287"/>
      <c r="H2820" s="1290">
        <f>H1455</f>
        <v>0</v>
      </c>
      <c r="I2820" s="1290">
        <f>I1455</f>
        <v>37522199.079999998</v>
      </c>
      <c r="J2820" s="1290">
        <f>J1455</f>
        <v>37522199.079999998</v>
      </c>
      <c r="K2820" s="1290">
        <f>K1455</f>
        <v>37703949.079999998</v>
      </c>
      <c r="L2820" s="10"/>
      <c r="M2820"/>
    </row>
    <row r="2821" spans="1:13" s="4" customFormat="1" x14ac:dyDescent="0.25">
      <c r="A2821" s="1287" t="s">
        <v>2011</v>
      </c>
      <c r="B2821" s="1287"/>
      <c r="C2821" s="1286"/>
      <c r="D2821" s="1287"/>
      <c r="E2821" s="1287"/>
      <c r="F2821" s="1287"/>
      <c r="G2821" s="1287"/>
      <c r="H2821" s="1290">
        <f>H1462</f>
        <v>0</v>
      </c>
      <c r="I2821" s="1290">
        <f>I1462</f>
        <v>215000</v>
      </c>
      <c r="J2821" s="1290">
        <f>J1462</f>
        <v>215000</v>
      </c>
      <c r="K2821" s="1290">
        <f>K1462</f>
        <v>21765000</v>
      </c>
      <c r="L2821" s="10"/>
      <c r="M2821"/>
    </row>
    <row r="2822" spans="1:13" s="5" customFormat="1" x14ac:dyDescent="0.25">
      <c r="A2822" s="1286" t="s">
        <v>2012</v>
      </c>
      <c r="B2822" s="1286"/>
      <c r="C2822" s="1286"/>
      <c r="D2822" s="1286"/>
      <c r="E2822" s="1286"/>
      <c r="F2822" s="1286"/>
      <c r="G2822" s="1286"/>
      <c r="H2822" s="1295">
        <f>H1477</f>
        <v>0</v>
      </c>
      <c r="I2822" s="1295">
        <f>I1477</f>
        <v>0</v>
      </c>
      <c r="J2822" s="1295">
        <f>J1477</f>
        <v>0</v>
      </c>
      <c r="K2822" s="1295">
        <f>K1477</f>
        <v>0</v>
      </c>
      <c r="L2822" s="10"/>
      <c r="M2822" s="146"/>
    </row>
    <row r="2823" spans="1:13" s="5" customFormat="1" x14ac:dyDescent="0.25">
      <c r="A2823" s="1286" t="s">
        <v>1332</v>
      </c>
      <c r="B2823" s="1286"/>
      <c r="C2823" s="1286"/>
      <c r="D2823" s="1286"/>
      <c r="E2823" s="1286"/>
      <c r="F2823" s="1286"/>
      <c r="G2823" s="1286"/>
      <c r="H2823" s="1295">
        <f>H1542</f>
        <v>0</v>
      </c>
      <c r="I2823" s="1295">
        <f>I1542</f>
        <v>234457843.80000001</v>
      </c>
      <c r="J2823" s="1295">
        <f>J1542</f>
        <v>234457843.80000001</v>
      </c>
      <c r="K2823" s="1295">
        <f>K1542</f>
        <v>126807843.8</v>
      </c>
      <c r="L2823" s="10"/>
      <c r="M2823" s="146"/>
    </row>
    <row r="2824" spans="1:13" s="5" customFormat="1" x14ac:dyDescent="0.25">
      <c r="A2824" s="1286" t="s">
        <v>2013</v>
      </c>
      <c r="B2824" s="1286"/>
      <c r="C2824" s="1286"/>
      <c r="D2824" s="1286"/>
      <c r="E2824" s="1286"/>
      <c r="F2824" s="1286"/>
      <c r="G2824" s="1286"/>
      <c r="H2824" s="1295">
        <f>H1589</f>
        <v>0</v>
      </c>
      <c r="I2824" s="1295">
        <f>I1589</f>
        <v>0</v>
      </c>
      <c r="J2824" s="1295">
        <f>J1589</f>
        <v>0</v>
      </c>
      <c r="K2824" s="1295">
        <f>K1589</f>
        <v>0</v>
      </c>
      <c r="L2824" s="10"/>
      <c r="M2824" s="146"/>
    </row>
    <row r="2825" spans="1:13" s="5" customFormat="1" x14ac:dyDescent="0.25">
      <c r="A2825" s="1286" t="s">
        <v>2014</v>
      </c>
      <c r="B2825" s="1286"/>
      <c r="C2825" s="1286"/>
      <c r="D2825" s="1286"/>
      <c r="E2825" s="1286"/>
      <c r="F2825" s="1286"/>
      <c r="G2825" s="1286"/>
      <c r="H2825" s="1295">
        <f>H1646</f>
        <v>0</v>
      </c>
      <c r="I2825" s="1295">
        <f>I1646</f>
        <v>0</v>
      </c>
      <c r="J2825" s="1295">
        <f>J1646</f>
        <v>0</v>
      </c>
      <c r="K2825" s="1295">
        <f>K1646</f>
        <v>0</v>
      </c>
      <c r="L2825" s="10"/>
      <c r="M2825" s="146"/>
    </row>
    <row r="2826" spans="1:13" s="5" customFormat="1" x14ac:dyDescent="0.25">
      <c r="A2826" s="1286"/>
      <c r="B2826" s="1286"/>
      <c r="C2826" s="1286"/>
      <c r="D2826" s="1286"/>
      <c r="E2826" s="1286"/>
      <c r="F2826" s="1286"/>
      <c r="G2826" s="1286"/>
      <c r="H2826" s="1295"/>
      <c r="I2826" s="1295"/>
      <c r="J2826" s="1295"/>
      <c r="K2826" s="1295"/>
      <c r="L2826" s="10"/>
      <c r="M2826" s="146"/>
    </row>
    <row r="2827" spans="1:13" s="5" customFormat="1" x14ac:dyDescent="0.25">
      <c r="A2827" s="1286" t="s">
        <v>653</v>
      </c>
      <c r="B2827" s="1286"/>
      <c r="C2827" s="1286"/>
      <c r="D2827" s="1286"/>
      <c r="E2827" s="1286"/>
      <c r="F2827" s="1286"/>
      <c r="G2827" s="1286"/>
      <c r="H2827" s="1295">
        <f>H1829</f>
        <v>0</v>
      </c>
      <c r="I2827" s="1295">
        <f>I1829</f>
        <v>39159279.850000001</v>
      </c>
      <c r="J2827" s="1295">
        <f>J1829</f>
        <v>39159279.850000001</v>
      </c>
      <c r="K2827" s="1295">
        <f>K1829</f>
        <v>38159279.850000001</v>
      </c>
      <c r="L2827" s="10"/>
      <c r="M2827" s="146"/>
    </row>
    <row r="2828" spans="1:13" s="5" customFormat="1" x14ac:dyDescent="0.25">
      <c r="A2828" s="1286" t="s">
        <v>2015</v>
      </c>
      <c r="B2828" s="1286"/>
      <c r="C2828" s="1286"/>
      <c r="D2828" s="1286"/>
      <c r="E2828" s="1286"/>
      <c r="F2828" s="1286"/>
      <c r="G2828" s="1286"/>
      <c r="H2828" s="1295">
        <f>H1862</f>
        <v>0</v>
      </c>
      <c r="I2828" s="1295">
        <f>I1862</f>
        <v>20000000</v>
      </c>
      <c r="J2828" s="1295">
        <f>J1862</f>
        <v>20000000</v>
      </c>
      <c r="K2828" s="1295">
        <f>K1862</f>
        <v>0</v>
      </c>
      <c r="L2828" s="10"/>
      <c r="M2828" s="146"/>
    </row>
    <row r="2829" spans="1:13" s="5" customFormat="1" x14ac:dyDescent="0.25">
      <c r="A2829" s="1286" t="s">
        <v>2016</v>
      </c>
      <c r="B2829" s="1286"/>
      <c r="C2829" s="1286"/>
      <c r="D2829" s="1286"/>
      <c r="E2829" s="1286"/>
      <c r="F2829" s="1286"/>
      <c r="G2829" s="1286"/>
      <c r="H2829" s="1295">
        <f>H1870</f>
        <v>0</v>
      </c>
      <c r="I2829" s="1295">
        <f>I1870</f>
        <v>0</v>
      </c>
      <c r="J2829" s="1295">
        <f>J1870</f>
        <v>0</v>
      </c>
      <c r="K2829" s="1295">
        <f>K1870</f>
        <v>0</v>
      </c>
      <c r="L2829" s="10"/>
      <c r="M2829" s="146"/>
    </row>
    <row r="2830" spans="1:13" s="5" customFormat="1" x14ac:dyDescent="0.25">
      <c r="A2830" s="1286" t="s">
        <v>2017</v>
      </c>
      <c r="B2830" s="1286"/>
      <c r="C2830" s="1286"/>
      <c r="D2830" s="1286"/>
      <c r="E2830" s="1286"/>
      <c r="F2830" s="1286"/>
      <c r="G2830" s="1286"/>
      <c r="H2830" s="1295">
        <f>H1873</f>
        <v>0</v>
      </c>
      <c r="I2830" s="1295">
        <f>I1873</f>
        <v>0</v>
      </c>
      <c r="J2830" s="1295">
        <f>J1873</f>
        <v>0</v>
      </c>
      <c r="K2830" s="1295">
        <f>K1873</f>
        <v>0</v>
      </c>
      <c r="L2830" s="10"/>
      <c r="M2830" s="146"/>
    </row>
    <row r="2831" spans="1:13" s="5" customFormat="1" x14ac:dyDescent="0.25">
      <c r="A2831" s="1286" t="s">
        <v>2017</v>
      </c>
      <c r="B2831" s="1286"/>
      <c r="C2831" s="1286"/>
      <c r="D2831" s="1286"/>
      <c r="E2831" s="1286"/>
      <c r="F2831" s="1286"/>
      <c r="G2831" s="1286"/>
      <c r="H2831" s="1295">
        <f>H1880</f>
        <v>0</v>
      </c>
      <c r="I2831" s="1295">
        <f>I1880</f>
        <v>0</v>
      </c>
      <c r="J2831" s="1295">
        <f>J1880</f>
        <v>0</v>
      </c>
      <c r="K2831" s="1295">
        <f>K1880</f>
        <v>0</v>
      </c>
      <c r="L2831" s="10"/>
      <c r="M2831" s="146"/>
    </row>
    <row r="2832" spans="1:13" s="4" customFormat="1" x14ac:dyDescent="0.25">
      <c r="A2832" s="1287"/>
      <c r="B2832" s="1287"/>
      <c r="C2832" s="1286"/>
      <c r="D2832" s="1287"/>
      <c r="E2832" s="1287"/>
      <c r="F2832" s="1287"/>
      <c r="G2832" s="1287"/>
      <c r="H2832" s="1288"/>
      <c r="I2832" s="1288"/>
      <c r="J2832" s="1288"/>
      <c r="K2832" s="1293"/>
      <c r="L2832" s="10"/>
      <c r="M2832"/>
    </row>
    <row r="2833" spans="1:13" s="4" customFormat="1" x14ac:dyDescent="0.25">
      <c r="A2833" s="1287" t="s">
        <v>2018</v>
      </c>
      <c r="B2833" s="1287"/>
      <c r="C2833" s="1286"/>
      <c r="D2833" s="1287"/>
      <c r="E2833" s="1287"/>
      <c r="F2833" s="1287"/>
      <c r="G2833" s="1287"/>
      <c r="H2833" s="1295">
        <f>H2628</f>
        <v>0</v>
      </c>
      <c r="I2833" s="1295">
        <f>I2628</f>
        <v>18745527</v>
      </c>
      <c r="J2833" s="1295">
        <f>J2628</f>
        <v>16803527</v>
      </c>
      <c r="K2833" s="1295">
        <f>K2628</f>
        <v>20989602</v>
      </c>
      <c r="L2833" s="10"/>
      <c r="M2833"/>
    </row>
    <row r="2838" spans="1:13" x14ac:dyDescent="0.25">
      <c r="E2838" s="201"/>
      <c r="F2838" s="201"/>
      <c r="G2838" s="201">
        <f>G2828+G2827+G2823+G2821+G2820+G2817+G2773+G2733</f>
        <v>0</v>
      </c>
      <c r="H2838" s="201" t="e">
        <f>H2828+H2827+H2823+H2821+H2820+H2817+H2773+H2733+H2833+H2822+H2824+H2825+H2829+H2830+H2831</f>
        <v>#REF!</v>
      </c>
      <c r="I2838" s="201" t="e">
        <f>I2828+I2827+I2823+I2821+I2820+I2817+I2773+I2733+I2833+I2822+I2824+I2825+I2829+I2830+I2831</f>
        <v>#REF!</v>
      </c>
      <c r="J2838" s="201" t="e">
        <f>J2828+J2827+J2823+J2821+J2820+J2817+J2773+J2733+J2833+J2822+J2824+J2825+J2829+J2830+J2831</f>
        <v>#REF!</v>
      </c>
      <c r="K2838" s="201" t="e">
        <f>K2828+K2827+K2823+K2821+K2820+K2817+K2773+K2733+K2833+K2822+K2824+K2825+K2829+K2830+K2831</f>
        <v>#REF!</v>
      </c>
    </row>
    <row r="2839" spans="1:13" ht="15" x14ac:dyDescent="0.25">
      <c r="H2839" s="1194"/>
      <c r="I2839" s="1194"/>
      <c r="J2839" s="1194"/>
      <c r="K2839" s="193">
        <v>803114862.72000003</v>
      </c>
    </row>
    <row r="2840" spans="1:13" s="4" customFormat="1" x14ac:dyDescent="0.25">
      <c r="A2840" s="8"/>
      <c r="B2840" s="8"/>
      <c r="C2840" s="9"/>
      <c r="D2840" s="8"/>
      <c r="E2840" s="8"/>
      <c r="F2840" s="8"/>
      <c r="G2840" s="8"/>
      <c r="H2840" s="474" t="e">
        <f>H2838-H2839</f>
        <v>#REF!</v>
      </c>
      <c r="I2840" s="474" t="e">
        <f>I2838-I2839</f>
        <v>#REF!</v>
      </c>
      <c r="J2840" s="474" t="e">
        <f>J2838-J2839</f>
        <v>#REF!</v>
      </c>
      <c r="K2840" s="474" t="e">
        <f>K2838-K2839</f>
        <v>#REF!</v>
      </c>
      <c r="L2840" s="10"/>
      <c r="M2840"/>
    </row>
    <row r="2841" spans="1:13" s="4" customFormat="1" x14ac:dyDescent="0.25">
      <c r="A2841" s="8"/>
      <c r="B2841" s="8"/>
      <c r="C2841" s="9"/>
      <c r="D2841" s="8"/>
      <c r="E2841" s="8"/>
      <c r="F2841" s="8"/>
      <c r="G2841" s="8"/>
      <c r="K2841" s="5"/>
      <c r="L2841" s="10"/>
      <c r="M2841"/>
    </row>
    <row r="2842" spans="1:13" s="4" customFormat="1" x14ac:dyDescent="0.25">
      <c r="A2842" s="8"/>
      <c r="B2842" s="8"/>
      <c r="C2842" s="9"/>
      <c r="D2842" s="8"/>
      <c r="E2842" s="8"/>
      <c r="F2842" s="8"/>
      <c r="G2842" s="8"/>
      <c r="K2842" s="5"/>
      <c r="L2842" s="10"/>
      <c r="M2842"/>
    </row>
    <row r="2843" spans="1:13" s="4" customFormat="1" x14ac:dyDescent="0.25">
      <c r="A2843" s="8"/>
      <c r="B2843" s="8"/>
      <c r="C2843" s="9"/>
      <c r="D2843" s="8"/>
      <c r="E2843" s="8"/>
      <c r="F2843" s="8"/>
      <c r="G2843" s="8"/>
      <c r="K2843" s="5"/>
      <c r="L2843" s="10"/>
      <c r="M2843"/>
    </row>
    <row r="2844" spans="1:13" s="4" customFormat="1" x14ac:dyDescent="0.25">
      <c r="A2844" s="8"/>
      <c r="B2844" s="8"/>
      <c r="C2844" s="9"/>
      <c r="D2844" s="8"/>
      <c r="E2844" s="8"/>
      <c r="F2844" s="8"/>
      <c r="G2844" s="8"/>
      <c r="K2844" s="5"/>
      <c r="L2844" s="10"/>
      <c r="M2844"/>
    </row>
    <row r="2845" spans="1:13" s="4" customFormat="1" x14ac:dyDescent="0.25">
      <c r="A2845" s="8"/>
      <c r="B2845" s="8"/>
      <c r="C2845" s="9"/>
      <c r="D2845" s="8"/>
      <c r="E2845" s="8"/>
      <c r="F2845" s="8"/>
      <c r="G2845" s="8"/>
      <c r="K2845" s="5"/>
      <c r="L2845" s="10"/>
      <c r="M2845"/>
    </row>
    <row r="2846" spans="1:13" s="4" customFormat="1" x14ac:dyDescent="0.25">
      <c r="A2846" s="8"/>
      <c r="B2846" s="8"/>
      <c r="C2846" s="9"/>
      <c r="D2846" s="8"/>
      <c r="E2846" s="8"/>
      <c r="F2846" s="8"/>
      <c r="G2846" s="8"/>
      <c r="K2846" s="5"/>
      <c r="L2846" s="10"/>
      <c r="M2846"/>
    </row>
  </sheetData>
  <mergeCells count="1087">
    <mergeCell ref="H1352:H1353"/>
    <mergeCell ref="I1352:I1353"/>
    <mergeCell ref="J1352:J1353"/>
    <mergeCell ref="C1302:F1302"/>
    <mergeCell ref="C1303:F1303"/>
    <mergeCell ref="C1305:F1305"/>
    <mergeCell ref="C1317:F1317"/>
    <mergeCell ref="A1319:F1319"/>
    <mergeCell ref="A1347:J1347"/>
    <mergeCell ref="H2777:H2778"/>
    <mergeCell ref="I2777:I2778"/>
    <mergeCell ref="J2777:J2778"/>
    <mergeCell ref="K2777:K2778"/>
    <mergeCell ref="A2777:F2778"/>
    <mergeCell ref="H2693:H2694"/>
    <mergeCell ref="I2693:I2694"/>
    <mergeCell ref="J2693:J2694"/>
    <mergeCell ref="K2693:K2694"/>
    <mergeCell ref="A2693:F2694"/>
    <mergeCell ref="C1372:F1372"/>
    <mergeCell ref="C1373:F1373"/>
    <mergeCell ref="C1375:F1375"/>
    <mergeCell ref="C1384:F1384"/>
    <mergeCell ref="A1386:F1386"/>
    <mergeCell ref="C2670:D2670"/>
    <mergeCell ref="C1363:F1363"/>
    <mergeCell ref="C1364:F1364"/>
    <mergeCell ref="C1367:F1367"/>
    <mergeCell ref="C1369:F1369"/>
    <mergeCell ref="C1370:F1370"/>
    <mergeCell ref="C1371:F1371"/>
    <mergeCell ref="C2621:D2621"/>
    <mergeCell ref="C1224:F1224"/>
    <mergeCell ref="C1227:F1227"/>
    <mergeCell ref="C1228:F1228"/>
    <mergeCell ref="C1229:F1229"/>
    <mergeCell ref="C1230:F1230"/>
    <mergeCell ref="C1295:D1295"/>
    <mergeCell ref="C1297:E1297"/>
    <mergeCell ref="C1298:F1298"/>
    <mergeCell ref="C1299:F1299"/>
    <mergeCell ref="C1300:F1300"/>
    <mergeCell ref="C1301:F1301"/>
    <mergeCell ref="C1287:F1287"/>
    <mergeCell ref="C1288:F1288"/>
    <mergeCell ref="C1289:F1289"/>
    <mergeCell ref="C1290:F1290"/>
    <mergeCell ref="C1291:F1291"/>
    <mergeCell ref="C1294:E1294"/>
    <mergeCell ref="C1281:F1281"/>
    <mergeCell ref="C1282:F1282"/>
    <mergeCell ref="C1283:F1283"/>
    <mergeCell ref="C1284:F1284"/>
    <mergeCell ref="C1285:F1285"/>
    <mergeCell ref="C1286:F1286"/>
    <mergeCell ref="C2622:D2622"/>
    <mergeCell ref="C2628:F2628"/>
    <mergeCell ref="A2655:J2655"/>
    <mergeCell ref="A2656:J2656"/>
    <mergeCell ref="I1278:I1279"/>
    <mergeCell ref="J1278:J1279"/>
    <mergeCell ref="K1278:K1279"/>
    <mergeCell ref="A1280:F1280"/>
    <mergeCell ref="C1256:D1256"/>
    <mergeCell ref="A1273:J1273"/>
    <mergeCell ref="A1274:J1274"/>
    <mergeCell ref="A1278:F1279"/>
    <mergeCell ref="H1278:H1279"/>
    <mergeCell ref="C1231:F1231"/>
    <mergeCell ref="C1233:F1233"/>
    <mergeCell ref="C1245:F1245"/>
    <mergeCell ref="A1247:F1247"/>
    <mergeCell ref="C1248:D1248"/>
    <mergeCell ref="C1252:D1252"/>
    <mergeCell ref="C1357:F1357"/>
    <mergeCell ref="C1358:F1358"/>
    <mergeCell ref="C1359:F1359"/>
    <mergeCell ref="C1360:F1360"/>
    <mergeCell ref="C1361:F1361"/>
    <mergeCell ref="C1362:F1362"/>
    <mergeCell ref="K1352:K1353"/>
    <mergeCell ref="A1354:F1354"/>
    <mergeCell ref="C1355:F1355"/>
    <mergeCell ref="C1356:F1356"/>
    <mergeCell ref="A1348:J1348"/>
    <mergeCell ref="A1352:F1353"/>
    <mergeCell ref="C2593:D2593"/>
    <mergeCell ref="C2594:D2594"/>
    <mergeCell ref="C2597:D2597"/>
    <mergeCell ref="C2600:D2600"/>
    <mergeCell ref="C2608:D2608"/>
    <mergeCell ref="C2615:D2615"/>
    <mergeCell ref="K2587:K2588"/>
    <mergeCell ref="C2590:D2590"/>
    <mergeCell ref="C2591:D2591"/>
    <mergeCell ref="C2592:D2592"/>
    <mergeCell ref="A2584:J2584"/>
    <mergeCell ref="A2587:F2588"/>
    <mergeCell ref="H2587:H2588"/>
    <mergeCell ref="I2587:I2588"/>
    <mergeCell ref="J2587:J2588"/>
    <mergeCell ref="C2524:D2524"/>
    <mergeCell ref="C2532:D2532"/>
    <mergeCell ref="C2535:D2535"/>
    <mergeCell ref="C2537:D2537"/>
    <mergeCell ref="C2545:D2545"/>
    <mergeCell ref="A2583:J2583"/>
    <mergeCell ref="H2520:H2521"/>
    <mergeCell ref="I2520:I2521"/>
    <mergeCell ref="J2520:J2521"/>
    <mergeCell ref="K2520:K2521"/>
    <mergeCell ref="C2505:D2505"/>
    <mergeCell ref="C2507:D2507"/>
    <mergeCell ref="A2516:J2516"/>
    <mergeCell ref="A2517:J2517"/>
    <mergeCell ref="A2520:F2521"/>
    <mergeCell ref="C2488:D2488"/>
    <mergeCell ref="C2489:D2489"/>
    <mergeCell ref="C2500:D2500"/>
    <mergeCell ref="C2501:D2501"/>
    <mergeCell ref="C2502:D2502"/>
    <mergeCell ref="C2503:D2503"/>
    <mergeCell ref="C2465:D2465"/>
    <mergeCell ref="C2466:F2466"/>
    <mergeCell ref="C2471:D2471"/>
    <mergeCell ref="C2480:D2480"/>
    <mergeCell ref="C2484:D2484"/>
    <mergeCell ref="C2486:D2486"/>
    <mergeCell ref="H2459:H2460"/>
    <mergeCell ref="I2459:I2460"/>
    <mergeCell ref="J2459:J2460"/>
    <mergeCell ref="K2459:K2460"/>
    <mergeCell ref="C2439:D2439"/>
    <mergeCell ref="C2443:F2443"/>
    <mergeCell ref="A2455:J2455"/>
    <mergeCell ref="A2456:J2456"/>
    <mergeCell ref="A2459:F2460"/>
    <mergeCell ref="C2398:D2398"/>
    <mergeCell ref="C2401:D2401"/>
    <mergeCell ref="C2403:D2403"/>
    <mergeCell ref="C2404:D2404"/>
    <mergeCell ref="C2422:D2422"/>
    <mergeCell ref="C2423:D2423"/>
    <mergeCell ref="I2390:I2391"/>
    <mergeCell ref="J2390:J2391"/>
    <mergeCell ref="K2390:K2391"/>
    <mergeCell ref="C2393:D2393"/>
    <mergeCell ref="C2376:D2376"/>
    <mergeCell ref="A2386:J2386"/>
    <mergeCell ref="A2387:J2387"/>
    <mergeCell ref="A2390:F2391"/>
    <mergeCell ref="H2390:H2391"/>
    <mergeCell ref="C2360:D2360"/>
    <mergeCell ref="C2363:D2363"/>
    <mergeCell ref="C2364:D2364"/>
    <mergeCell ref="C2368:F2368"/>
    <mergeCell ref="C2369:D2369"/>
    <mergeCell ref="C2373:D2373"/>
    <mergeCell ref="C2350:D2350"/>
    <mergeCell ref="C2352:E2352"/>
    <mergeCell ref="C2353:D2353"/>
    <mergeCell ref="C2354:F2354"/>
    <mergeCell ref="C2358:D2358"/>
    <mergeCell ref="C2359:D2359"/>
    <mergeCell ref="H2332:H2333"/>
    <mergeCell ref="I2332:I2333"/>
    <mergeCell ref="J2332:J2333"/>
    <mergeCell ref="K2332:K2333"/>
    <mergeCell ref="C2309:D2309"/>
    <mergeCell ref="C2311:D2311"/>
    <mergeCell ref="A2328:J2328"/>
    <mergeCell ref="A2329:J2329"/>
    <mergeCell ref="A2332:F2333"/>
    <mergeCell ref="C2298:F2298"/>
    <mergeCell ref="C2299:F2299"/>
    <mergeCell ref="C2304:D2304"/>
    <mergeCell ref="C2305:D2305"/>
    <mergeCell ref="C2306:D2306"/>
    <mergeCell ref="C2308:D2308"/>
    <mergeCell ref="H2270:H2271"/>
    <mergeCell ref="I2270:I2271"/>
    <mergeCell ref="J2270:J2271"/>
    <mergeCell ref="K2270:K2271"/>
    <mergeCell ref="A2270:F2271"/>
    <mergeCell ref="C2255:D2255"/>
    <mergeCell ref="C2256:D2256"/>
    <mergeCell ref="C2257:D2257"/>
    <mergeCell ref="C2258:D2258"/>
    <mergeCell ref="A2266:J2266"/>
    <mergeCell ref="A2267:J2267"/>
    <mergeCell ref="C2216:D2216"/>
    <mergeCell ref="C2222:F2222"/>
    <mergeCell ref="C2240:F2240"/>
    <mergeCell ref="C2250:E2250"/>
    <mergeCell ref="C2251:E2251"/>
    <mergeCell ref="C2252:E2252"/>
    <mergeCell ref="J2207:J2208"/>
    <mergeCell ref="K2207:K2208"/>
    <mergeCell ref="C2211:D2211"/>
    <mergeCell ref="C2215:D2215"/>
    <mergeCell ref="A2203:J2203"/>
    <mergeCell ref="A2204:J2204"/>
    <mergeCell ref="A2207:F2208"/>
    <mergeCell ref="H2207:H2208"/>
    <mergeCell ref="I2207:I2208"/>
    <mergeCell ref="C2146:F2146"/>
    <mergeCell ref="C2147:D2147"/>
    <mergeCell ref="C2148:D2148"/>
    <mergeCell ref="C2154:D2154"/>
    <mergeCell ref="C2160:F2160"/>
    <mergeCell ref="C2161:F2161"/>
    <mergeCell ref="H2138:H2139"/>
    <mergeCell ref="I2138:I2139"/>
    <mergeCell ref="J2138:J2139"/>
    <mergeCell ref="K2138:K2139"/>
    <mergeCell ref="A2138:F2139"/>
    <mergeCell ref="C2103:F2103"/>
    <mergeCell ref="C2117:D2117"/>
    <mergeCell ref="C2125:E2125"/>
    <mergeCell ref="C2126:F2126"/>
    <mergeCell ref="A2134:J2134"/>
    <mergeCell ref="A2135:J2135"/>
    <mergeCell ref="C2066:F2066"/>
    <mergeCell ref="C2067:F2067"/>
    <mergeCell ref="C2084:F2084"/>
    <mergeCell ref="C2085:F2085"/>
    <mergeCell ref="C2091:F2091"/>
    <mergeCell ref="C2092:F2092"/>
    <mergeCell ref="H2064:H2065"/>
    <mergeCell ref="I2064:I2065"/>
    <mergeCell ref="J2064:J2065"/>
    <mergeCell ref="K2064:K2065"/>
    <mergeCell ref="C2028:F2028"/>
    <mergeCell ref="C2039:D2039"/>
    <mergeCell ref="A2060:J2060"/>
    <mergeCell ref="A2061:J2061"/>
    <mergeCell ref="A2064:F2065"/>
    <mergeCell ref="C1990:F1990"/>
    <mergeCell ref="C1991:F1991"/>
    <mergeCell ref="C2005:F2005"/>
    <mergeCell ref="C2006:F2006"/>
    <mergeCell ref="C2023:E2023"/>
    <mergeCell ref="C2027:F2027"/>
    <mergeCell ref="H1988:H1989"/>
    <mergeCell ref="I1988:I1989"/>
    <mergeCell ref="J1988:J1989"/>
    <mergeCell ref="K1988:K1989"/>
    <mergeCell ref="C1971:E1971"/>
    <mergeCell ref="C1974:D1974"/>
    <mergeCell ref="A1984:J1984"/>
    <mergeCell ref="A1985:J1985"/>
    <mergeCell ref="A1988:F1989"/>
    <mergeCell ref="C1957:F1957"/>
    <mergeCell ref="C1958:F1958"/>
    <mergeCell ref="C1959:F1959"/>
    <mergeCell ref="C1960:F1960"/>
    <mergeCell ref="C1963:F1963"/>
    <mergeCell ref="C1964:F1964"/>
    <mergeCell ref="C1919:E1919"/>
    <mergeCell ref="C1938:E1938"/>
    <mergeCell ref="C1939:E1939"/>
    <mergeCell ref="C1940:E1940"/>
    <mergeCell ref="C1954:F1954"/>
    <mergeCell ref="C1955:F1955"/>
    <mergeCell ref="K1914:K1915"/>
    <mergeCell ref="A1916:F1916"/>
    <mergeCell ref="C1917:F1917"/>
    <mergeCell ref="C1918:E1918"/>
    <mergeCell ref="A1911:J1911"/>
    <mergeCell ref="A1914:F1915"/>
    <mergeCell ref="H1914:H1915"/>
    <mergeCell ref="I1914:I1915"/>
    <mergeCell ref="J1914:J1915"/>
    <mergeCell ref="C1862:F1862"/>
    <mergeCell ref="C1867:D1867"/>
    <mergeCell ref="C1877:D1877"/>
    <mergeCell ref="C1878:D1878"/>
    <mergeCell ref="C1879:D1879"/>
    <mergeCell ref="A1910:J1910"/>
    <mergeCell ref="C1856:D1856"/>
    <mergeCell ref="C1857:D1857"/>
    <mergeCell ref="C1858:D1858"/>
    <mergeCell ref="C1859:D1859"/>
    <mergeCell ref="C1860:D1860"/>
    <mergeCell ref="C1861:D1861"/>
    <mergeCell ref="H1854:H1855"/>
    <mergeCell ref="I1854:I1855"/>
    <mergeCell ref="J1854:J1855"/>
    <mergeCell ref="K1854:K1855"/>
    <mergeCell ref="C1841:D1841"/>
    <mergeCell ref="C1842:D1842"/>
    <mergeCell ref="A1850:J1850"/>
    <mergeCell ref="A1851:J1851"/>
    <mergeCell ref="A1854:F1855"/>
    <mergeCell ref="C1835:D1835"/>
    <mergeCell ref="C1836:D1836"/>
    <mergeCell ref="C1837:D1837"/>
    <mergeCell ref="C1838:D1838"/>
    <mergeCell ref="C1839:D1839"/>
    <mergeCell ref="C1840:D1840"/>
    <mergeCell ref="C1826:D1826"/>
    <mergeCell ref="C1827:D1827"/>
    <mergeCell ref="C1828:F1828"/>
    <mergeCell ref="C1829:F1829"/>
    <mergeCell ref="C1833:D1833"/>
    <mergeCell ref="C1834:D1834"/>
    <mergeCell ref="C1820:D1820"/>
    <mergeCell ref="C1821:D1821"/>
    <mergeCell ref="C1822:D1822"/>
    <mergeCell ref="C1823:D1823"/>
    <mergeCell ref="C1824:D1824"/>
    <mergeCell ref="C1825:D1825"/>
    <mergeCell ref="C1814:F1814"/>
    <mergeCell ref="C1815:D1815"/>
    <mergeCell ref="C1816:F1816"/>
    <mergeCell ref="C1817:D1817"/>
    <mergeCell ref="C1818:D1818"/>
    <mergeCell ref="C1819:D1819"/>
    <mergeCell ref="C1807:D1807"/>
    <mergeCell ref="C1808:D1808"/>
    <mergeCell ref="C1809:D1809"/>
    <mergeCell ref="C1810:F1810"/>
    <mergeCell ref="C1811:F1811"/>
    <mergeCell ref="C1813:F1813"/>
    <mergeCell ref="J1803:J1804"/>
    <mergeCell ref="K1803:K1804"/>
    <mergeCell ref="C1805:D1805"/>
    <mergeCell ref="C1806:D1806"/>
    <mergeCell ref="A1799:J1799"/>
    <mergeCell ref="A1800:J1800"/>
    <mergeCell ref="A1803:F1804"/>
    <mergeCell ref="H1803:H1804"/>
    <mergeCell ref="I1803:I1804"/>
    <mergeCell ref="C1784:D1784"/>
    <mergeCell ref="C1785:D1785"/>
    <mergeCell ref="C1786:F1786"/>
    <mergeCell ref="C1788:F1788"/>
    <mergeCell ref="C1789:D1789"/>
    <mergeCell ref="C1791:D1791"/>
    <mergeCell ref="C1777:D1777"/>
    <mergeCell ref="C1778:D1778"/>
    <mergeCell ref="C1779:D1779"/>
    <mergeCell ref="C1780:D1780"/>
    <mergeCell ref="C1782:D1782"/>
    <mergeCell ref="C1783:D1783"/>
    <mergeCell ref="C1766:D1766"/>
    <mergeCell ref="C1767:D1767"/>
    <mergeCell ref="C1770:D1770"/>
    <mergeCell ref="C1774:D1774"/>
    <mergeCell ref="C1775:D1775"/>
    <mergeCell ref="C1776:D1776"/>
    <mergeCell ref="C1753:F1753"/>
    <mergeCell ref="C1757:D1757"/>
    <mergeCell ref="C1758:D1758"/>
    <mergeCell ref="C1759:F1759"/>
    <mergeCell ref="C1761:F1761"/>
    <mergeCell ref="C1762:D1762"/>
    <mergeCell ref="K1748:K1749"/>
    <mergeCell ref="C1750:D1750"/>
    <mergeCell ref="C1751:F1751"/>
    <mergeCell ref="C1752:D1752"/>
    <mergeCell ref="A1745:J1745"/>
    <mergeCell ref="A1748:F1749"/>
    <mergeCell ref="H1748:H1749"/>
    <mergeCell ref="I1748:I1749"/>
    <mergeCell ref="J1748:J1749"/>
    <mergeCell ref="C1731:D1731"/>
    <mergeCell ref="C1732:D1732"/>
    <mergeCell ref="C1733:D1733"/>
    <mergeCell ref="C1734:D1734"/>
    <mergeCell ref="C1735:D1735"/>
    <mergeCell ref="A1744:J1744"/>
    <mergeCell ref="C1718:D1718"/>
    <mergeCell ref="C1719:D1719"/>
    <mergeCell ref="C1720:D1720"/>
    <mergeCell ref="C1721:D1721"/>
    <mergeCell ref="C1724:D1724"/>
    <mergeCell ref="C1725:D1725"/>
    <mergeCell ref="C1711:D1711"/>
    <mergeCell ref="C1712:D1712"/>
    <mergeCell ref="C1714:D1714"/>
    <mergeCell ref="C1715:D1715"/>
    <mergeCell ref="C1716:D1716"/>
    <mergeCell ref="C1717:D1717"/>
    <mergeCell ref="C1703:F1703"/>
    <mergeCell ref="C1704:D1704"/>
    <mergeCell ref="C1705:D1705"/>
    <mergeCell ref="C1706:D1706"/>
    <mergeCell ref="C1707:D1707"/>
    <mergeCell ref="C1708:D1708"/>
    <mergeCell ref="C1694:F1694"/>
    <mergeCell ref="C1696:F1696"/>
    <mergeCell ref="C1699:D1699"/>
    <mergeCell ref="C1700:D1700"/>
    <mergeCell ref="C1701:D1701"/>
    <mergeCell ref="C1702:D1702"/>
    <mergeCell ref="J1689:J1690"/>
    <mergeCell ref="K1689:K1690"/>
    <mergeCell ref="A1691:F1691"/>
    <mergeCell ref="C1693:F1693"/>
    <mergeCell ref="A1685:J1685"/>
    <mergeCell ref="A1686:J1686"/>
    <mergeCell ref="A1689:F1690"/>
    <mergeCell ref="H1689:H1690"/>
    <mergeCell ref="I1689:I1690"/>
    <mergeCell ref="C1636:D1636"/>
    <mergeCell ref="C1637:D1637"/>
    <mergeCell ref="C1638:D1638"/>
    <mergeCell ref="C1639:D1639"/>
    <mergeCell ref="C1643:D1643"/>
    <mergeCell ref="C1644:D1644"/>
    <mergeCell ref="H1621:H1622"/>
    <mergeCell ref="I1621:I1622"/>
    <mergeCell ref="J1621:J1622"/>
    <mergeCell ref="K1621:K1622"/>
    <mergeCell ref="A1621:F1622"/>
    <mergeCell ref="C1600:D1600"/>
    <mergeCell ref="C1601:D1601"/>
    <mergeCell ref="C1605:D1605"/>
    <mergeCell ref="C1606:D1606"/>
    <mergeCell ref="A1617:J1617"/>
    <mergeCell ref="A1618:J1618"/>
    <mergeCell ref="C1594:D1594"/>
    <mergeCell ref="C1595:D1595"/>
    <mergeCell ref="C1596:D1596"/>
    <mergeCell ref="C1597:D1597"/>
    <mergeCell ref="C1598:D1598"/>
    <mergeCell ref="C1599:D1599"/>
    <mergeCell ref="C1586:F1586"/>
    <mergeCell ref="C1587:F1587"/>
    <mergeCell ref="C1588:D1588"/>
    <mergeCell ref="C1589:D1589"/>
    <mergeCell ref="C1590:D1590"/>
    <mergeCell ref="C1593:D1593"/>
    <mergeCell ref="C1578:D1578"/>
    <mergeCell ref="C1579:D1579"/>
    <mergeCell ref="C1580:D1580"/>
    <mergeCell ref="C1583:F1583"/>
    <mergeCell ref="C1584:F1584"/>
    <mergeCell ref="C1585:F1585"/>
    <mergeCell ref="C1573:D1573"/>
    <mergeCell ref="C1574:D1574"/>
    <mergeCell ref="C1575:D1575"/>
    <mergeCell ref="C1576:D1576"/>
    <mergeCell ref="C1577:D1577"/>
    <mergeCell ref="H1569:H1570"/>
    <mergeCell ref="I1569:I1570"/>
    <mergeCell ref="J1569:J1570"/>
    <mergeCell ref="K1569:K1570"/>
    <mergeCell ref="C1536:F1536"/>
    <mergeCell ref="C1537:F1537"/>
    <mergeCell ref="C1538:D1538"/>
    <mergeCell ref="A1565:J1565"/>
    <mergeCell ref="A1566:J1566"/>
    <mergeCell ref="A1569:F1570"/>
    <mergeCell ref="A1504:D1505"/>
    <mergeCell ref="C1507:D1507"/>
    <mergeCell ref="C1516:F1516"/>
    <mergeCell ref="C1525:D1525"/>
    <mergeCell ref="C1526:D1526"/>
    <mergeCell ref="C1527:D1527"/>
    <mergeCell ref="H1501:H1502"/>
    <mergeCell ref="I1501:I1502"/>
    <mergeCell ref="J1501:J1502"/>
    <mergeCell ref="K1501:K1502"/>
    <mergeCell ref="C1475:D1475"/>
    <mergeCell ref="C1476:D1476"/>
    <mergeCell ref="A1497:J1497"/>
    <mergeCell ref="A1498:J1498"/>
    <mergeCell ref="A1501:F1502"/>
    <mergeCell ref="C1469:E1469"/>
    <mergeCell ref="C1470:D1470"/>
    <mergeCell ref="C1471:D1471"/>
    <mergeCell ref="C1472:D1472"/>
    <mergeCell ref="C1473:D1473"/>
    <mergeCell ref="C1474:D1474"/>
    <mergeCell ref="C1450:D1450"/>
    <mergeCell ref="C1451:D1451"/>
    <mergeCell ref="C1453:D1453"/>
    <mergeCell ref="C1463:F1463"/>
    <mergeCell ref="C1467:E1467"/>
    <mergeCell ref="C1468:D1468"/>
    <mergeCell ref="J1445:J1446"/>
    <mergeCell ref="K1445:K1446"/>
    <mergeCell ref="C1447:D1447"/>
    <mergeCell ref="C1448:D1448"/>
    <mergeCell ref="A1441:J1441"/>
    <mergeCell ref="A1442:J1442"/>
    <mergeCell ref="A1445:F1446"/>
    <mergeCell ref="H1445:H1446"/>
    <mergeCell ref="I1445:I1446"/>
    <mergeCell ref="C1409:D1409"/>
    <mergeCell ref="C1410:D1410"/>
    <mergeCell ref="C1417:D1417"/>
    <mergeCell ref="C1418:D1418"/>
    <mergeCell ref="C1428:D1428"/>
    <mergeCell ref="C1429:D1429"/>
    <mergeCell ref="C1399:D1399"/>
    <mergeCell ref="C1401:D1401"/>
    <mergeCell ref="C1404:D1404"/>
    <mergeCell ref="C1406:D1406"/>
    <mergeCell ref="C1407:D1407"/>
    <mergeCell ref="H1393:H1394"/>
    <mergeCell ref="I1393:I1394"/>
    <mergeCell ref="J1393:J1394"/>
    <mergeCell ref="K1393:K1394"/>
    <mergeCell ref="A1393:F1394"/>
    <mergeCell ref="C1211:D1211"/>
    <mergeCell ref="C1197:F1197"/>
    <mergeCell ref="C1198:F1198"/>
    <mergeCell ref="C1199:F1199"/>
    <mergeCell ref="C1200:F1200"/>
    <mergeCell ref="C1189:F1189"/>
    <mergeCell ref="C1190:F1190"/>
    <mergeCell ref="C1191:F1191"/>
    <mergeCell ref="C1192:F1192"/>
    <mergeCell ref="C1193:F1193"/>
    <mergeCell ref="C1196:F1196"/>
    <mergeCell ref="C1183:F1183"/>
    <mergeCell ref="C1184:F1184"/>
    <mergeCell ref="C1185:F1185"/>
    <mergeCell ref="C1186:F1186"/>
    <mergeCell ref="C1187:F1187"/>
    <mergeCell ref="C1188:F1188"/>
    <mergeCell ref="C1215:F1215"/>
    <mergeCell ref="C1216:F1216"/>
    <mergeCell ref="C1217:F1217"/>
    <mergeCell ref="C1218:F1218"/>
    <mergeCell ref="C1219:F1219"/>
    <mergeCell ref="C1220:F1220"/>
    <mergeCell ref="C1212:F1212"/>
    <mergeCell ref="C1213:F1213"/>
    <mergeCell ref="C1214:F1214"/>
    <mergeCell ref="C1221:F1221"/>
    <mergeCell ref="C1182:F1182"/>
    <mergeCell ref="C1181:D1181"/>
    <mergeCell ref="C1168:F1168"/>
    <mergeCell ref="C1169:F1169"/>
    <mergeCell ref="C1170:F1170"/>
    <mergeCell ref="C1160:F1160"/>
    <mergeCell ref="C1161:F1161"/>
    <mergeCell ref="C1162:F1162"/>
    <mergeCell ref="C1163:F1163"/>
    <mergeCell ref="C1166:F1166"/>
    <mergeCell ref="C1167:F1167"/>
    <mergeCell ref="C1153:F1153"/>
    <mergeCell ref="C1154:F1154"/>
    <mergeCell ref="C1155:F1155"/>
    <mergeCell ref="C1156:F1156"/>
    <mergeCell ref="C1158:F1158"/>
    <mergeCell ref="C1159:F1159"/>
    <mergeCell ref="C1150:F1150"/>
    <mergeCell ref="C1151:F1151"/>
    <mergeCell ref="C1152:F1152"/>
    <mergeCell ref="C1148:D1148"/>
    <mergeCell ref="C1149:D1149"/>
    <mergeCell ref="C1130:F1130"/>
    <mergeCell ref="C1131:F1131"/>
    <mergeCell ref="C1132:F1132"/>
    <mergeCell ref="C1133:F1133"/>
    <mergeCell ref="C1122:F1122"/>
    <mergeCell ref="C1123:F1123"/>
    <mergeCell ref="C1124:F1124"/>
    <mergeCell ref="C1125:F1125"/>
    <mergeCell ref="C1126:F1126"/>
    <mergeCell ref="C1129:F1129"/>
    <mergeCell ref="C1116:F1116"/>
    <mergeCell ref="C1117:F1117"/>
    <mergeCell ref="C1118:F1118"/>
    <mergeCell ref="C1119:F1119"/>
    <mergeCell ref="C1120:F1120"/>
    <mergeCell ref="C1121:F1121"/>
    <mergeCell ref="C1115:F1115"/>
    <mergeCell ref="C1099:E1099"/>
    <mergeCell ref="C1106:F1106"/>
    <mergeCell ref="C1107:F1107"/>
    <mergeCell ref="C1108:D1108"/>
    <mergeCell ref="C1092:F1092"/>
    <mergeCell ref="C1093:F1093"/>
    <mergeCell ref="C1094:F1094"/>
    <mergeCell ref="C1084:F1084"/>
    <mergeCell ref="C1085:F1085"/>
    <mergeCell ref="C1086:F1086"/>
    <mergeCell ref="C1087:F1087"/>
    <mergeCell ref="C1090:F1090"/>
    <mergeCell ref="C1091:F1091"/>
    <mergeCell ref="C1078:F1078"/>
    <mergeCell ref="C1079:F1079"/>
    <mergeCell ref="C1080:F1080"/>
    <mergeCell ref="C1081:F1081"/>
    <mergeCell ref="C1082:F1082"/>
    <mergeCell ref="C1083:F1083"/>
    <mergeCell ref="C1075:F1075"/>
    <mergeCell ref="C1076:F1076"/>
    <mergeCell ref="C1077:F1077"/>
    <mergeCell ref="C1063:D1063"/>
    <mergeCell ref="C1065:D1065"/>
    <mergeCell ref="C1066:D1066"/>
    <mergeCell ref="C1074:D1074"/>
    <mergeCell ref="C1047:D1047"/>
    <mergeCell ref="C1048:D1048"/>
    <mergeCell ref="C1050:D1050"/>
    <mergeCell ref="C1052:D1052"/>
    <mergeCell ref="C1053:D1053"/>
    <mergeCell ref="C1061:D1061"/>
    <mergeCell ref="C1045:D1045"/>
    <mergeCell ref="C1046:D1046"/>
    <mergeCell ref="C1028:D1028"/>
    <mergeCell ref="C1036:D1036"/>
    <mergeCell ref="C1037:D1037"/>
    <mergeCell ref="C1040:D1040"/>
    <mergeCell ref="C1013:F1013"/>
    <mergeCell ref="C1014:F1014"/>
    <mergeCell ref="C1015:F1015"/>
    <mergeCell ref="C1005:F1005"/>
    <mergeCell ref="C1006:F1006"/>
    <mergeCell ref="C1007:F1007"/>
    <mergeCell ref="C1009:F1009"/>
    <mergeCell ref="C1011:F1011"/>
    <mergeCell ref="C1012:F1012"/>
    <mergeCell ref="C999:F999"/>
    <mergeCell ref="C1000:F1000"/>
    <mergeCell ref="C1001:F1001"/>
    <mergeCell ref="C1002:F1002"/>
    <mergeCell ref="C1003:F1003"/>
    <mergeCell ref="C1004:F1004"/>
    <mergeCell ref="C994:F994"/>
    <mergeCell ref="C995:F995"/>
    <mergeCell ref="C996:F996"/>
    <mergeCell ref="C997:F997"/>
    <mergeCell ref="C998:F998"/>
    <mergeCell ref="C982:F982"/>
    <mergeCell ref="C979:D979"/>
    <mergeCell ref="C972:D972"/>
    <mergeCell ref="C944:F944"/>
    <mergeCell ref="C945:F945"/>
    <mergeCell ref="C967:D967"/>
    <mergeCell ref="C938:F938"/>
    <mergeCell ref="C939:F939"/>
    <mergeCell ref="C940:F940"/>
    <mergeCell ref="C941:F941"/>
    <mergeCell ref="C942:F942"/>
    <mergeCell ref="C943:F943"/>
    <mergeCell ref="C931:F931"/>
    <mergeCell ref="C932:F932"/>
    <mergeCell ref="C933:F933"/>
    <mergeCell ref="C934:F934"/>
    <mergeCell ref="C935:F935"/>
    <mergeCell ref="C936:F936"/>
    <mergeCell ref="C925:F925"/>
    <mergeCell ref="C926:F926"/>
    <mergeCell ref="C927:F927"/>
    <mergeCell ref="C928:F928"/>
    <mergeCell ref="C929:F929"/>
    <mergeCell ref="C930:F930"/>
    <mergeCell ref="C924:F924"/>
    <mergeCell ref="C911:F911"/>
    <mergeCell ref="C912:F912"/>
    <mergeCell ref="C913:F913"/>
    <mergeCell ref="C914:F914"/>
    <mergeCell ref="C903:F903"/>
    <mergeCell ref="C904:F904"/>
    <mergeCell ref="C905:F905"/>
    <mergeCell ref="C906:F906"/>
    <mergeCell ref="C909:F909"/>
    <mergeCell ref="C910:F910"/>
    <mergeCell ref="C897:F897"/>
    <mergeCell ref="C898:F898"/>
    <mergeCell ref="C899:F899"/>
    <mergeCell ref="C900:F900"/>
    <mergeCell ref="C901:F901"/>
    <mergeCell ref="C902:F902"/>
    <mergeCell ref="C890:F890"/>
    <mergeCell ref="C892:F892"/>
    <mergeCell ref="C894:D894"/>
    <mergeCell ref="C878:F878"/>
    <mergeCell ref="C879:F879"/>
    <mergeCell ref="C880:F880"/>
    <mergeCell ref="C881:F881"/>
    <mergeCell ref="C873:F873"/>
    <mergeCell ref="C874:F874"/>
    <mergeCell ref="C875:F875"/>
    <mergeCell ref="C876:F876"/>
    <mergeCell ref="C877:F877"/>
    <mergeCell ref="C867:F867"/>
    <mergeCell ref="C868:F868"/>
    <mergeCell ref="C869:F869"/>
    <mergeCell ref="C870:F870"/>
    <mergeCell ref="C872:F872"/>
    <mergeCell ref="C853:F853"/>
    <mergeCell ref="C846:F846"/>
    <mergeCell ref="C848:F848"/>
    <mergeCell ref="C849:F849"/>
    <mergeCell ref="C850:F850"/>
    <mergeCell ref="C851:F851"/>
    <mergeCell ref="C852:F852"/>
    <mergeCell ref="C839:F839"/>
    <mergeCell ref="C841:F841"/>
    <mergeCell ref="C842:F842"/>
    <mergeCell ref="C843:F843"/>
    <mergeCell ref="C844:F844"/>
    <mergeCell ref="C845:F845"/>
    <mergeCell ref="C834:F834"/>
    <mergeCell ref="C835:F835"/>
    <mergeCell ref="C836:F836"/>
    <mergeCell ref="C837:F837"/>
    <mergeCell ref="C838:F838"/>
    <mergeCell ref="C821:E821"/>
    <mergeCell ref="C805:F805"/>
    <mergeCell ref="C806:F806"/>
    <mergeCell ref="C807:F807"/>
    <mergeCell ref="C808:F808"/>
    <mergeCell ref="C809:F809"/>
    <mergeCell ref="C810:F810"/>
    <mergeCell ref="C798:F798"/>
    <mergeCell ref="C799:F799"/>
    <mergeCell ref="C800:F800"/>
    <mergeCell ref="C801:F801"/>
    <mergeCell ref="C802:F802"/>
    <mergeCell ref="C803:F803"/>
    <mergeCell ref="C792:F792"/>
    <mergeCell ref="C793:F793"/>
    <mergeCell ref="C794:F794"/>
    <mergeCell ref="C795:F795"/>
    <mergeCell ref="C796:F796"/>
    <mergeCell ref="C797:F797"/>
    <mergeCell ref="C791:F791"/>
    <mergeCell ref="C778:F778"/>
    <mergeCell ref="C779:F779"/>
    <mergeCell ref="C780:F780"/>
    <mergeCell ref="C781:F781"/>
    <mergeCell ref="C774:F774"/>
    <mergeCell ref="C775:F775"/>
    <mergeCell ref="C776:F776"/>
    <mergeCell ref="C777:F777"/>
    <mergeCell ref="C767:F767"/>
    <mergeCell ref="C768:F768"/>
    <mergeCell ref="C769:F769"/>
    <mergeCell ref="C770:F770"/>
    <mergeCell ref="C771:F771"/>
    <mergeCell ref="C772:F772"/>
    <mergeCell ref="D751:F751"/>
    <mergeCell ref="C752:F752"/>
    <mergeCell ref="C753:F753"/>
    <mergeCell ref="C754:F754"/>
    <mergeCell ref="C755:F755"/>
    <mergeCell ref="C756:F756"/>
    <mergeCell ref="C743:F743"/>
    <mergeCell ref="C744:F744"/>
    <mergeCell ref="C745:F745"/>
    <mergeCell ref="C746:F746"/>
    <mergeCell ref="C747:F747"/>
    <mergeCell ref="C748:F748"/>
    <mergeCell ref="C737:F737"/>
    <mergeCell ref="C738:F738"/>
    <mergeCell ref="C739:F739"/>
    <mergeCell ref="C740:F740"/>
    <mergeCell ref="C741:F741"/>
    <mergeCell ref="C742:F742"/>
    <mergeCell ref="C735:F735"/>
    <mergeCell ref="C716:F716"/>
    <mergeCell ref="C717:F717"/>
    <mergeCell ref="C718:F718"/>
    <mergeCell ref="C719:F719"/>
    <mergeCell ref="C720:F720"/>
    <mergeCell ref="C709:F709"/>
    <mergeCell ref="C710:F710"/>
    <mergeCell ref="C711:F711"/>
    <mergeCell ref="C712:F712"/>
    <mergeCell ref="C713:F713"/>
    <mergeCell ref="D715:F715"/>
    <mergeCell ref="C703:F703"/>
    <mergeCell ref="C704:F704"/>
    <mergeCell ref="C705:F705"/>
    <mergeCell ref="C706:F706"/>
    <mergeCell ref="C707:F707"/>
    <mergeCell ref="C708:F708"/>
    <mergeCell ref="C702:F702"/>
    <mergeCell ref="C698:D698"/>
    <mergeCell ref="C700:E700"/>
    <mergeCell ref="C701:F701"/>
    <mergeCell ref="C675:F675"/>
    <mergeCell ref="D677:F677"/>
    <mergeCell ref="C679:F679"/>
    <mergeCell ref="C680:F680"/>
    <mergeCell ref="C681:F681"/>
    <mergeCell ref="C682:F682"/>
    <mergeCell ref="C669:F669"/>
    <mergeCell ref="C670:F670"/>
    <mergeCell ref="C671:F671"/>
    <mergeCell ref="C672:F672"/>
    <mergeCell ref="C673:F673"/>
    <mergeCell ref="C674:F674"/>
    <mergeCell ref="C664:F664"/>
    <mergeCell ref="C665:F665"/>
    <mergeCell ref="C666:F666"/>
    <mergeCell ref="C667:F667"/>
    <mergeCell ref="C668:F668"/>
    <mergeCell ref="C660:F660"/>
    <mergeCell ref="C653:F653"/>
    <mergeCell ref="C654:F654"/>
    <mergeCell ref="C655:F655"/>
    <mergeCell ref="C657:F657"/>
    <mergeCell ref="C658:F658"/>
    <mergeCell ref="C659:F659"/>
    <mergeCell ref="C647:F647"/>
    <mergeCell ref="C648:F648"/>
    <mergeCell ref="C649:F649"/>
    <mergeCell ref="C650:F650"/>
    <mergeCell ref="C651:F651"/>
    <mergeCell ref="C652:F652"/>
    <mergeCell ref="C632:D632"/>
    <mergeCell ref="C634:F634"/>
    <mergeCell ref="C635:F635"/>
    <mergeCell ref="C636:F636"/>
    <mergeCell ref="C637:F637"/>
    <mergeCell ref="C626:F626"/>
    <mergeCell ref="C627:F627"/>
    <mergeCell ref="C628:F628"/>
    <mergeCell ref="C629:F629"/>
    <mergeCell ref="C630:F630"/>
    <mergeCell ref="C631:F631"/>
    <mergeCell ref="C622:F622"/>
    <mergeCell ref="C623:F623"/>
    <mergeCell ref="C624:F624"/>
    <mergeCell ref="C625:F625"/>
    <mergeCell ref="C609:F609"/>
    <mergeCell ref="C610:F610"/>
    <mergeCell ref="C611:F611"/>
    <mergeCell ref="C612:F612"/>
    <mergeCell ref="C613:F613"/>
    <mergeCell ref="C602:F602"/>
    <mergeCell ref="C603:F603"/>
    <mergeCell ref="C604:F604"/>
    <mergeCell ref="C605:F605"/>
    <mergeCell ref="C606:F606"/>
    <mergeCell ref="D608:F608"/>
    <mergeCell ref="C599:F599"/>
    <mergeCell ref="C600:F600"/>
    <mergeCell ref="C601:F601"/>
    <mergeCell ref="C586:F586"/>
    <mergeCell ref="C577:F577"/>
    <mergeCell ref="C578:F578"/>
    <mergeCell ref="C582:F582"/>
    <mergeCell ref="C583:F583"/>
    <mergeCell ref="C584:F584"/>
    <mergeCell ref="C585:F585"/>
    <mergeCell ref="C571:F571"/>
    <mergeCell ref="C572:F572"/>
    <mergeCell ref="C573:F573"/>
    <mergeCell ref="C574:F574"/>
    <mergeCell ref="C575:F575"/>
    <mergeCell ref="C576:F576"/>
    <mergeCell ref="C567:F567"/>
    <mergeCell ref="C568:F568"/>
    <mergeCell ref="C569:F569"/>
    <mergeCell ref="C570:F570"/>
    <mergeCell ref="C549:F549"/>
    <mergeCell ref="C550:F550"/>
    <mergeCell ref="C551:F551"/>
    <mergeCell ref="C542:F542"/>
    <mergeCell ref="C543:F543"/>
    <mergeCell ref="C544:F544"/>
    <mergeCell ref="D546:F546"/>
    <mergeCell ref="C547:F547"/>
    <mergeCell ref="C548:F548"/>
    <mergeCell ref="C535:F535"/>
    <mergeCell ref="C536:F536"/>
    <mergeCell ref="C537:F537"/>
    <mergeCell ref="C538:F538"/>
    <mergeCell ref="C540:F540"/>
    <mergeCell ref="C541:F541"/>
    <mergeCell ref="C532:F532"/>
    <mergeCell ref="C533:F533"/>
    <mergeCell ref="C534:F534"/>
    <mergeCell ref="C516:F516"/>
    <mergeCell ref="C509:F509"/>
    <mergeCell ref="D511:F511"/>
    <mergeCell ref="C512:F512"/>
    <mergeCell ref="C513:F513"/>
    <mergeCell ref="C514:F514"/>
    <mergeCell ref="C515:F515"/>
    <mergeCell ref="C503:F503"/>
    <mergeCell ref="C504:F504"/>
    <mergeCell ref="C505:F505"/>
    <mergeCell ref="C506:F506"/>
    <mergeCell ref="C507:F507"/>
    <mergeCell ref="C508:F508"/>
    <mergeCell ref="C499:F499"/>
    <mergeCell ref="C500:F500"/>
    <mergeCell ref="C501:F501"/>
    <mergeCell ref="C502:F502"/>
    <mergeCell ref="C483:F483"/>
    <mergeCell ref="C484:F484"/>
    <mergeCell ref="C485:F485"/>
    <mergeCell ref="C486:F486"/>
    <mergeCell ref="C487:F487"/>
    <mergeCell ref="C475:F475"/>
    <mergeCell ref="C476:F476"/>
    <mergeCell ref="C477:F477"/>
    <mergeCell ref="C478:F478"/>
    <mergeCell ref="C479:F479"/>
    <mergeCell ref="D482:F482"/>
    <mergeCell ref="C470:F470"/>
    <mergeCell ref="C471:F471"/>
    <mergeCell ref="C472:F472"/>
    <mergeCell ref="C473:F473"/>
    <mergeCell ref="C464:F464"/>
    <mergeCell ref="C449:F449"/>
    <mergeCell ref="C450:F450"/>
    <mergeCell ref="C452:F452"/>
    <mergeCell ref="C453:F453"/>
    <mergeCell ref="C454:F454"/>
    <mergeCell ref="C455:F455"/>
    <mergeCell ref="C444:F444"/>
    <mergeCell ref="C445:F445"/>
    <mergeCell ref="C446:F446"/>
    <mergeCell ref="C447:F447"/>
    <mergeCell ref="C448:F448"/>
    <mergeCell ref="C432:D432"/>
    <mergeCell ref="C433:D433"/>
    <mergeCell ref="C437:D437"/>
    <mergeCell ref="C413:F413"/>
    <mergeCell ref="C414:F414"/>
    <mergeCell ref="C415:F415"/>
    <mergeCell ref="C416:F416"/>
    <mergeCell ref="C418:F418"/>
    <mergeCell ref="C427:D427"/>
    <mergeCell ref="C405:F405"/>
    <mergeCell ref="C406:F406"/>
    <mergeCell ref="C407:F407"/>
    <mergeCell ref="C408:F408"/>
    <mergeCell ref="C411:F411"/>
    <mergeCell ref="C412:F412"/>
    <mergeCell ref="C400:F400"/>
    <mergeCell ref="C401:F401"/>
    <mergeCell ref="C403:F403"/>
    <mergeCell ref="C404:F404"/>
    <mergeCell ref="C389:F389"/>
    <mergeCell ref="C390:F390"/>
    <mergeCell ref="C391:F391"/>
    <mergeCell ref="C381:F381"/>
    <mergeCell ref="C382:F382"/>
    <mergeCell ref="C383:F383"/>
    <mergeCell ref="D385:F385"/>
    <mergeCell ref="C386:F386"/>
    <mergeCell ref="C388:F388"/>
    <mergeCell ref="C375:F375"/>
    <mergeCell ref="C376:F376"/>
    <mergeCell ref="C377:F377"/>
    <mergeCell ref="C378:F378"/>
    <mergeCell ref="C379:F379"/>
    <mergeCell ref="C380:F380"/>
    <mergeCell ref="C374:F374"/>
    <mergeCell ref="C361:F361"/>
    <mergeCell ref="C362:F362"/>
    <mergeCell ref="C363:F363"/>
    <mergeCell ref="C364:F364"/>
    <mergeCell ref="C353:F353"/>
    <mergeCell ref="C354:F354"/>
    <mergeCell ref="C355:F355"/>
    <mergeCell ref="C356:F356"/>
    <mergeCell ref="D359:F359"/>
    <mergeCell ref="C360:F360"/>
    <mergeCell ref="C348:F348"/>
    <mergeCell ref="C349:F349"/>
    <mergeCell ref="C350:F350"/>
    <mergeCell ref="C351:F351"/>
    <mergeCell ref="C352:F352"/>
    <mergeCell ref="C340:F340"/>
    <mergeCell ref="C332:F332"/>
    <mergeCell ref="C333:F333"/>
    <mergeCell ref="C336:F336"/>
    <mergeCell ref="C337:F337"/>
    <mergeCell ref="C338:F338"/>
    <mergeCell ref="C339:F339"/>
    <mergeCell ref="C325:F325"/>
    <mergeCell ref="C326:F326"/>
    <mergeCell ref="C328:F328"/>
    <mergeCell ref="C329:F329"/>
    <mergeCell ref="C330:F330"/>
    <mergeCell ref="C331:F331"/>
    <mergeCell ref="C324:F324"/>
    <mergeCell ref="C292:F292"/>
    <mergeCell ref="C294:F294"/>
    <mergeCell ref="C283:F283"/>
    <mergeCell ref="C287:F287"/>
    <mergeCell ref="C288:F288"/>
    <mergeCell ref="C289:F289"/>
    <mergeCell ref="C290:F290"/>
    <mergeCell ref="C291:F291"/>
    <mergeCell ref="C277:F277"/>
    <mergeCell ref="C278:F278"/>
    <mergeCell ref="C279:F279"/>
    <mergeCell ref="C280:F280"/>
    <mergeCell ref="C281:F281"/>
    <mergeCell ref="C282:F282"/>
    <mergeCell ref="C273:F273"/>
    <mergeCell ref="C274:F274"/>
    <mergeCell ref="C275:F275"/>
    <mergeCell ref="C276:F276"/>
    <mergeCell ref="C254:F254"/>
    <mergeCell ref="C255:F255"/>
    <mergeCell ref="C256:F256"/>
    <mergeCell ref="C257:F257"/>
    <mergeCell ref="C259:F259"/>
    <mergeCell ref="C245:F245"/>
    <mergeCell ref="C247:F247"/>
    <mergeCell ref="C248:F248"/>
    <mergeCell ref="C249:F249"/>
    <mergeCell ref="C250:F250"/>
    <mergeCell ref="C253:F253"/>
    <mergeCell ref="C240:F240"/>
    <mergeCell ref="C242:F242"/>
    <mergeCell ref="C243:F243"/>
    <mergeCell ref="C224:F224"/>
    <mergeCell ref="C225:F225"/>
    <mergeCell ref="C226:F226"/>
    <mergeCell ref="C228:F228"/>
    <mergeCell ref="C214:F214"/>
    <mergeCell ref="C215:F215"/>
    <mergeCell ref="C216:F216"/>
    <mergeCell ref="C220:F220"/>
    <mergeCell ref="C222:F222"/>
    <mergeCell ref="C223:F223"/>
    <mergeCell ref="C208:F208"/>
    <mergeCell ref="C209:F209"/>
    <mergeCell ref="C210:F210"/>
    <mergeCell ref="C211:F211"/>
    <mergeCell ref="C212:F212"/>
    <mergeCell ref="C213:F213"/>
    <mergeCell ref="C207:F207"/>
    <mergeCell ref="C206:F206"/>
    <mergeCell ref="C174:F174"/>
    <mergeCell ref="C175:F175"/>
    <mergeCell ref="C177:F177"/>
    <mergeCell ref="C185:E185"/>
    <mergeCell ref="C203:E203"/>
    <mergeCell ref="C205:F205"/>
    <mergeCell ref="C166:F166"/>
    <mergeCell ref="C167:F167"/>
    <mergeCell ref="C170:F170"/>
    <mergeCell ref="C171:F171"/>
    <mergeCell ref="C172:F172"/>
    <mergeCell ref="C173:F173"/>
    <mergeCell ref="C160:F160"/>
    <mergeCell ref="C161:F161"/>
    <mergeCell ref="C162:F162"/>
    <mergeCell ref="C163:F163"/>
    <mergeCell ref="C164:F164"/>
    <mergeCell ref="C165:F165"/>
    <mergeCell ref="A155:F155"/>
    <mergeCell ref="C156:F156"/>
    <mergeCell ref="C157:F157"/>
    <mergeCell ref="C158:F158"/>
    <mergeCell ref="C159:F159"/>
    <mergeCell ref="H153:H154"/>
    <mergeCell ref="I153:I154"/>
    <mergeCell ref="J153:J154"/>
    <mergeCell ref="K153:K154"/>
    <mergeCell ref="J69:J73"/>
    <mergeCell ref="K69:K73"/>
    <mergeCell ref="C75:F75"/>
    <mergeCell ref="A149:J149"/>
    <mergeCell ref="A150:J150"/>
    <mergeCell ref="A153:F154"/>
    <mergeCell ref="A69:F73"/>
    <mergeCell ref="G69:G73"/>
    <mergeCell ref="I69:I73"/>
    <mergeCell ref="A16:F16"/>
    <mergeCell ref="D49:F49"/>
    <mergeCell ref="D51:F51"/>
    <mergeCell ref="D52:F52"/>
    <mergeCell ref="D55:F55"/>
    <mergeCell ref="D57:F57"/>
    <mergeCell ref="K6:K10"/>
    <mergeCell ref="A11:F11"/>
    <mergeCell ref="C12:F12"/>
    <mergeCell ref="C13:F13"/>
    <mergeCell ref="C14:F14"/>
    <mergeCell ref="A15:F15"/>
    <mergeCell ref="A3:J3"/>
    <mergeCell ref="A4:J4"/>
    <mergeCell ref="A6:F10"/>
    <mergeCell ref="G6:G10"/>
    <mergeCell ref="I6:I10"/>
    <mergeCell ref="J6:J10"/>
  </mergeCells>
  <pageMargins left="0.43307086614173229" right="0.15748031496062992" top="0.70866141732283472" bottom="1.5748031496062993" header="0.31496062992125984" footer="0.31496062992125984"/>
  <pageSetup paperSize="5" scale="65" orientation="portrait" horizont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51"/>
  <sheetViews>
    <sheetView view="pageBreakPreview" topLeftCell="A935" zoomScale="110" zoomScaleNormal="100" zoomScaleSheetLayoutView="110" workbookViewId="0">
      <selection activeCell="K985" sqref="K985"/>
    </sheetView>
  </sheetViews>
  <sheetFormatPr defaultRowHeight="15.75" x14ac:dyDescent="0.25"/>
  <cols>
    <col min="1" max="1" width="22.42578125" style="8" customWidth="1"/>
    <col min="2" max="2" width="18.42578125" style="8" customWidth="1"/>
    <col min="3" max="3" width="18.7109375" style="9" customWidth="1"/>
    <col min="4" max="4" width="38.42578125" style="8" customWidth="1"/>
    <col min="5" max="5" width="5.140625" style="8" customWidth="1"/>
    <col min="6" max="6" width="5.28515625" style="8" customWidth="1"/>
    <col min="7" max="7" width="16" style="8" hidden="1" customWidth="1"/>
    <col min="8" max="8" width="20.28515625" style="4" hidden="1" customWidth="1"/>
    <col min="9" max="10" width="18.28515625" style="4" hidden="1" customWidth="1"/>
    <col min="11" max="11" width="18.28515625" style="5" customWidth="1"/>
    <col min="12" max="12" width="19.140625" style="10" customWidth="1"/>
  </cols>
  <sheetData>
    <row r="1" spans="1:12" s="48" customFormat="1" ht="17.45" customHeight="1" x14ac:dyDescent="0.25">
      <c r="A1" s="1134"/>
      <c r="B1" s="1111"/>
      <c r="C1" s="1621"/>
      <c r="D1" s="1666"/>
      <c r="E1" s="1666"/>
      <c r="F1" s="1666"/>
      <c r="G1" s="97"/>
      <c r="H1" s="98"/>
      <c r="I1" s="98"/>
      <c r="J1" s="98"/>
      <c r="K1" s="99"/>
      <c r="L1" s="6"/>
    </row>
    <row r="2" spans="1:12" s="48" customFormat="1" ht="17.45" customHeight="1" x14ac:dyDescent="0.25">
      <c r="A2" s="652" t="s">
        <v>201</v>
      </c>
      <c r="B2" s="1305" t="s">
        <v>1388</v>
      </c>
      <c r="C2" s="1306" t="s">
        <v>1986</v>
      </c>
      <c r="D2" s="1306"/>
      <c r="E2" s="1306"/>
      <c r="F2" s="1306"/>
      <c r="G2" s="134"/>
      <c r="H2" s="101"/>
      <c r="I2" s="101">
        <v>50000</v>
      </c>
      <c r="J2" s="101">
        <v>50000</v>
      </c>
      <c r="K2" s="102">
        <v>50000</v>
      </c>
      <c r="L2" s="6"/>
    </row>
    <row r="3" spans="1:12" s="48" customFormat="1" ht="17.45" customHeight="1" x14ac:dyDescent="0.25">
      <c r="A3" s="1306" t="s">
        <v>201</v>
      </c>
      <c r="B3" s="1305" t="s">
        <v>1388</v>
      </c>
      <c r="C3" s="225" t="s">
        <v>1607</v>
      </c>
      <c r="D3" s="652"/>
      <c r="E3" s="192"/>
      <c r="F3" s="192"/>
      <c r="G3" s="1177"/>
      <c r="H3" s="102"/>
      <c r="I3" s="102">
        <v>777600</v>
      </c>
      <c r="J3" s="102">
        <v>777600</v>
      </c>
      <c r="K3" s="102">
        <v>777600</v>
      </c>
      <c r="L3" s="6"/>
    </row>
    <row r="4" spans="1:12" s="48" customFormat="1" ht="17.45" customHeight="1" x14ac:dyDescent="0.25">
      <c r="A4" s="1309" t="s">
        <v>201</v>
      </c>
      <c r="B4" s="1305" t="s">
        <v>1388</v>
      </c>
      <c r="C4" s="1318" t="s">
        <v>1608</v>
      </c>
      <c r="D4" s="125"/>
      <c r="E4" s="125"/>
      <c r="F4" s="125"/>
      <c r="G4" s="716"/>
      <c r="H4" s="101"/>
      <c r="I4" s="101">
        <v>600000</v>
      </c>
      <c r="J4" s="101">
        <v>600000</v>
      </c>
      <c r="K4" s="102">
        <v>600000</v>
      </c>
      <c r="L4" s="6"/>
    </row>
    <row r="5" spans="1:12" s="48" customFormat="1" ht="17.45" customHeight="1" x14ac:dyDescent="0.25">
      <c r="A5" s="1305" t="s">
        <v>201</v>
      </c>
      <c r="B5" s="1305" t="s">
        <v>1388</v>
      </c>
      <c r="C5" s="1306" t="s">
        <v>203</v>
      </c>
      <c r="D5" s="1309"/>
      <c r="E5" s="1309"/>
      <c r="F5" s="1309"/>
      <c r="G5" s="134"/>
      <c r="H5" s="101"/>
      <c r="I5" s="101">
        <v>80000</v>
      </c>
      <c r="J5" s="101"/>
      <c r="K5" s="102">
        <v>80000</v>
      </c>
      <c r="L5" s="6"/>
    </row>
    <row r="6" spans="1:12" s="48" customFormat="1" ht="17.45" customHeight="1" x14ac:dyDescent="0.25">
      <c r="A6" s="1305" t="s">
        <v>201</v>
      </c>
      <c r="B6" s="1305" t="s">
        <v>1388</v>
      </c>
      <c r="C6" s="1306" t="s">
        <v>203</v>
      </c>
      <c r="D6" s="1306"/>
      <c r="E6" s="1306"/>
      <c r="F6" s="1306"/>
      <c r="G6" s="134"/>
      <c r="H6" s="101"/>
      <c r="I6" s="101">
        <v>100000</v>
      </c>
      <c r="J6" s="101">
        <v>100000</v>
      </c>
      <c r="K6" s="102">
        <v>100000</v>
      </c>
      <c r="L6" s="6"/>
    </row>
    <row r="7" spans="1:12" s="48" customFormat="1" ht="17.45" customHeight="1" x14ac:dyDescent="0.25">
      <c r="A7" s="1307" t="s">
        <v>201</v>
      </c>
      <c r="B7" s="1305" t="s">
        <v>1388</v>
      </c>
      <c r="C7" s="1306" t="s">
        <v>1988</v>
      </c>
      <c r="D7" s="1309"/>
      <c r="E7" s="1309"/>
      <c r="F7" s="1309"/>
      <c r="G7" s="134"/>
      <c r="H7" s="101"/>
      <c r="I7" s="101">
        <v>170000</v>
      </c>
      <c r="J7" s="101">
        <v>170000</v>
      </c>
      <c r="K7" s="102">
        <v>170000</v>
      </c>
      <c r="L7" s="6"/>
    </row>
    <row r="8" spans="1:12" s="48" customFormat="1" ht="17.45" customHeight="1" x14ac:dyDescent="0.25">
      <c r="A8" s="1305" t="s">
        <v>201</v>
      </c>
      <c r="B8" s="1305" t="s">
        <v>1388</v>
      </c>
      <c r="C8" s="1306" t="s">
        <v>1984</v>
      </c>
      <c r="D8" s="1309"/>
      <c r="E8" s="1309"/>
      <c r="F8" s="1309"/>
      <c r="G8" s="377"/>
      <c r="H8" s="101"/>
      <c r="I8" s="101">
        <v>60000</v>
      </c>
      <c r="J8" s="101">
        <v>60000</v>
      </c>
      <c r="K8" s="102">
        <v>60000</v>
      </c>
      <c r="L8" s="6"/>
    </row>
    <row r="9" spans="1:12" s="48" customFormat="1" ht="17.45" customHeight="1" x14ac:dyDescent="0.25">
      <c r="A9" s="1305" t="s">
        <v>201</v>
      </c>
      <c r="B9" s="1305" t="s">
        <v>1388</v>
      </c>
      <c r="C9" s="125" t="s">
        <v>1982</v>
      </c>
      <c r="D9" s="113"/>
      <c r="E9" s="1309"/>
      <c r="F9" s="1309"/>
      <c r="G9" s="377"/>
      <c r="H9" s="101"/>
      <c r="I9" s="101">
        <v>176000</v>
      </c>
      <c r="J9" s="101">
        <v>176000</v>
      </c>
      <c r="K9" s="102">
        <v>176000</v>
      </c>
      <c r="L9" s="6"/>
    </row>
    <row r="10" spans="1:12" s="48" customFormat="1" ht="17.45" customHeight="1" x14ac:dyDescent="0.25">
      <c r="A10" s="1306" t="s">
        <v>201</v>
      </c>
      <c r="B10" s="1305" t="s">
        <v>1388</v>
      </c>
      <c r="C10" s="1306" t="s">
        <v>1983</v>
      </c>
      <c r="D10" s="1309"/>
      <c r="E10" s="1309"/>
      <c r="F10" s="1309"/>
      <c r="G10" s="377"/>
      <c r="H10" s="101"/>
      <c r="I10" s="101">
        <v>172000</v>
      </c>
      <c r="J10" s="101">
        <v>86000</v>
      </c>
      <c r="K10" s="102">
        <v>86000</v>
      </c>
      <c r="L10" s="6"/>
    </row>
    <row r="11" spans="1:12" s="48" customFormat="1" ht="17.45" customHeight="1" x14ac:dyDescent="0.25">
      <c r="A11" s="1305" t="s">
        <v>201</v>
      </c>
      <c r="B11" s="1305" t="s">
        <v>1388</v>
      </c>
      <c r="C11" s="1306" t="s">
        <v>516</v>
      </c>
      <c r="D11" s="1309"/>
      <c r="E11" s="1309"/>
      <c r="F11" s="1309"/>
      <c r="G11" s="134"/>
      <c r="H11" s="101"/>
      <c r="I11" s="101">
        <v>200000</v>
      </c>
      <c r="J11" s="101">
        <v>200000</v>
      </c>
      <c r="K11" s="102">
        <v>200000</v>
      </c>
      <c r="L11" s="6"/>
    </row>
    <row r="12" spans="1:12" s="48" customFormat="1" ht="17.45" customHeight="1" x14ac:dyDescent="0.25">
      <c r="A12" s="1306" t="s">
        <v>201</v>
      </c>
      <c r="B12" s="1305" t="s">
        <v>1388</v>
      </c>
      <c r="C12" s="180" t="s">
        <v>1719</v>
      </c>
      <c r="D12" s="1317"/>
      <c r="E12" s="609"/>
      <c r="F12" s="609"/>
      <c r="G12" s="716"/>
      <c r="H12" s="101"/>
      <c r="I12" s="101">
        <v>400000</v>
      </c>
      <c r="J12" s="101">
        <v>400000</v>
      </c>
      <c r="K12" s="102">
        <v>400000</v>
      </c>
      <c r="L12" s="6"/>
    </row>
    <row r="13" spans="1:12" s="48" customFormat="1" ht="17.45" customHeight="1" x14ac:dyDescent="0.25">
      <c r="A13" s="1306"/>
      <c r="B13" s="1305"/>
      <c r="C13" s="1306"/>
      <c r="D13" s="1309"/>
      <c r="E13" s="1309"/>
      <c r="F13" s="1309"/>
      <c r="G13" s="134"/>
      <c r="H13" s="101"/>
      <c r="I13" s="101"/>
      <c r="J13" s="101"/>
      <c r="K13" s="102"/>
      <c r="L13" s="6"/>
    </row>
    <row r="14" spans="1:12" s="48" customFormat="1" ht="17.45" customHeight="1" x14ac:dyDescent="0.25">
      <c r="A14" s="1305" t="s">
        <v>201</v>
      </c>
      <c r="B14" s="1305" t="s">
        <v>1317</v>
      </c>
      <c r="C14" s="1306" t="s">
        <v>1617</v>
      </c>
      <c r="D14" s="1309"/>
      <c r="E14" s="1309"/>
      <c r="F14" s="1309"/>
      <c r="G14" s="134"/>
      <c r="H14" s="101"/>
      <c r="I14" s="101"/>
      <c r="J14" s="101"/>
      <c r="K14" s="102">
        <v>1000000</v>
      </c>
      <c r="L14" s="6"/>
    </row>
    <row r="15" spans="1:12" s="48" customFormat="1" ht="17.45" customHeight="1" x14ac:dyDescent="0.25">
      <c r="A15" s="1305" t="s">
        <v>201</v>
      </c>
      <c r="B15" s="1305" t="s">
        <v>1317</v>
      </c>
      <c r="C15" s="1306" t="s">
        <v>1644</v>
      </c>
      <c r="D15" s="1306"/>
      <c r="E15" s="1306"/>
      <c r="F15" s="1306"/>
      <c r="G15" s="134"/>
      <c r="H15" s="101"/>
      <c r="I15" s="101">
        <v>100000</v>
      </c>
      <c r="J15" s="101"/>
      <c r="K15" s="102">
        <v>100000</v>
      </c>
      <c r="L15" s="6"/>
    </row>
    <row r="16" spans="1:12" s="48" customFormat="1" ht="17.45" customHeight="1" x14ac:dyDescent="0.25">
      <c r="A16" s="1305" t="s">
        <v>201</v>
      </c>
      <c r="B16" s="1305" t="s">
        <v>1317</v>
      </c>
      <c r="C16" s="38" t="s">
        <v>1632</v>
      </c>
      <c r="D16" s="199"/>
      <c r="E16" s="1305"/>
      <c r="F16" s="1305"/>
      <c r="G16" s="716"/>
      <c r="H16" s="101"/>
      <c r="I16" s="101">
        <v>300000</v>
      </c>
      <c r="J16" s="101">
        <v>300000</v>
      </c>
      <c r="K16" s="102">
        <v>300000</v>
      </c>
      <c r="L16" s="6"/>
    </row>
    <row r="17" spans="1:12" s="48" customFormat="1" ht="17.45" customHeight="1" x14ac:dyDescent="0.25">
      <c r="A17" s="1306" t="s">
        <v>201</v>
      </c>
      <c r="B17" s="1305" t="s">
        <v>1317</v>
      </c>
      <c r="C17" s="1310" t="s">
        <v>1643</v>
      </c>
      <c r="D17" s="113"/>
      <c r="E17" s="1305"/>
      <c r="F17" s="1305"/>
      <c r="G17" s="716"/>
      <c r="H17" s="101"/>
      <c r="I17" s="101">
        <v>51000000</v>
      </c>
      <c r="J17" s="101">
        <v>51000000</v>
      </c>
      <c r="K17" s="102">
        <v>40000000</v>
      </c>
      <c r="L17" s="6"/>
    </row>
    <row r="18" spans="1:12" s="48" customFormat="1" ht="17.45" customHeight="1" x14ac:dyDescent="0.25">
      <c r="A18" s="1306" t="s">
        <v>201</v>
      </c>
      <c r="B18" s="1305" t="s">
        <v>1317</v>
      </c>
      <c r="C18" s="1306" t="s">
        <v>204</v>
      </c>
      <c r="D18" s="1305"/>
      <c r="E18" s="1305"/>
      <c r="F18" s="1305"/>
      <c r="G18" s="134"/>
      <c r="H18" s="102"/>
      <c r="I18" s="102"/>
      <c r="J18" s="102">
        <v>100000</v>
      </c>
      <c r="K18" s="102">
        <v>100000</v>
      </c>
      <c r="L18" s="6"/>
    </row>
    <row r="19" spans="1:12" s="48" customFormat="1" ht="17.45" customHeight="1" x14ac:dyDescent="0.25">
      <c r="A19" s="1305" t="s">
        <v>201</v>
      </c>
      <c r="B19" s="1305" t="s">
        <v>1317</v>
      </c>
      <c r="C19" s="1306" t="s">
        <v>1639</v>
      </c>
      <c r="D19" s="1305"/>
      <c r="E19" s="1305"/>
      <c r="F19" s="1305"/>
      <c r="G19" s="134"/>
      <c r="H19" s="101"/>
      <c r="I19" s="101">
        <v>800000</v>
      </c>
      <c r="J19" s="101"/>
      <c r="K19" s="102">
        <v>800000</v>
      </c>
      <c r="L19" s="6"/>
    </row>
    <row r="20" spans="1:12" s="48" customFormat="1" ht="17.45" customHeight="1" x14ac:dyDescent="0.25">
      <c r="A20" s="1305" t="s">
        <v>201</v>
      </c>
      <c r="B20" s="1305" t="s">
        <v>1317</v>
      </c>
      <c r="C20" s="180" t="s">
        <v>1638</v>
      </c>
      <c r="D20" s="427"/>
      <c r="E20" s="427"/>
      <c r="F20" s="1307"/>
      <c r="G20" s="1177"/>
      <c r="H20" s="105"/>
      <c r="I20" s="105">
        <v>2200000</v>
      </c>
      <c r="J20" s="105">
        <v>2200000</v>
      </c>
      <c r="K20" s="106">
        <v>2200000</v>
      </c>
      <c r="L20" s="6"/>
    </row>
    <row r="21" spans="1:12" s="48" customFormat="1" ht="17.45" customHeight="1" x14ac:dyDescent="0.25">
      <c r="A21" s="1305"/>
      <c r="B21" s="1305"/>
      <c r="C21" s="1306"/>
      <c r="D21" s="1309"/>
      <c r="E21" s="1309"/>
      <c r="F21" s="1309"/>
      <c r="G21" s="134"/>
      <c r="H21" s="101"/>
      <c r="I21" s="101"/>
      <c r="J21" s="101"/>
      <c r="K21" s="102"/>
      <c r="L21" s="6"/>
    </row>
    <row r="22" spans="1:12" s="48" customFormat="1" ht="17.45" customHeight="1" x14ac:dyDescent="0.25">
      <c r="A22" s="1305" t="s">
        <v>163</v>
      </c>
      <c r="B22" s="1305" t="s">
        <v>1388</v>
      </c>
      <c r="C22" s="44" t="s">
        <v>1299</v>
      </c>
      <c r="D22" s="125"/>
      <c r="E22" s="125"/>
      <c r="F22" s="1306"/>
      <c r="G22" s="716" t="s">
        <v>427</v>
      </c>
      <c r="H22" s="101"/>
      <c r="I22" s="101">
        <v>401800</v>
      </c>
      <c r="J22" s="101">
        <v>401800</v>
      </c>
      <c r="K22" s="102">
        <v>401800</v>
      </c>
      <c r="L22" s="6"/>
    </row>
    <row r="23" spans="1:12" s="48" customFormat="1" ht="17.45" customHeight="1" x14ac:dyDescent="0.25">
      <c r="A23" s="1305" t="s">
        <v>163</v>
      </c>
      <c r="B23" s="1305" t="s">
        <v>1388</v>
      </c>
      <c r="C23" s="180" t="s">
        <v>1701</v>
      </c>
      <c r="D23" s="1317"/>
      <c r="E23" s="1317"/>
      <c r="F23" s="199"/>
      <c r="G23" s="716"/>
      <c r="H23" s="101"/>
      <c r="I23" s="101">
        <v>500000</v>
      </c>
      <c r="J23" s="101">
        <v>500000</v>
      </c>
      <c r="K23" s="102">
        <v>500000</v>
      </c>
      <c r="L23" s="6"/>
    </row>
    <row r="24" spans="1:12" s="48" customFormat="1" ht="17.45" customHeight="1" x14ac:dyDescent="0.25">
      <c r="A24" s="1305" t="s">
        <v>163</v>
      </c>
      <c r="B24" s="1305" t="s">
        <v>1388</v>
      </c>
      <c r="C24" s="44" t="s">
        <v>384</v>
      </c>
      <c r="D24" s="125"/>
      <c r="E24" s="125"/>
      <c r="F24" s="125"/>
      <c r="G24" s="716" t="s">
        <v>385</v>
      </c>
      <c r="H24" s="101"/>
      <c r="I24" s="101">
        <v>3000000</v>
      </c>
      <c r="J24" s="101">
        <v>3000000</v>
      </c>
      <c r="K24" s="102">
        <v>3000000</v>
      </c>
      <c r="L24" s="6"/>
    </row>
    <row r="25" spans="1:12" s="48" customFormat="1" ht="17.45" customHeight="1" x14ac:dyDescent="0.25">
      <c r="A25" s="1305" t="s">
        <v>163</v>
      </c>
      <c r="B25" s="1305" t="s">
        <v>1388</v>
      </c>
      <c r="C25" s="44" t="s">
        <v>384</v>
      </c>
      <c r="D25" s="125"/>
      <c r="E25" s="125"/>
      <c r="F25" s="125"/>
      <c r="G25" s="716" t="s">
        <v>1285</v>
      </c>
      <c r="H25" s="101"/>
      <c r="I25" s="101">
        <v>50000</v>
      </c>
      <c r="J25" s="101">
        <v>50000</v>
      </c>
      <c r="K25" s="102">
        <v>50000</v>
      </c>
      <c r="L25" s="6">
        <f>SUM(K24:K25)</f>
        <v>3050000</v>
      </c>
    </row>
    <row r="26" spans="1:12" s="48" customFormat="1" ht="17.45" customHeight="1" x14ac:dyDescent="0.25">
      <c r="A26" s="1305" t="s">
        <v>163</v>
      </c>
      <c r="B26" s="1305" t="s">
        <v>1388</v>
      </c>
      <c r="C26" s="44" t="s">
        <v>172</v>
      </c>
      <c r="D26" s="125"/>
      <c r="E26" s="125"/>
      <c r="F26" s="125"/>
      <c r="G26" s="716" t="s">
        <v>173</v>
      </c>
      <c r="H26" s="101"/>
      <c r="I26" s="101">
        <v>2507520</v>
      </c>
      <c r="J26" s="101">
        <v>2507520</v>
      </c>
      <c r="K26" s="102">
        <v>2507520</v>
      </c>
      <c r="L26" s="6"/>
    </row>
    <row r="27" spans="1:12" s="48" customFormat="1" ht="17.45" customHeight="1" x14ac:dyDescent="0.25">
      <c r="A27" s="1305" t="s">
        <v>163</v>
      </c>
      <c r="B27" s="1305" t="s">
        <v>1388</v>
      </c>
      <c r="C27" s="44" t="s">
        <v>172</v>
      </c>
      <c r="D27" s="125"/>
      <c r="E27" s="125"/>
      <c r="F27" s="125"/>
      <c r="G27" s="716" t="s">
        <v>173</v>
      </c>
      <c r="H27" s="101"/>
      <c r="I27" s="101">
        <v>600000</v>
      </c>
      <c r="J27" s="101">
        <v>600000</v>
      </c>
      <c r="K27" s="102">
        <v>600000</v>
      </c>
      <c r="L27" s="6"/>
    </row>
    <row r="28" spans="1:12" s="48" customFormat="1" ht="17.45" customHeight="1" x14ac:dyDescent="0.25">
      <c r="A28" s="1305" t="s">
        <v>163</v>
      </c>
      <c r="B28" s="1305" t="s">
        <v>1388</v>
      </c>
      <c r="C28" s="44" t="s">
        <v>172</v>
      </c>
      <c r="D28" s="125"/>
      <c r="E28" s="125"/>
      <c r="F28" s="125"/>
      <c r="G28" s="716" t="s">
        <v>173</v>
      </c>
      <c r="H28" s="101"/>
      <c r="I28" s="101">
        <v>26000</v>
      </c>
      <c r="J28" s="101">
        <v>26000</v>
      </c>
      <c r="K28" s="102">
        <v>26000</v>
      </c>
      <c r="L28" s="6">
        <f>SUM(K26:K28)</f>
        <v>3133520</v>
      </c>
    </row>
    <row r="29" spans="1:12" s="1155" customFormat="1" ht="18.75" customHeight="1" x14ac:dyDescent="0.25">
      <c r="A29" s="1305" t="s">
        <v>163</v>
      </c>
      <c r="B29" s="1305" t="s">
        <v>1388</v>
      </c>
      <c r="C29" s="44" t="s">
        <v>182</v>
      </c>
      <c r="D29" s="113"/>
      <c r="E29" s="113"/>
      <c r="F29" s="113"/>
      <c r="G29" s="143" t="s">
        <v>183</v>
      </c>
      <c r="H29" s="101"/>
      <c r="I29" s="101">
        <v>30000</v>
      </c>
      <c r="J29" s="101">
        <v>30000</v>
      </c>
      <c r="K29" s="102">
        <v>30000</v>
      </c>
      <c r="L29" s="193"/>
    </row>
    <row r="30" spans="1:12" s="48" customFormat="1" ht="17.45" customHeight="1" x14ac:dyDescent="0.25">
      <c r="A30" s="1305" t="s">
        <v>163</v>
      </c>
      <c r="B30" s="1305" t="s">
        <v>1388</v>
      </c>
      <c r="C30" s="44" t="s">
        <v>567</v>
      </c>
      <c r="D30" s="125"/>
      <c r="E30" s="125"/>
      <c r="F30" s="125"/>
      <c r="G30" s="143" t="s">
        <v>179</v>
      </c>
      <c r="H30" s="102"/>
      <c r="I30" s="102">
        <v>60000</v>
      </c>
      <c r="J30" s="102">
        <v>60000</v>
      </c>
      <c r="K30" s="102">
        <v>60000</v>
      </c>
      <c r="L30" s="6"/>
    </row>
    <row r="31" spans="1:12" s="48" customFormat="1" ht="17.45" customHeight="1" x14ac:dyDescent="0.25">
      <c r="A31" s="1305" t="s">
        <v>163</v>
      </c>
      <c r="B31" s="1305" t="s">
        <v>1388</v>
      </c>
      <c r="C31" s="44" t="s">
        <v>182</v>
      </c>
      <c r="D31" s="125"/>
      <c r="E31" s="125"/>
      <c r="F31" s="125"/>
      <c r="G31" s="716" t="s">
        <v>183</v>
      </c>
      <c r="H31" s="101"/>
      <c r="I31" s="101">
        <v>42000</v>
      </c>
      <c r="J31" s="101">
        <v>42000</v>
      </c>
      <c r="K31" s="102">
        <v>42000</v>
      </c>
      <c r="L31" s="6"/>
    </row>
    <row r="32" spans="1:12" s="48" customFormat="1" ht="17.45" customHeight="1" x14ac:dyDescent="0.25">
      <c r="A32" s="1305" t="s">
        <v>163</v>
      </c>
      <c r="B32" s="1305" t="s">
        <v>1388</v>
      </c>
      <c r="C32" s="44" t="s">
        <v>182</v>
      </c>
      <c r="D32" s="125"/>
      <c r="E32" s="125"/>
      <c r="F32" s="125"/>
      <c r="G32" s="716" t="s">
        <v>183</v>
      </c>
      <c r="H32" s="101"/>
      <c r="I32" s="101">
        <v>42000</v>
      </c>
      <c r="J32" s="101">
        <v>42000</v>
      </c>
      <c r="K32" s="102">
        <v>42000</v>
      </c>
      <c r="L32" s="6">
        <f>SUM(K29:K32)</f>
        <v>174000</v>
      </c>
    </row>
    <row r="33" spans="1:12" s="48" customFormat="1" ht="17.45" customHeight="1" x14ac:dyDescent="0.25">
      <c r="A33" s="1305" t="s">
        <v>163</v>
      </c>
      <c r="B33" s="1305" t="s">
        <v>1388</v>
      </c>
      <c r="C33" s="44" t="s">
        <v>168</v>
      </c>
      <c r="D33" s="113"/>
      <c r="E33" s="113"/>
      <c r="F33" s="113"/>
      <c r="G33" s="143" t="s">
        <v>169</v>
      </c>
      <c r="H33" s="101"/>
      <c r="I33" s="101">
        <v>103538</v>
      </c>
      <c r="J33" s="101">
        <v>103538</v>
      </c>
      <c r="K33" s="102">
        <v>70000</v>
      </c>
      <c r="L33" s="6"/>
    </row>
    <row r="34" spans="1:12" s="48" customFormat="1" ht="17.45" customHeight="1" x14ac:dyDescent="0.25">
      <c r="A34" s="1305" t="s">
        <v>163</v>
      </c>
      <c r="B34" s="1305" t="s">
        <v>1388</v>
      </c>
      <c r="C34" s="44" t="s">
        <v>168</v>
      </c>
      <c r="D34" s="113"/>
      <c r="E34" s="113"/>
      <c r="F34" s="113"/>
      <c r="G34" s="143" t="s">
        <v>169</v>
      </c>
      <c r="H34" s="101"/>
      <c r="I34" s="101">
        <v>28090.5</v>
      </c>
      <c r="J34" s="101">
        <v>28090.5</v>
      </c>
      <c r="K34" s="102">
        <v>28090.5</v>
      </c>
      <c r="L34" s="6"/>
    </row>
    <row r="35" spans="1:12" s="48" customFormat="1" ht="17.45" customHeight="1" x14ac:dyDescent="0.25">
      <c r="A35" s="1305" t="s">
        <v>163</v>
      </c>
      <c r="B35" s="1305" t="s">
        <v>1388</v>
      </c>
      <c r="C35" s="44" t="s">
        <v>168</v>
      </c>
      <c r="D35" s="125"/>
      <c r="E35" s="125"/>
      <c r="F35" s="125"/>
      <c r="G35" s="143" t="s">
        <v>169</v>
      </c>
      <c r="H35" s="102"/>
      <c r="I35" s="102">
        <v>1490166</v>
      </c>
      <c r="J35" s="102">
        <v>1490166</v>
      </c>
      <c r="K35" s="102">
        <v>1490166</v>
      </c>
      <c r="L35" s="6"/>
    </row>
    <row r="36" spans="1:12" s="48" customFormat="1" ht="17.45" customHeight="1" x14ac:dyDescent="0.25">
      <c r="A36" s="1306" t="s">
        <v>163</v>
      </c>
      <c r="B36" s="1305" t="s">
        <v>1388</v>
      </c>
      <c r="C36" s="44" t="s">
        <v>168</v>
      </c>
      <c r="D36" s="113"/>
      <c r="E36" s="113"/>
      <c r="F36" s="113"/>
      <c r="G36" s="143" t="s">
        <v>169</v>
      </c>
      <c r="H36" s="101"/>
      <c r="I36" s="101">
        <v>200000</v>
      </c>
      <c r="J36" s="101">
        <v>200000</v>
      </c>
      <c r="K36" s="102">
        <v>200000</v>
      </c>
      <c r="L36" s="6"/>
    </row>
    <row r="37" spans="1:12" s="48" customFormat="1" ht="17.45" customHeight="1" x14ac:dyDescent="0.25">
      <c r="A37" s="1306" t="s">
        <v>163</v>
      </c>
      <c r="B37" s="1305" t="s">
        <v>1388</v>
      </c>
      <c r="C37" s="44" t="s">
        <v>555</v>
      </c>
      <c r="D37" s="113"/>
      <c r="E37" s="113"/>
      <c r="F37" s="113"/>
      <c r="G37" s="143" t="s">
        <v>169</v>
      </c>
      <c r="H37" s="101"/>
      <c r="I37" s="101">
        <v>285834.5</v>
      </c>
      <c r="J37" s="101">
        <v>285834.5</v>
      </c>
      <c r="K37" s="102">
        <v>285834.5</v>
      </c>
      <c r="L37" s="6"/>
    </row>
    <row r="38" spans="1:12" s="48" customFormat="1" ht="17.45" customHeight="1" x14ac:dyDescent="0.25">
      <c r="A38" s="1306" t="s">
        <v>163</v>
      </c>
      <c r="B38" s="1305" t="s">
        <v>1388</v>
      </c>
      <c r="C38" s="44" t="s">
        <v>555</v>
      </c>
      <c r="D38" s="125"/>
      <c r="E38" s="125"/>
      <c r="F38" s="125"/>
      <c r="G38" s="143" t="s">
        <v>169</v>
      </c>
      <c r="H38" s="101"/>
      <c r="I38" s="101">
        <v>179814</v>
      </c>
      <c r="J38" s="101">
        <v>179814</v>
      </c>
      <c r="K38" s="102">
        <v>179814</v>
      </c>
      <c r="L38" s="6"/>
    </row>
    <row r="39" spans="1:12" s="48" customFormat="1" ht="17.45" customHeight="1" x14ac:dyDescent="0.25">
      <c r="A39" s="1306" t="s">
        <v>163</v>
      </c>
      <c r="B39" s="1305" t="s">
        <v>1388</v>
      </c>
      <c r="C39" s="44" t="s">
        <v>168</v>
      </c>
      <c r="D39" s="125"/>
      <c r="E39" s="125"/>
      <c r="F39" s="125"/>
      <c r="G39" s="716" t="s">
        <v>169</v>
      </c>
      <c r="H39" s="101"/>
      <c r="I39" s="101">
        <v>95183.5</v>
      </c>
      <c r="J39" s="101">
        <v>95183.5</v>
      </c>
      <c r="K39" s="102">
        <v>95183.5</v>
      </c>
      <c r="L39" s="6"/>
    </row>
    <row r="40" spans="1:12" s="203" customFormat="1" ht="18" x14ac:dyDescent="0.25">
      <c r="A40" s="1306" t="s">
        <v>163</v>
      </c>
      <c r="B40" s="1305" t="s">
        <v>1388</v>
      </c>
      <c r="C40" s="44" t="s">
        <v>168</v>
      </c>
      <c r="D40" s="125"/>
      <c r="E40" s="125"/>
      <c r="F40" s="125"/>
      <c r="G40" s="716" t="s">
        <v>169</v>
      </c>
      <c r="H40" s="101"/>
      <c r="I40" s="101">
        <v>55000</v>
      </c>
      <c r="J40" s="101">
        <v>55000</v>
      </c>
      <c r="K40" s="102">
        <v>55000</v>
      </c>
      <c r="L40" s="10"/>
    </row>
    <row r="41" spans="1:12" ht="16.5" customHeight="1" x14ac:dyDescent="0.25">
      <c r="A41" s="1306" t="s">
        <v>163</v>
      </c>
      <c r="B41" s="1305" t="s">
        <v>1388</v>
      </c>
      <c r="C41" s="44" t="s">
        <v>168</v>
      </c>
      <c r="D41" s="125"/>
      <c r="E41" s="125"/>
      <c r="F41" s="125"/>
      <c r="G41" s="716" t="s">
        <v>169</v>
      </c>
      <c r="H41" s="101"/>
      <c r="I41" s="101">
        <v>142839</v>
      </c>
      <c r="J41" s="101">
        <v>142839</v>
      </c>
      <c r="K41" s="102">
        <v>142839</v>
      </c>
      <c r="L41" s="10">
        <f>SUM(K33:K41)</f>
        <v>2546927.5</v>
      </c>
    </row>
    <row r="42" spans="1:12" ht="16.5" customHeight="1" x14ac:dyDescent="0.25">
      <c r="A42" s="1306" t="s">
        <v>163</v>
      </c>
      <c r="B42" s="1305" t="s">
        <v>1388</v>
      </c>
      <c r="C42" s="44" t="s">
        <v>198</v>
      </c>
      <c r="D42" s="125"/>
      <c r="E42" s="125"/>
      <c r="F42" s="125"/>
      <c r="G42" s="143" t="s">
        <v>199</v>
      </c>
      <c r="H42" s="101"/>
      <c r="I42" s="101">
        <v>2337564.64</v>
      </c>
      <c r="J42" s="101">
        <v>2337564.64</v>
      </c>
      <c r="K42" s="102">
        <v>2337564.64</v>
      </c>
    </row>
    <row r="43" spans="1:12" ht="16.5" customHeight="1" x14ac:dyDescent="0.25">
      <c r="A43" s="1306" t="s">
        <v>163</v>
      </c>
      <c r="B43" s="1305" t="s">
        <v>1388</v>
      </c>
      <c r="C43" s="44" t="s">
        <v>198</v>
      </c>
      <c r="D43" s="170"/>
      <c r="E43" s="170"/>
      <c r="F43" s="170"/>
      <c r="G43" s="1333" t="s">
        <v>199</v>
      </c>
      <c r="H43" s="102"/>
      <c r="I43" s="102">
        <v>600000</v>
      </c>
      <c r="J43" s="102">
        <v>600000</v>
      </c>
      <c r="K43" s="102">
        <v>600000</v>
      </c>
    </row>
    <row r="44" spans="1:12" ht="21.75" customHeight="1" x14ac:dyDescent="0.25">
      <c r="A44" s="1305" t="s">
        <v>163</v>
      </c>
      <c r="B44" s="1305" t="s">
        <v>1388</v>
      </c>
      <c r="C44" s="44" t="s">
        <v>198</v>
      </c>
      <c r="D44" s="113"/>
      <c r="E44" s="170"/>
      <c r="F44" s="113"/>
      <c r="G44" s="143" t="s">
        <v>199</v>
      </c>
      <c r="H44" s="101"/>
      <c r="I44" s="101">
        <v>3102637.44</v>
      </c>
      <c r="J44" s="101">
        <v>3102637.44</v>
      </c>
      <c r="K44" s="102">
        <v>3102637.44</v>
      </c>
    </row>
    <row r="45" spans="1:12" s="48" customFormat="1" ht="18" customHeight="1" x14ac:dyDescent="0.25">
      <c r="A45" s="1305" t="s">
        <v>163</v>
      </c>
      <c r="B45" s="1305" t="s">
        <v>1388</v>
      </c>
      <c r="C45" s="44" t="s">
        <v>198</v>
      </c>
      <c r="D45" s="125"/>
      <c r="E45" s="125"/>
      <c r="F45" s="125"/>
      <c r="G45" s="143" t="s">
        <v>199</v>
      </c>
      <c r="H45" s="101"/>
      <c r="I45" s="101">
        <v>1214740.3500000001</v>
      </c>
      <c r="J45" s="101">
        <v>1214740.3500000001</v>
      </c>
      <c r="K45" s="102">
        <v>1214740.3500000001</v>
      </c>
      <c r="L45" s="6"/>
    </row>
    <row r="46" spans="1:12" s="48" customFormat="1" ht="18" customHeight="1" x14ac:dyDescent="0.25">
      <c r="A46" s="1305" t="s">
        <v>163</v>
      </c>
      <c r="B46" s="1305" t="s">
        <v>1388</v>
      </c>
      <c r="C46" s="44" t="s">
        <v>198</v>
      </c>
      <c r="D46" s="125"/>
      <c r="E46" s="125"/>
      <c r="F46" s="125"/>
      <c r="G46" s="716" t="s">
        <v>199</v>
      </c>
      <c r="H46" s="101"/>
      <c r="I46" s="101">
        <v>2148478.7999999998</v>
      </c>
      <c r="J46" s="101">
        <v>1864446.48</v>
      </c>
      <c r="K46" s="102">
        <v>1864446.48</v>
      </c>
      <c r="L46" s="6"/>
    </row>
    <row r="47" spans="1:12" s="48" customFormat="1" ht="18" customHeight="1" x14ac:dyDescent="0.25">
      <c r="A47" s="1305" t="s">
        <v>163</v>
      </c>
      <c r="B47" s="1305" t="s">
        <v>1388</v>
      </c>
      <c r="C47" s="44" t="s">
        <v>198</v>
      </c>
      <c r="D47" s="125"/>
      <c r="E47" s="125"/>
      <c r="F47" s="125"/>
      <c r="G47" s="716" t="s">
        <v>199</v>
      </c>
      <c r="H47" s="101"/>
      <c r="I47" s="101">
        <v>630808.64</v>
      </c>
      <c r="J47" s="101">
        <v>630808.64</v>
      </c>
      <c r="K47" s="102">
        <v>630808.64</v>
      </c>
      <c r="L47" s="6"/>
    </row>
    <row r="48" spans="1:12" s="48" customFormat="1" ht="18" customHeight="1" x14ac:dyDescent="0.25">
      <c r="A48" s="1305" t="s">
        <v>163</v>
      </c>
      <c r="B48" s="1305" t="s">
        <v>1388</v>
      </c>
      <c r="C48" s="44" t="s">
        <v>1569</v>
      </c>
      <c r="D48" s="113"/>
      <c r="E48" s="113"/>
      <c r="F48" s="113"/>
      <c r="G48" s="143" t="s">
        <v>199</v>
      </c>
      <c r="H48" s="102"/>
      <c r="I48" s="102">
        <v>420000</v>
      </c>
      <c r="J48" s="102">
        <v>420000</v>
      </c>
      <c r="K48" s="102">
        <v>420000</v>
      </c>
      <c r="L48" s="6"/>
    </row>
    <row r="49" spans="1:12" s="48" customFormat="1" ht="18" customHeight="1" x14ac:dyDescent="0.25">
      <c r="A49" s="1305" t="s">
        <v>163</v>
      </c>
      <c r="B49" s="1305" t="s">
        <v>1388</v>
      </c>
      <c r="C49" s="180" t="s">
        <v>1569</v>
      </c>
      <c r="D49" s="174"/>
      <c r="E49" s="174"/>
      <c r="F49" s="174"/>
      <c r="G49" s="1334" t="s">
        <v>199</v>
      </c>
      <c r="H49" s="101"/>
      <c r="I49" s="101">
        <v>1493678.16</v>
      </c>
      <c r="J49" s="101">
        <v>1493678.16</v>
      </c>
      <c r="K49" s="102">
        <v>1493678.16</v>
      </c>
      <c r="L49" s="6">
        <f>SUM(K42:K49)</f>
        <v>11663875.710000001</v>
      </c>
    </row>
    <row r="50" spans="1:12" s="48" customFormat="1" ht="18" customHeight="1" x14ac:dyDescent="0.25">
      <c r="A50" s="1305" t="s">
        <v>163</v>
      </c>
      <c r="B50" s="1305" t="s">
        <v>1388</v>
      </c>
      <c r="C50" s="44" t="s">
        <v>233</v>
      </c>
      <c r="D50" s="113"/>
      <c r="E50" s="113"/>
      <c r="F50" s="113"/>
      <c r="G50" s="143" t="s">
        <v>171</v>
      </c>
      <c r="H50" s="101"/>
      <c r="I50" s="101">
        <f>89000+26722.5</f>
        <v>115722.5</v>
      </c>
      <c r="J50" s="101">
        <f>89000+26722.5</f>
        <v>115722.5</v>
      </c>
      <c r="K50" s="102">
        <v>100000</v>
      </c>
      <c r="L50" s="6"/>
    </row>
    <row r="51" spans="1:12" s="48" customFormat="1" ht="18" customHeight="1" x14ac:dyDescent="0.25">
      <c r="A51" s="1305" t="s">
        <v>163</v>
      </c>
      <c r="B51" s="1305" t="s">
        <v>1388</v>
      </c>
      <c r="C51" s="44" t="s">
        <v>170</v>
      </c>
      <c r="D51" s="125"/>
      <c r="E51" s="125"/>
      <c r="F51" s="125"/>
      <c r="G51" s="143" t="s">
        <v>171</v>
      </c>
      <c r="H51" s="102"/>
      <c r="I51" s="102">
        <f>90000+45000+25000+30000+15000+10378.5+60000+221814+263000</f>
        <v>760192.5</v>
      </c>
      <c r="J51" s="102">
        <f>90000+45000+25000+30000+15000+10378.5+60000+221814+263000</f>
        <v>760192.5</v>
      </c>
      <c r="K51" s="102">
        <v>760192.5</v>
      </c>
      <c r="L51" s="6"/>
    </row>
    <row r="52" spans="1:12" s="48" customFormat="1" ht="18" customHeight="1" x14ac:dyDescent="0.25">
      <c r="A52" s="1305" t="s">
        <v>163</v>
      </c>
      <c r="B52" s="1305" t="s">
        <v>1388</v>
      </c>
      <c r="C52" s="44" t="s">
        <v>248</v>
      </c>
      <c r="D52" s="113"/>
      <c r="E52" s="113"/>
      <c r="F52" s="113"/>
      <c r="G52" s="143" t="s">
        <v>171</v>
      </c>
      <c r="H52" s="102"/>
      <c r="I52" s="102">
        <v>372500</v>
      </c>
      <c r="J52" s="102">
        <v>372500</v>
      </c>
      <c r="K52" s="102">
        <v>372500</v>
      </c>
      <c r="L52" s="6"/>
    </row>
    <row r="53" spans="1:12" s="48" customFormat="1" ht="18" customHeight="1" x14ac:dyDescent="0.25">
      <c r="A53" s="1305" t="s">
        <v>163</v>
      </c>
      <c r="B53" s="1305" t="s">
        <v>1388</v>
      </c>
      <c r="C53" s="44" t="s">
        <v>170</v>
      </c>
      <c r="D53" s="125"/>
      <c r="E53" s="125"/>
      <c r="F53" s="1306"/>
      <c r="G53" s="716" t="s">
        <v>171</v>
      </c>
      <c r="H53" s="101"/>
      <c r="I53" s="101">
        <v>3910200</v>
      </c>
      <c r="J53" s="101">
        <v>2882415</v>
      </c>
      <c r="K53" s="102">
        <v>2882415</v>
      </c>
      <c r="L53" s="6"/>
    </row>
    <row r="54" spans="1:12" s="48" customFormat="1" ht="18" customHeight="1" x14ac:dyDescent="0.25">
      <c r="A54" s="1305" t="s">
        <v>163</v>
      </c>
      <c r="B54" s="1305" t="s">
        <v>1388</v>
      </c>
      <c r="C54" s="1310" t="s">
        <v>170</v>
      </c>
      <c r="D54" s="1306"/>
      <c r="E54" s="1306"/>
      <c r="F54" s="1306"/>
      <c r="G54" s="716" t="s">
        <v>171</v>
      </c>
      <c r="H54" s="101"/>
      <c r="I54" s="101">
        <f>94367+12000+30000+32000+32000+32000+22000</f>
        <v>254367</v>
      </c>
      <c r="J54" s="101">
        <f>94367+12000+30000+32000+32000+32000+22000</f>
        <v>254367</v>
      </c>
      <c r="K54" s="102">
        <f>94367+12000+30000+32000+32000+32000+22000</f>
        <v>254367</v>
      </c>
      <c r="L54" s="6"/>
    </row>
    <row r="55" spans="1:12" s="48" customFormat="1" ht="18" customHeight="1" x14ac:dyDescent="0.25">
      <c r="A55" s="1305" t="s">
        <v>163</v>
      </c>
      <c r="B55" s="1305" t="s">
        <v>1388</v>
      </c>
      <c r="C55" s="44" t="s">
        <v>213</v>
      </c>
      <c r="D55" s="113"/>
      <c r="E55" s="113"/>
      <c r="F55" s="113"/>
      <c r="G55" s="143" t="s">
        <v>171</v>
      </c>
      <c r="H55" s="101"/>
      <c r="I55" s="101">
        <f>3500+20405+64200</f>
        <v>88105</v>
      </c>
      <c r="J55" s="101">
        <f>3500+20405+64200</f>
        <v>88105</v>
      </c>
      <c r="K55" s="102">
        <f>3500+20405+64200</f>
        <v>88105</v>
      </c>
      <c r="L55" s="6"/>
    </row>
    <row r="56" spans="1:12" s="48" customFormat="1" ht="18" customHeight="1" x14ac:dyDescent="0.25">
      <c r="A56" s="1305" t="s">
        <v>163</v>
      </c>
      <c r="B56" s="1305" t="s">
        <v>1388</v>
      </c>
      <c r="C56" s="44" t="s">
        <v>213</v>
      </c>
      <c r="D56" s="113"/>
      <c r="E56" s="113"/>
      <c r="F56" s="113"/>
      <c r="G56" s="143" t="s">
        <v>171</v>
      </c>
      <c r="H56" s="101"/>
      <c r="I56" s="101">
        <v>553297.5</v>
      </c>
      <c r="J56" s="101">
        <v>553297.5</v>
      </c>
      <c r="K56" s="102">
        <v>553297.5</v>
      </c>
      <c r="L56" s="6"/>
    </row>
    <row r="57" spans="1:12" s="48" customFormat="1" ht="18" customHeight="1" x14ac:dyDescent="0.25">
      <c r="A57" s="1305" t="s">
        <v>163</v>
      </c>
      <c r="B57" s="1305" t="s">
        <v>1388</v>
      </c>
      <c r="C57" s="44" t="s">
        <v>213</v>
      </c>
      <c r="D57" s="125"/>
      <c r="E57" s="125"/>
      <c r="F57" s="125"/>
      <c r="G57" s="143" t="s">
        <v>171</v>
      </c>
      <c r="H57" s="101"/>
      <c r="I57" s="101">
        <v>164420</v>
      </c>
      <c r="J57" s="101">
        <v>164420</v>
      </c>
      <c r="K57" s="102">
        <v>164420</v>
      </c>
      <c r="L57" s="6"/>
    </row>
    <row r="58" spans="1:12" s="48" customFormat="1" ht="18" customHeight="1" x14ac:dyDescent="0.25">
      <c r="A58" s="1305" t="s">
        <v>163</v>
      </c>
      <c r="B58" s="1305" t="s">
        <v>1388</v>
      </c>
      <c r="C58" s="44" t="s">
        <v>213</v>
      </c>
      <c r="D58" s="125"/>
      <c r="E58" s="125"/>
      <c r="F58" s="1306"/>
      <c r="G58" s="716" t="s">
        <v>171</v>
      </c>
      <c r="H58" s="101"/>
      <c r="I58" s="101">
        <f>500000+30000+70000</f>
        <v>600000</v>
      </c>
      <c r="J58" s="101">
        <f>500000+30000+70000</f>
        <v>600000</v>
      </c>
      <c r="K58" s="102">
        <f>500000+30000+70000</f>
        <v>600000</v>
      </c>
      <c r="L58" s="6">
        <f>SUM(K50:K58)</f>
        <v>5775297</v>
      </c>
    </row>
    <row r="59" spans="1:12" s="48" customFormat="1" ht="18" customHeight="1" x14ac:dyDescent="0.25">
      <c r="A59" s="1305" t="s">
        <v>163</v>
      </c>
      <c r="B59" s="1305" t="s">
        <v>1388</v>
      </c>
      <c r="C59" s="44" t="s">
        <v>176</v>
      </c>
      <c r="D59" s="125"/>
      <c r="E59" s="125"/>
      <c r="F59" s="125"/>
      <c r="G59" s="143" t="s">
        <v>177</v>
      </c>
      <c r="H59" s="101"/>
      <c r="I59" s="101">
        <v>4500</v>
      </c>
      <c r="J59" s="101">
        <v>4500</v>
      </c>
      <c r="K59" s="102">
        <v>4500</v>
      </c>
      <c r="L59" s="6"/>
    </row>
    <row r="60" spans="1:12" s="48" customFormat="1" ht="18" customHeight="1" x14ac:dyDescent="0.25">
      <c r="A60" s="1305" t="s">
        <v>163</v>
      </c>
      <c r="B60" s="1305" t="s">
        <v>1388</v>
      </c>
      <c r="C60" s="44" t="s">
        <v>176</v>
      </c>
      <c r="D60" s="125"/>
      <c r="E60" s="125"/>
      <c r="F60" s="125"/>
      <c r="G60" s="143" t="s">
        <v>177</v>
      </c>
      <c r="H60" s="101"/>
      <c r="I60" s="101">
        <v>7800</v>
      </c>
      <c r="J60" s="101">
        <v>7800</v>
      </c>
      <c r="K60" s="102">
        <v>7800</v>
      </c>
      <c r="L60" s="6">
        <f>SUM(K59:K60)</f>
        <v>12300</v>
      </c>
    </row>
    <row r="61" spans="1:12" s="48" customFormat="1" ht="18" customHeight="1" x14ac:dyDescent="0.25">
      <c r="A61" s="1305" t="s">
        <v>163</v>
      </c>
      <c r="B61" s="1305" t="s">
        <v>1388</v>
      </c>
      <c r="C61" s="180" t="s">
        <v>281</v>
      </c>
      <c r="D61" s="174"/>
      <c r="E61" s="174"/>
      <c r="F61" s="174"/>
      <c r="G61" s="1334" t="s">
        <v>282</v>
      </c>
      <c r="H61" s="101"/>
      <c r="I61" s="101">
        <v>15000</v>
      </c>
      <c r="J61" s="101">
        <v>15000</v>
      </c>
      <c r="K61" s="156">
        <v>15000</v>
      </c>
      <c r="L61" s="6"/>
    </row>
    <row r="62" spans="1:12" s="48" customFormat="1" ht="18" customHeight="1" x14ac:dyDescent="0.25">
      <c r="A62" s="1305" t="s">
        <v>163</v>
      </c>
      <c r="B62" s="1305" t="s">
        <v>1388</v>
      </c>
      <c r="C62" s="44" t="s">
        <v>1981</v>
      </c>
      <c r="D62" s="125"/>
      <c r="E62" s="125"/>
      <c r="F62" s="125"/>
      <c r="G62" s="716" t="s">
        <v>308</v>
      </c>
      <c r="H62" s="101"/>
      <c r="I62" s="101">
        <v>1000000</v>
      </c>
      <c r="J62" s="101">
        <v>1000000</v>
      </c>
      <c r="K62" s="102">
        <v>1000000</v>
      </c>
      <c r="L62" s="6"/>
    </row>
    <row r="63" spans="1:12" s="48" customFormat="1" ht="18" customHeight="1" x14ac:dyDescent="0.25">
      <c r="A63" s="1305" t="s">
        <v>163</v>
      </c>
      <c r="B63" s="1305" t="s">
        <v>1388</v>
      </c>
      <c r="C63" s="44" t="s">
        <v>1985</v>
      </c>
      <c r="D63" s="125"/>
      <c r="E63" s="125"/>
      <c r="F63" s="125"/>
      <c r="G63" s="716" t="s">
        <v>308</v>
      </c>
      <c r="H63" s="101"/>
      <c r="I63" s="101">
        <v>500000</v>
      </c>
      <c r="J63" s="101">
        <v>500000</v>
      </c>
      <c r="K63" s="102">
        <f>500000+395165.7</f>
        <v>895165.7</v>
      </c>
      <c r="L63" s="6"/>
    </row>
    <row r="64" spans="1:12" s="48" customFormat="1" ht="18" customHeight="1" x14ac:dyDescent="0.25">
      <c r="A64" s="1305" t="s">
        <v>163</v>
      </c>
      <c r="B64" s="1305" t="s">
        <v>1388</v>
      </c>
      <c r="C64" s="180" t="s">
        <v>1592</v>
      </c>
      <c r="D64" s="125"/>
      <c r="E64" s="125"/>
      <c r="F64" s="125"/>
      <c r="G64" s="716"/>
      <c r="H64" s="101"/>
      <c r="I64" s="101">
        <v>300000</v>
      </c>
      <c r="J64" s="101">
        <v>300000</v>
      </c>
      <c r="K64" s="102">
        <v>300000</v>
      </c>
      <c r="L64" s="6">
        <f>SUM(K62:K64)</f>
        <v>2195165.7000000002</v>
      </c>
    </row>
    <row r="65" spans="1:12" s="48" customFormat="1" ht="18" customHeight="1" x14ac:dyDescent="0.25">
      <c r="A65" s="1305" t="s">
        <v>163</v>
      </c>
      <c r="B65" s="1305" t="s">
        <v>1388</v>
      </c>
      <c r="C65" s="44" t="s">
        <v>186</v>
      </c>
      <c r="D65" s="125"/>
      <c r="E65" s="125"/>
      <c r="F65" s="125"/>
      <c r="G65" s="1332" t="s">
        <v>187</v>
      </c>
      <c r="H65" s="105"/>
      <c r="I65" s="105">
        <v>100000</v>
      </c>
      <c r="J65" s="105">
        <v>100000</v>
      </c>
      <c r="K65" s="106">
        <v>2100000</v>
      </c>
      <c r="L65" s="6"/>
    </row>
    <row r="66" spans="1:12" s="136" customFormat="1" ht="18" customHeight="1" x14ac:dyDescent="0.25">
      <c r="A66" s="1305" t="s">
        <v>163</v>
      </c>
      <c r="B66" s="1305" t="s">
        <v>1388</v>
      </c>
      <c r="C66" s="44" t="s">
        <v>186</v>
      </c>
      <c r="D66" s="113"/>
      <c r="E66" s="113"/>
      <c r="F66" s="113"/>
      <c r="G66" s="143"/>
      <c r="H66" s="101"/>
      <c r="I66" s="101">
        <v>10000</v>
      </c>
      <c r="J66" s="101">
        <v>10000</v>
      </c>
      <c r="K66" s="102">
        <v>10000</v>
      </c>
      <c r="L66" s="6"/>
    </row>
    <row r="67" spans="1:12" s="136" customFormat="1" ht="18" customHeight="1" x14ac:dyDescent="0.25">
      <c r="A67" s="1305" t="s">
        <v>163</v>
      </c>
      <c r="B67" s="1305" t="s">
        <v>1388</v>
      </c>
      <c r="C67" s="44" t="s">
        <v>186</v>
      </c>
      <c r="D67" s="125"/>
      <c r="E67" s="125"/>
      <c r="F67" s="125"/>
      <c r="G67" s="143"/>
      <c r="H67" s="101"/>
      <c r="I67" s="101">
        <f>75000+12000</f>
        <v>87000</v>
      </c>
      <c r="J67" s="101">
        <f>75000+12000</f>
        <v>87000</v>
      </c>
      <c r="K67" s="102">
        <f>75000+12000+28000</f>
        <v>115000</v>
      </c>
      <c r="L67" s="6"/>
    </row>
    <row r="68" spans="1:12" s="48" customFormat="1" ht="18" customHeight="1" x14ac:dyDescent="0.25">
      <c r="A68" s="1305" t="s">
        <v>163</v>
      </c>
      <c r="B68" s="1305" t="s">
        <v>1388</v>
      </c>
      <c r="C68" s="44" t="s">
        <v>186</v>
      </c>
      <c r="D68" s="125"/>
      <c r="E68" s="125"/>
      <c r="F68" s="125"/>
      <c r="G68" s="716" t="s">
        <v>187</v>
      </c>
      <c r="H68" s="101"/>
      <c r="I68" s="101">
        <v>100000</v>
      </c>
      <c r="J68" s="101">
        <v>50000</v>
      </c>
      <c r="K68" s="102">
        <v>50000</v>
      </c>
      <c r="L68" s="6"/>
    </row>
    <row r="69" spans="1:12" s="48" customFormat="1" ht="18" customHeight="1" x14ac:dyDescent="0.25">
      <c r="A69" s="1305" t="s">
        <v>163</v>
      </c>
      <c r="B69" s="1305" t="s">
        <v>1388</v>
      </c>
      <c r="C69" s="44" t="s">
        <v>186</v>
      </c>
      <c r="D69" s="125"/>
      <c r="E69" s="125"/>
      <c r="F69" s="125"/>
      <c r="G69" s="716"/>
      <c r="H69" s="101"/>
      <c r="I69" s="101">
        <v>20000</v>
      </c>
      <c r="J69" s="101">
        <v>20000</v>
      </c>
      <c r="K69" s="102">
        <v>20000</v>
      </c>
      <c r="L69" s="6"/>
    </row>
    <row r="70" spans="1:12" s="48" customFormat="1" ht="18" customHeight="1" x14ac:dyDescent="0.25">
      <c r="A70" s="1305" t="s">
        <v>163</v>
      </c>
      <c r="B70" s="1305" t="s">
        <v>1388</v>
      </c>
      <c r="C70" s="44" t="s">
        <v>186</v>
      </c>
      <c r="D70" s="113"/>
      <c r="E70" s="113"/>
      <c r="F70" s="113"/>
      <c r="G70" s="143"/>
      <c r="H70" s="101"/>
      <c r="I70" s="101"/>
      <c r="J70" s="101"/>
      <c r="K70" s="102">
        <f>50000+2500000+4000000</f>
        <v>6550000</v>
      </c>
      <c r="L70" s="6"/>
    </row>
    <row r="71" spans="1:12" s="48" customFormat="1" ht="18" customHeight="1" x14ac:dyDescent="0.25">
      <c r="A71" s="1305" t="s">
        <v>163</v>
      </c>
      <c r="B71" s="1305" t="s">
        <v>1388</v>
      </c>
      <c r="C71" s="44" t="s">
        <v>186</v>
      </c>
      <c r="D71" s="125"/>
      <c r="E71" s="125"/>
      <c r="F71" s="125"/>
      <c r="G71" s="716"/>
      <c r="H71" s="101"/>
      <c r="I71" s="101">
        <v>90000</v>
      </c>
      <c r="J71" s="101">
        <v>90000</v>
      </c>
      <c r="K71" s="102">
        <v>90000</v>
      </c>
      <c r="L71" s="6"/>
    </row>
    <row r="72" spans="1:12" s="48" customFormat="1" ht="18" customHeight="1" x14ac:dyDescent="0.25">
      <c r="A72" s="1305" t="s">
        <v>163</v>
      </c>
      <c r="B72" s="1305" t="s">
        <v>1388</v>
      </c>
      <c r="C72" s="1310" t="s">
        <v>2026</v>
      </c>
      <c r="D72" s="1305"/>
      <c r="E72" s="1305"/>
      <c r="F72" s="1305"/>
      <c r="G72" s="143" t="s">
        <v>187</v>
      </c>
      <c r="H72" s="101"/>
      <c r="I72" s="101">
        <v>40000</v>
      </c>
      <c r="J72" s="101">
        <v>40000</v>
      </c>
      <c r="K72" s="102">
        <v>40000</v>
      </c>
      <c r="L72" s="6"/>
    </row>
    <row r="73" spans="1:12" s="48" customFormat="1" ht="18" customHeight="1" x14ac:dyDescent="0.25">
      <c r="A73" s="1305" t="s">
        <v>163</v>
      </c>
      <c r="B73" s="1305" t="s">
        <v>1388</v>
      </c>
      <c r="C73" s="180" t="s">
        <v>1591</v>
      </c>
      <c r="D73" s="174"/>
      <c r="E73" s="174"/>
      <c r="F73" s="174"/>
      <c r="G73" s="1334"/>
      <c r="H73" s="101"/>
      <c r="I73" s="101"/>
      <c r="J73" s="101"/>
      <c r="K73" s="102">
        <v>300000</v>
      </c>
      <c r="L73" s="6">
        <f>SUM(K65:K73)</f>
        <v>9275000</v>
      </c>
    </row>
    <row r="74" spans="1:12" s="48" customFormat="1" ht="18" customHeight="1" x14ac:dyDescent="0.25">
      <c r="A74" s="1305" t="s">
        <v>163</v>
      </c>
      <c r="B74" s="1305" t="s">
        <v>1388</v>
      </c>
      <c r="C74" s="44" t="s">
        <v>393</v>
      </c>
      <c r="D74" s="113"/>
      <c r="E74" s="113"/>
      <c r="F74" s="113"/>
      <c r="G74" s="143" t="s">
        <v>189</v>
      </c>
      <c r="H74" s="101"/>
      <c r="I74" s="101">
        <v>10000</v>
      </c>
      <c r="J74" s="101">
        <v>10000</v>
      </c>
      <c r="K74" s="102">
        <v>10000</v>
      </c>
      <c r="L74" s="6"/>
    </row>
    <row r="75" spans="1:12" s="48" customFormat="1" ht="18" customHeight="1" x14ac:dyDescent="0.25">
      <c r="A75" s="1305" t="s">
        <v>163</v>
      </c>
      <c r="B75" s="1305" t="s">
        <v>1388</v>
      </c>
      <c r="C75" s="44" t="s">
        <v>1518</v>
      </c>
      <c r="D75" s="125"/>
      <c r="E75" s="125"/>
      <c r="F75" s="125"/>
      <c r="G75" s="143" t="s">
        <v>189</v>
      </c>
      <c r="H75" s="105"/>
      <c r="I75" s="105">
        <v>100000</v>
      </c>
      <c r="J75" s="105">
        <v>100000</v>
      </c>
      <c r="K75" s="106">
        <v>100000</v>
      </c>
      <c r="L75" s="6"/>
    </row>
    <row r="76" spans="1:12" s="48" customFormat="1" ht="18" customHeight="1" x14ac:dyDescent="0.25">
      <c r="A76" s="1305" t="s">
        <v>163</v>
      </c>
      <c r="B76" s="1305" t="s">
        <v>1388</v>
      </c>
      <c r="C76" s="44" t="s">
        <v>1518</v>
      </c>
      <c r="D76" s="125"/>
      <c r="E76" s="1306"/>
      <c r="F76" s="1306"/>
      <c r="G76" s="716" t="s">
        <v>189</v>
      </c>
      <c r="H76" s="101"/>
      <c r="I76" s="101">
        <v>200000</v>
      </c>
      <c r="J76" s="101">
        <v>200000</v>
      </c>
      <c r="K76" s="102">
        <v>200000</v>
      </c>
      <c r="L76" s="6"/>
    </row>
    <row r="77" spans="1:12" s="48" customFormat="1" ht="18" customHeight="1" x14ac:dyDescent="0.25">
      <c r="A77" s="1305" t="s">
        <v>163</v>
      </c>
      <c r="B77" s="1305" t="s">
        <v>1388</v>
      </c>
      <c r="C77" s="44" t="s">
        <v>1518</v>
      </c>
      <c r="D77" s="125"/>
      <c r="E77" s="125"/>
      <c r="F77" s="125"/>
      <c r="G77" s="716"/>
      <c r="H77" s="101"/>
      <c r="I77" s="101">
        <v>100000</v>
      </c>
      <c r="J77" s="101">
        <v>100000</v>
      </c>
      <c r="K77" s="102">
        <v>100000</v>
      </c>
      <c r="L77" s="6">
        <f>SUM(K74:K77)</f>
        <v>410000</v>
      </c>
    </row>
    <row r="78" spans="1:12" s="48" customFormat="1" ht="18" customHeight="1" x14ac:dyDescent="0.25">
      <c r="A78" s="1305" t="s">
        <v>163</v>
      </c>
      <c r="B78" s="1305" t="s">
        <v>1388</v>
      </c>
      <c r="C78" s="180" t="s">
        <v>1593</v>
      </c>
      <c r="D78" s="1317"/>
      <c r="E78" s="174"/>
      <c r="F78" s="174"/>
      <c r="G78" s="1177"/>
      <c r="H78" s="102"/>
      <c r="I78" s="102">
        <v>200000</v>
      </c>
      <c r="J78" s="102">
        <v>200000</v>
      </c>
      <c r="K78" s="156">
        <v>200000</v>
      </c>
      <c r="L78" s="6"/>
    </row>
    <row r="79" spans="1:12" s="48" customFormat="1" ht="18" customHeight="1" x14ac:dyDescent="0.25">
      <c r="A79" s="1305" t="s">
        <v>163</v>
      </c>
      <c r="B79" s="1305" t="s">
        <v>1388</v>
      </c>
      <c r="C79" s="44" t="s">
        <v>178</v>
      </c>
      <c r="D79" s="113"/>
      <c r="E79" s="113"/>
      <c r="F79" s="113"/>
      <c r="G79" s="143" t="s">
        <v>179</v>
      </c>
      <c r="H79" s="101"/>
      <c r="I79" s="101">
        <v>30000</v>
      </c>
      <c r="J79" s="101">
        <v>30000</v>
      </c>
      <c r="K79" s="102">
        <v>30000</v>
      </c>
      <c r="L79" s="6"/>
    </row>
    <row r="80" spans="1:12" s="48" customFormat="1" ht="18" customHeight="1" x14ac:dyDescent="0.25">
      <c r="A80" s="1305" t="s">
        <v>163</v>
      </c>
      <c r="B80" s="1305" t="s">
        <v>1388</v>
      </c>
      <c r="C80" s="44" t="s">
        <v>178</v>
      </c>
      <c r="D80" s="170"/>
      <c r="E80" s="170"/>
      <c r="F80" s="170"/>
      <c r="G80" s="1333" t="s">
        <v>167</v>
      </c>
      <c r="H80" s="102"/>
      <c r="I80" s="102">
        <v>30000</v>
      </c>
      <c r="J80" s="102">
        <v>30000</v>
      </c>
      <c r="K80" s="102">
        <v>30000</v>
      </c>
      <c r="L80" s="6"/>
    </row>
    <row r="81" spans="1:12" s="48" customFormat="1" ht="18" customHeight="1" x14ac:dyDescent="0.25">
      <c r="A81" s="1305" t="s">
        <v>163</v>
      </c>
      <c r="B81" s="1305" t="s">
        <v>1388</v>
      </c>
      <c r="C81" s="44" t="s">
        <v>178</v>
      </c>
      <c r="D81" s="125"/>
      <c r="E81" s="125"/>
      <c r="F81" s="125"/>
      <c r="G81" s="143" t="s">
        <v>179</v>
      </c>
      <c r="H81" s="102"/>
      <c r="I81" s="102">
        <v>84000</v>
      </c>
      <c r="J81" s="102">
        <v>84000</v>
      </c>
      <c r="K81" s="102">
        <v>84000</v>
      </c>
      <c r="L81" s="6"/>
    </row>
    <row r="82" spans="1:12" s="48" customFormat="1" ht="18" customHeight="1" x14ac:dyDescent="0.25">
      <c r="A82" s="1305" t="s">
        <v>163</v>
      </c>
      <c r="B82" s="1305" t="s">
        <v>1388</v>
      </c>
      <c r="C82" s="44" t="s">
        <v>178</v>
      </c>
      <c r="D82" s="113"/>
      <c r="E82" s="113"/>
      <c r="F82" s="113"/>
      <c r="G82" s="143" t="s">
        <v>179</v>
      </c>
      <c r="H82" s="101"/>
      <c r="I82" s="101">
        <v>42000</v>
      </c>
      <c r="J82" s="101">
        <v>42000</v>
      </c>
      <c r="K82" s="102">
        <v>42000</v>
      </c>
      <c r="L82" s="6"/>
    </row>
    <row r="83" spans="1:12" s="48" customFormat="1" ht="18" customHeight="1" x14ac:dyDescent="0.25">
      <c r="A83" s="1305" t="s">
        <v>163</v>
      </c>
      <c r="B83" s="1305" t="s">
        <v>1388</v>
      </c>
      <c r="C83" s="44" t="s">
        <v>178</v>
      </c>
      <c r="D83" s="113"/>
      <c r="E83" s="113"/>
      <c r="F83" s="113"/>
      <c r="G83" s="143" t="s">
        <v>179</v>
      </c>
      <c r="H83" s="101"/>
      <c r="I83" s="101">
        <v>72000</v>
      </c>
      <c r="J83" s="101">
        <v>72000</v>
      </c>
      <c r="K83" s="102">
        <v>72000</v>
      </c>
      <c r="L83" s="6"/>
    </row>
    <row r="84" spans="1:12" s="48" customFormat="1" ht="18" customHeight="1" x14ac:dyDescent="0.25">
      <c r="A84" s="1305" t="s">
        <v>163</v>
      </c>
      <c r="B84" s="1305" t="s">
        <v>1388</v>
      </c>
      <c r="C84" s="44" t="s">
        <v>178</v>
      </c>
      <c r="D84" s="125"/>
      <c r="E84" s="125"/>
      <c r="F84" s="125"/>
      <c r="G84" s="143" t="s">
        <v>179</v>
      </c>
      <c r="H84" s="101"/>
      <c r="I84" s="101">
        <v>42000</v>
      </c>
      <c r="J84" s="101">
        <v>42000</v>
      </c>
      <c r="K84" s="102">
        <v>42000</v>
      </c>
      <c r="L84" s="6"/>
    </row>
    <row r="85" spans="1:12" s="48" customFormat="1" ht="18" customHeight="1" x14ac:dyDescent="0.25">
      <c r="A85" s="1305" t="s">
        <v>163</v>
      </c>
      <c r="B85" s="1305" t="s">
        <v>1388</v>
      </c>
      <c r="C85" s="44" t="s">
        <v>178</v>
      </c>
      <c r="D85" s="125"/>
      <c r="E85" s="125"/>
      <c r="F85" s="125"/>
      <c r="G85" s="716"/>
      <c r="H85" s="101"/>
      <c r="I85" s="101">
        <v>30000</v>
      </c>
      <c r="J85" s="101">
        <v>30000</v>
      </c>
      <c r="K85" s="102">
        <v>30000</v>
      </c>
      <c r="L85" s="6">
        <f>SUM(K79:K85)</f>
        <v>330000</v>
      </c>
    </row>
    <row r="86" spans="1:12" s="48" customFormat="1" ht="18" customHeight="1" x14ac:dyDescent="0.25">
      <c r="A86" s="1305" t="s">
        <v>163</v>
      </c>
      <c r="B86" s="1305" t="s">
        <v>1388</v>
      </c>
      <c r="C86" s="44" t="s">
        <v>166</v>
      </c>
      <c r="D86" s="113"/>
      <c r="E86" s="113"/>
      <c r="F86" s="113"/>
      <c r="G86" s="143"/>
      <c r="H86" s="101"/>
      <c r="I86" s="101"/>
      <c r="J86" s="101"/>
      <c r="K86" s="102">
        <v>50000</v>
      </c>
      <c r="L86" s="6"/>
    </row>
    <row r="87" spans="1:12" s="48" customFormat="1" ht="18" customHeight="1" x14ac:dyDescent="0.25">
      <c r="A87" s="1305" t="s">
        <v>163</v>
      </c>
      <c r="B87" s="1305" t="s">
        <v>1388</v>
      </c>
      <c r="C87" s="44" t="s">
        <v>166</v>
      </c>
      <c r="D87" s="113"/>
      <c r="E87" s="113"/>
      <c r="F87" s="113"/>
      <c r="G87" s="143"/>
      <c r="H87" s="101"/>
      <c r="I87" s="101"/>
      <c r="J87" s="101"/>
      <c r="K87" s="102">
        <v>20000</v>
      </c>
      <c r="L87" s="6"/>
    </row>
    <row r="88" spans="1:12" s="48" customFormat="1" ht="18" customHeight="1" x14ac:dyDescent="0.25">
      <c r="A88" s="1305" t="s">
        <v>163</v>
      </c>
      <c r="B88" s="1305" t="s">
        <v>1388</v>
      </c>
      <c r="C88" s="44" t="s">
        <v>166</v>
      </c>
      <c r="D88" s="125"/>
      <c r="E88" s="125"/>
      <c r="F88" s="125"/>
      <c r="G88" s="143" t="s">
        <v>293</v>
      </c>
      <c r="H88" s="105"/>
      <c r="I88" s="105">
        <v>50000</v>
      </c>
      <c r="J88" s="105">
        <v>50000</v>
      </c>
      <c r="K88" s="106">
        <v>50000</v>
      </c>
      <c r="L88" s="6"/>
    </row>
    <row r="89" spans="1:12" s="48" customFormat="1" ht="18" customHeight="1" x14ac:dyDescent="0.25">
      <c r="A89" s="1305" t="s">
        <v>163</v>
      </c>
      <c r="B89" s="1305" t="s">
        <v>1388</v>
      </c>
      <c r="C89" s="44" t="s">
        <v>166</v>
      </c>
      <c r="D89" s="113"/>
      <c r="E89" s="113"/>
      <c r="F89" s="113"/>
      <c r="G89" s="143"/>
      <c r="H89" s="101"/>
      <c r="I89" s="101"/>
      <c r="J89" s="101"/>
      <c r="K89" s="102">
        <v>50000</v>
      </c>
      <c r="L89" s="6"/>
    </row>
    <row r="90" spans="1:12" s="48" customFormat="1" ht="18" customHeight="1" x14ac:dyDescent="0.25">
      <c r="A90" s="1305" t="s">
        <v>163</v>
      </c>
      <c r="B90" s="1305" t="s">
        <v>1388</v>
      </c>
      <c r="C90" s="44" t="s">
        <v>166</v>
      </c>
      <c r="D90" s="113"/>
      <c r="E90" s="113"/>
      <c r="F90" s="113"/>
      <c r="G90" s="143"/>
      <c r="H90" s="101"/>
      <c r="I90" s="101"/>
      <c r="J90" s="101"/>
      <c r="K90" s="102">
        <v>50000</v>
      </c>
      <c r="L90" s="6"/>
    </row>
    <row r="91" spans="1:12" s="48" customFormat="1" ht="18" customHeight="1" x14ac:dyDescent="0.25">
      <c r="A91" s="1305" t="s">
        <v>163</v>
      </c>
      <c r="B91" s="1305" t="s">
        <v>1388</v>
      </c>
      <c r="C91" s="44" t="s">
        <v>166</v>
      </c>
      <c r="D91" s="125"/>
      <c r="E91" s="125"/>
      <c r="F91" s="125"/>
      <c r="G91" s="143"/>
      <c r="H91" s="101"/>
      <c r="I91" s="101"/>
      <c r="J91" s="101"/>
      <c r="K91" s="102">
        <v>50000</v>
      </c>
      <c r="L91" s="6"/>
    </row>
    <row r="92" spans="1:12" s="48" customFormat="1" ht="18" customHeight="1" x14ac:dyDescent="0.25">
      <c r="A92" s="1305" t="s">
        <v>163</v>
      </c>
      <c r="B92" s="1305" t="s">
        <v>1388</v>
      </c>
      <c r="C92" s="1306" t="s">
        <v>166</v>
      </c>
      <c r="D92" s="1305"/>
      <c r="E92" s="1305"/>
      <c r="F92" s="1305"/>
      <c r="G92" s="377"/>
      <c r="H92" s="101"/>
      <c r="I92" s="101"/>
      <c r="J92" s="101"/>
      <c r="K92" s="102">
        <v>50000</v>
      </c>
      <c r="L92" s="6"/>
    </row>
    <row r="93" spans="1:12" s="48" customFormat="1" ht="18" customHeight="1" x14ac:dyDescent="0.25">
      <c r="A93" s="1305" t="s">
        <v>163</v>
      </c>
      <c r="B93" s="1305" t="s">
        <v>1388</v>
      </c>
      <c r="C93" s="44" t="s">
        <v>166</v>
      </c>
      <c r="D93" s="125"/>
      <c r="E93" s="125"/>
      <c r="F93" s="125"/>
      <c r="G93" s="716"/>
      <c r="H93" s="101"/>
      <c r="I93" s="101"/>
      <c r="J93" s="101"/>
      <c r="K93" s="102">
        <v>50000</v>
      </c>
      <c r="L93" s="6"/>
    </row>
    <row r="94" spans="1:12" s="48" customFormat="1" ht="18" customHeight="1" x14ac:dyDescent="0.25">
      <c r="A94" s="1305" t="s">
        <v>163</v>
      </c>
      <c r="B94" s="1305" t="s">
        <v>1388</v>
      </c>
      <c r="C94" s="44" t="s">
        <v>166</v>
      </c>
      <c r="D94" s="125"/>
      <c r="E94" s="125"/>
      <c r="F94" s="125"/>
      <c r="G94" s="716"/>
      <c r="H94" s="101"/>
      <c r="I94" s="101"/>
      <c r="J94" s="101"/>
      <c r="K94" s="102">
        <v>50000</v>
      </c>
      <c r="L94" s="6">
        <f>SUM(K86:K94)</f>
        <v>420000</v>
      </c>
    </row>
    <row r="95" spans="1:12" s="48" customFormat="1" ht="18" customHeight="1" x14ac:dyDescent="0.25">
      <c r="A95" s="1305" t="s">
        <v>163</v>
      </c>
      <c r="B95" s="1305" t="s">
        <v>1388</v>
      </c>
      <c r="C95" s="44" t="s">
        <v>353</v>
      </c>
      <c r="D95" s="113"/>
      <c r="E95" s="113"/>
      <c r="F95" s="113"/>
      <c r="G95" s="143" t="s">
        <v>165</v>
      </c>
      <c r="H95" s="101"/>
      <c r="I95" s="101">
        <v>200000</v>
      </c>
      <c r="J95" s="101">
        <v>200000</v>
      </c>
      <c r="K95" s="102">
        <v>200000</v>
      </c>
      <c r="L95" s="6"/>
    </row>
    <row r="96" spans="1:12" s="48" customFormat="1" ht="18" customHeight="1" x14ac:dyDescent="0.25">
      <c r="A96" s="1305" t="s">
        <v>163</v>
      </c>
      <c r="B96" s="1305" t="s">
        <v>1388</v>
      </c>
      <c r="C96" s="44" t="s">
        <v>353</v>
      </c>
      <c r="D96" s="113"/>
      <c r="E96" s="113"/>
      <c r="F96" s="113"/>
      <c r="G96" s="143" t="s">
        <v>165</v>
      </c>
      <c r="H96" s="101"/>
      <c r="I96" s="101">
        <v>20000</v>
      </c>
      <c r="J96" s="101">
        <v>20000</v>
      </c>
      <c r="K96" s="102">
        <v>20000</v>
      </c>
      <c r="L96" s="6"/>
    </row>
    <row r="97" spans="1:12" ht="18" x14ac:dyDescent="0.25">
      <c r="A97" s="1305" t="s">
        <v>163</v>
      </c>
      <c r="B97" s="1305" t="s">
        <v>1388</v>
      </c>
      <c r="C97" s="44" t="s">
        <v>353</v>
      </c>
      <c r="D97" s="125"/>
      <c r="E97" s="125"/>
      <c r="F97" s="125"/>
      <c r="G97" s="143" t="s">
        <v>165</v>
      </c>
      <c r="H97" s="101"/>
      <c r="I97" s="101">
        <v>940000</v>
      </c>
      <c r="J97" s="101">
        <v>940000</v>
      </c>
      <c r="K97" s="102">
        <v>940000</v>
      </c>
    </row>
    <row r="98" spans="1:12" ht="18" x14ac:dyDescent="0.25">
      <c r="A98" s="1305" t="s">
        <v>163</v>
      </c>
      <c r="B98" s="1305" t="s">
        <v>1388</v>
      </c>
      <c r="C98" s="44" t="s">
        <v>353</v>
      </c>
      <c r="D98" s="113"/>
      <c r="E98" s="113"/>
      <c r="F98" s="113"/>
      <c r="G98" s="143" t="s">
        <v>165</v>
      </c>
      <c r="H98" s="101"/>
      <c r="I98" s="101">
        <v>50000</v>
      </c>
      <c r="J98" s="101">
        <v>50000</v>
      </c>
      <c r="K98" s="102">
        <v>50000</v>
      </c>
    </row>
    <row r="99" spans="1:12" ht="18" x14ac:dyDescent="0.25">
      <c r="A99" s="1305" t="s">
        <v>163</v>
      </c>
      <c r="B99" s="1305" t="s">
        <v>1388</v>
      </c>
      <c r="C99" s="44" t="s">
        <v>353</v>
      </c>
      <c r="D99" s="113"/>
      <c r="E99" s="113"/>
      <c r="F99" s="113"/>
      <c r="G99" s="143" t="s">
        <v>165</v>
      </c>
      <c r="H99" s="101"/>
      <c r="I99" s="101">
        <v>200000</v>
      </c>
      <c r="J99" s="101">
        <v>200000</v>
      </c>
      <c r="K99" s="102">
        <v>200000</v>
      </c>
    </row>
    <row r="100" spans="1:12" ht="18" x14ac:dyDescent="0.25">
      <c r="A100" s="1305" t="s">
        <v>163</v>
      </c>
      <c r="B100" s="1305" t="s">
        <v>1388</v>
      </c>
      <c r="C100" s="44" t="s">
        <v>353</v>
      </c>
      <c r="D100" s="125"/>
      <c r="E100" s="125"/>
      <c r="F100" s="125"/>
      <c r="G100" s="143" t="s">
        <v>165</v>
      </c>
      <c r="H100" s="101"/>
      <c r="I100" s="101">
        <v>115800</v>
      </c>
      <c r="J100" s="101">
        <v>115800</v>
      </c>
      <c r="K100" s="102">
        <v>115800</v>
      </c>
    </row>
    <row r="101" spans="1:12" s="48" customFormat="1" ht="18" customHeight="1" x14ac:dyDescent="0.25">
      <c r="A101" s="1305" t="s">
        <v>163</v>
      </c>
      <c r="B101" s="1305" t="s">
        <v>1388</v>
      </c>
      <c r="C101" s="1306" t="s">
        <v>353</v>
      </c>
      <c r="D101" s="1305"/>
      <c r="E101" s="1305"/>
      <c r="F101" s="1305"/>
      <c r="G101" s="377"/>
      <c r="H101" s="101"/>
      <c r="I101" s="101"/>
      <c r="J101" s="101"/>
      <c r="K101" s="102">
        <v>50000</v>
      </c>
      <c r="L101" s="6"/>
    </row>
    <row r="102" spans="1:12" s="48" customFormat="1" ht="18" customHeight="1" x14ac:dyDescent="0.25">
      <c r="A102" s="1305" t="s">
        <v>163</v>
      </c>
      <c r="B102" s="1305" t="s">
        <v>1388</v>
      </c>
      <c r="C102" s="44" t="s">
        <v>353</v>
      </c>
      <c r="D102" s="125"/>
      <c r="E102" s="125"/>
      <c r="F102" s="125"/>
      <c r="G102" s="716" t="s">
        <v>165</v>
      </c>
      <c r="H102" s="101"/>
      <c r="I102" s="101">
        <v>30000</v>
      </c>
      <c r="J102" s="101">
        <v>30000</v>
      </c>
      <c r="K102" s="102">
        <v>30000</v>
      </c>
      <c r="L102" s="6"/>
    </row>
    <row r="103" spans="1:12" s="48" customFormat="1" ht="18" customHeight="1" x14ac:dyDescent="0.25">
      <c r="A103" s="1305" t="s">
        <v>163</v>
      </c>
      <c r="B103" s="1305" t="s">
        <v>1388</v>
      </c>
      <c r="C103" s="44" t="s">
        <v>353</v>
      </c>
      <c r="D103" s="125"/>
      <c r="E103" s="125"/>
      <c r="F103" s="125"/>
      <c r="G103" s="716" t="s">
        <v>165</v>
      </c>
      <c r="H103" s="101"/>
      <c r="I103" s="101">
        <v>30000</v>
      </c>
      <c r="J103" s="101">
        <v>30000</v>
      </c>
      <c r="K103" s="102">
        <v>30000</v>
      </c>
      <c r="L103" s="6">
        <f>SUM(K95:K103)</f>
        <v>1635800</v>
      </c>
    </row>
    <row r="104" spans="1:12" s="48" customFormat="1" ht="18" customHeight="1" x14ac:dyDescent="0.25">
      <c r="A104" s="1305" t="s">
        <v>163</v>
      </c>
      <c r="B104" s="1305" t="s">
        <v>1388</v>
      </c>
      <c r="C104" s="44" t="s">
        <v>382</v>
      </c>
      <c r="D104" s="113"/>
      <c r="E104" s="113"/>
      <c r="F104" s="113"/>
      <c r="G104" s="143" t="s">
        <v>383</v>
      </c>
      <c r="H104" s="101"/>
      <c r="I104" s="101">
        <v>35000</v>
      </c>
      <c r="J104" s="101">
        <v>35000</v>
      </c>
      <c r="K104" s="156">
        <v>35000</v>
      </c>
      <c r="L104" s="6"/>
    </row>
    <row r="105" spans="1:12" s="146" customFormat="1" ht="18" x14ac:dyDescent="0.25">
      <c r="A105" s="1305" t="s">
        <v>2019</v>
      </c>
      <c r="B105" s="1305" t="s">
        <v>1388</v>
      </c>
      <c r="C105" s="38" t="s">
        <v>1570</v>
      </c>
      <c r="D105" s="303"/>
      <c r="E105" s="199"/>
      <c r="F105" s="38"/>
      <c r="G105" s="716"/>
      <c r="H105" s="101"/>
      <c r="I105" s="101">
        <v>3000000</v>
      </c>
      <c r="J105" s="101">
        <v>3000000</v>
      </c>
      <c r="K105" s="102">
        <v>3000000</v>
      </c>
      <c r="L105" s="10"/>
    </row>
    <row r="106" spans="1:12" s="146" customFormat="1" ht="18" customHeight="1" x14ac:dyDescent="0.25">
      <c r="A106" s="1305" t="s">
        <v>2019</v>
      </c>
      <c r="B106" s="1305" t="s">
        <v>1388</v>
      </c>
      <c r="C106" s="38" t="s">
        <v>1571</v>
      </c>
      <c r="D106" s="184"/>
      <c r="E106" s="184"/>
      <c r="F106" s="184"/>
      <c r="G106" s="716"/>
      <c r="H106" s="101"/>
      <c r="I106" s="101">
        <v>300000</v>
      </c>
      <c r="J106" s="101">
        <v>300000</v>
      </c>
      <c r="K106" s="102">
        <v>200000</v>
      </c>
      <c r="L106" s="10"/>
    </row>
    <row r="107" spans="1:12" s="146" customFormat="1" ht="18" customHeight="1" x14ac:dyDescent="0.25">
      <c r="A107" s="1305" t="s">
        <v>2019</v>
      </c>
      <c r="B107" s="1305" t="s">
        <v>1388</v>
      </c>
      <c r="C107" s="38" t="s">
        <v>1572</v>
      </c>
      <c r="D107" s="421"/>
      <c r="E107" s="184"/>
      <c r="F107" s="421"/>
      <c r="G107" s="716"/>
      <c r="H107" s="101"/>
      <c r="I107" s="101">
        <v>240000</v>
      </c>
      <c r="J107" s="101">
        <v>240000</v>
      </c>
      <c r="K107" s="102">
        <v>150000</v>
      </c>
      <c r="L107" s="10"/>
    </row>
    <row r="108" spans="1:12" s="146" customFormat="1" ht="18" customHeight="1" x14ac:dyDescent="0.25">
      <c r="A108" s="1305" t="s">
        <v>2019</v>
      </c>
      <c r="B108" s="1305" t="s">
        <v>1388</v>
      </c>
      <c r="C108" s="38" t="s">
        <v>1573</v>
      </c>
      <c r="D108" s="421"/>
      <c r="E108" s="184"/>
      <c r="F108" s="421"/>
      <c r="G108" s="716"/>
      <c r="H108" s="101"/>
      <c r="I108" s="101">
        <v>42000</v>
      </c>
      <c r="J108" s="101">
        <v>42000</v>
      </c>
      <c r="K108" s="102">
        <v>42000</v>
      </c>
      <c r="L108" s="10"/>
    </row>
    <row r="109" spans="1:12" s="146" customFormat="1" ht="18" customHeight="1" x14ac:dyDescent="0.25">
      <c r="A109" s="1305" t="s">
        <v>2019</v>
      </c>
      <c r="B109" s="1305" t="s">
        <v>1388</v>
      </c>
      <c r="C109" s="38" t="s">
        <v>1574</v>
      </c>
      <c r="D109" s="421"/>
      <c r="E109" s="184"/>
      <c r="F109" s="421"/>
      <c r="G109" s="716"/>
      <c r="H109" s="101"/>
      <c r="I109" s="101">
        <v>213000</v>
      </c>
      <c r="J109" s="101">
        <v>213000</v>
      </c>
      <c r="K109" s="102">
        <v>213000</v>
      </c>
      <c r="L109" s="10"/>
    </row>
    <row r="110" spans="1:12" s="146" customFormat="1" ht="18" customHeight="1" x14ac:dyDescent="0.25">
      <c r="A110" s="1305" t="s">
        <v>2019</v>
      </c>
      <c r="B110" s="1305" t="s">
        <v>1388</v>
      </c>
      <c r="C110" s="38" t="s">
        <v>1575</v>
      </c>
      <c r="D110" s="421"/>
      <c r="E110" s="184"/>
      <c r="F110" s="421"/>
      <c r="G110" s="716"/>
      <c r="H110" s="105"/>
      <c r="I110" s="105">
        <v>45000</v>
      </c>
      <c r="J110" s="105">
        <v>45000</v>
      </c>
      <c r="K110" s="106">
        <v>45000</v>
      </c>
      <c r="L110" s="10"/>
    </row>
    <row r="111" spans="1:12" s="146" customFormat="1" ht="18" customHeight="1" x14ac:dyDescent="0.25">
      <c r="A111" s="1305" t="s">
        <v>2019</v>
      </c>
      <c r="B111" s="1305" t="s">
        <v>1388</v>
      </c>
      <c r="C111" s="38" t="s">
        <v>1576</v>
      </c>
      <c r="D111" s="421"/>
      <c r="E111" s="184"/>
      <c r="F111" s="421"/>
      <c r="G111" s="716"/>
      <c r="H111" s="101"/>
      <c r="I111" s="101">
        <v>67000</v>
      </c>
      <c r="J111" s="101">
        <v>67000</v>
      </c>
      <c r="K111" s="102">
        <v>67000</v>
      </c>
      <c r="L111" s="10"/>
    </row>
    <row r="112" spans="1:12" s="146" customFormat="1" ht="18" x14ac:dyDescent="0.25">
      <c r="A112" s="1305" t="s">
        <v>2019</v>
      </c>
      <c r="B112" s="1305" t="s">
        <v>1388</v>
      </c>
      <c r="C112" s="38" t="s">
        <v>1577</v>
      </c>
      <c r="D112" s="421"/>
      <c r="E112" s="184"/>
      <c r="F112" s="421"/>
      <c r="G112" s="716"/>
      <c r="H112" s="101"/>
      <c r="I112" s="101">
        <v>45000</v>
      </c>
      <c r="J112" s="101">
        <v>45000</v>
      </c>
      <c r="K112" s="102">
        <v>45000</v>
      </c>
      <c r="L112" s="10"/>
    </row>
    <row r="113" spans="1:12" s="146" customFormat="1" ht="18" x14ac:dyDescent="0.25">
      <c r="A113" s="1305" t="s">
        <v>2019</v>
      </c>
      <c r="B113" s="1305" t="s">
        <v>1388</v>
      </c>
      <c r="C113" s="38" t="s">
        <v>1578</v>
      </c>
      <c r="D113" s="421"/>
      <c r="E113" s="184"/>
      <c r="F113" s="421"/>
      <c r="G113" s="716"/>
      <c r="H113" s="101"/>
      <c r="I113" s="101">
        <v>59000</v>
      </c>
      <c r="J113" s="101">
        <v>59000</v>
      </c>
      <c r="K113" s="102">
        <v>59000</v>
      </c>
      <c r="L113" s="10"/>
    </row>
    <row r="114" spans="1:12" s="146" customFormat="1" ht="18" customHeight="1" x14ac:dyDescent="0.25">
      <c r="A114" s="1305" t="s">
        <v>2019</v>
      </c>
      <c r="B114" s="1305" t="s">
        <v>1388</v>
      </c>
      <c r="C114" s="38" t="s">
        <v>1579</v>
      </c>
      <c r="D114" s="421"/>
      <c r="E114" s="184"/>
      <c r="F114" s="421"/>
      <c r="G114" s="716"/>
      <c r="H114" s="101"/>
      <c r="I114" s="101">
        <v>250000</v>
      </c>
      <c r="J114" s="101">
        <v>250000</v>
      </c>
      <c r="K114" s="102">
        <v>250000</v>
      </c>
      <c r="L114" s="10"/>
    </row>
    <row r="115" spans="1:12" s="146" customFormat="1" ht="18" x14ac:dyDescent="0.25">
      <c r="A115" s="1305" t="s">
        <v>2019</v>
      </c>
      <c r="B115" s="1305" t="s">
        <v>1388</v>
      </c>
      <c r="C115" s="38" t="s">
        <v>1580</v>
      </c>
      <c r="D115" s="421"/>
      <c r="E115" s="184"/>
      <c r="F115" s="421"/>
      <c r="G115" s="716"/>
      <c r="H115" s="101"/>
      <c r="I115" s="101">
        <v>460000</v>
      </c>
      <c r="J115" s="101">
        <v>460000</v>
      </c>
      <c r="K115" s="102">
        <v>460000</v>
      </c>
      <c r="L115" s="10"/>
    </row>
    <row r="116" spans="1:12" ht="18" x14ac:dyDescent="0.25">
      <c r="A116" s="1305" t="s">
        <v>2019</v>
      </c>
      <c r="B116" s="1305" t="s">
        <v>1388</v>
      </c>
      <c r="C116" s="38" t="s">
        <v>1581</v>
      </c>
      <c r="D116" s="421"/>
      <c r="E116" s="184"/>
      <c r="F116" s="421"/>
      <c r="G116" s="716"/>
      <c r="H116" s="101"/>
      <c r="I116" s="101">
        <v>2479500</v>
      </c>
      <c r="J116" s="101">
        <v>2479500</v>
      </c>
      <c r="K116" s="102">
        <v>2000000</v>
      </c>
    </row>
    <row r="117" spans="1:12" ht="18" x14ac:dyDescent="0.25">
      <c r="A117" s="1305" t="s">
        <v>2019</v>
      </c>
      <c r="B117" s="1305" t="s">
        <v>1388</v>
      </c>
      <c r="C117" s="38" t="s">
        <v>1582</v>
      </c>
      <c r="D117" s="204"/>
      <c r="E117" s="184"/>
      <c r="F117" s="204"/>
      <c r="G117" s="716"/>
      <c r="H117" s="101"/>
      <c r="I117" s="101">
        <v>1670000</v>
      </c>
      <c r="J117" s="101">
        <v>1670000</v>
      </c>
      <c r="K117" s="102">
        <v>1670000</v>
      </c>
    </row>
    <row r="118" spans="1:12" ht="18" x14ac:dyDescent="0.25">
      <c r="A118" s="1305" t="s">
        <v>2019</v>
      </c>
      <c r="B118" s="1305" t="s">
        <v>1388</v>
      </c>
      <c r="C118" s="1318" t="s">
        <v>1583</v>
      </c>
      <c r="D118" s="204"/>
      <c r="E118" s="422"/>
      <c r="F118" s="204"/>
      <c r="G118" s="716"/>
      <c r="H118" s="101"/>
      <c r="I118" s="101">
        <v>4821000</v>
      </c>
      <c r="J118" s="101">
        <v>4821000</v>
      </c>
      <c r="K118" s="102">
        <v>4821000</v>
      </c>
    </row>
    <row r="119" spans="1:12" ht="18" x14ac:dyDescent="0.25">
      <c r="A119" s="1305" t="s">
        <v>2019</v>
      </c>
      <c r="B119" s="1305" t="s">
        <v>1388</v>
      </c>
      <c r="C119" s="1318" t="s">
        <v>1584</v>
      </c>
      <c r="D119" s="204"/>
      <c r="E119" s="422"/>
      <c r="F119" s="204"/>
      <c r="G119" s="716"/>
      <c r="H119" s="101"/>
      <c r="I119" s="101">
        <v>400000</v>
      </c>
      <c r="J119" s="101">
        <v>400000</v>
      </c>
      <c r="K119" s="102">
        <v>400000</v>
      </c>
    </row>
    <row r="120" spans="1:12" ht="18" x14ac:dyDescent="0.25">
      <c r="A120" s="1305" t="s">
        <v>2019</v>
      </c>
      <c r="B120" s="1305" t="s">
        <v>1388</v>
      </c>
      <c r="C120" s="38" t="s">
        <v>1585</v>
      </c>
      <c r="D120" s="184"/>
      <c r="E120" s="184"/>
      <c r="F120" s="184"/>
      <c r="G120" s="716"/>
      <c r="H120" s="101"/>
      <c r="I120" s="101">
        <v>120000</v>
      </c>
      <c r="J120" s="101">
        <v>120000</v>
      </c>
      <c r="K120" s="102">
        <v>120000</v>
      </c>
    </row>
    <row r="121" spans="1:12" ht="18" x14ac:dyDescent="0.25">
      <c r="A121" s="1305" t="s">
        <v>2019</v>
      </c>
      <c r="B121" s="1305" t="s">
        <v>1388</v>
      </c>
      <c r="C121" s="38" t="s">
        <v>1586</v>
      </c>
      <c r="D121" s="204"/>
      <c r="E121" s="184"/>
      <c r="F121" s="204"/>
      <c r="G121" s="716"/>
      <c r="H121" s="101"/>
      <c r="I121" s="101">
        <v>170000</v>
      </c>
      <c r="J121" s="101">
        <v>170000</v>
      </c>
      <c r="K121" s="102">
        <v>170000</v>
      </c>
    </row>
    <row r="122" spans="1:12" ht="18" x14ac:dyDescent="0.25">
      <c r="A122" s="1305" t="s">
        <v>2019</v>
      </c>
      <c r="B122" s="1305" t="s">
        <v>1388</v>
      </c>
      <c r="C122" s="38" t="s">
        <v>1587</v>
      </c>
      <c r="D122" s="204"/>
      <c r="E122" s="184"/>
      <c r="F122" s="204"/>
      <c r="G122" s="716"/>
      <c r="H122" s="101"/>
      <c r="I122" s="101">
        <v>1160000</v>
      </c>
      <c r="J122" s="101">
        <v>1160000</v>
      </c>
      <c r="K122" s="102">
        <v>1000000</v>
      </c>
    </row>
    <row r="123" spans="1:12" ht="18" x14ac:dyDescent="0.25">
      <c r="A123" s="1305" t="s">
        <v>2019</v>
      </c>
      <c r="B123" s="1305" t="s">
        <v>1388</v>
      </c>
      <c r="C123" s="38" t="s">
        <v>1588</v>
      </c>
      <c r="D123" s="393"/>
      <c r="E123" s="184"/>
      <c r="F123" s="393"/>
      <c r="G123" s="716"/>
      <c r="H123" s="101"/>
      <c r="I123" s="101">
        <v>80000</v>
      </c>
      <c r="J123" s="101">
        <v>80000</v>
      </c>
      <c r="K123" s="102">
        <v>80000</v>
      </c>
    </row>
    <row r="124" spans="1:12" ht="18" x14ac:dyDescent="0.25">
      <c r="A124" s="1305" t="s">
        <v>2019</v>
      </c>
      <c r="B124" s="1305" t="s">
        <v>1388</v>
      </c>
      <c r="C124" s="44" t="s">
        <v>1594</v>
      </c>
      <c r="D124" s="402"/>
      <c r="E124" s="125"/>
      <c r="F124" s="125"/>
      <c r="G124" s="716"/>
      <c r="H124" s="101"/>
      <c r="I124" s="101">
        <v>100000</v>
      </c>
      <c r="J124" s="101">
        <v>100000</v>
      </c>
      <c r="K124" s="102">
        <v>100000</v>
      </c>
    </row>
    <row r="125" spans="1:12" ht="18" x14ac:dyDescent="0.25">
      <c r="A125" s="1305" t="s">
        <v>2019</v>
      </c>
      <c r="B125" s="1305" t="s">
        <v>1388</v>
      </c>
      <c r="C125" s="44" t="s">
        <v>1595</v>
      </c>
      <c r="D125" s="402"/>
      <c r="E125" s="125"/>
      <c r="F125" s="125"/>
      <c r="G125" s="1336"/>
      <c r="H125" s="105"/>
      <c r="I125" s="105"/>
      <c r="J125" s="105"/>
      <c r="K125" s="106"/>
    </row>
    <row r="126" spans="1:12" s="146" customFormat="1" ht="18" customHeight="1" x14ac:dyDescent="0.25">
      <c r="A126" s="1305" t="s">
        <v>2019</v>
      </c>
      <c r="B126" s="1305" t="s">
        <v>1388</v>
      </c>
      <c r="C126" s="44" t="s">
        <v>1596</v>
      </c>
      <c r="D126" s="402"/>
      <c r="E126" s="125"/>
      <c r="F126" s="125"/>
      <c r="G126" s="716"/>
      <c r="H126" s="101"/>
      <c r="I126" s="101">
        <v>20000</v>
      </c>
      <c r="J126" s="101">
        <v>20000</v>
      </c>
      <c r="K126" s="102">
        <v>20000</v>
      </c>
      <c r="L126" s="10"/>
    </row>
    <row r="127" spans="1:12" s="146" customFormat="1" ht="18" customHeight="1" x14ac:dyDescent="0.25">
      <c r="A127" s="1305" t="s">
        <v>2019</v>
      </c>
      <c r="B127" s="1305" t="s">
        <v>1388</v>
      </c>
      <c r="C127" s="170" t="s">
        <v>1597</v>
      </c>
      <c r="D127" s="170"/>
      <c r="E127" s="125"/>
      <c r="F127" s="125"/>
      <c r="G127" s="716"/>
      <c r="H127" s="101"/>
      <c r="I127" s="101">
        <v>500000</v>
      </c>
      <c r="J127" s="101">
        <v>500000</v>
      </c>
      <c r="K127" s="102">
        <v>500000</v>
      </c>
      <c r="L127" s="10"/>
    </row>
    <row r="128" spans="1:12" s="146" customFormat="1" ht="18" customHeight="1" x14ac:dyDescent="0.25">
      <c r="A128" s="1305" t="s">
        <v>2019</v>
      </c>
      <c r="B128" s="1305" t="s">
        <v>1388</v>
      </c>
      <c r="C128" s="170" t="s">
        <v>1598</v>
      </c>
      <c r="D128" s="170"/>
      <c r="E128" s="125"/>
      <c r="F128" s="125"/>
      <c r="G128" s="716"/>
      <c r="H128" s="101"/>
      <c r="I128" s="101">
        <v>860000</v>
      </c>
      <c r="J128" s="101">
        <v>860000</v>
      </c>
      <c r="K128" s="102">
        <v>860000</v>
      </c>
      <c r="L128" s="10"/>
    </row>
    <row r="129" spans="1:12" s="146" customFormat="1" ht="18" customHeight="1" x14ac:dyDescent="0.25">
      <c r="A129" s="1305" t="s">
        <v>2019</v>
      </c>
      <c r="B129" s="1305" t="s">
        <v>1388</v>
      </c>
      <c r="C129" s="44" t="s">
        <v>1599</v>
      </c>
      <c r="D129" s="402"/>
      <c r="E129" s="125"/>
      <c r="F129" s="125"/>
      <c r="G129" s="716"/>
      <c r="H129" s="101"/>
      <c r="I129" s="101">
        <v>20000</v>
      </c>
      <c r="J129" s="101">
        <v>20000</v>
      </c>
      <c r="K129" s="102">
        <v>20000</v>
      </c>
      <c r="L129" s="10"/>
    </row>
    <row r="130" spans="1:12" s="146" customFormat="1" ht="18" customHeight="1" x14ac:dyDescent="0.25">
      <c r="A130" s="1305" t="s">
        <v>2019</v>
      </c>
      <c r="B130" s="1305" t="s">
        <v>1388</v>
      </c>
      <c r="C130" s="44" t="s">
        <v>1600</v>
      </c>
      <c r="D130" s="402"/>
      <c r="E130" s="125"/>
      <c r="F130" s="125"/>
      <c r="G130" s="716"/>
      <c r="H130" s="101"/>
      <c r="I130" s="101">
        <v>10000</v>
      </c>
      <c r="J130" s="101">
        <v>10000</v>
      </c>
      <c r="K130" s="102">
        <v>10000</v>
      </c>
      <c r="L130" s="10"/>
    </row>
    <row r="131" spans="1:12" s="146" customFormat="1" ht="18" x14ac:dyDescent="0.25">
      <c r="A131" s="1305" t="s">
        <v>2019</v>
      </c>
      <c r="B131" s="1305" t="s">
        <v>1388</v>
      </c>
      <c r="C131" s="44" t="s">
        <v>1601</v>
      </c>
      <c r="D131" s="402"/>
      <c r="E131" s="125"/>
      <c r="F131" s="125"/>
      <c r="G131" s="716"/>
      <c r="H131" s="101"/>
      <c r="I131" s="101">
        <v>100000</v>
      </c>
      <c r="J131" s="101">
        <v>100000</v>
      </c>
      <c r="K131" s="102">
        <v>100000</v>
      </c>
      <c r="L131" s="10"/>
    </row>
    <row r="132" spans="1:12" s="146" customFormat="1" ht="18" customHeight="1" x14ac:dyDescent="0.25">
      <c r="A132" s="1305" t="s">
        <v>2019</v>
      </c>
      <c r="B132" s="1305" t="s">
        <v>1388</v>
      </c>
      <c r="C132" s="170" t="s">
        <v>1602</v>
      </c>
      <c r="D132" s="170"/>
      <c r="E132" s="125"/>
      <c r="F132" s="125"/>
      <c r="G132" s="716"/>
      <c r="H132" s="101"/>
      <c r="I132" s="101">
        <v>30000</v>
      </c>
      <c r="J132" s="101">
        <v>30000</v>
      </c>
      <c r="K132" s="102">
        <v>30000</v>
      </c>
      <c r="L132" s="10"/>
    </row>
    <row r="133" spans="1:12" s="146" customFormat="1" ht="18" customHeight="1" x14ac:dyDescent="0.25">
      <c r="A133" s="1305" t="s">
        <v>2019</v>
      </c>
      <c r="B133" s="1305" t="s">
        <v>1388</v>
      </c>
      <c r="C133" s="44" t="s">
        <v>1603</v>
      </c>
      <c r="D133" s="402"/>
      <c r="E133" s="125"/>
      <c r="F133" s="125"/>
      <c r="G133" s="716"/>
      <c r="H133" s="101"/>
      <c r="I133" s="101">
        <v>100000</v>
      </c>
      <c r="J133" s="101">
        <v>100000</v>
      </c>
      <c r="K133" s="102">
        <v>100000</v>
      </c>
      <c r="L133" s="10"/>
    </row>
    <row r="134" spans="1:12" s="146" customFormat="1" ht="18" customHeight="1" x14ac:dyDescent="0.25">
      <c r="A134" s="1305" t="s">
        <v>2019</v>
      </c>
      <c r="B134" s="1305" t="s">
        <v>1388</v>
      </c>
      <c r="C134" s="44" t="s">
        <v>1604</v>
      </c>
      <c r="D134" s="402"/>
      <c r="E134" s="125"/>
      <c r="F134" s="125"/>
      <c r="G134" s="716"/>
      <c r="H134" s="101"/>
      <c r="I134" s="101">
        <v>20000</v>
      </c>
      <c r="J134" s="101">
        <v>20000</v>
      </c>
      <c r="K134" s="102">
        <v>20000</v>
      </c>
      <c r="L134" s="10"/>
    </row>
    <row r="135" spans="1:12" s="146" customFormat="1" ht="18" customHeight="1" x14ac:dyDescent="0.25">
      <c r="A135" s="1305" t="s">
        <v>2019</v>
      </c>
      <c r="B135" s="1305" t="s">
        <v>1388</v>
      </c>
      <c r="C135" s="652" t="s">
        <v>1605</v>
      </c>
      <c r="D135" s="652"/>
      <c r="E135" s="192"/>
      <c r="F135" s="192"/>
      <c r="G135" s="1177"/>
      <c r="H135" s="102"/>
      <c r="I135" s="102">
        <v>50000</v>
      </c>
      <c r="J135" s="102">
        <v>50000</v>
      </c>
      <c r="K135" s="102">
        <v>50000</v>
      </c>
      <c r="L135" s="10"/>
    </row>
    <row r="136" spans="1:12" s="146" customFormat="1" ht="18" x14ac:dyDescent="0.25">
      <c r="A136" s="1305" t="s">
        <v>2019</v>
      </c>
      <c r="B136" s="1305" t="s">
        <v>1388</v>
      </c>
      <c r="C136" s="652" t="s">
        <v>1606</v>
      </c>
      <c r="D136" s="652"/>
      <c r="E136" s="192"/>
      <c r="F136" s="192"/>
      <c r="G136" s="1177"/>
      <c r="H136" s="102"/>
      <c r="I136" s="102">
        <v>205000</v>
      </c>
      <c r="J136" s="102">
        <v>205000</v>
      </c>
      <c r="K136" s="102">
        <v>205000</v>
      </c>
      <c r="L136" s="10"/>
    </row>
    <row r="137" spans="1:12" s="146" customFormat="1" ht="18" customHeight="1" x14ac:dyDescent="0.25">
      <c r="A137" s="1305" t="s">
        <v>2019</v>
      </c>
      <c r="B137" s="1305" t="s">
        <v>1388</v>
      </c>
      <c r="C137" s="180" t="s">
        <v>1702</v>
      </c>
      <c r="D137" s="180"/>
      <c r="E137" s="180"/>
      <c r="F137" s="180"/>
      <c r="G137" s="143"/>
      <c r="H137" s="101"/>
      <c r="I137" s="101"/>
      <c r="J137" s="101"/>
      <c r="K137" s="102">
        <v>500000</v>
      </c>
      <c r="L137" s="10"/>
    </row>
    <row r="138" spans="1:12" s="146" customFormat="1" ht="18" x14ac:dyDescent="0.25">
      <c r="A138" s="1305" t="s">
        <v>2019</v>
      </c>
      <c r="B138" s="1305" t="s">
        <v>1388</v>
      </c>
      <c r="C138" s="180" t="s">
        <v>1703</v>
      </c>
      <c r="D138" s="180"/>
      <c r="E138" s="180"/>
      <c r="F138" s="180"/>
      <c r="G138" s="1177"/>
      <c r="H138" s="101"/>
      <c r="I138" s="101">
        <v>500000</v>
      </c>
      <c r="J138" s="101">
        <v>500000</v>
      </c>
      <c r="K138" s="102">
        <v>500000</v>
      </c>
      <c r="L138" s="10"/>
    </row>
    <row r="139" spans="1:12" s="146" customFormat="1" ht="72" x14ac:dyDescent="0.25">
      <c r="A139" s="1305" t="s">
        <v>2019</v>
      </c>
      <c r="B139" s="1305" t="s">
        <v>1388</v>
      </c>
      <c r="C139" s="1317" t="s">
        <v>1704</v>
      </c>
      <c r="D139" s="1317"/>
      <c r="E139" s="427"/>
      <c r="F139" s="427"/>
      <c r="G139" s="1177"/>
      <c r="H139" s="101"/>
      <c r="I139" s="101">
        <v>200000</v>
      </c>
      <c r="J139" s="101">
        <v>200000</v>
      </c>
      <c r="K139" s="102">
        <v>200000</v>
      </c>
      <c r="L139" s="10"/>
    </row>
    <row r="140" spans="1:12" s="146" customFormat="1" ht="18" x14ac:dyDescent="0.25">
      <c r="A140" s="1305" t="s">
        <v>2019</v>
      </c>
      <c r="B140" s="1305" t="s">
        <v>1388</v>
      </c>
      <c r="C140" s="38" t="s">
        <v>1705</v>
      </c>
      <c r="D140" s="303"/>
      <c r="E140" s="199"/>
      <c r="F140" s="199"/>
      <c r="G140" s="716"/>
      <c r="H140" s="101"/>
      <c r="I140" s="101">
        <v>300000</v>
      </c>
      <c r="J140" s="101">
        <v>300000</v>
      </c>
      <c r="K140" s="102">
        <v>300000</v>
      </c>
      <c r="L140" s="10"/>
    </row>
    <row r="141" spans="1:12" s="146" customFormat="1" ht="18" customHeight="1" x14ac:dyDescent="0.25">
      <c r="A141" s="1305" t="s">
        <v>2019</v>
      </c>
      <c r="B141" s="1305" t="s">
        <v>1388</v>
      </c>
      <c r="C141" s="38" t="s">
        <v>1706</v>
      </c>
      <c r="D141" s="303"/>
      <c r="E141" s="199"/>
      <c r="F141" s="199"/>
      <c r="G141" s="716"/>
      <c r="H141" s="101"/>
      <c r="I141" s="101">
        <v>500000</v>
      </c>
      <c r="J141" s="101">
        <v>500000</v>
      </c>
      <c r="K141" s="102">
        <v>500000</v>
      </c>
      <c r="L141" s="10"/>
    </row>
    <row r="142" spans="1:12" s="146" customFormat="1" ht="18" customHeight="1" x14ac:dyDescent="0.25">
      <c r="A142" s="1305" t="s">
        <v>2019</v>
      </c>
      <c r="B142" s="1305" t="s">
        <v>1388</v>
      </c>
      <c r="C142" s="1313" t="s">
        <v>1707</v>
      </c>
      <c r="D142" s="1315"/>
      <c r="E142" s="427"/>
      <c r="F142" s="427"/>
      <c r="G142" s="1177"/>
      <c r="H142" s="101"/>
      <c r="I142" s="101">
        <v>100000</v>
      </c>
      <c r="J142" s="101">
        <v>100000</v>
      </c>
      <c r="K142" s="102">
        <v>100000</v>
      </c>
      <c r="L142" s="10"/>
    </row>
    <row r="143" spans="1:12" s="146" customFormat="1" ht="18" customHeight="1" x14ac:dyDescent="0.25">
      <c r="A143" s="1305" t="s">
        <v>2019</v>
      </c>
      <c r="B143" s="1305" t="s">
        <v>1388</v>
      </c>
      <c r="C143" s="180" t="s">
        <v>1708</v>
      </c>
      <c r="D143" s="1340"/>
      <c r="E143" s="180"/>
      <c r="F143" s="38"/>
      <c r="G143" s="1335"/>
      <c r="H143" s="102"/>
      <c r="I143" s="102">
        <v>6000000</v>
      </c>
      <c r="J143" s="102">
        <v>6000000</v>
      </c>
      <c r="K143" s="102">
        <v>6000000</v>
      </c>
      <c r="L143" s="10"/>
    </row>
    <row r="144" spans="1:12" s="146" customFormat="1" ht="18" customHeight="1" x14ac:dyDescent="0.25">
      <c r="A144" s="1305" t="s">
        <v>2019</v>
      </c>
      <c r="B144" s="1305" t="s">
        <v>1388</v>
      </c>
      <c r="C144" s="1313" t="s">
        <v>1709</v>
      </c>
      <c r="D144" s="1312"/>
      <c r="E144" s="180"/>
      <c r="F144" s="180"/>
      <c r="G144" s="1338"/>
      <c r="H144" s="102"/>
      <c r="I144" s="102">
        <v>2000000</v>
      </c>
      <c r="J144" s="102">
        <v>2000000</v>
      </c>
      <c r="K144" s="102">
        <v>2000000</v>
      </c>
      <c r="L144" s="10"/>
    </row>
    <row r="145" spans="1:12" s="146" customFormat="1" ht="18" customHeight="1" x14ac:dyDescent="0.25">
      <c r="A145" s="1305" t="s">
        <v>2019</v>
      </c>
      <c r="B145" s="1305" t="s">
        <v>1388</v>
      </c>
      <c r="C145" s="38" t="s">
        <v>1711</v>
      </c>
      <c r="D145" s="199"/>
      <c r="E145" s="199"/>
      <c r="F145" s="199"/>
      <c r="G145" s="716"/>
      <c r="H145" s="105"/>
      <c r="I145" s="105">
        <v>1000000</v>
      </c>
      <c r="J145" s="105">
        <v>1000000</v>
      </c>
      <c r="K145" s="106">
        <v>1000000</v>
      </c>
      <c r="L145" s="10"/>
    </row>
    <row r="146" spans="1:12" s="146" customFormat="1" ht="18" customHeight="1" x14ac:dyDescent="0.25">
      <c r="A146" s="1305" t="s">
        <v>2019</v>
      </c>
      <c r="B146" s="1305" t="s">
        <v>1388</v>
      </c>
      <c r="C146" s="38" t="s">
        <v>1712</v>
      </c>
      <c r="D146" s="199"/>
      <c r="E146" s="199"/>
      <c r="F146" s="199"/>
      <c r="G146" s="716"/>
      <c r="H146" s="101"/>
      <c r="I146" s="101">
        <v>350000</v>
      </c>
      <c r="J146" s="101">
        <v>350000</v>
      </c>
      <c r="K146" s="102">
        <v>350000</v>
      </c>
      <c r="L146" s="10"/>
    </row>
    <row r="147" spans="1:12" s="146" customFormat="1" ht="18" x14ac:dyDescent="0.25">
      <c r="A147" s="1305" t="s">
        <v>2019</v>
      </c>
      <c r="B147" s="1305" t="s">
        <v>1388</v>
      </c>
      <c r="C147" s="38" t="s">
        <v>1713</v>
      </c>
      <c r="D147" s="199"/>
      <c r="E147" s="199"/>
      <c r="F147" s="199"/>
      <c r="G147" s="716"/>
      <c r="H147" s="101"/>
      <c r="I147" s="101">
        <v>5000000</v>
      </c>
      <c r="J147" s="101">
        <v>5000000</v>
      </c>
      <c r="K147" s="102">
        <v>5000000</v>
      </c>
      <c r="L147" s="10"/>
    </row>
    <row r="148" spans="1:12" s="146" customFormat="1" ht="18" x14ac:dyDescent="0.25">
      <c r="A148" s="1305" t="s">
        <v>2019</v>
      </c>
      <c r="B148" s="1305" t="s">
        <v>1388</v>
      </c>
      <c r="C148" s="38" t="s">
        <v>1714</v>
      </c>
      <c r="D148" s="199"/>
      <c r="E148" s="199"/>
      <c r="F148" s="199"/>
      <c r="G148" s="716"/>
      <c r="H148" s="101"/>
      <c r="I148" s="101">
        <v>500000</v>
      </c>
      <c r="J148" s="101">
        <v>500000</v>
      </c>
      <c r="K148" s="102">
        <v>500000</v>
      </c>
      <c r="L148" s="10"/>
    </row>
    <row r="149" spans="1:12" ht="18" x14ac:dyDescent="0.25">
      <c r="A149" s="1305" t="s">
        <v>2019</v>
      </c>
      <c r="B149" s="1305" t="s">
        <v>1388</v>
      </c>
      <c r="C149" s="38" t="s">
        <v>1715</v>
      </c>
      <c r="D149" s="199"/>
      <c r="E149" s="199"/>
      <c r="F149" s="199"/>
      <c r="G149" s="716"/>
      <c r="H149" s="101"/>
      <c r="I149" s="101">
        <v>6000000</v>
      </c>
      <c r="J149" s="101">
        <v>6000000</v>
      </c>
      <c r="K149" s="102">
        <v>1000000</v>
      </c>
    </row>
    <row r="150" spans="1:12" ht="18" x14ac:dyDescent="0.25">
      <c r="A150" s="1305" t="s">
        <v>2019</v>
      </c>
      <c r="B150" s="1305" t="s">
        <v>1388</v>
      </c>
      <c r="C150" s="38" t="s">
        <v>1716</v>
      </c>
      <c r="D150" s="199"/>
      <c r="E150" s="199"/>
      <c r="F150" s="199"/>
      <c r="G150" s="716"/>
      <c r="H150" s="101"/>
      <c r="I150" s="101">
        <v>500000</v>
      </c>
      <c r="J150" s="101">
        <v>500000</v>
      </c>
      <c r="K150" s="102">
        <v>500000</v>
      </c>
    </row>
    <row r="151" spans="1:12" ht="18" x14ac:dyDescent="0.25">
      <c r="A151" s="1305" t="s">
        <v>2019</v>
      </c>
      <c r="B151" s="1305" t="s">
        <v>1388</v>
      </c>
      <c r="C151" s="206" t="s">
        <v>1717</v>
      </c>
      <c r="D151" s="1321"/>
      <c r="E151" s="199"/>
      <c r="F151" s="199"/>
      <c r="G151" s="716"/>
      <c r="H151" s="101"/>
      <c r="I151" s="101">
        <v>500000</v>
      </c>
      <c r="J151" s="101">
        <v>500000</v>
      </c>
      <c r="K151" s="102">
        <v>500000</v>
      </c>
    </row>
    <row r="152" spans="1:12" ht="18" x14ac:dyDescent="0.25">
      <c r="A152" s="1305" t="s">
        <v>2019</v>
      </c>
      <c r="B152" s="1305" t="s">
        <v>1388</v>
      </c>
      <c r="C152" s="180" t="s">
        <v>1718</v>
      </c>
      <c r="D152" s="1317"/>
      <c r="E152" s="199"/>
      <c r="F152" s="199"/>
      <c r="G152" s="716"/>
      <c r="H152" s="101"/>
      <c r="I152" s="101"/>
      <c r="J152" s="101"/>
      <c r="K152" s="102">
        <v>1500000</v>
      </c>
    </row>
    <row r="153" spans="1:12" ht="18" x14ac:dyDescent="0.25">
      <c r="A153" s="1305" t="s">
        <v>2019</v>
      </c>
      <c r="B153" s="1305" t="s">
        <v>1388</v>
      </c>
      <c r="C153" s="180" t="s">
        <v>1720</v>
      </c>
      <c r="D153" s="1317"/>
      <c r="E153" s="125"/>
      <c r="F153" s="125"/>
      <c r="G153" s="143"/>
      <c r="H153" s="101"/>
      <c r="I153" s="101"/>
      <c r="J153" s="101"/>
      <c r="K153" s="102">
        <v>400000</v>
      </c>
      <c r="L153" s="10">
        <f>SUM(K105:K153)</f>
        <v>37657000</v>
      </c>
    </row>
    <row r="154" spans="1:12" ht="18" x14ac:dyDescent="0.25">
      <c r="A154" s="1305"/>
      <c r="B154" s="1305"/>
      <c r="C154" s="180"/>
      <c r="D154" s="1317"/>
      <c r="E154" s="125"/>
      <c r="F154" s="125"/>
      <c r="G154" s="143"/>
      <c r="H154" s="101"/>
      <c r="I154" s="101"/>
      <c r="J154" s="101"/>
      <c r="K154" s="102"/>
    </row>
    <row r="155" spans="1:12" s="48" customFormat="1" ht="18" customHeight="1" x14ac:dyDescent="0.25">
      <c r="A155" s="1305" t="s">
        <v>163</v>
      </c>
      <c r="B155" s="1305" t="s">
        <v>1317</v>
      </c>
      <c r="C155" s="44" t="s">
        <v>399</v>
      </c>
      <c r="D155" s="125"/>
      <c r="E155" s="125"/>
      <c r="F155" s="125"/>
      <c r="G155" s="143" t="s">
        <v>395</v>
      </c>
      <c r="H155" s="101"/>
      <c r="I155" s="101">
        <v>760000</v>
      </c>
      <c r="J155" s="101">
        <v>760000</v>
      </c>
      <c r="K155" s="102">
        <v>760000</v>
      </c>
      <c r="L155" s="6"/>
    </row>
    <row r="156" spans="1:12" s="48" customFormat="1" ht="18" customHeight="1" x14ac:dyDescent="0.25">
      <c r="A156" s="1305" t="s">
        <v>163</v>
      </c>
      <c r="B156" s="1305" t="s">
        <v>1317</v>
      </c>
      <c r="C156" s="180" t="s">
        <v>398</v>
      </c>
      <c r="D156" s="225"/>
      <c r="E156" s="225"/>
      <c r="F156" s="225"/>
      <c r="G156" s="1334" t="s">
        <v>395</v>
      </c>
      <c r="H156" s="101"/>
      <c r="I156" s="101">
        <v>55900</v>
      </c>
      <c r="J156" s="101">
        <v>55900</v>
      </c>
      <c r="K156" s="102">
        <v>55900</v>
      </c>
      <c r="L156" s="6"/>
    </row>
    <row r="157" spans="1:12" s="48" customFormat="1" ht="18" customHeight="1" x14ac:dyDescent="0.25">
      <c r="A157" s="1305" t="s">
        <v>163</v>
      </c>
      <c r="B157" s="1305" t="s">
        <v>1317</v>
      </c>
      <c r="C157" s="180" t="s">
        <v>397</v>
      </c>
      <c r="D157" s="225"/>
      <c r="E157" s="225"/>
      <c r="F157" s="225"/>
      <c r="G157" s="1334" t="s">
        <v>395</v>
      </c>
      <c r="H157" s="101"/>
      <c r="I157" s="101">
        <v>1465000</v>
      </c>
      <c r="J157" s="101">
        <v>1465000</v>
      </c>
      <c r="K157" s="102">
        <v>1465000</v>
      </c>
      <c r="L157" s="6"/>
    </row>
    <row r="158" spans="1:12" s="48" customFormat="1" ht="18" customHeight="1" x14ac:dyDescent="0.25">
      <c r="A158" s="1305" t="s">
        <v>163</v>
      </c>
      <c r="B158" s="1305" t="s">
        <v>1317</v>
      </c>
      <c r="C158" s="180" t="s">
        <v>396</v>
      </c>
      <c r="D158" s="225"/>
      <c r="E158" s="225"/>
      <c r="F158" s="225"/>
      <c r="G158" s="1334" t="s">
        <v>395</v>
      </c>
      <c r="H158" s="101"/>
      <c r="I158" s="101">
        <v>339000</v>
      </c>
      <c r="J158" s="101">
        <v>339000</v>
      </c>
      <c r="K158" s="102">
        <v>339000</v>
      </c>
      <c r="L158" s="6"/>
    </row>
    <row r="159" spans="1:12" s="48" customFormat="1" ht="18" customHeight="1" x14ac:dyDescent="0.25">
      <c r="A159" s="1305" t="s">
        <v>163</v>
      </c>
      <c r="B159" s="1305" t="s">
        <v>1317</v>
      </c>
      <c r="C159" s="44" t="s">
        <v>426</v>
      </c>
      <c r="D159" s="125"/>
      <c r="E159" s="125"/>
      <c r="F159" s="125"/>
      <c r="G159" s="143" t="s">
        <v>427</v>
      </c>
      <c r="H159" s="101"/>
      <c r="I159" s="101">
        <v>956025</v>
      </c>
      <c r="J159" s="101">
        <v>956025</v>
      </c>
      <c r="K159" s="102">
        <v>956025</v>
      </c>
      <c r="L159" s="6"/>
    </row>
    <row r="160" spans="1:12" s="48" customFormat="1" ht="18" customHeight="1" x14ac:dyDescent="0.25">
      <c r="A160" s="1305" t="s">
        <v>163</v>
      </c>
      <c r="B160" s="1305" t="s">
        <v>1317</v>
      </c>
      <c r="C160" s="44" t="s">
        <v>190</v>
      </c>
      <c r="D160" s="113"/>
      <c r="E160" s="113"/>
      <c r="F160" s="113"/>
      <c r="G160" s="716" t="s">
        <v>191</v>
      </c>
      <c r="H160" s="101"/>
      <c r="I160" s="101">
        <v>250000</v>
      </c>
      <c r="J160" s="101">
        <v>250000</v>
      </c>
      <c r="K160" s="102">
        <v>120000</v>
      </c>
      <c r="L160" s="6"/>
    </row>
    <row r="161" spans="1:12" s="48" customFormat="1" ht="18" customHeight="1" x14ac:dyDescent="0.25">
      <c r="A161" s="1305" t="s">
        <v>163</v>
      </c>
      <c r="B161" s="1305" t="s">
        <v>1317</v>
      </c>
      <c r="C161" s="38" t="s">
        <v>190</v>
      </c>
      <c r="D161" s="184"/>
      <c r="E161" s="184"/>
      <c r="F161" s="184"/>
      <c r="G161" s="143" t="s">
        <v>191</v>
      </c>
      <c r="H161" s="101"/>
      <c r="I161" s="101">
        <v>150000</v>
      </c>
      <c r="J161" s="101">
        <v>150000</v>
      </c>
      <c r="K161" s="102">
        <v>50000</v>
      </c>
      <c r="L161" s="6">
        <f>SUM(K160:K161)</f>
        <v>170000</v>
      </c>
    </row>
    <row r="162" spans="1:12" s="48" customFormat="1" ht="18" customHeight="1" x14ac:dyDescent="0.25">
      <c r="A162" s="1305" t="s">
        <v>163</v>
      </c>
      <c r="B162" s="1305" t="s">
        <v>1317</v>
      </c>
      <c r="C162" s="180" t="s">
        <v>1547</v>
      </c>
      <c r="D162" s="1317"/>
      <c r="E162" s="1317"/>
      <c r="F162" s="192"/>
      <c r="G162" s="1177"/>
      <c r="H162" s="101"/>
      <c r="I162" s="101">
        <v>500000</v>
      </c>
      <c r="J162" s="101">
        <v>500000</v>
      </c>
      <c r="K162" s="102">
        <v>350000</v>
      </c>
      <c r="L162" s="6"/>
    </row>
    <row r="163" spans="1:12" s="48" customFormat="1" ht="18" customHeight="1" x14ac:dyDescent="0.25">
      <c r="A163" s="1305" t="s">
        <v>163</v>
      </c>
      <c r="B163" s="1305" t="s">
        <v>1317</v>
      </c>
      <c r="C163" s="38" t="s">
        <v>1562</v>
      </c>
      <c r="D163" s="125"/>
      <c r="E163" s="199"/>
      <c r="F163" s="1305"/>
      <c r="G163" s="716"/>
      <c r="H163" s="101"/>
      <c r="I163" s="101"/>
      <c r="J163" s="101"/>
      <c r="K163" s="102">
        <v>7200</v>
      </c>
      <c r="L163" s="6"/>
    </row>
    <row r="164" spans="1:12" s="48" customFormat="1" ht="18" customHeight="1" x14ac:dyDescent="0.25">
      <c r="A164" s="1305" t="s">
        <v>163</v>
      </c>
      <c r="B164" s="1305" t="s">
        <v>1317</v>
      </c>
      <c r="C164" s="44" t="s">
        <v>1562</v>
      </c>
      <c r="D164" s="125"/>
      <c r="E164" s="125"/>
      <c r="F164" s="125"/>
      <c r="G164" s="143" t="s">
        <v>218</v>
      </c>
      <c r="H164" s="101"/>
      <c r="I164" s="101">
        <v>5700</v>
      </c>
      <c r="J164" s="101">
        <v>5700</v>
      </c>
      <c r="K164" s="102">
        <v>5700</v>
      </c>
      <c r="L164" s="6">
        <f>SUM(K163:K164)</f>
        <v>12900</v>
      </c>
    </row>
    <row r="165" spans="1:12" s="48" customFormat="1" ht="18" customHeight="1" x14ac:dyDescent="0.25">
      <c r="A165" s="1305" t="s">
        <v>163</v>
      </c>
      <c r="B165" s="1305" t="s">
        <v>1317</v>
      </c>
      <c r="C165" s="44" t="s">
        <v>1550</v>
      </c>
      <c r="D165" s="113"/>
      <c r="E165" s="113"/>
      <c r="F165" s="113"/>
      <c r="G165" s="716"/>
      <c r="H165" s="101"/>
      <c r="I165" s="101">
        <v>1500000</v>
      </c>
      <c r="J165" s="101">
        <v>1500000</v>
      </c>
      <c r="K165" s="102">
        <v>1000000</v>
      </c>
      <c r="L165" s="6"/>
    </row>
    <row r="166" spans="1:12" s="48" customFormat="1" ht="18" customHeight="1" x14ac:dyDescent="0.25">
      <c r="A166" s="1305" t="s">
        <v>163</v>
      </c>
      <c r="B166" s="1305" t="s">
        <v>1317</v>
      </c>
      <c r="C166" s="44" t="s">
        <v>384</v>
      </c>
      <c r="D166" s="125"/>
      <c r="E166" s="125"/>
      <c r="F166" s="125"/>
      <c r="G166" s="1337" t="s">
        <v>385</v>
      </c>
      <c r="H166" s="101"/>
      <c r="I166" s="101">
        <v>10000000</v>
      </c>
      <c r="J166" s="101">
        <v>10000000</v>
      </c>
      <c r="K166" s="102">
        <v>10000000</v>
      </c>
      <c r="L166" s="6"/>
    </row>
    <row r="167" spans="1:12" s="48" customFormat="1" ht="18" customHeight="1" x14ac:dyDescent="0.25">
      <c r="A167" s="1305" t="s">
        <v>163</v>
      </c>
      <c r="B167" s="1305" t="s">
        <v>1317</v>
      </c>
      <c r="C167" s="44" t="s">
        <v>184</v>
      </c>
      <c r="D167" s="113"/>
      <c r="E167" s="113"/>
      <c r="F167" s="113"/>
      <c r="G167" s="716" t="s">
        <v>185</v>
      </c>
      <c r="H167" s="101"/>
      <c r="I167" s="102">
        <v>251928</v>
      </c>
      <c r="J167" s="102">
        <v>251928</v>
      </c>
      <c r="K167" s="102">
        <v>251928</v>
      </c>
      <c r="L167" s="6"/>
    </row>
    <row r="168" spans="1:12" s="48" customFormat="1" ht="18" customHeight="1" x14ac:dyDescent="0.25">
      <c r="A168" s="1305" t="s">
        <v>163</v>
      </c>
      <c r="B168" s="1305" t="s">
        <v>1317</v>
      </c>
      <c r="C168" s="44" t="s">
        <v>430</v>
      </c>
      <c r="D168" s="125"/>
      <c r="E168" s="125"/>
      <c r="F168" s="125"/>
      <c r="G168" s="143" t="s">
        <v>431</v>
      </c>
      <c r="H168" s="101"/>
      <c r="I168" s="101">
        <v>475000</v>
      </c>
      <c r="J168" s="101">
        <v>475000</v>
      </c>
      <c r="K168" s="106">
        <v>475000</v>
      </c>
      <c r="L168" s="6"/>
    </row>
    <row r="169" spans="1:12" s="48" customFormat="1" ht="18" customHeight="1" x14ac:dyDescent="0.25">
      <c r="A169" s="1305" t="s">
        <v>163</v>
      </c>
      <c r="B169" s="1305" t="s">
        <v>1317</v>
      </c>
      <c r="C169" s="44" t="s">
        <v>1615</v>
      </c>
      <c r="D169" s="170"/>
      <c r="E169" s="170"/>
      <c r="F169" s="170"/>
      <c r="G169" s="1333"/>
      <c r="H169" s="102"/>
      <c r="I169" s="102"/>
      <c r="J169" s="102"/>
      <c r="K169" s="102">
        <v>600000</v>
      </c>
      <c r="L169" s="6"/>
    </row>
    <row r="170" spans="1:12" s="48" customFormat="1" ht="18" customHeight="1" x14ac:dyDescent="0.25">
      <c r="A170" s="1305" t="s">
        <v>163</v>
      </c>
      <c r="B170" s="1305" t="s">
        <v>1317</v>
      </c>
      <c r="C170" s="44" t="s">
        <v>172</v>
      </c>
      <c r="D170" s="113"/>
      <c r="E170" s="113"/>
      <c r="F170" s="113"/>
      <c r="G170" s="716" t="s">
        <v>173</v>
      </c>
      <c r="H170" s="101"/>
      <c r="I170" s="101"/>
      <c r="J170" s="101"/>
      <c r="K170" s="102">
        <v>1000000</v>
      </c>
      <c r="L170" s="6"/>
    </row>
    <row r="171" spans="1:12" s="48" customFormat="1" ht="18" customHeight="1" x14ac:dyDescent="0.25">
      <c r="A171" s="1305" t="s">
        <v>163</v>
      </c>
      <c r="B171" s="1305" t="s">
        <v>1317</v>
      </c>
      <c r="C171" s="38" t="s">
        <v>295</v>
      </c>
      <c r="D171" s="184"/>
      <c r="E171" s="184"/>
      <c r="F171" s="184"/>
      <c r="G171" s="143" t="s">
        <v>173</v>
      </c>
      <c r="H171" s="101"/>
      <c r="I171" s="101">
        <v>250000</v>
      </c>
      <c r="J171" s="101">
        <v>250000</v>
      </c>
      <c r="K171" s="102">
        <v>250000</v>
      </c>
      <c r="L171" s="6"/>
    </row>
    <row r="172" spans="1:12" s="48" customFormat="1" ht="17.100000000000001" customHeight="1" x14ac:dyDescent="0.25">
      <c r="A172" s="1305" t="s">
        <v>163</v>
      </c>
      <c r="B172" s="1305" t="s">
        <v>1317</v>
      </c>
      <c r="C172" s="38" t="s">
        <v>295</v>
      </c>
      <c r="D172" s="184"/>
      <c r="E172" s="184"/>
      <c r="F172" s="184"/>
      <c r="G172" s="143" t="s">
        <v>173</v>
      </c>
      <c r="H172" s="101"/>
      <c r="I172" s="101">
        <v>200000</v>
      </c>
      <c r="J172" s="101">
        <v>200000</v>
      </c>
      <c r="K172" s="102">
        <v>200000</v>
      </c>
      <c r="L172" s="6"/>
    </row>
    <row r="173" spans="1:12" s="48" customFormat="1" ht="17.100000000000001" customHeight="1" x14ac:dyDescent="0.25">
      <c r="A173" s="1349"/>
      <c r="B173" s="1349"/>
      <c r="C173" s="38"/>
      <c r="D173" s="184"/>
      <c r="E173" s="184"/>
      <c r="F173" s="184"/>
      <c r="G173" s="143"/>
      <c r="H173" s="101"/>
      <c r="I173" s="101"/>
      <c r="J173" s="101"/>
      <c r="K173" s="102">
        <v>126150</v>
      </c>
      <c r="L173" s="6"/>
    </row>
    <row r="174" spans="1:12" s="48" customFormat="1" ht="18" customHeight="1" x14ac:dyDescent="0.25">
      <c r="A174" s="1305" t="s">
        <v>163</v>
      </c>
      <c r="B174" s="1305" t="s">
        <v>1317</v>
      </c>
      <c r="C174" s="38" t="s">
        <v>295</v>
      </c>
      <c r="D174" s="184"/>
      <c r="E174" s="184"/>
      <c r="F174" s="184"/>
      <c r="G174" s="143" t="s">
        <v>173</v>
      </c>
      <c r="H174" s="101"/>
      <c r="I174" s="101">
        <v>100000</v>
      </c>
      <c r="J174" s="101">
        <v>100000</v>
      </c>
      <c r="K174" s="102">
        <v>100000</v>
      </c>
      <c r="L174" s="6"/>
    </row>
    <row r="175" spans="1:12" s="48" customFormat="1" ht="18" customHeight="1" x14ac:dyDescent="0.25">
      <c r="A175" s="1305" t="s">
        <v>163</v>
      </c>
      <c r="B175" s="1305" t="s">
        <v>1317</v>
      </c>
      <c r="C175" s="44" t="s">
        <v>172</v>
      </c>
      <c r="D175" s="125"/>
      <c r="E175" s="125"/>
      <c r="F175" s="125"/>
      <c r="G175" s="143"/>
      <c r="H175" s="101"/>
      <c r="I175" s="101"/>
      <c r="J175" s="101"/>
      <c r="K175" s="102">
        <v>6269080</v>
      </c>
      <c r="L175" s="6">
        <f>SUM(K169:K175)</f>
        <v>8545230</v>
      </c>
    </row>
    <row r="176" spans="1:12" s="48" customFormat="1" ht="18" customHeight="1" x14ac:dyDescent="0.25">
      <c r="A176" s="1305" t="s">
        <v>163</v>
      </c>
      <c r="B176" s="1305" t="s">
        <v>1317</v>
      </c>
      <c r="C176" s="180" t="s">
        <v>394</v>
      </c>
      <c r="D176" s="225"/>
      <c r="E176" s="225"/>
      <c r="F176" s="225"/>
      <c r="G176" s="1334" t="s">
        <v>395</v>
      </c>
      <c r="H176" s="101"/>
      <c r="I176" s="101"/>
      <c r="J176" s="101"/>
      <c r="K176" s="102"/>
      <c r="L176" s="6"/>
    </row>
    <row r="177" spans="1:12" s="48" customFormat="1" ht="18" customHeight="1" x14ac:dyDescent="0.25">
      <c r="A177" s="1305" t="s">
        <v>163</v>
      </c>
      <c r="B177" s="1305" t="s">
        <v>1317</v>
      </c>
      <c r="C177" s="38" t="s">
        <v>314</v>
      </c>
      <c r="D177" s="184"/>
      <c r="E177" s="184"/>
      <c r="F177" s="184"/>
      <c r="G177" s="143" t="s">
        <v>183</v>
      </c>
      <c r="H177" s="101"/>
      <c r="I177" s="101">
        <v>72000</v>
      </c>
      <c r="J177" s="101">
        <v>72000</v>
      </c>
      <c r="K177" s="102">
        <v>72000</v>
      </c>
      <c r="L177" s="6"/>
    </row>
    <row r="178" spans="1:12" s="48" customFormat="1" ht="18" customHeight="1" x14ac:dyDescent="0.25">
      <c r="A178" s="1305" t="s">
        <v>163</v>
      </c>
      <c r="B178" s="1305" t="s">
        <v>1317</v>
      </c>
      <c r="C178" s="44" t="s">
        <v>182</v>
      </c>
      <c r="D178" s="113"/>
      <c r="E178" s="113"/>
      <c r="F178" s="113"/>
      <c r="G178" s="716"/>
      <c r="H178" s="101"/>
      <c r="I178" s="101"/>
      <c r="J178" s="101"/>
      <c r="K178" s="102">
        <v>48000</v>
      </c>
      <c r="L178" s="6"/>
    </row>
    <row r="179" spans="1:12" s="146" customFormat="1" ht="15.75" customHeight="1" x14ac:dyDescent="0.25">
      <c r="A179" s="1305" t="s">
        <v>163</v>
      </c>
      <c r="B179" s="1305" t="s">
        <v>1317</v>
      </c>
      <c r="C179" s="44" t="s">
        <v>182</v>
      </c>
      <c r="D179" s="113"/>
      <c r="E179" s="113"/>
      <c r="F179" s="113"/>
      <c r="G179" s="716" t="s">
        <v>183</v>
      </c>
      <c r="H179" s="101"/>
      <c r="I179" s="101">
        <v>48000</v>
      </c>
      <c r="J179" s="101">
        <v>48000</v>
      </c>
      <c r="K179" s="102">
        <v>48000</v>
      </c>
      <c r="L179" s="10"/>
    </row>
    <row r="180" spans="1:12" s="146" customFormat="1" ht="18" x14ac:dyDescent="0.25">
      <c r="A180" s="1305" t="s">
        <v>163</v>
      </c>
      <c r="B180" s="1305" t="s">
        <v>1317</v>
      </c>
      <c r="C180" s="44" t="s">
        <v>182</v>
      </c>
      <c r="D180" s="113"/>
      <c r="E180" s="113"/>
      <c r="F180" s="113"/>
      <c r="G180" s="143" t="s">
        <v>183</v>
      </c>
      <c r="H180" s="102"/>
      <c r="I180" s="102">
        <v>48000</v>
      </c>
      <c r="J180" s="102">
        <v>48000</v>
      </c>
      <c r="K180" s="102">
        <v>48000</v>
      </c>
      <c r="L180" s="10"/>
    </row>
    <row r="181" spans="1:12" s="146" customFormat="1" ht="18" x14ac:dyDescent="0.25">
      <c r="A181" s="1305" t="s">
        <v>163</v>
      </c>
      <c r="B181" s="1305" t="s">
        <v>1317</v>
      </c>
      <c r="C181" s="44" t="s">
        <v>182</v>
      </c>
      <c r="D181" s="170"/>
      <c r="E181" s="170"/>
      <c r="F181" s="170"/>
      <c r="G181" s="1333" t="s">
        <v>183</v>
      </c>
      <c r="H181" s="102"/>
      <c r="I181" s="102">
        <v>40000</v>
      </c>
      <c r="J181" s="102">
        <v>40000</v>
      </c>
      <c r="K181" s="102">
        <v>40000</v>
      </c>
      <c r="L181" s="10"/>
    </row>
    <row r="182" spans="1:12" s="146" customFormat="1" ht="18" x14ac:dyDescent="0.25">
      <c r="A182" s="1305" t="s">
        <v>163</v>
      </c>
      <c r="B182" s="1305" t="s">
        <v>1317</v>
      </c>
      <c r="C182" s="44" t="s">
        <v>182</v>
      </c>
      <c r="D182" s="113"/>
      <c r="E182" s="113"/>
      <c r="F182" s="113"/>
      <c r="G182" s="143" t="s">
        <v>183</v>
      </c>
      <c r="H182" s="101"/>
      <c r="I182" s="101">
        <v>72000</v>
      </c>
      <c r="J182" s="101">
        <v>72000</v>
      </c>
      <c r="K182" s="102">
        <v>72000</v>
      </c>
      <c r="L182" s="10"/>
    </row>
    <row r="183" spans="1:12" s="146" customFormat="1" ht="18" x14ac:dyDescent="0.25">
      <c r="A183" s="1305" t="s">
        <v>163</v>
      </c>
      <c r="B183" s="1305" t="s">
        <v>1317</v>
      </c>
      <c r="C183" s="44" t="s">
        <v>182</v>
      </c>
      <c r="D183" s="113"/>
      <c r="E183" s="113"/>
      <c r="F183" s="113"/>
      <c r="G183" s="143" t="s">
        <v>183</v>
      </c>
      <c r="H183" s="101"/>
      <c r="I183" s="101">
        <v>72000</v>
      </c>
      <c r="J183" s="101">
        <v>72000</v>
      </c>
      <c r="K183" s="102">
        <v>72000</v>
      </c>
      <c r="L183" s="10"/>
    </row>
    <row r="184" spans="1:12" s="146" customFormat="1" ht="18" x14ac:dyDescent="0.25">
      <c r="A184" s="1305" t="s">
        <v>163</v>
      </c>
      <c r="B184" s="1305" t="s">
        <v>1317</v>
      </c>
      <c r="C184" s="38" t="s">
        <v>182</v>
      </c>
      <c r="D184" s="184"/>
      <c r="E184" s="184"/>
      <c r="F184" s="184"/>
      <c r="G184" s="716" t="s">
        <v>183</v>
      </c>
      <c r="H184" s="101"/>
      <c r="I184" s="101">
        <v>42000</v>
      </c>
      <c r="J184" s="101">
        <v>42000</v>
      </c>
      <c r="K184" s="102">
        <v>42000</v>
      </c>
      <c r="L184" s="10"/>
    </row>
    <row r="185" spans="1:12" s="146" customFormat="1" ht="18" x14ac:dyDescent="0.25">
      <c r="A185" s="1305" t="s">
        <v>163</v>
      </c>
      <c r="B185" s="1305" t="s">
        <v>1317</v>
      </c>
      <c r="C185" s="44" t="s">
        <v>182</v>
      </c>
      <c r="D185" s="113"/>
      <c r="E185" s="113"/>
      <c r="F185" s="113"/>
      <c r="G185" s="716" t="s">
        <v>183</v>
      </c>
      <c r="H185" s="101"/>
      <c r="I185" s="101">
        <v>42000</v>
      </c>
      <c r="J185" s="101">
        <v>42000</v>
      </c>
      <c r="K185" s="102">
        <v>42000</v>
      </c>
      <c r="L185" s="10"/>
    </row>
    <row r="186" spans="1:12" s="146" customFormat="1" ht="18" x14ac:dyDescent="0.25">
      <c r="A186" s="1305" t="s">
        <v>163</v>
      </c>
      <c r="B186" s="1305" t="s">
        <v>1317</v>
      </c>
      <c r="C186" s="44" t="s">
        <v>182</v>
      </c>
      <c r="D186" s="113"/>
      <c r="E186" s="113"/>
      <c r="F186" s="113"/>
      <c r="G186" s="143" t="s">
        <v>183</v>
      </c>
      <c r="H186" s="101"/>
      <c r="I186" s="101">
        <v>50000</v>
      </c>
      <c r="J186" s="101">
        <v>50000</v>
      </c>
      <c r="K186" s="102">
        <v>50000</v>
      </c>
      <c r="L186" s="10"/>
    </row>
    <row r="187" spans="1:12" s="146" customFormat="1" ht="18" x14ac:dyDescent="0.25">
      <c r="A187" s="1305" t="s">
        <v>163</v>
      </c>
      <c r="B187" s="1305" t="s">
        <v>1317</v>
      </c>
      <c r="C187" s="44" t="s">
        <v>182</v>
      </c>
      <c r="D187" s="125"/>
      <c r="E187" s="125"/>
      <c r="F187" s="125"/>
      <c r="G187" s="143" t="s">
        <v>183</v>
      </c>
      <c r="H187" s="101"/>
      <c r="I187" s="101">
        <v>84000</v>
      </c>
      <c r="J187" s="101">
        <v>84000</v>
      </c>
      <c r="K187" s="102">
        <v>84000</v>
      </c>
      <c r="L187" s="10"/>
    </row>
    <row r="188" spans="1:12" s="146" customFormat="1" ht="18" x14ac:dyDescent="0.25">
      <c r="A188" s="1305" t="s">
        <v>163</v>
      </c>
      <c r="B188" s="1305" t="s">
        <v>1317</v>
      </c>
      <c r="C188" s="44" t="s">
        <v>182</v>
      </c>
      <c r="D188" s="125"/>
      <c r="E188" s="125"/>
      <c r="F188" s="125"/>
      <c r="G188" s="143" t="s">
        <v>183</v>
      </c>
      <c r="H188" s="102"/>
      <c r="I188" s="102">
        <v>27000</v>
      </c>
      <c r="J188" s="102">
        <v>27000</v>
      </c>
      <c r="K188" s="102">
        <v>27000</v>
      </c>
      <c r="L188" s="10">
        <f>SUM(K177:K188)</f>
        <v>645000</v>
      </c>
    </row>
    <row r="189" spans="1:12" s="146" customFormat="1" ht="18" x14ac:dyDescent="0.25">
      <c r="A189" s="1305" t="s">
        <v>163</v>
      </c>
      <c r="B189" s="1305" t="s">
        <v>1317</v>
      </c>
      <c r="C189" s="38" t="s">
        <v>299</v>
      </c>
      <c r="D189" s="184"/>
      <c r="E189" s="184"/>
      <c r="F189" s="184"/>
      <c r="G189" s="143" t="s">
        <v>237</v>
      </c>
      <c r="H189" s="101"/>
      <c r="I189" s="101">
        <v>50000</v>
      </c>
      <c r="J189" s="101">
        <v>50000</v>
      </c>
      <c r="K189" s="102">
        <v>50000</v>
      </c>
      <c r="L189" s="10"/>
    </row>
    <row r="190" spans="1:12" s="146" customFormat="1" ht="18" x14ac:dyDescent="0.25">
      <c r="A190" s="1305" t="s">
        <v>163</v>
      </c>
      <c r="B190" s="1305" t="s">
        <v>1317</v>
      </c>
      <c r="C190" s="38" t="s">
        <v>299</v>
      </c>
      <c r="D190" s="184"/>
      <c r="E190" s="184"/>
      <c r="F190" s="184"/>
      <c r="G190" s="143" t="s">
        <v>237</v>
      </c>
      <c r="H190" s="101"/>
      <c r="I190" s="101">
        <v>150000</v>
      </c>
      <c r="J190" s="101">
        <v>150000</v>
      </c>
      <c r="K190" s="102">
        <v>150000</v>
      </c>
      <c r="L190" s="10"/>
    </row>
    <row r="191" spans="1:12" s="146" customFormat="1" ht="18" x14ac:dyDescent="0.25">
      <c r="A191" s="1305" t="s">
        <v>163</v>
      </c>
      <c r="B191" s="1305" t="s">
        <v>1317</v>
      </c>
      <c r="C191" s="44" t="s">
        <v>196</v>
      </c>
      <c r="D191" s="113"/>
      <c r="E191" s="113"/>
      <c r="F191" s="113"/>
      <c r="G191" s="716" t="s">
        <v>197</v>
      </c>
      <c r="H191" s="101"/>
      <c r="I191" s="101">
        <v>400000</v>
      </c>
      <c r="J191" s="101">
        <v>400000</v>
      </c>
      <c r="K191" s="102">
        <v>300000</v>
      </c>
      <c r="L191" s="10">
        <f>SUM(K189:K191)</f>
        <v>500000</v>
      </c>
    </row>
    <row r="192" spans="1:12" s="48" customFormat="1" ht="18" customHeight="1" x14ac:dyDescent="0.25">
      <c r="A192" s="1305" t="s">
        <v>163</v>
      </c>
      <c r="B192" s="1305" t="s">
        <v>1317</v>
      </c>
      <c r="C192" s="44" t="s">
        <v>168</v>
      </c>
      <c r="D192" s="113"/>
      <c r="E192" s="113"/>
      <c r="F192" s="113"/>
      <c r="G192" s="716" t="s">
        <v>169</v>
      </c>
      <c r="H192" s="101"/>
      <c r="I192" s="101">
        <v>3287884</v>
      </c>
      <c r="J192" s="101">
        <v>3287884</v>
      </c>
      <c r="K192" s="102">
        <f>3287884+585000</f>
        <v>3872884</v>
      </c>
      <c r="L192" s="6"/>
    </row>
    <row r="193" spans="1:12" s="48" customFormat="1" ht="18" customHeight="1" x14ac:dyDescent="0.25">
      <c r="A193" s="1305" t="s">
        <v>163</v>
      </c>
      <c r="B193" s="1305" t="s">
        <v>1317</v>
      </c>
      <c r="C193" s="44" t="s">
        <v>168</v>
      </c>
      <c r="D193" s="125"/>
      <c r="E193" s="125"/>
      <c r="F193" s="125"/>
      <c r="G193" s="143" t="s">
        <v>169</v>
      </c>
      <c r="H193" s="101"/>
      <c r="I193" s="101">
        <v>63091</v>
      </c>
      <c r="J193" s="101">
        <v>63091</v>
      </c>
      <c r="K193" s="102">
        <v>63091</v>
      </c>
      <c r="L193" s="6"/>
    </row>
    <row r="194" spans="1:12" s="48" customFormat="1" ht="18" customHeight="1" x14ac:dyDescent="0.25">
      <c r="A194" s="1305" t="s">
        <v>163</v>
      </c>
      <c r="B194" s="1305" t="s">
        <v>1317</v>
      </c>
      <c r="C194" s="44" t="s">
        <v>168</v>
      </c>
      <c r="D194" s="113"/>
      <c r="E194" s="113"/>
      <c r="F194" s="113"/>
      <c r="G194" s="716" t="s">
        <v>169</v>
      </c>
      <c r="H194" s="101"/>
      <c r="I194" s="101">
        <v>93941.5</v>
      </c>
      <c r="J194" s="101">
        <v>93941.5</v>
      </c>
      <c r="K194" s="102">
        <v>93941.5</v>
      </c>
      <c r="L194" s="6"/>
    </row>
    <row r="195" spans="1:12" s="48" customFormat="1" ht="18" customHeight="1" x14ac:dyDescent="0.25">
      <c r="A195" s="1305" t="s">
        <v>163</v>
      </c>
      <c r="B195" s="1305" t="s">
        <v>1317</v>
      </c>
      <c r="C195" s="44" t="s">
        <v>168</v>
      </c>
      <c r="D195" s="113"/>
      <c r="E195" s="113"/>
      <c r="F195" s="113"/>
      <c r="G195" s="716" t="s">
        <v>169</v>
      </c>
      <c r="H195" s="101"/>
      <c r="I195" s="101">
        <v>110762.5</v>
      </c>
      <c r="J195" s="101">
        <v>110762.5</v>
      </c>
      <c r="K195" s="102">
        <v>110762.5</v>
      </c>
      <c r="L195" s="6"/>
    </row>
    <row r="196" spans="1:12" s="48" customFormat="1" ht="18" customHeight="1" x14ac:dyDescent="0.25">
      <c r="A196" s="1305" t="s">
        <v>163</v>
      </c>
      <c r="B196" s="1305" t="s">
        <v>1317</v>
      </c>
      <c r="C196" s="44" t="s">
        <v>168</v>
      </c>
      <c r="D196" s="113"/>
      <c r="E196" s="113"/>
      <c r="F196" s="113"/>
      <c r="G196" s="143" t="s">
        <v>169</v>
      </c>
      <c r="H196" s="101"/>
      <c r="I196" s="101">
        <v>770608.9</v>
      </c>
      <c r="J196" s="101">
        <v>770608.9</v>
      </c>
      <c r="K196" s="102">
        <v>770608.9</v>
      </c>
      <c r="L196" s="6"/>
    </row>
    <row r="197" spans="1:12" s="48" customFormat="1" ht="18" customHeight="1" x14ac:dyDescent="0.25">
      <c r="A197" s="1305" t="s">
        <v>163</v>
      </c>
      <c r="B197" s="1305" t="s">
        <v>1317</v>
      </c>
      <c r="C197" s="44" t="s">
        <v>168</v>
      </c>
      <c r="D197" s="113"/>
      <c r="E197" s="113"/>
      <c r="F197" s="113"/>
      <c r="G197" s="143" t="s">
        <v>169</v>
      </c>
      <c r="H197" s="101"/>
      <c r="I197" s="101">
        <v>100011</v>
      </c>
      <c r="J197" s="101">
        <v>100011</v>
      </c>
      <c r="K197" s="102">
        <v>100011</v>
      </c>
      <c r="L197" s="6"/>
    </row>
    <row r="198" spans="1:12" s="48" customFormat="1" ht="18" customHeight="1" x14ac:dyDescent="0.25">
      <c r="A198" s="1305" t="s">
        <v>163</v>
      </c>
      <c r="B198" s="1305" t="s">
        <v>1317</v>
      </c>
      <c r="C198" s="38" t="s">
        <v>294</v>
      </c>
      <c r="D198" s="184"/>
      <c r="E198" s="184"/>
      <c r="F198" s="184"/>
      <c r="G198" s="143" t="s">
        <v>169</v>
      </c>
      <c r="H198" s="101"/>
      <c r="I198" s="101">
        <v>350000</v>
      </c>
      <c r="J198" s="101">
        <v>350000</v>
      </c>
      <c r="K198" s="102">
        <v>350000</v>
      </c>
      <c r="L198" s="6"/>
    </row>
    <row r="199" spans="1:12" s="48" customFormat="1" ht="18" customHeight="1" x14ac:dyDescent="0.25">
      <c r="A199" s="1305" t="s">
        <v>163</v>
      </c>
      <c r="B199" s="1305" t="s">
        <v>1317</v>
      </c>
      <c r="C199" s="38" t="s">
        <v>294</v>
      </c>
      <c r="D199" s="184"/>
      <c r="E199" s="184"/>
      <c r="F199" s="184"/>
      <c r="G199" s="143" t="s">
        <v>169</v>
      </c>
      <c r="H199" s="101"/>
      <c r="I199" s="101">
        <v>2640000</v>
      </c>
      <c r="J199" s="101">
        <v>2640000</v>
      </c>
      <c r="K199" s="1154">
        <v>2400000</v>
      </c>
      <c r="L199" s="6"/>
    </row>
    <row r="200" spans="1:12" s="48" customFormat="1" ht="18" customHeight="1" x14ac:dyDescent="0.25">
      <c r="A200" s="1305" t="s">
        <v>163</v>
      </c>
      <c r="B200" s="1305" t="s">
        <v>1317</v>
      </c>
      <c r="C200" s="38" t="s">
        <v>294</v>
      </c>
      <c r="D200" s="184"/>
      <c r="E200" s="184"/>
      <c r="F200" s="184"/>
      <c r="G200" s="143" t="s">
        <v>169</v>
      </c>
      <c r="H200" s="101"/>
      <c r="I200" s="101">
        <v>2000000</v>
      </c>
      <c r="J200" s="101">
        <v>2000000</v>
      </c>
      <c r="K200" s="102">
        <v>2000000</v>
      </c>
      <c r="L200" s="6"/>
    </row>
    <row r="201" spans="1:12" s="48" customFormat="1" ht="18" customHeight="1" x14ac:dyDescent="0.25">
      <c r="A201" s="1305" t="s">
        <v>163</v>
      </c>
      <c r="B201" s="1305" t="s">
        <v>1317</v>
      </c>
      <c r="C201" s="38" t="s">
        <v>294</v>
      </c>
      <c r="D201" s="184"/>
      <c r="E201" s="184"/>
      <c r="F201" s="184"/>
      <c r="G201" s="143" t="s">
        <v>169</v>
      </c>
      <c r="H201" s="102"/>
      <c r="I201" s="102">
        <v>68000</v>
      </c>
      <c r="J201" s="102">
        <v>68000</v>
      </c>
      <c r="K201" s="102">
        <v>68000</v>
      </c>
      <c r="L201" s="6"/>
    </row>
    <row r="202" spans="1:12" s="48" customFormat="1" ht="18" customHeight="1" x14ac:dyDescent="0.25">
      <c r="A202" s="1305" t="s">
        <v>163</v>
      </c>
      <c r="B202" s="1305" t="s">
        <v>1317</v>
      </c>
      <c r="C202" s="38" t="s">
        <v>294</v>
      </c>
      <c r="D202" s="184"/>
      <c r="E202" s="184"/>
      <c r="F202" s="184"/>
      <c r="G202" s="716" t="s">
        <v>169</v>
      </c>
      <c r="H202" s="102"/>
      <c r="I202" s="102">
        <v>10000</v>
      </c>
      <c r="J202" s="102">
        <v>10000</v>
      </c>
      <c r="K202" s="102">
        <v>10000</v>
      </c>
      <c r="L202" s="6"/>
    </row>
    <row r="203" spans="1:12" s="48" customFormat="1" ht="18" customHeight="1" x14ac:dyDescent="0.25">
      <c r="A203" s="1305" t="s">
        <v>163</v>
      </c>
      <c r="B203" s="1305" t="s">
        <v>1317</v>
      </c>
      <c r="C203" s="38" t="s">
        <v>294</v>
      </c>
      <c r="D203" s="184"/>
      <c r="E203" s="184"/>
      <c r="F203" s="184"/>
      <c r="G203" s="716" t="s">
        <v>169</v>
      </c>
      <c r="H203" s="101"/>
      <c r="I203" s="101">
        <v>148014.5</v>
      </c>
      <c r="J203" s="101">
        <v>148014.5</v>
      </c>
      <c r="K203" s="102">
        <v>148014.5</v>
      </c>
      <c r="L203" s="6"/>
    </row>
    <row r="204" spans="1:12" s="48" customFormat="1" ht="18" customHeight="1" x14ac:dyDescent="0.25">
      <c r="A204" s="1305" t="s">
        <v>163</v>
      </c>
      <c r="B204" s="1305" t="s">
        <v>1317</v>
      </c>
      <c r="C204" s="38" t="s">
        <v>294</v>
      </c>
      <c r="D204" s="184"/>
      <c r="E204" s="184"/>
      <c r="F204" s="184"/>
      <c r="G204" s="716" t="s">
        <v>169</v>
      </c>
      <c r="H204" s="101"/>
      <c r="I204" s="101">
        <v>725000</v>
      </c>
      <c r="J204" s="101">
        <v>725000</v>
      </c>
      <c r="K204" s="102">
        <v>725000</v>
      </c>
      <c r="L204" s="6"/>
    </row>
    <row r="205" spans="1:12" s="48" customFormat="1" ht="18" customHeight="1" x14ac:dyDescent="0.25">
      <c r="A205" s="1305" t="s">
        <v>163</v>
      </c>
      <c r="B205" s="1305" t="s">
        <v>1317</v>
      </c>
      <c r="C205" s="44" t="s">
        <v>168</v>
      </c>
      <c r="D205" s="113"/>
      <c r="E205" s="113"/>
      <c r="F205" s="113"/>
      <c r="G205" s="716" t="s">
        <v>169</v>
      </c>
      <c r="H205" s="101"/>
      <c r="I205" s="101">
        <v>208978.5</v>
      </c>
      <c r="J205" s="101">
        <v>208978.5</v>
      </c>
      <c r="K205" s="102">
        <v>208978.5</v>
      </c>
      <c r="L205" s="6"/>
    </row>
    <row r="206" spans="1:12" s="48" customFormat="1" ht="18" customHeight="1" x14ac:dyDescent="0.25">
      <c r="A206" s="1305" t="s">
        <v>163</v>
      </c>
      <c r="B206" s="1305" t="s">
        <v>1317</v>
      </c>
      <c r="C206" s="44" t="s">
        <v>168</v>
      </c>
      <c r="D206" s="113"/>
      <c r="E206" s="113"/>
      <c r="F206" s="113"/>
      <c r="G206" s="143" t="s">
        <v>169</v>
      </c>
      <c r="H206" s="101"/>
      <c r="I206" s="101">
        <v>242176</v>
      </c>
      <c r="J206" s="101">
        <v>242176</v>
      </c>
      <c r="K206" s="102">
        <v>242176</v>
      </c>
      <c r="L206" s="6"/>
    </row>
    <row r="207" spans="1:12" s="48" customFormat="1" ht="18" customHeight="1" x14ac:dyDescent="0.25">
      <c r="A207" s="1305" t="s">
        <v>163</v>
      </c>
      <c r="B207" s="1305" t="s">
        <v>1317</v>
      </c>
      <c r="C207" s="44" t="s">
        <v>168</v>
      </c>
      <c r="D207" s="125"/>
      <c r="E207" s="125"/>
      <c r="F207" s="125"/>
      <c r="G207" s="143" t="s">
        <v>169</v>
      </c>
      <c r="H207" s="105"/>
      <c r="I207" s="105">
        <v>426152.5</v>
      </c>
      <c r="J207" s="105">
        <v>426152.5</v>
      </c>
      <c r="K207" s="106">
        <v>426152.5</v>
      </c>
      <c r="L207" s="6"/>
    </row>
    <row r="208" spans="1:12" s="48" customFormat="1" ht="18" customHeight="1" x14ac:dyDescent="0.25">
      <c r="A208" s="1305" t="s">
        <v>163</v>
      </c>
      <c r="B208" s="1305" t="s">
        <v>1317</v>
      </c>
      <c r="C208" s="44" t="s">
        <v>168</v>
      </c>
      <c r="D208" s="125"/>
      <c r="E208" s="125"/>
      <c r="F208" s="125"/>
      <c r="G208" s="143" t="s">
        <v>169</v>
      </c>
      <c r="H208" s="101"/>
      <c r="I208" s="101">
        <v>240976</v>
      </c>
      <c r="J208" s="101">
        <v>240976</v>
      </c>
      <c r="K208" s="102">
        <v>240976</v>
      </c>
      <c r="L208" s="6"/>
    </row>
    <row r="209" spans="1:12" s="48" customFormat="1" ht="18" customHeight="1" x14ac:dyDescent="0.25">
      <c r="A209" s="1305" t="s">
        <v>163</v>
      </c>
      <c r="B209" s="1305" t="s">
        <v>1317</v>
      </c>
      <c r="C209" s="44" t="s">
        <v>168</v>
      </c>
      <c r="D209" s="125"/>
      <c r="E209" s="125"/>
      <c r="F209" s="125"/>
      <c r="G209" s="143" t="s">
        <v>169</v>
      </c>
      <c r="H209" s="101"/>
      <c r="I209" s="101">
        <v>160973.5</v>
      </c>
      <c r="J209" s="101">
        <v>160973.5</v>
      </c>
      <c r="K209" s="102">
        <v>160973.5</v>
      </c>
      <c r="L209" s="6"/>
    </row>
    <row r="210" spans="1:12" s="48" customFormat="1" ht="18" customHeight="1" x14ac:dyDescent="0.25">
      <c r="A210" s="1305" t="s">
        <v>163</v>
      </c>
      <c r="B210" s="1305" t="s">
        <v>1317</v>
      </c>
      <c r="C210" s="44" t="s">
        <v>168</v>
      </c>
      <c r="D210" s="125"/>
      <c r="E210" s="125"/>
      <c r="F210" s="125"/>
      <c r="G210" s="143" t="s">
        <v>169</v>
      </c>
      <c r="H210" s="101"/>
      <c r="I210" s="101">
        <v>192318.5</v>
      </c>
      <c r="J210" s="101">
        <v>192318.5</v>
      </c>
      <c r="K210" s="102">
        <v>192318.5</v>
      </c>
      <c r="L210" s="6">
        <f>SUM(K192:K210)</f>
        <v>12183888.4</v>
      </c>
    </row>
    <row r="211" spans="1:12" s="48" customFormat="1" ht="18" customHeight="1" x14ac:dyDescent="0.25">
      <c r="A211" s="1305" t="s">
        <v>163</v>
      </c>
      <c r="B211" s="1305" t="s">
        <v>1317</v>
      </c>
      <c r="C211" s="38" t="s">
        <v>1637</v>
      </c>
      <c r="D211" s="199"/>
      <c r="E211" s="199"/>
      <c r="F211" s="1305"/>
      <c r="G211" s="716"/>
      <c r="H211" s="101"/>
      <c r="I211" s="101">
        <v>3000000</v>
      </c>
      <c r="J211" s="101">
        <v>3000000</v>
      </c>
      <c r="K211" s="102">
        <v>3000000</v>
      </c>
      <c r="L211" s="6"/>
    </row>
    <row r="212" spans="1:12" s="48" customFormat="1" ht="18" customHeight="1" x14ac:dyDescent="0.25">
      <c r="A212" s="1305" t="s">
        <v>163</v>
      </c>
      <c r="B212" s="1305" t="s">
        <v>1317</v>
      </c>
      <c r="C212" s="38" t="s">
        <v>300</v>
      </c>
      <c r="D212" s="184"/>
      <c r="E212" s="184"/>
      <c r="F212" s="184"/>
      <c r="G212" s="143" t="s">
        <v>199</v>
      </c>
      <c r="H212" s="101"/>
      <c r="I212" s="101">
        <v>1000000</v>
      </c>
      <c r="J212" s="101">
        <v>1000000</v>
      </c>
      <c r="K212" s="102">
        <v>750000</v>
      </c>
      <c r="L212" s="6"/>
    </row>
    <row r="213" spans="1:12" s="48" customFormat="1" ht="18" customHeight="1" x14ac:dyDescent="0.25">
      <c r="A213" s="1305" t="s">
        <v>163</v>
      </c>
      <c r="B213" s="1305" t="s">
        <v>1317</v>
      </c>
      <c r="C213" s="38" t="s">
        <v>300</v>
      </c>
      <c r="D213" s="184"/>
      <c r="E213" s="184"/>
      <c r="F213" s="184"/>
      <c r="G213" s="143" t="s">
        <v>199</v>
      </c>
      <c r="H213" s="101"/>
      <c r="I213" s="101">
        <v>200000</v>
      </c>
      <c r="J213" s="101">
        <v>200000</v>
      </c>
      <c r="K213" s="102">
        <v>200000</v>
      </c>
      <c r="L213" s="6"/>
    </row>
    <row r="214" spans="1:12" s="48" customFormat="1" ht="18" customHeight="1" x14ac:dyDescent="0.25">
      <c r="A214" s="1339" t="s">
        <v>163</v>
      </c>
      <c r="B214" s="1305" t="s">
        <v>1317</v>
      </c>
      <c r="C214" s="38" t="s">
        <v>300</v>
      </c>
      <c r="D214" s="184"/>
      <c r="E214" s="184"/>
      <c r="F214" s="184"/>
      <c r="G214" s="143" t="s">
        <v>199</v>
      </c>
      <c r="H214" s="106"/>
      <c r="I214" s="106">
        <v>150000</v>
      </c>
      <c r="J214" s="106">
        <v>150000</v>
      </c>
      <c r="K214" s="106">
        <v>150000</v>
      </c>
      <c r="L214" s="6"/>
    </row>
    <row r="215" spans="1:12" s="48" customFormat="1" ht="17.100000000000001" customHeight="1" x14ac:dyDescent="0.25">
      <c r="A215" s="1339" t="s">
        <v>163</v>
      </c>
      <c r="B215" s="1305" t="s">
        <v>1317</v>
      </c>
      <c r="C215" s="38" t="s">
        <v>300</v>
      </c>
      <c r="D215" s="184"/>
      <c r="E215" s="184"/>
      <c r="F215" s="184"/>
      <c r="G215" s="716" t="s">
        <v>199</v>
      </c>
      <c r="H215" s="102"/>
      <c r="I215" s="102">
        <v>46600</v>
      </c>
      <c r="J215" s="102">
        <v>46600</v>
      </c>
      <c r="K215" s="102">
        <v>46600</v>
      </c>
      <c r="L215" s="6"/>
    </row>
    <row r="216" spans="1:12" s="48" customFormat="1" ht="17.100000000000001" customHeight="1" x14ac:dyDescent="0.25">
      <c r="A216" s="1339" t="s">
        <v>163</v>
      </c>
      <c r="B216" s="1305" t="s">
        <v>1317</v>
      </c>
      <c r="C216" s="38" t="s">
        <v>1619</v>
      </c>
      <c r="D216" s="184"/>
      <c r="E216" s="184"/>
      <c r="F216" s="184"/>
      <c r="G216" s="716" t="s">
        <v>199</v>
      </c>
      <c r="H216" s="101"/>
      <c r="I216" s="101">
        <v>149628</v>
      </c>
      <c r="J216" s="101">
        <v>149628</v>
      </c>
      <c r="K216" s="102">
        <v>149628</v>
      </c>
      <c r="L216" s="6"/>
    </row>
    <row r="217" spans="1:12" s="48" customFormat="1" ht="17.100000000000001" customHeight="1" x14ac:dyDescent="0.25">
      <c r="A217" s="1305" t="s">
        <v>163</v>
      </c>
      <c r="B217" s="1305" t="s">
        <v>1317</v>
      </c>
      <c r="C217" s="38" t="s">
        <v>1619</v>
      </c>
      <c r="D217" s="184"/>
      <c r="E217" s="184"/>
      <c r="F217" s="184"/>
      <c r="G217" s="716" t="s">
        <v>199</v>
      </c>
      <c r="H217" s="101"/>
      <c r="I217" s="101">
        <v>375310.76</v>
      </c>
      <c r="J217" s="101">
        <v>375310.76</v>
      </c>
      <c r="K217" s="102">
        <f>375310.76+127783.76</f>
        <v>503094.52</v>
      </c>
      <c r="L217" s="6"/>
    </row>
    <row r="218" spans="1:12" s="48" customFormat="1" ht="17.100000000000001" customHeight="1" x14ac:dyDescent="0.25">
      <c r="A218" s="1305" t="s">
        <v>163</v>
      </c>
      <c r="B218" s="1305" t="s">
        <v>1317</v>
      </c>
      <c r="C218" s="38" t="s">
        <v>1618</v>
      </c>
      <c r="D218" s="184"/>
      <c r="E218" s="184"/>
      <c r="F218" s="184"/>
      <c r="G218" s="143"/>
      <c r="H218" s="101"/>
      <c r="I218" s="101"/>
      <c r="J218" s="101"/>
      <c r="K218" s="102">
        <v>500000</v>
      </c>
      <c r="L218" s="6"/>
    </row>
    <row r="219" spans="1:12" s="48" customFormat="1" ht="17.100000000000001" customHeight="1" x14ac:dyDescent="0.25">
      <c r="A219" s="1305" t="s">
        <v>163</v>
      </c>
      <c r="B219" s="1305" t="s">
        <v>1317</v>
      </c>
      <c r="C219" s="44" t="s">
        <v>198</v>
      </c>
      <c r="D219" s="113"/>
      <c r="E219" s="113"/>
      <c r="F219" s="113"/>
      <c r="G219" s="716" t="s">
        <v>199</v>
      </c>
      <c r="H219" s="101"/>
      <c r="I219" s="101">
        <v>1505621.76</v>
      </c>
      <c r="J219" s="101">
        <v>1505621.76</v>
      </c>
      <c r="K219" s="102">
        <v>2609621.7599999998</v>
      </c>
      <c r="L219" s="6"/>
    </row>
    <row r="220" spans="1:12" s="48" customFormat="1" ht="17.100000000000001" customHeight="1" x14ac:dyDescent="0.25">
      <c r="A220" s="1305" t="s">
        <v>163</v>
      </c>
      <c r="B220" s="1305" t="s">
        <v>1317</v>
      </c>
      <c r="C220" s="44" t="s">
        <v>198</v>
      </c>
      <c r="D220" s="125"/>
      <c r="E220" s="125"/>
      <c r="F220" s="125"/>
      <c r="G220" s="143" t="s">
        <v>199</v>
      </c>
      <c r="H220" s="101"/>
      <c r="I220" s="101">
        <v>3174824.64</v>
      </c>
      <c r="J220" s="101">
        <v>3174824.64</v>
      </c>
      <c r="K220" s="102">
        <v>3174824.64</v>
      </c>
      <c r="L220" s="6"/>
    </row>
    <row r="221" spans="1:12" s="48" customFormat="1" ht="17.100000000000001" customHeight="1" x14ac:dyDescent="0.25">
      <c r="A221" s="1305" t="s">
        <v>163</v>
      </c>
      <c r="B221" s="1305" t="s">
        <v>1317</v>
      </c>
      <c r="C221" s="44" t="s">
        <v>198</v>
      </c>
      <c r="D221" s="113"/>
      <c r="E221" s="113"/>
      <c r="F221" s="113"/>
      <c r="G221" s="716" t="s">
        <v>199</v>
      </c>
      <c r="H221" s="101"/>
      <c r="I221" s="101">
        <v>5000</v>
      </c>
      <c r="J221" s="101">
        <v>5000</v>
      </c>
      <c r="K221" s="102">
        <v>5000</v>
      </c>
      <c r="L221" s="6"/>
    </row>
    <row r="222" spans="1:12" s="48" customFormat="1" ht="17.100000000000001" customHeight="1" x14ac:dyDescent="0.25">
      <c r="A222" s="1305" t="s">
        <v>163</v>
      </c>
      <c r="B222" s="1305" t="s">
        <v>1317</v>
      </c>
      <c r="C222" s="44" t="s">
        <v>198</v>
      </c>
      <c r="D222" s="113"/>
      <c r="E222" s="113"/>
      <c r="F222" s="113"/>
      <c r="G222" s="716" t="s">
        <v>199</v>
      </c>
      <c r="H222" s="101"/>
      <c r="I222" s="101">
        <v>489757.68</v>
      </c>
      <c r="J222" s="101">
        <v>489757.68</v>
      </c>
      <c r="K222" s="102">
        <v>489757.68</v>
      </c>
      <c r="L222" s="6"/>
    </row>
    <row r="223" spans="1:12" s="48" customFormat="1" ht="17.100000000000001" customHeight="1" x14ac:dyDescent="0.25">
      <c r="A223" s="1305" t="s">
        <v>163</v>
      </c>
      <c r="B223" s="1305" t="s">
        <v>1317</v>
      </c>
      <c r="C223" s="44" t="s">
        <v>198</v>
      </c>
      <c r="D223" s="113"/>
      <c r="E223" s="113"/>
      <c r="F223" s="113"/>
      <c r="G223" s="143" t="s">
        <v>199</v>
      </c>
      <c r="H223" s="101"/>
      <c r="I223" s="101">
        <v>672000</v>
      </c>
      <c r="J223" s="101">
        <v>672000</v>
      </c>
      <c r="K223" s="102">
        <v>672000</v>
      </c>
      <c r="L223" s="6"/>
    </row>
    <row r="224" spans="1:12" s="48" customFormat="1" ht="17.100000000000001" customHeight="1" x14ac:dyDescent="0.25">
      <c r="A224" s="1305" t="s">
        <v>163</v>
      </c>
      <c r="B224" s="1305" t="s">
        <v>1317</v>
      </c>
      <c r="C224" s="44" t="s">
        <v>198</v>
      </c>
      <c r="D224" s="113"/>
      <c r="E224" s="113"/>
      <c r="F224" s="113"/>
      <c r="G224" s="143" t="s">
        <v>199</v>
      </c>
      <c r="H224" s="101"/>
      <c r="I224" s="101">
        <v>1653880.32</v>
      </c>
      <c r="J224" s="101">
        <v>1653880.32</v>
      </c>
      <c r="K224" s="102">
        <v>1653880.32</v>
      </c>
      <c r="L224" s="6"/>
    </row>
    <row r="225" spans="1:12" s="48" customFormat="1" ht="17.100000000000001" customHeight="1" x14ac:dyDescent="0.25">
      <c r="A225" s="1305" t="s">
        <v>163</v>
      </c>
      <c r="B225" s="1305" t="s">
        <v>1317</v>
      </c>
      <c r="C225" s="44" t="s">
        <v>198</v>
      </c>
      <c r="D225" s="113"/>
      <c r="E225" s="113"/>
      <c r="F225" s="113"/>
      <c r="G225" s="716" t="s">
        <v>199</v>
      </c>
      <c r="H225" s="101"/>
      <c r="I225" s="101">
        <v>333041.28000000003</v>
      </c>
      <c r="J225" s="101">
        <v>333041.28000000003</v>
      </c>
      <c r="K225" s="102">
        <v>333041.28000000003</v>
      </c>
      <c r="L225" s="6"/>
    </row>
    <row r="226" spans="1:12" s="48" customFormat="1" ht="17.100000000000001" customHeight="1" x14ac:dyDescent="0.25">
      <c r="A226" s="1305" t="s">
        <v>163</v>
      </c>
      <c r="B226" s="1305" t="s">
        <v>1317</v>
      </c>
      <c r="C226" s="44" t="s">
        <v>198</v>
      </c>
      <c r="D226" s="113"/>
      <c r="E226" s="113"/>
      <c r="F226" s="113"/>
      <c r="G226" s="143" t="s">
        <v>199</v>
      </c>
      <c r="H226" s="101"/>
      <c r="I226" s="101">
        <v>564993</v>
      </c>
      <c r="J226" s="101">
        <v>564993</v>
      </c>
      <c r="K226" s="102">
        <v>564993</v>
      </c>
      <c r="L226" s="6"/>
    </row>
    <row r="227" spans="1:12" s="48" customFormat="1" ht="17.100000000000001" customHeight="1" x14ac:dyDescent="0.25">
      <c r="A227" s="1305" t="s">
        <v>163</v>
      </c>
      <c r="B227" s="1305" t="s">
        <v>1317</v>
      </c>
      <c r="C227" s="44" t="s">
        <v>198</v>
      </c>
      <c r="D227" s="125"/>
      <c r="E227" s="125"/>
      <c r="F227" s="125"/>
      <c r="G227" s="143" t="s">
        <v>199</v>
      </c>
      <c r="H227" s="101"/>
      <c r="I227" s="101">
        <v>4375332</v>
      </c>
      <c r="J227" s="101">
        <v>4375332</v>
      </c>
      <c r="K227" s="102">
        <v>4375332</v>
      </c>
      <c r="L227" s="6"/>
    </row>
    <row r="228" spans="1:12" s="48" customFormat="1" ht="17.100000000000001" customHeight="1" x14ac:dyDescent="0.25">
      <c r="A228" s="1305" t="s">
        <v>163</v>
      </c>
      <c r="B228" s="1305" t="s">
        <v>1317</v>
      </c>
      <c r="C228" s="44" t="s">
        <v>198</v>
      </c>
      <c r="D228" s="125"/>
      <c r="E228" s="125"/>
      <c r="F228" s="125"/>
      <c r="G228" s="143" t="s">
        <v>199</v>
      </c>
      <c r="H228" s="101"/>
      <c r="I228" s="101">
        <v>156984.48000000001</v>
      </c>
      <c r="J228" s="101">
        <v>156984.48000000001</v>
      </c>
      <c r="K228" s="102">
        <v>156984.48000000001</v>
      </c>
      <c r="L228" s="6"/>
    </row>
    <row r="229" spans="1:12" s="48" customFormat="1" ht="17.100000000000001" customHeight="1" x14ac:dyDescent="0.25">
      <c r="A229" s="1305" t="s">
        <v>163</v>
      </c>
      <c r="B229" s="1305" t="s">
        <v>1317</v>
      </c>
      <c r="C229" s="44" t="s">
        <v>198</v>
      </c>
      <c r="D229" s="125"/>
      <c r="E229" s="125"/>
      <c r="F229" s="125"/>
      <c r="G229" s="143" t="s">
        <v>199</v>
      </c>
      <c r="H229" s="101"/>
      <c r="I229" s="101">
        <v>328698.56</v>
      </c>
      <c r="J229" s="101">
        <v>328698.56</v>
      </c>
      <c r="K229" s="102">
        <f>320698.56+4000</f>
        <v>324698.56</v>
      </c>
      <c r="L229" s="6"/>
    </row>
    <row r="230" spans="1:12" s="48" customFormat="1" ht="17.100000000000001" customHeight="1" x14ac:dyDescent="0.25">
      <c r="A230" s="1305" t="s">
        <v>163</v>
      </c>
      <c r="B230" s="1305" t="s">
        <v>1317</v>
      </c>
      <c r="C230" s="44" t="s">
        <v>1569</v>
      </c>
      <c r="D230" s="125"/>
      <c r="E230" s="125"/>
      <c r="F230" s="125"/>
      <c r="G230" s="143" t="s">
        <v>199</v>
      </c>
      <c r="H230" s="101"/>
      <c r="I230" s="101">
        <v>489757.68</v>
      </c>
      <c r="J230" s="101">
        <v>489757.68</v>
      </c>
      <c r="K230" s="102">
        <v>489757.68</v>
      </c>
      <c r="L230" s="6">
        <f>SUM(K212:K230)</f>
        <v>17149213.920000002</v>
      </c>
    </row>
    <row r="231" spans="1:12" s="48" customFormat="1" ht="17.100000000000001" customHeight="1" x14ac:dyDescent="0.25">
      <c r="A231" s="1305" t="s">
        <v>163</v>
      </c>
      <c r="B231" s="1305" t="s">
        <v>1317</v>
      </c>
      <c r="C231" s="44" t="s">
        <v>170</v>
      </c>
      <c r="D231" s="113"/>
      <c r="E231" s="113"/>
      <c r="F231" s="113"/>
      <c r="G231" s="716" t="s">
        <v>171</v>
      </c>
      <c r="H231" s="106"/>
      <c r="I231" s="106">
        <v>2359396.5</v>
      </c>
      <c r="J231" s="106">
        <v>2359396.5</v>
      </c>
      <c r="K231" s="106">
        <f>2359396.5+900000</f>
        <v>3259396.5</v>
      </c>
      <c r="L231" s="6"/>
    </row>
    <row r="232" spans="1:12" s="48" customFormat="1" ht="17.100000000000001" customHeight="1" x14ac:dyDescent="0.25">
      <c r="A232" s="1305" t="s">
        <v>163</v>
      </c>
      <c r="B232" s="1305" t="s">
        <v>1317</v>
      </c>
      <c r="C232" s="1310" t="s">
        <v>248</v>
      </c>
      <c r="D232" s="1305"/>
      <c r="E232" s="1305"/>
      <c r="F232" s="1305"/>
      <c r="G232" s="716" t="s">
        <v>171</v>
      </c>
      <c r="H232" s="101"/>
      <c r="I232" s="101">
        <v>79960</v>
      </c>
      <c r="J232" s="101">
        <v>79960</v>
      </c>
      <c r="K232" s="102">
        <v>79960</v>
      </c>
      <c r="L232" s="6"/>
    </row>
    <row r="233" spans="1:12" s="48" customFormat="1" ht="17.100000000000001" customHeight="1" x14ac:dyDescent="0.25">
      <c r="A233" s="1305" t="s">
        <v>163</v>
      </c>
      <c r="B233" s="1305" t="s">
        <v>1317</v>
      </c>
      <c r="C233" s="44" t="s">
        <v>170</v>
      </c>
      <c r="D233" s="113"/>
      <c r="E233" s="113"/>
      <c r="F233" s="113"/>
      <c r="G233" s="143" t="s">
        <v>171</v>
      </c>
      <c r="H233" s="101"/>
      <c r="I233" s="101">
        <v>130335.2</v>
      </c>
      <c r="J233" s="101">
        <v>130335.2</v>
      </c>
      <c r="K233" s="102">
        <v>130335.2</v>
      </c>
      <c r="L233" s="6"/>
    </row>
    <row r="234" spans="1:12" s="48" customFormat="1" ht="17.100000000000001" customHeight="1" x14ac:dyDescent="0.25">
      <c r="A234" s="1305" t="s">
        <v>163</v>
      </c>
      <c r="B234" s="1305" t="s">
        <v>1317</v>
      </c>
      <c r="C234" s="38" t="s">
        <v>170</v>
      </c>
      <c r="D234" s="184"/>
      <c r="E234" s="184"/>
      <c r="F234" s="184"/>
      <c r="G234" s="716" t="s">
        <v>171</v>
      </c>
      <c r="H234" s="101"/>
      <c r="I234" s="101">
        <v>286982.40000000002</v>
      </c>
      <c r="J234" s="101">
        <v>286982.40000000002</v>
      </c>
      <c r="K234" s="102">
        <v>286982.40000000002</v>
      </c>
      <c r="L234" s="6"/>
    </row>
    <row r="235" spans="1:12" s="48" customFormat="1" ht="17.100000000000001" customHeight="1" x14ac:dyDescent="0.25">
      <c r="A235" s="1305" t="s">
        <v>163</v>
      </c>
      <c r="B235" s="1305" t="s">
        <v>1317</v>
      </c>
      <c r="C235" s="44" t="s">
        <v>170</v>
      </c>
      <c r="D235" s="113"/>
      <c r="E235" s="113"/>
      <c r="F235" s="113"/>
      <c r="G235" s="716" t="s">
        <v>171</v>
      </c>
      <c r="H235" s="101"/>
      <c r="I235" s="101">
        <v>28002</v>
      </c>
      <c r="J235" s="101">
        <v>28002</v>
      </c>
      <c r="K235" s="102">
        <v>28002</v>
      </c>
      <c r="L235" s="6"/>
    </row>
    <row r="236" spans="1:12" s="48" customFormat="1" ht="17.100000000000001" customHeight="1" x14ac:dyDescent="0.25">
      <c r="A236" s="1305" t="s">
        <v>163</v>
      </c>
      <c r="B236" s="1305" t="s">
        <v>1317</v>
      </c>
      <c r="C236" s="44" t="s">
        <v>213</v>
      </c>
      <c r="D236" s="125"/>
      <c r="E236" s="125"/>
      <c r="F236" s="125"/>
      <c r="G236" s="143" t="s">
        <v>171</v>
      </c>
      <c r="H236" s="101"/>
      <c r="I236" s="101">
        <f>548881.5+8000+5000</f>
        <v>561881.5</v>
      </c>
      <c r="J236" s="101">
        <f>548881.5+8000+5000</f>
        <v>561881.5</v>
      </c>
      <c r="K236" s="102">
        <f>548881.5+8000+5000</f>
        <v>561881.5</v>
      </c>
      <c r="L236" s="6"/>
    </row>
    <row r="237" spans="1:12" s="48" customFormat="1" ht="17.100000000000001" customHeight="1" x14ac:dyDescent="0.25">
      <c r="A237" s="1305" t="s">
        <v>163</v>
      </c>
      <c r="B237" s="1305" t="s">
        <v>1317</v>
      </c>
      <c r="C237" s="44" t="s">
        <v>213</v>
      </c>
      <c r="D237" s="113"/>
      <c r="E237" s="113"/>
      <c r="F237" s="113"/>
      <c r="G237" s="716" t="s">
        <v>171</v>
      </c>
      <c r="H237" s="101"/>
      <c r="I237" s="102">
        <v>34078</v>
      </c>
      <c r="J237" s="102">
        <v>34078</v>
      </c>
      <c r="K237" s="102">
        <v>11616</v>
      </c>
      <c r="L237" s="6"/>
    </row>
    <row r="238" spans="1:12" s="48" customFormat="1" ht="17.100000000000001" customHeight="1" x14ac:dyDescent="0.25">
      <c r="A238" s="1305" t="s">
        <v>163</v>
      </c>
      <c r="B238" s="1305" t="s">
        <v>1317</v>
      </c>
      <c r="C238" s="44" t="s">
        <v>213</v>
      </c>
      <c r="D238" s="113"/>
      <c r="E238" s="113"/>
      <c r="F238" s="113"/>
      <c r="G238" s="143" t="s">
        <v>171</v>
      </c>
      <c r="H238" s="101"/>
      <c r="I238" s="101">
        <f>9935+50000+25000+50000</f>
        <v>134935</v>
      </c>
      <c r="J238" s="101">
        <f>9935+50000+25000+50000</f>
        <v>134935</v>
      </c>
      <c r="K238" s="102">
        <f>9935+50000+25000+50000</f>
        <v>134935</v>
      </c>
      <c r="L238" s="6"/>
    </row>
    <row r="239" spans="1:12" s="48" customFormat="1" ht="17.100000000000001" customHeight="1" x14ac:dyDescent="0.25">
      <c r="A239" s="1305" t="s">
        <v>163</v>
      </c>
      <c r="B239" s="1305" t="s">
        <v>1317</v>
      </c>
      <c r="C239" s="38" t="s">
        <v>213</v>
      </c>
      <c r="D239" s="184"/>
      <c r="E239" s="184"/>
      <c r="F239" s="184"/>
      <c r="G239" s="143" t="s">
        <v>171</v>
      </c>
      <c r="H239" s="101"/>
      <c r="I239" s="101">
        <f>630000+50000</f>
        <v>680000</v>
      </c>
      <c r="J239" s="101">
        <f>630000+50000</f>
        <v>680000</v>
      </c>
      <c r="K239" s="102">
        <f>630000+50000</f>
        <v>680000</v>
      </c>
      <c r="L239" s="6"/>
    </row>
    <row r="240" spans="1:12" s="48" customFormat="1" ht="17.100000000000001" customHeight="1" x14ac:dyDescent="0.25">
      <c r="A240" s="1305" t="s">
        <v>163</v>
      </c>
      <c r="B240" s="1305" t="s">
        <v>1317</v>
      </c>
      <c r="C240" s="38" t="s">
        <v>213</v>
      </c>
      <c r="D240" s="184"/>
      <c r="E240" s="184"/>
      <c r="F240" s="184"/>
      <c r="G240" s="143" t="s">
        <v>171</v>
      </c>
      <c r="H240" s="101"/>
      <c r="I240" s="101">
        <v>755000</v>
      </c>
      <c r="J240" s="101">
        <v>755000</v>
      </c>
      <c r="K240" s="102">
        <v>755000</v>
      </c>
      <c r="L240" s="6"/>
    </row>
    <row r="241" spans="1:12" ht="15" customHeight="1" x14ac:dyDescent="0.25">
      <c r="A241" s="1305" t="s">
        <v>163</v>
      </c>
      <c r="B241" s="1305" t="s">
        <v>1317</v>
      </c>
      <c r="C241" s="38" t="s">
        <v>213</v>
      </c>
      <c r="D241" s="184"/>
      <c r="E241" s="184"/>
      <c r="F241" s="184"/>
      <c r="G241" s="143" t="s">
        <v>171</v>
      </c>
      <c r="H241" s="101"/>
      <c r="I241" s="101">
        <v>350000</v>
      </c>
      <c r="J241" s="101">
        <v>350000</v>
      </c>
      <c r="K241" s="102">
        <v>350000</v>
      </c>
    </row>
    <row r="242" spans="1:12" s="48" customFormat="1" ht="17.100000000000001" customHeight="1" x14ac:dyDescent="0.25">
      <c r="A242" s="1305" t="s">
        <v>163</v>
      </c>
      <c r="B242" s="1305" t="s">
        <v>1317</v>
      </c>
      <c r="C242" s="38" t="s">
        <v>213</v>
      </c>
      <c r="D242" s="184"/>
      <c r="E242" s="184"/>
      <c r="F242" s="184"/>
      <c r="G242" s="143" t="s">
        <v>171</v>
      </c>
      <c r="H242" s="102"/>
      <c r="I242" s="102">
        <v>40000</v>
      </c>
      <c r="J242" s="102">
        <v>40000</v>
      </c>
      <c r="K242" s="102">
        <v>40000</v>
      </c>
      <c r="L242" s="6"/>
    </row>
    <row r="243" spans="1:12" s="48" customFormat="1" ht="17.100000000000001" customHeight="1" x14ac:dyDescent="0.25">
      <c r="A243" s="1305" t="s">
        <v>163</v>
      </c>
      <c r="B243" s="1305" t="s">
        <v>1317</v>
      </c>
      <c r="C243" s="38" t="s">
        <v>213</v>
      </c>
      <c r="D243" s="184"/>
      <c r="E243" s="184"/>
      <c r="F243" s="184"/>
      <c r="G243" s="716" t="s">
        <v>171</v>
      </c>
      <c r="H243" s="101"/>
      <c r="I243" s="101">
        <v>70000</v>
      </c>
      <c r="J243" s="101">
        <v>70000</v>
      </c>
      <c r="K243" s="102">
        <f>70000+250000</f>
        <v>320000</v>
      </c>
      <c r="L243" s="6"/>
    </row>
    <row r="244" spans="1:12" s="48" customFormat="1" ht="17.100000000000001" customHeight="1" x14ac:dyDescent="0.25">
      <c r="A244" s="1305" t="s">
        <v>163</v>
      </c>
      <c r="B244" s="1305" t="s">
        <v>1317</v>
      </c>
      <c r="C244" s="44" t="s">
        <v>213</v>
      </c>
      <c r="D244" s="113"/>
      <c r="E244" s="113"/>
      <c r="F244" s="113"/>
      <c r="G244" s="143" t="s">
        <v>171</v>
      </c>
      <c r="H244" s="101"/>
      <c r="I244" s="101">
        <v>118695.4</v>
      </c>
      <c r="J244" s="101">
        <v>118695.4</v>
      </c>
      <c r="K244" s="102">
        <v>118695.4</v>
      </c>
      <c r="L244" s="6"/>
    </row>
    <row r="245" spans="1:12" s="48" customFormat="1" ht="17.100000000000001" customHeight="1" x14ac:dyDescent="0.25">
      <c r="A245" s="1305" t="s">
        <v>163</v>
      </c>
      <c r="B245" s="1305" t="s">
        <v>1317</v>
      </c>
      <c r="C245" s="44" t="s">
        <v>288</v>
      </c>
      <c r="D245" s="125"/>
      <c r="E245" s="125"/>
      <c r="F245" s="125"/>
      <c r="G245" s="143" t="s">
        <v>171</v>
      </c>
      <c r="H245" s="101"/>
      <c r="I245" s="101">
        <f>3589902+824200</f>
        <v>4414102</v>
      </c>
      <c r="J245" s="101">
        <f>3589902+824200</f>
        <v>4414102</v>
      </c>
      <c r="K245" s="102">
        <v>8476602</v>
      </c>
      <c r="L245" s="6"/>
    </row>
    <row r="246" spans="1:12" s="48" customFormat="1" ht="17.100000000000001" customHeight="1" x14ac:dyDescent="0.25">
      <c r="A246" s="1305" t="s">
        <v>163</v>
      </c>
      <c r="B246" s="1305" t="s">
        <v>1317</v>
      </c>
      <c r="C246" s="44" t="s">
        <v>288</v>
      </c>
      <c r="D246" s="125"/>
      <c r="E246" s="125"/>
      <c r="F246" s="125"/>
      <c r="G246" s="143" t="s">
        <v>171</v>
      </c>
      <c r="H246" s="101"/>
      <c r="I246" s="101">
        <f>53162.5+34000+10000+6500+8000</f>
        <v>111662.5</v>
      </c>
      <c r="J246" s="101">
        <f>53162.5+34000+10000+6500+8000</f>
        <v>111662.5</v>
      </c>
      <c r="K246" s="102">
        <f>53162.5+34000+10000+6500+8000</f>
        <v>111662.5</v>
      </c>
      <c r="L246" s="6"/>
    </row>
    <row r="247" spans="1:12" s="48" customFormat="1" ht="17.100000000000001" customHeight="1" x14ac:dyDescent="0.25">
      <c r="A247" s="1305" t="s">
        <v>163</v>
      </c>
      <c r="B247" s="1305" t="s">
        <v>1317</v>
      </c>
      <c r="C247" s="44" t="s">
        <v>288</v>
      </c>
      <c r="D247" s="125"/>
      <c r="E247" s="125"/>
      <c r="F247" s="125"/>
      <c r="G247" s="143" t="s">
        <v>171</v>
      </c>
      <c r="H247" s="101"/>
      <c r="I247" s="101">
        <v>482857</v>
      </c>
      <c r="J247" s="101">
        <v>482857</v>
      </c>
      <c r="K247" s="102">
        <v>482857</v>
      </c>
      <c r="L247" s="6"/>
    </row>
    <row r="248" spans="1:12" s="48" customFormat="1" ht="17.100000000000001" customHeight="1" x14ac:dyDescent="0.25">
      <c r="A248" s="1305" t="s">
        <v>163</v>
      </c>
      <c r="B248" s="1305" t="s">
        <v>1317</v>
      </c>
      <c r="C248" s="44" t="s">
        <v>213</v>
      </c>
      <c r="D248" s="125"/>
      <c r="E248" s="125"/>
      <c r="F248" s="125"/>
      <c r="G248" s="143" t="s">
        <v>171</v>
      </c>
      <c r="H248" s="101"/>
      <c r="I248" s="101">
        <v>82341</v>
      </c>
      <c r="J248" s="101">
        <v>82341</v>
      </c>
      <c r="K248" s="102">
        <v>82341</v>
      </c>
      <c r="L248" s="6">
        <f>SUM(K231:K248)</f>
        <v>15910266.5</v>
      </c>
    </row>
    <row r="249" spans="1:12" s="48" customFormat="1" ht="17.100000000000001" customHeight="1" x14ac:dyDescent="0.25">
      <c r="A249" s="1305" t="s">
        <v>163</v>
      </c>
      <c r="B249" s="1305" t="s">
        <v>1317</v>
      </c>
      <c r="C249" s="38" t="s">
        <v>296</v>
      </c>
      <c r="D249" s="184"/>
      <c r="E249" s="184"/>
      <c r="F249" s="184"/>
      <c r="G249" s="143" t="s">
        <v>177</v>
      </c>
      <c r="H249" s="101"/>
      <c r="I249" s="101">
        <v>15000</v>
      </c>
      <c r="J249" s="101">
        <v>15000</v>
      </c>
      <c r="K249" s="102">
        <v>15000</v>
      </c>
      <c r="L249" s="6"/>
    </row>
    <row r="250" spans="1:12" s="48" customFormat="1" ht="17.100000000000001" customHeight="1" x14ac:dyDescent="0.25">
      <c r="A250" s="1305" t="s">
        <v>163</v>
      </c>
      <c r="B250" s="1305" t="s">
        <v>1317</v>
      </c>
      <c r="C250" s="38" t="s">
        <v>296</v>
      </c>
      <c r="D250" s="184"/>
      <c r="E250" s="184"/>
      <c r="F250" s="184"/>
      <c r="G250" s="143" t="s">
        <v>177</v>
      </c>
      <c r="H250" s="101"/>
      <c r="I250" s="101">
        <v>15000</v>
      </c>
      <c r="J250" s="101">
        <v>15000</v>
      </c>
      <c r="K250" s="102">
        <v>15000</v>
      </c>
      <c r="L250" s="6"/>
    </row>
    <row r="251" spans="1:12" s="48" customFormat="1" ht="17.100000000000001" customHeight="1" x14ac:dyDescent="0.25">
      <c r="A251" s="1305" t="s">
        <v>163</v>
      </c>
      <c r="B251" s="1305" t="s">
        <v>1317</v>
      </c>
      <c r="C251" s="38" t="s">
        <v>296</v>
      </c>
      <c r="D251" s="184"/>
      <c r="E251" s="184"/>
      <c r="F251" s="184"/>
      <c r="G251" s="143" t="s">
        <v>177</v>
      </c>
      <c r="H251" s="101"/>
      <c r="I251" s="101">
        <v>15000</v>
      </c>
      <c r="J251" s="101">
        <v>15000</v>
      </c>
      <c r="K251" s="102">
        <v>15000</v>
      </c>
      <c r="L251" s="6"/>
    </row>
    <row r="252" spans="1:12" s="48" customFormat="1" ht="17.100000000000001" customHeight="1" x14ac:dyDescent="0.25">
      <c r="A252" s="1305" t="s">
        <v>163</v>
      </c>
      <c r="B252" s="1305" t="s">
        <v>1317</v>
      </c>
      <c r="C252" s="38" t="s">
        <v>296</v>
      </c>
      <c r="D252" s="184"/>
      <c r="E252" s="184"/>
      <c r="F252" s="184"/>
      <c r="G252" s="143" t="s">
        <v>177</v>
      </c>
      <c r="H252" s="102"/>
      <c r="I252" s="102">
        <v>10000</v>
      </c>
      <c r="J252" s="102">
        <v>10000</v>
      </c>
      <c r="K252" s="102">
        <v>10000</v>
      </c>
      <c r="L252" s="6"/>
    </row>
    <row r="253" spans="1:12" s="48" customFormat="1" ht="17.100000000000001" customHeight="1" x14ac:dyDescent="0.25">
      <c r="A253" s="1305" t="s">
        <v>163</v>
      </c>
      <c r="B253" s="1305" t="s">
        <v>1317</v>
      </c>
      <c r="C253" s="38" t="s">
        <v>296</v>
      </c>
      <c r="D253" s="184"/>
      <c r="E253" s="184"/>
      <c r="F253" s="184"/>
      <c r="G253" s="716" t="s">
        <v>177</v>
      </c>
      <c r="H253" s="101"/>
      <c r="I253" s="101">
        <v>1000</v>
      </c>
      <c r="J253" s="101">
        <v>1000</v>
      </c>
      <c r="K253" s="102">
        <v>1000</v>
      </c>
      <c r="L253" s="6"/>
    </row>
    <row r="254" spans="1:12" s="48" customFormat="1" ht="17.100000000000001" customHeight="1" x14ac:dyDescent="0.25">
      <c r="A254" s="1305" t="s">
        <v>163</v>
      </c>
      <c r="B254" s="1305" t="s">
        <v>1317</v>
      </c>
      <c r="C254" s="44" t="s">
        <v>176</v>
      </c>
      <c r="D254" s="113"/>
      <c r="E254" s="113"/>
      <c r="F254" s="113"/>
      <c r="G254" s="716" t="s">
        <v>177</v>
      </c>
      <c r="H254" s="101"/>
      <c r="I254" s="101">
        <v>5000</v>
      </c>
      <c r="J254" s="101">
        <v>5000</v>
      </c>
      <c r="K254" s="102">
        <v>5000</v>
      </c>
      <c r="L254" s="6"/>
    </row>
    <row r="255" spans="1:12" s="48" customFormat="1" ht="17.100000000000001" customHeight="1" x14ac:dyDescent="0.25">
      <c r="A255" s="1305" t="s">
        <v>163</v>
      </c>
      <c r="B255" s="1305" t="s">
        <v>1317</v>
      </c>
      <c r="C255" s="44" t="s">
        <v>176</v>
      </c>
      <c r="D255" s="113"/>
      <c r="E255" s="113"/>
      <c r="F255" s="113"/>
      <c r="G255" s="716" t="s">
        <v>177</v>
      </c>
      <c r="H255" s="101"/>
      <c r="I255" s="101">
        <v>1000</v>
      </c>
      <c r="J255" s="101">
        <v>1000</v>
      </c>
      <c r="K255" s="102">
        <v>1000</v>
      </c>
      <c r="L255" s="6"/>
    </row>
    <row r="256" spans="1:12" s="48" customFormat="1" ht="17.100000000000001" customHeight="1" x14ac:dyDescent="0.25">
      <c r="A256" s="1305" t="s">
        <v>163</v>
      </c>
      <c r="B256" s="1305" t="s">
        <v>1317</v>
      </c>
      <c r="C256" s="44" t="s">
        <v>176</v>
      </c>
      <c r="D256" s="125"/>
      <c r="E256" s="125"/>
      <c r="F256" s="125"/>
      <c r="G256" s="143" t="s">
        <v>177</v>
      </c>
      <c r="H256" s="101"/>
      <c r="I256" s="101">
        <v>15000</v>
      </c>
      <c r="J256" s="101">
        <v>15000</v>
      </c>
      <c r="K256" s="102">
        <v>15000</v>
      </c>
      <c r="L256" s="6"/>
    </row>
    <row r="257" spans="1:12" s="48" customFormat="1" ht="17.100000000000001" customHeight="1" x14ac:dyDescent="0.25">
      <c r="A257" s="1305" t="s">
        <v>163</v>
      </c>
      <c r="B257" s="1305" t="s">
        <v>1317</v>
      </c>
      <c r="C257" s="44" t="s">
        <v>176</v>
      </c>
      <c r="D257" s="125"/>
      <c r="E257" s="125"/>
      <c r="F257" s="125"/>
      <c r="G257" s="143" t="s">
        <v>177</v>
      </c>
      <c r="H257" s="101"/>
      <c r="I257" s="101">
        <v>5000</v>
      </c>
      <c r="J257" s="101">
        <v>5000</v>
      </c>
      <c r="K257" s="102">
        <v>5000</v>
      </c>
      <c r="L257" s="6"/>
    </row>
    <row r="258" spans="1:12" s="48" customFormat="1" ht="17.100000000000001" customHeight="1" x14ac:dyDescent="0.25">
      <c r="A258" s="1305" t="s">
        <v>163</v>
      </c>
      <c r="B258" s="1305" t="s">
        <v>1317</v>
      </c>
      <c r="C258" s="44" t="s">
        <v>176</v>
      </c>
      <c r="D258" s="125"/>
      <c r="E258" s="125"/>
      <c r="F258" s="125"/>
      <c r="G258" s="1332" t="s">
        <v>177</v>
      </c>
      <c r="H258" s="101"/>
      <c r="I258" s="101">
        <v>10000</v>
      </c>
      <c r="J258" s="101">
        <v>10000</v>
      </c>
      <c r="K258" s="102">
        <v>10000</v>
      </c>
      <c r="L258" s="6"/>
    </row>
    <row r="259" spans="1:12" s="48" customFormat="1" ht="17.100000000000001" customHeight="1" x14ac:dyDescent="0.25">
      <c r="A259" s="1305" t="s">
        <v>163</v>
      </c>
      <c r="B259" s="1305" t="s">
        <v>1317</v>
      </c>
      <c r="C259" s="44" t="s">
        <v>1549</v>
      </c>
      <c r="D259" s="113"/>
      <c r="E259" s="113"/>
      <c r="F259" s="113"/>
      <c r="G259" s="716"/>
      <c r="H259" s="101"/>
      <c r="I259" s="101"/>
      <c r="J259" s="101"/>
      <c r="K259" s="102">
        <v>20000</v>
      </c>
      <c r="L259" s="6">
        <f>SUM(K249:K259)</f>
        <v>112000</v>
      </c>
    </row>
    <row r="260" spans="1:12" s="48" customFormat="1" ht="17.100000000000001" customHeight="1" x14ac:dyDescent="0.25">
      <c r="A260" s="1306" t="s">
        <v>163</v>
      </c>
      <c r="B260" s="1305" t="s">
        <v>1317</v>
      </c>
      <c r="C260" s="38" t="s">
        <v>309</v>
      </c>
      <c r="D260" s="184"/>
      <c r="E260" s="184"/>
      <c r="F260" s="184"/>
      <c r="G260" s="143" t="s">
        <v>282</v>
      </c>
      <c r="H260" s="101"/>
      <c r="I260" s="101">
        <v>500000</v>
      </c>
      <c r="J260" s="101">
        <v>500000</v>
      </c>
      <c r="K260" s="102">
        <v>300000</v>
      </c>
      <c r="L260" s="6"/>
    </row>
    <row r="261" spans="1:12" s="48" customFormat="1" ht="17.100000000000001" customHeight="1" x14ac:dyDescent="0.25">
      <c r="A261" s="1306" t="s">
        <v>163</v>
      </c>
      <c r="B261" s="1305" t="s">
        <v>1317</v>
      </c>
      <c r="C261" s="38" t="s">
        <v>331</v>
      </c>
      <c r="D261" s="184"/>
      <c r="E261" s="184"/>
      <c r="F261" s="184"/>
      <c r="G261" s="716" t="s">
        <v>282</v>
      </c>
      <c r="H261" s="101"/>
      <c r="I261" s="101">
        <v>100000</v>
      </c>
      <c r="J261" s="101">
        <v>100000</v>
      </c>
      <c r="K261" s="102">
        <v>100000</v>
      </c>
      <c r="L261" s="6"/>
    </row>
    <row r="262" spans="1:12" s="48" customFormat="1" ht="17.100000000000001" customHeight="1" x14ac:dyDescent="0.25">
      <c r="A262" s="1306" t="s">
        <v>163</v>
      </c>
      <c r="B262" s="1305" t="s">
        <v>1317</v>
      </c>
      <c r="C262" s="38" t="s">
        <v>331</v>
      </c>
      <c r="D262" s="204"/>
      <c r="E262" s="204"/>
      <c r="F262" s="204"/>
      <c r="G262" s="1335"/>
      <c r="H262" s="102"/>
      <c r="I262" s="102">
        <v>50000</v>
      </c>
      <c r="J262" s="102">
        <v>50000</v>
      </c>
      <c r="K262" s="102">
        <v>50000</v>
      </c>
      <c r="L262" s="6">
        <f>SUM(K260:K262)</f>
        <v>450000</v>
      </c>
    </row>
    <row r="263" spans="1:12" s="48" customFormat="1" ht="17.100000000000001" customHeight="1" x14ac:dyDescent="0.25">
      <c r="A263" s="1306" t="s">
        <v>163</v>
      </c>
      <c r="B263" s="1305" t="s">
        <v>1317</v>
      </c>
      <c r="C263" s="38" t="s">
        <v>298</v>
      </c>
      <c r="D263" s="184"/>
      <c r="E263" s="184"/>
      <c r="F263" s="184"/>
      <c r="G263" s="143" t="s">
        <v>189</v>
      </c>
      <c r="H263" s="101"/>
      <c r="I263" s="101">
        <v>350000</v>
      </c>
      <c r="J263" s="101">
        <v>350000</v>
      </c>
      <c r="K263" s="102">
        <v>200000</v>
      </c>
      <c r="L263" s="6"/>
    </row>
    <row r="264" spans="1:12" s="48" customFormat="1" ht="18" customHeight="1" x14ac:dyDescent="0.25">
      <c r="A264" s="1306" t="s">
        <v>163</v>
      </c>
      <c r="B264" s="1305" t="s">
        <v>1317</v>
      </c>
      <c r="C264" s="44" t="s">
        <v>1518</v>
      </c>
      <c r="D264" s="170"/>
      <c r="E264" s="170"/>
      <c r="F264" s="170"/>
      <c r="G264" s="1333"/>
      <c r="H264" s="102"/>
      <c r="I264" s="102"/>
      <c r="J264" s="102"/>
      <c r="K264" s="102">
        <v>300000</v>
      </c>
      <c r="L264" s="6"/>
    </row>
    <row r="265" spans="1:12" s="48" customFormat="1" ht="18" customHeight="1" x14ac:dyDescent="0.25">
      <c r="A265" s="1306" t="s">
        <v>163</v>
      </c>
      <c r="B265" s="1305" t="s">
        <v>1317</v>
      </c>
      <c r="C265" s="44" t="s">
        <v>188</v>
      </c>
      <c r="D265" s="113"/>
      <c r="E265" s="113"/>
      <c r="F265" s="113"/>
      <c r="G265" s="716" t="s">
        <v>189</v>
      </c>
      <c r="H265" s="101"/>
      <c r="I265" s="101">
        <v>1000000</v>
      </c>
      <c r="J265" s="101">
        <v>1000000</v>
      </c>
      <c r="K265" s="102">
        <v>300000</v>
      </c>
      <c r="L265" s="6"/>
    </row>
    <row r="266" spans="1:12" s="48" customFormat="1" ht="17.100000000000001" customHeight="1" x14ac:dyDescent="0.25">
      <c r="A266" s="1306" t="s">
        <v>163</v>
      </c>
      <c r="B266" s="1305" t="s">
        <v>1317</v>
      </c>
      <c r="C266" s="38" t="s">
        <v>298</v>
      </c>
      <c r="D266" s="184"/>
      <c r="E266" s="184"/>
      <c r="F266" s="184"/>
      <c r="G266" s="143" t="s">
        <v>189</v>
      </c>
      <c r="H266" s="101"/>
      <c r="I266" s="101">
        <v>200000</v>
      </c>
      <c r="J266" s="101">
        <v>200000</v>
      </c>
      <c r="K266" s="102">
        <v>100000</v>
      </c>
      <c r="L266" s="6"/>
    </row>
    <row r="267" spans="1:12" s="48" customFormat="1" ht="17.100000000000001" customHeight="1" x14ac:dyDescent="0.25">
      <c r="A267" s="1306" t="s">
        <v>163</v>
      </c>
      <c r="B267" s="1305" t="s">
        <v>1317</v>
      </c>
      <c r="C267" s="38" t="s">
        <v>298</v>
      </c>
      <c r="D267" s="184"/>
      <c r="E267" s="184"/>
      <c r="F267" s="184"/>
      <c r="G267" s="143" t="s">
        <v>189</v>
      </c>
      <c r="H267" s="101"/>
      <c r="I267" s="101">
        <v>200000</v>
      </c>
      <c r="J267" s="101">
        <v>200000</v>
      </c>
      <c r="K267" s="102">
        <v>200000</v>
      </c>
      <c r="L267" s="6">
        <f>SUM(K263:K267)</f>
        <v>1100000</v>
      </c>
    </row>
    <row r="268" spans="1:12" s="48" customFormat="1" ht="17.100000000000001" customHeight="1" x14ac:dyDescent="0.25">
      <c r="A268" s="1306" t="s">
        <v>163</v>
      </c>
      <c r="B268" s="1305" t="s">
        <v>1317</v>
      </c>
      <c r="C268" s="44" t="s">
        <v>186</v>
      </c>
      <c r="D268" s="113"/>
      <c r="E268" s="113"/>
      <c r="F268" s="113"/>
      <c r="G268" s="716" t="s">
        <v>187</v>
      </c>
      <c r="H268" s="105"/>
      <c r="I268" s="105">
        <v>300000</v>
      </c>
      <c r="J268" s="105">
        <v>300000</v>
      </c>
      <c r="K268" s="106">
        <v>100000</v>
      </c>
      <c r="L268" s="6"/>
    </row>
    <row r="269" spans="1:12" s="48" customFormat="1" ht="18" customHeight="1" x14ac:dyDescent="0.25">
      <c r="A269" s="1306" t="s">
        <v>163</v>
      </c>
      <c r="B269" s="1305" t="s">
        <v>1317</v>
      </c>
      <c r="C269" s="44" t="s">
        <v>186</v>
      </c>
      <c r="D269" s="125"/>
      <c r="E269" s="125"/>
      <c r="F269" s="125"/>
      <c r="G269" s="143"/>
      <c r="H269" s="101"/>
      <c r="I269" s="101"/>
      <c r="J269" s="101"/>
      <c r="K269" s="102">
        <v>25000</v>
      </c>
      <c r="L269" s="6"/>
    </row>
    <row r="270" spans="1:12" s="48" customFormat="1" ht="18" customHeight="1" x14ac:dyDescent="0.25">
      <c r="A270" s="1306" t="s">
        <v>163</v>
      </c>
      <c r="B270" s="1305" t="s">
        <v>1317</v>
      </c>
      <c r="C270" s="44" t="s">
        <v>186</v>
      </c>
      <c r="D270" s="113"/>
      <c r="E270" s="113"/>
      <c r="F270" s="113"/>
      <c r="G270" s="716" t="s">
        <v>187</v>
      </c>
      <c r="H270" s="101"/>
      <c r="I270" s="101">
        <v>10000</v>
      </c>
      <c r="J270" s="101">
        <v>10000</v>
      </c>
      <c r="K270" s="102">
        <v>10000</v>
      </c>
      <c r="L270" s="6"/>
    </row>
    <row r="271" spans="1:12" s="48" customFormat="1" ht="18" customHeight="1" x14ac:dyDescent="0.25">
      <c r="A271" s="1306" t="s">
        <v>163</v>
      </c>
      <c r="B271" s="1305" t="s">
        <v>1317</v>
      </c>
      <c r="C271" s="44" t="s">
        <v>186</v>
      </c>
      <c r="D271" s="113"/>
      <c r="E271" s="113"/>
      <c r="F271" s="113"/>
      <c r="G271" s="716" t="s">
        <v>187</v>
      </c>
      <c r="H271" s="101"/>
      <c r="I271" s="101">
        <v>15000</v>
      </c>
      <c r="J271" s="101">
        <v>15000</v>
      </c>
      <c r="K271" s="102">
        <v>15000</v>
      </c>
      <c r="L271" s="6"/>
    </row>
    <row r="272" spans="1:12" s="48" customFormat="1" ht="18" customHeight="1" x14ac:dyDescent="0.25">
      <c r="A272" s="1306" t="s">
        <v>163</v>
      </c>
      <c r="B272" s="1305" t="s">
        <v>1317</v>
      </c>
      <c r="C272" s="44" t="s">
        <v>186</v>
      </c>
      <c r="D272" s="113"/>
      <c r="E272" s="113"/>
      <c r="F272" s="113"/>
      <c r="G272" s="143" t="s">
        <v>187</v>
      </c>
      <c r="H272" s="101"/>
      <c r="I272" s="101">
        <v>150000</v>
      </c>
      <c r="J272" s="101">
        <v>150000</v>
      </c>
      <c r="K272" s="102">
        <v>150000</v>
      </c>
      <c r="L272" s="6"/>
    </row>
    <row r="273" spans="1:12" s="48" customFormat="1" ht="18" customHeight="1" x14ac:dyDescent="0.25">
      <c r="A273" s="1306" t="s">
        <v>163</v>
      </c>
      <c r="B273" s="1305" t="s">
        <v>1317</v>
      </c>
      <c r="C273" s="44" t="s">
        <v>186</v>
      </c>
      <c r="D273" s="170"/>
      <c r="E273" s="170"/>
      <c r="F273" s="170"/>
      <c r="G273" s="1333"/>
      <c r="H273" s="102"/>
      <c r="I273" s="102"/>
      <c r="J273" s="102"/>
      <c r="K273" s="102">
        <v>200000</v>
      </c>
      <c r="L273" s="6"/>
    </row>
    <row r="274" spans="1:12" s="48" customFormat="1" ht="18" customHeight="1" x14ac:dyDescent="0.25">
      <c r="A274" s="1306" t="s">
        <v>163</v>
      </c>
      <c r="B274" s="1305" t="s">
        <v>1317</v>
      </c>
      <c r="C274" s="44" t="s">
        <v>186</v>
      </c>
      <c r="D274" s="113"/>
      <c r="E274" s="113"/>
      <c r="F274" s="113"/>
      <c r="G274" s="716" t="s">
        <v>187</v>
      </c>
      <c r="H274" s="101"/>
      <c r="I274" s="101">
        <v>50000</v>
      </c>
      <c r="J274" s="101">
        <v>50000</v>
      </c>
      <c r="K274" s="102">
        <v>50000</v>
      </c>
      <c r="L274" s="6"/>
    </row>
    <row r="275" spans="1:12" s="48" customFormat="1" ht="18" customHeight="1" x14ac:dyDescent="0.25">
      <c r="A275" s="1306" t="s">
        <v>163</v>
      </c>
      <c r="B275" s="1305" t="s">
        <v>1317</v>
      </c>
      <c r="C275" s="44" t="s">
        <v>186</v>
      </c>
      <c r="D275" s="113"/>
      <c r="E275" s="113"/>
      <c r="F275" s="113"/>
      <c r="G275" s="143"/>
      <c r="H275" s="101"/>
      <c r="I275" s="101">
        <v>30000</v>
      </c>
      <c r="J275" s="101">
        <v>30000</v>
      </c>
      <c r="K275" s="102">
        <v>30000</v>
      </c>
      <c r="L275" s="6"/>
    </row>
    <row r="276" spans="1:12" s="48" customFormat="1" ht="18" customHeight="1" x14ac:dyDescent="0.25">
      <c r="A276" s="1306" t="s">
        <v>163</v>
      </c>
      <c r="B276" s="1305" t="s">
        <v>1317</v>
      </c>
      <c r="C276" s="44" t="s">
        <v>186</v>
      </c>
      <c r="D276" s="125"/>
      <c r="E276" s="125"/>
      <c r="F276" s="125"/>
      <c r="G276" s="143"/>
      <c r="H276" s="101"/>
      <c r="I276" s="101">
        <v>70000</v>
      </c>
      <c r="J276" s="101">
        <v>70000</v>
      </c>
      <c r="K276" s="102">
        <v>70000</v>
      </c>
      <c r="L276" s="6"/>
    </row>
    <row r="277" spans="1:12" s="48" customFormat="1" ht="18" customHeight="1" x14ac:dyDescent="0.25">
      <c r="A277" s="1306" t="s">
        <v>163</v>
      </c>
      <c r="B277" s="1305" t="s">
        <v>1317</v>
      </c>
      <c r="C277" s="44" t="s">
        <v>186</v>
      </c>
      <c r="D277" s="125"/>
      <c r="E277" s="125"/>
      <c r="F277" s="125"/>
      <c r="G277" s="143" t="s">
        <v>187</v>
      </c>
      <c r="H277" s="101"/>
      <c r="I277" s="101">
        <v>50000</v>
      </c>
      <c r="J277" s="101">
        <v>50000</v>
      </c>
      <c r="K277" s="102">
        <f>50000+50000</f>
        <v>100000</v>
      </c>
      <c r="L277" s="6"/>
    </row>
    <row r="278" spans="1:12" s="48" customFormat="1" ht="18" customHeight="1" x14ac:dyDescent="0.25">
      <c r="A278" s="1306" t="s">
        <v>163</v>
      </c>
      <c r="B278" s="1305" t="s">
        <v>1317</v>
      </c>
      <c r="C278" s="44" t="s">
        <v>186</v>
      </c>
      <c r="D278" s="125"/>
      <c r="E278" s="125"/>
      <c r="F278" s="125"/>
      <c r="G278" s="143" t="s">
        <v>187</v>
      </c>
      <c r="H278" s="101"/>
      <c r="I278" s="101">
        <v>10000</v>
      </c>
      <c r="J278" s="101">
        <v>10000</v>
      </c>
      <c r="K278" s="102">
        <v>10000</v>
      </c>
      <c r="L278" s="6"/>
    </row>
    <row r="279" spans="1:12" s="48" customFormat="1" ht="18" customHeight="1" x14ac:dyDescent="0.25">
      <c r="A279" s="1306" t="s">
        <v>163</v>
      </c>
      <c r="B279" s="1305" t="s">
        <v>1317</v>
      </c>
      <c r="C279" s="44" t="s">
        <v>386</v>
      </c>
      <c r="D279" s="125"/>
      <c r="E279" s="125"/>
      <c r="F279" s="125"/>
      <c r="G279" s="143" t="s">
        <v>187</v>
      </c>
      <c r="H279" s="102"/>
      <c r="I279" s="102">
        <v>700000</v>
      </c>
      <c r="J279" s="102">
        <v>700000</v>
      </c>
      <c r="K279" s="102">
        <v>1280000</v>
      </c>
      <c r="L279" s="6"/>
    </row>
    <row r="280" spans="1:12" s="48" customFormat="1" ht="18" customHeight="1" x14ac:dyDescent="0.25">
      <c r="A280" s="1306" t="s">
        <v>163</v>
      </c>
      <c r="B280" s="1305" t="s">
        <v>1317</v>
      </c>
      <c r="C280" s="38" t="s">
        <v>297</v>
      </c>
      <c r="D280" s="184"/>
      <c r="E280" s="184"/>
      <c r="F280" s="184"/>
      <c r="G280" s="143" t="s">
        <v>187</v>
      </c>
      <c r="H280" s="101"/>
      <c r="I280" s="101">
        <v>100000</v>
      </c>
      <c r="J280" s="101">
        <v>100000</v>
      </c>
      <c r="K280" s="102">
        <v>100000</v>
      </c>
      <c r="L280" s="6"/>
    </row>
    <row r="281" spans="1:12" s="48" customFormat="1" ht="18" customHeight="1" x14ac:dyDescent="0.25">
      <c r="A281" s="1306" t="s">
        <v>163</v>
      </c>
      <c r="B281" s="1305" t="s">
        <v>1317</v>
      </c>
      <c r="C281" s="38" t="s">
        <v>297</v>
      </c>
      <c r="D281" s="184"/>
      <c r="E281" s="184"/>
      <c r="F281" s="184"/>
      <c r="G281" s="143" t="s">
        <v>187</v>
      </c>
      <c r="H281" s="105"/>
      <c r="I281" s="105">
        <v>200000</v>
      </c>
      <c r="J281" s="105">
        <v>200000</v>
      </c>
      <c r="K281" s="106">
        <v>100000</v>
      </c>
      <c r="L281" s="6"/>
    </row>
    <row r="282" spans="1:12" s="48" customFormat="1" ht="18" customHeight="1" x14ac:dyDescent="0.25">
      <c r="A282" s="1306" t="s">
        <v>163</v>
      </c>
      <c r="B282" s="1305" t="s">
        <v>1317</v>
      </c>
      <c r="C282" s="38" t="s">
        <v>297</v>
      </c>
      <c r="D282" s="184"/>
      <c r="E282" s="184"/>
      <c r="F282" s="184"/>
      <c r="G282" s="143" t="s">
        <v>187</v>
      </c>
      <c r="H282" s="101"/>
      <c r="I282" s="101">
        <v>100000</v>
      </c>
      <c r="J282" s="101">
        <v>100000</v>
      </c>
      <c r="K282" s="102">
        <v>100000</v>
      </c>
      <c r="L282" s="6"/>
    </row>
    <row r="283" spans="1:12" s="48" customFormat="1" ht="18" customHeight="1" x14ac:dyDescent="0.25">
      <c r="A283" s="1306" t="s">
        <v>163</v>
      </c>
      <c r="B283" s="1305" t="s">
        <v>1317</v>
      </c>
      <c r="C283" s="38" t="s">
        <v>297</v>
      </c>
      <c r="D283" s="184"/>
      <c r="E283" s="184"/>
      <c r="F283" s="184"/>
      <c r="G283" s="143" t="s">
        <v>187</v>
      </c>
      <c r="H283" s="102"/>
      <c r="I283" s="102">
        <v>10000</v>
      </c>
      <c r="J283" s="102">
        <v>10000</v>
      </c>
      <c r="K283" s="102">
        <v>10000</v>
      </c>
      <c r="L283" s="6"/>
    </row>
    <row r="284" spans="1:12" s="48" customFormat="1" ht="18" customHeight="1" x14ac:dyDescent="0.25">
      <c r="A284" s="1306" t="s">
        <v>163</v>
      </c>
      <c r="B284" s="1305" t="s">
        <v>1317</v>
      </c>
      <c r="C284" s="38" t="s">
        <v>297</v>
      </c>
      <c r="D284" s="184"/>
      <c r="E284" s="184"/>
      <c r="F284" s="184"/>
      <c r="G284" s="716" t="s">
        <v>187</v>
      </c>
      <c r="H284" s="101"/>
      <c r="I284" s="101">
        <v>25000</v>
      </c>
      <c r="J284" s="101">
        <v>25000</v>
      </c>
      <c r="K284" s="102">
        <v>25000</v>
      </c>
      <c r="L284" s="6"/>
    </row>
    <row r="285" spans="1:12" s="48" customFormat="1" ht="18" customHeight="1" x14ac:dyDescent="0.25">
      <c r="A285" s="1306" t="s">
        <v>163</v>
      </c>
      <c r="B285" s="1305" t="s">
        <v>1317</v>
      </c>
      <c r="C285" s="38" t="s">
        <v>297</v>
      </c>
      <c r="D285" s="204"/>
      <c r="E285" s="204"/>
      <c r="F285" s="204"/>
      <c r="G285" s="1335" t="s">
        <v>187</v>
      </c>
      <c r="H285" s="102"/>
      <c r="I285" s="102">
        <v>120000</v>
      </c>
      <c r="J285" s="102">
        <v>120000</v>
      </c>
      <c r="K285" s="102">
        <v>120000</v>
      </c>
      <c r="L285" s="6"/>
    </row>
    <row r="286" spans="1:12" s="48" customFormat="1" ht="18" customHeight="1" x14ac:dyDescent="0.25">
      <c r="A286" s="1306" t="s">
        <v>163</v>
      </c>
      <c r="B286" s="1305" t="s">
        <v>1317</v>
      </c>
      <c r="C286" s="44" t="s">
        <v>392</v>
      </c>
      <c r="D286" s="125"/>
      <c r="E286" s="125"/>
      <c r="F286" s="125"/>
      <c r="G286" s="143" t="s">
        <v>189</v>
      </c>
      <c r="H286" s="102"/>
      <c r="I286" s="102">
        <v>7522796</v>
      </c>
      <c r="J286" s="102">
        <v>7522796</v>
      </c>
      <c r="K286" s="102">
        <v>7522796</v>
      </c>
      <c r="L286" s="6">
        <f>SUM(K268:K286)</f>
        <v>10017796</v>
      </c>
    </row>
    <row r="287" spans="1:12" s="48" customFormat="1" ht="18" customHeight="1" x14ac:dyDescent="0.25">
      <c r="A287" s="1306" t="s">
        <v>163</v>
      </c>
      <c r="B287" s="1305" t="s">
        <v>1317</v>
      </c>
      <c r="C287" s="44" t="s">
        <v>1634</v>
      </c>
      <c r="D287" s="170"/>
      <c r="E287" s="170"/>
      <c r="F287" s="125"/>
      <c r="G287" s="143" t="s">
        <v>391</v>
      </c>
      <c r="H287" s="102"/>
      <c r="I287" s="102">
        <v>500000</v>
      </c>
      <c r="J287" s="102">
        <v>500000</v>
      </c>
      <c r="K287" s="102">
        <f>750000+600000</f>
        <v>1350000</v>
      </c>
      <c r="L287" s="6"/>
    </row>
    <row r="288" spans="1:12" s="179" customFormat="1" ht="21.75" customHeight="1" x14ac:dyDescent="0.25">
      <c r="A288" s="1306" t="s">
        <v>163</v>
      </c>
      <c r="B288" s="1305" t="s">
        <v>1317</v>
      </c>
      <c r="C288" s="38" t="s">
        <v>307</v>
      </c>
      <c r="D288" s="184"/>
      <c r="E288" s="184"/>
      <c r="F288" s="184"/>
      <c r="G288" s="143" t="s">
        <v>308</v>
      </c>
      <c r="H288" s="101"/>
      <c r="I288" s="101">
        <v>350000</v>
      </c>
      <c r="J288" s="101">
        <v>350000</v>
      </c>
      <c r="K288" s="102">
        <v>200000</v>
      </c>
      <c r="L288" s="177"/>
    </row>
    <row r="289" spans="1:12" s="179" customFormat="1" ht="21.75" customHeight="1" x14ac:dyDescent="0.25">
      <c r="A289" s="1306" t="s">
        <v>163</v>
      </c>
      <c r="B289" s="1305" t="s">
        <v>1317</v>
      </c>
      <c r="C289" s="38" t="s">
        <v>1635</v>
      </c>
      <c r="D289" s="199"/>
      <c r="E289" s="199"/>
      <c r="F289" s="1305"/>
      <c r="G289" s="716"/>
      <c r="H289" s="101"/>
      <c r="I289" s="101">
        <v>3420000</v>
      </c>
      <c r="J289" s="101">
        <v>3420000</v>
      </c>
      <c r="K289" s="102">
        <f>3420000+300000</f>
        <v>3720000</v>
      </c>
      <c r="L289" s="177">
        <f>SUM(K288:K289)</f>
        <v>3920000</v>
      </c>
    </row>
    <row r="290" spans="1:12" s="388" customFormat="1" ht="18" x14ac:dyDescent="0.25">
      <c r="A290" s="1306" t="s">
        <v>163</v>
      </c>
      <c r="B290" s="1305" t="s">
        <v>1317</v>
      </c>
      <c r="C290" s="44" t="s">
        <v>192</v>
      </c>
      <c r="D290" s="113"/>
      <c r="E290" s="113"/>
      <c r="F290" s="113"/>
      <c r="G290" s="716" t="s">
        <v>193</v>
      </c>
      <c r="H290" s="101"/>
      <c r="I290" s="101">
        <v>3500000</v>
      </c>
      <c r="J290" s="101">
        <v>3500000</v>
      </c>
      <c r="K290" s="102">
        <v>2000000</v>
      </c>
      <c r="L290" s="1126"/>
    </row>
    <row r="291" spans="1:12" s="313" customFormat="1" ht="18" customHeight="1" x14ac:dyDescent="0.25">
      <c r="A291" s="1306" t="s">
        <v>163</v>
      </c>
      <c r="B291" s="1305" t="s">
        <v>1317</v>
      </c>
      <c r="C291" s="38" t="s">
        <v>192</v>
      </c>
      <c r="D291" s="184"/>
      <c r="E291" s="184"/>
      <c r="F291" s="184"/>
      <c r="G291" s="143" t="s">
        <v>193</v>
      </c>
      <c r="H291" s="101"/>
      <c r="I291" s="101">
        <v>300000</v>
      </c>
      <c r="J291" s="101">
        <v>300000</v>
      </c>
      <c r="K291" s="102">
        <v>100000</v>
      </c>
      <c r="L291" s="193"/>
    </row>
    <row r="292" spans="1:12" s="179" customFormat="1" ht="18" customHeight="1" x14ac:dyDescent="0.25">
      <c r="A292" s="1306" t="s">
        <v>163</v>
      </c>
      <c r="B292" s="1305" t="s">
        <v>1317</v>
      </c>
      <c r="C292" s="38" t="s">
        <v>192</v>
      </c>
      <c r="D292" s="184"/>
      <c r="E292" s="184"/>
      <c r="F292" s="184"/>
      <c r="G292" s="143" t="s">
        <v>193</v>
      </c>
      <c r="H292" s="101"/>
      <c r="I292" s="101">
        <v>500000</v>
      </c>
      <c r="J292" s="101">
        <v>500000</v>
      </c>
      <c r="K292" s="102">
        <v>250000</v>
      </c>
      <c r="L292" s="177">
        <f>SUM(K290:K292)</f>
        <v>2350000</v>
      </c>
    </row>
    <row r="293" spans="1:12" s="388" customFormat="1" ht="18" x14ac:dyDescent="0.25">
      <c r="A293" s="1306" t="s">
        <v>163</v>
      </c>
      <c r="B293" s="1305" t="s">
        <v>1317</v>
      </c>
      <c r="C293" s="125" t="s">
        <v>441</v>
      </c>
      <c r="D293" s="113"/>
      <c r="E293" s="113"/>
      <c r="F293" s="113"/>
      <c r="G293" s="143"/>
      <c r="H293" s="101"/>
      <c r="I293" s="101"/>
      <c r="J293" s="101"/>
      <c r="K293" s="102"/>
      <c r="L293" s="207"/>
    </row>
    <row r="294" spans="1:12" s="388" customFormat="1" ht="18" x14ac:dyDescent="0.25">
      <c r="A294" s="1306" t="s">
        <v>163</v>
      </c>
      <c r="B294" s="1305" t="s">
        <v>1317</v>
      </c>
      <c r="C294" s="38" t="s">
        <v>1548</v>
      </c>
      <c r="D294" s="125"/>
      <c r="E294" s="199"/>
      <c r="F294" s="184"/>
      <c r="G294" s="716"/>
      <c r="H294" s="101"/>
      <c r="I294" s="101">
        <v>15000000</v>
      </c>
      <c r="J294" s="101">
        <v>15000000</v>
      </c>
      <c r="K294" s="102">
        <v>15000000</v>
      </c>
      <c r="L294" s="207"/>
    </row>
    <row r="295" spans="1:12" s="388" customFormat="1" ht="18" x14ac:dyDescent="0.25">
      <c r="A295" s="1306" t="s">
        <v>163</v>
      </c>
      <c r="B295" s="1305" t="s">
        <v>1317</v>
      </c>
      <c r="C295" s="44" t="s">
        <v>194</v>
      </c>
      <c r="D295" s="113"/>
      <c r="E295" s="113"/>
      <c r="F295" s="113"/>
      <c r="G295" s="716" t="s">
        <v>195</v>
      </c>
      <c r="H295" s="101"/>
      <c r="I295" s="101">
        <v>150000</v>
      </c>
      <c r="J295" s="101">
        <v>150000</v>
      </c>
      <c r="K295" s="102">
        <v>100000</v>
      </c>
      <c r="L295" s="207"/>
    </row>
    <row r="296" spans="1:12" s="388" customFormat="1" ht="19.5" customHeight="1" x14ac:dyDescent="0.25">
      <c r="A296" s="1306" t="s">
        <v>163</v>
      </c>
      <c r="B296" s="1305" t="s">
        <v>1317</v>
      </c>
      <c r="C296" s="38" t="s">
        <v>194</v>
      </c>
      <c r="D296" s="184"/>
      <c r="E296" s="184"/>
      <c r="F296" s="184"/>
      <c r="G296" s="143"/>
      <c r="H296" s="101"/>
      <c r="I296" s="101"/>
      <c r="J296" s="101"/>
      <c r="K296" s="102">
        <v>150000</v>
      </c>
      <c r="L296" s="207"/>
    </row>
    <row r="297" spans="1:12" s="388" customFormat="1" ht="19.5" customHeight="1" x14ac:dyDescent="0.25">
      <c r="A297" s="1306" t="s">
        <v>163</v>
      </c>
      <c r="B297" s="1305" t="s">
        <v>1317</v>
      </c>
      <c r="C297" s="652" t="s">
        <v>194</v>
      </c>
      <c r="D297" s="1307"/>
      <c r="E297" s="1305"/>
      <c r="F297" s="1305"/>
      <c r="G297" s="716"/>
      <c r="H297" s="101"/>
      <c r="I297" s="101"/>
      <c r="J297" s="101"/>
      <c r="K297" s="102">
        <v>400000</v>
      </c>
      <c r="L297" s="207">
        <f>SUM(K295:K297)</f>
        <v>650000</v>
      </c>
    </row>
    <row r="298" spans="1:12" s="388" customFormat="1" ht="18" x14ac:dyDescent="0.25">
      <c r="A298" s="1306" t="s">
        <v>163</v>
      </c>
      <c r="B298" s="1305" t="s">
        <v>1317</v>
      </c>
      <c r="C298" s="652" t="s">
        <v>1630</v>
      </c>
      <c r="D298" s="1307"/>
      <c r="E298" s="1305"/>
      <c r="F298" s="1305"/>
      <c r="G298" s="716"/>
      <c r="H298" s="101"/>
      <c r="I298" s="101">
        <v>70000</v>
      </c>
      <c r="J298" s="101">
        <v>70000</v>
      </c>
      <c r="K298" s="102">
        <v>70000</v>
      </c>
      <c r="L298" s="207"/>
    </row>
    <row r="299" spans="1:12" s="388" customFormat="1" ht="18" x14ac:dyDescent="0.25">
      <c r="A299" s="1306" t="s">
        <v>163</v>
      </c>
      <c r="B299" s="1305" t="s">
        <v>1317</v>
      </c>
      <c r="C299" s="44" t="s">
        <v>1636</v>
      </c>
      <c r="D299" s="44"/>
      <c r="E299" s="44"/>
      <c r="F299" s="44"/>
      <c r="G299" s="231"/>
      <c r="H299" s="102"/>
      <c r="I299" s="102">
        <v>210600</v>
      </c>
      <c r="J299" s="102">
        <v>210600</v>
      </c>
      <c r="K299" s="102">
        <v>210600</v>
      </c>
      <c r="L299" s="207"/>
    </row>
    <row r="300" spans="1:12" s="388" customFormat="1" ht="18" x14ac:dyDescent="0.25">
      <c r="A300" s="1306" t="s">
        <v>163</v>
      </c>
      <c r="B300" s="1305" t="s">
        <v>1317</v>
      </c>
      <c r="C300" s="652" t="s">
        <v>1629</v>
      </c>
      <c r="D300" s="1307"/>
      <c r="E300" s="1305"/>
      <c r="F300" s="1305"/>
      <c r="G300" s="716"/>
      <c r="H300" s="101"/>
      <c r="I300" s="101">
        <v>80000</v>
      </c>
      <c r="J300" s="101">
        <v>80000</v>
      </c>
      <c r="K300" s="102">
        <v>80000</v>
      </c>
      <c r="L300" s="207"/>
    </row>
    <row r="301" spans="1:12" s="388" customFormat="1" ht="17.25" customHeight="1" x14ac:dyDescent="0.25">
      <c r="A301" s="1306" t="s">
        <v>163</v>
      </c>
      <c r="B301" s="1305" t="s">
        <v>1317</v>
      </c>
      <c r="C301" s="44" t="s">
        <v>1616</v>
      </c>
      <c r="D301" s="170"/>
      <c r="E301" s="170"/>
      <c r="F301" s="170"/>
      <c r="G301" s="1333"/>
      <c r="H301" s="102"/>
      <c r="I301" s="102"/>
      <c r="J301" s="102"/>
      <c r="K301" s="102">
        <v>260000</v>
      </c>
      <c r="L301" s="207">
        <f>SUM(K299:K301)</f>
        <v>550600</v>
      </c>
    </row>
    <row r="302" spans="1:12" s="388" customFormat="1" ht="18" x14ac:dyDescent="0.25">
      <c r="A302" s="1306" t="s">
        <v>163</v>
      </c>
      <c r="B302" s="1305" t="s">
        <v>1317</v>
      </c>
      <c r="C302" s="44" t="s">
        <v>178</v>
      </c>
      <c r="D302" s="113"/>
      <c r="E302" s="113"/>
      <c r="F302" s="113"/>
      <c r="G302" s="716" t="s">
        <v>179</v>
      </c>
      <c r="H302" s="101"/>
      <c r="I302" s="101">
        <v>1150000</v>
      </c>
      <c r="J302" s="101">
        <v>1150000</v>
      </c>
      <c r="K302" s="102">
        <v>350000</v>
      </c>
      <c r="L302" s="207"/>
    </row>
    <row r="303" spans="1:12" s="388" customFormat="1" ht="18" x14ac:dyDescent="0.25">
      <c r="A303" s="1306" t="s">
        <v>163</v>
      </c>
      <c r="B303" s="1305" t="s">
        <v>1317</v>
      </c>
      <c r="C303" s="1310" t="s">
        <v>178</v>
      </c>
      <c r="D303" s="1305"/>
      <c r="E303" s="1305"/>
      <c r="F303" s="961"/>
      <c r="G303" s="143" t="s">
        <v>179</v>
      </c>
      <c r="H303" s="101"/>
      <c r="I303" s="101">
        <v>60000</v>
      </c>
      <c r="J303" s="101">
        <v>60000</v>
      </c>
      <c r="K303" s="102">
        <v>60000</v>
      </c>
      <c r="L303" s="207"/>
    </row>
    <row r="304" spans="1:12" s="1168" customFormat="1" ht="23.25" customHeight="1" x14ac:dyDescent="0.25">
      <c r="A304" s="1306" t="s">
        <v>163</v>
      </c>
      <c r="B304" s="1305" t="s">
        <v>1317</v>
      </c>
      <c r="C304" s="44" t="s">
        <v>178</v>
      </c>
      <c r="D304" s="303"/>
      <c r="E304" s="113"/>
      <c r="F304" s="113"/>
      <c r="G304" s="716" t="s">
        <v>179</v>
      </c>
      <c r="H304" s="102"/>
      <c r="I304" s="102">
        <v>24000</v>
      </c>
      <c r="J304" s="102">
        <v>24000</v>
      </c>
      <c r="K304" s="102">
        <v>24000</v>
      </c>
      <c r="L304" s="193"/>
    </row>
    <row r="305" spans="1:12" s="1168" customFormat="1" ht="23.25" customHeight="1" x14ac:dyDescent="0.25">
      <c r="A305" s="1306" t="s">
        <v>163</v>
      </c>
      <c r="B305" s="1305" t="s">
        <v>1317</v>
      </c>
      <c r="C305" s="44" t="s">
        <v>178</v>
      </c>
      <c r="D305" s="113"/>
      <c r="E305" s="113"/>
      <c r="F305" s="113"/>
      <c r="G305" s="716" t="s">
        <v>179</v>
      </c>
      <c r="H305" s="101"/>
      <c r="I305" s="101">
        <v>24000</v>
      </c>
      <c r="J305" s="101">
        <v>24000</v>
      </c>
      <c r="K305" s="102">
        <v>24000</v>
      </c>
      <c r="L305" s="193"/>
    </row>
    <row r="306" spans="1:12" s="1168" customFormat="1" ht="18" customHeight="1" x14ac:dyDescent="0.25">
      <c r="A306" s="1306" t="s">
        <v>163</v>
      </c>
      <c r="B306" s="1305" t="s">
        <v>1317</v>
      </c>
      <c r="C306" s="44" t="s">
        <v>178</v>
      </c>
      <c r="D306" s="113"/>
      <c r="E306" s="113"/>
      <c r="F306" s="113"/>
      <c r="G306" s="143" t="s">
        <v>179</v>
      </c>
      <c r="H306" s="102"/>
      <c r="I306" s="102">
        <v>18000</v>
      </c>
      <c r="J306" s="102">
        <v>18000</v>
      </c>
      <c r="K306" s="102">
        <v>18000</v>
      </c>
      <c r="L306" s="193"/>
    </row>
    <row r="307" spans="1:12" s="388" customFormat="1" ht="18" x14ac:dyDescent="0.25">
      <c r="A307" s="1306" t="s">
        <v>163</v>
      </c>
      <c r="B307" s="1305" t="s">
        <v>1317</v>
      </c>
      <c r="C307" s="44" t="s">
        <v>178</v>
      </c>
      <c r="D307" s="170"/>
      <c r="E307" s="170"/>
      <c r="F307" s="170"/>
      <c r="G307" s="1333"/>
      <c r="H307" s="102"/>
      <c r="I307" s="102">
        <v>25000</v>
      </c>
      <c r="J307" s="102">
        <v>25000</v>
      </c>
      <c r="K307" s="102">
        <v>25000</v>
      </c>
      <c r="L307" s="207"/>
    </row>
    <row r="308" spans="1:12" s="48" customFormat="1" ht="17.100000000000001" customHeight="1" x14ac:dyDescent="0.25">
      <c r="A308" s="1306" t="s">
        <v>163</v>
      </c>
      <c r="B308" s="1305" t="s">
        <v>1317</v>
      </c>
      <c r="C308" s="38" t="s">
        <v>178</v>
      </c>
      <c r="D308" s="184"/>
      <c r="E308" s="184"/>
      <c r="F308" s="184"/>
      <c r="G308" s="143" t="s">
        <v>179</v>
      </c>
      <c r="H308" s="101"/>
      <c r="I308" s="101">
        <v>88800</v>
      </c>
      <c r="J308" s="101">
        <v>88800</v>
      </c>
      <c r="K308" s="102">
        <v>88800</v>
      </c>
      <c r="L308" s="6"/>
    </row>
    <row r="309" spans="1:12" s="48" customFormat="1" ht="17.100000000000001" customHeight="1" x14ac:dyDescent="0.25">
      <c r="A309" s="1306" t="s">
        <v>163</v>
      </c>
      <c r="B309" s="1305" t="s">
        <v>1317</v>
      </c>
      <c r="C309" s="38" t="s">
        <v>178</v>
      </c>
      <c r="D309" s="184"/>
      <c r="E309" s="184"/>
      <c r="F309" s="184"/>
      <c r="G309" s="143" t="s">
        <v>179</v>
      </c>
      <c r="H309" s="101"/>
      <c r="I309" s="101">
        <v>748800</v>
      </c>
      <c r="J309" s="101">
        <v>748800</v>
      </c>
      <c r="K309" s="102">
        <v>748800</v>
      </c>
      <c r="L309" s="6"/>
    </row>
    <row r="310" spans="1:12" s="48" customFormat="1" ht="17.100000000000001" customHeight="1" x14ac:dyDescent="0.15">
      <c r="A310" s="1306" t="s">
        <v>163</v>
      </c>
      <c r="B310" s="1305" t="s">
        <v>1317</v>
      </c>
      <c r="C310" s="180" t="s">
        <v>178</v>
      </c>
      <c r="D310" s="184"/>
      <c r="E310" s="184"/>
      <c r="F310" s="184"/>
      <c r="G310" s="143" t="s">
        <v>179</v>
      </c>
      <c r="H310" s="101"/>
      <c r="I310" s="101">
        <v>148800</v>
      </c>
      <c r="J310" s="101">
        <v>148800</v>
      </c>
      <c r="K310" s="102">
        <v>148800</v>
      </c>
      <c r="L310" s="6"/>
    </row>
    <row r="311" spans="1:12" s="48" customFormat="1" ht="17.100000000000001" customHeight="1" x14ac:dyDescent="0.25">
      <c r="A311" s="1306" t="s">
        <v>163</v>
      </c>
      <c r="B311" s="1305" t="s">
        <v>1317</v>
      </c>
      <c r="C311" s="38" t="s">
        <v>178</v>
      </c>
      <c r="D311" s="184"/>
      <c r="E311" s="184"/>
      <c r="F311" s="184"/>
      <c r="G311" s="143" t="s">
        <v>179</v>
      </c>
      <c r="H311" s="102"/>
      <c r="I311" s="102">
        <v>54000</v>
      </c>
      <c r="J311" s="102">
        <v>54000</v>
      </c>
      <c r="K311" s="102">
        <v>54000</v>
      </c>
      <c r="L311" s="6"/>
    </row>
    <row r="312" spans="1:12" s="48" customFormat="1" ht="17.100000000000001" customHeight="1" x14ac:dyDescent="0.25">
      <c r="A312" s="1306" t="s">
        <v>163</v>
      </c>
      <c r="B312" s="1305" t="s">
        <v>1317</v>
      </c>
      <c r="C312" s="38" t="s">
        <v>178</v>
      </c>
      <c r="D312" s="184"/>
      <c r="E312" s="184"/>
      <c r="F312" s="184"/>
      <c r="G312" s="716" t="s">
        <v>179</v>
      </c>
      <c r="H312" s="102"/>
      <c r="I312" s="102">
        <v>42000</v>
      </c>
      <c r="J312" s="102">
        <v>42000</v>
      </c>
      <c r="K312" s="102">
        <v>42000</v>
      </c>
      <c r="L312" s="6"/>
    </row>
    <row r="313" spans="1:12" s="48" customFormat="1" ht="17.100000000000001" customHeight="1" x14ac:dyDescent="0.25">
      <c r="A313" s="1306" t="s">
        <v>163</v>
      </c>
      <c r="B313" s="1305" t="s">
        <v>1317</v>
      </c>
      <c r="C313" s="38" t="s">
        <v>178</v>
      </c>
      <c r="D313" s="184"/>
      <c r="E313" s="184"/>
      <c r="F313" s="184"/>
      <c r="G313" s="716" t="s">
        <v>179</v>
      </c>
      <c r="H313" s="101"/>
      <c r="I313" s="101">
        <v>54000</v>
      </c>
      <c r="J313" s="101">
        <v>54000</v>
      </c>
      <c r="K313" s="102">
        <v>54000</v>
      </c>
      <c r="L313" s="6"/>
    </row>
    <row r="314" spans="1:12" s="48" customFormat="1" ht="17.100000000000001" customHeight="1" x14ac:dyDescent="0.25">
      <c r="A314" s="1306" t="s">
        <v>163</v>
      </c>
      <c r="B314" s="1305" t="s">
        <v>1317</v>
      </c>
      <c r="C314" s="38" t="s">
        <v>178</v>
      </c>
      <c r="D314" s="184"/>
      <c r="E314" s="184"/>
      <c r="F314" s="184"/>
      <c r="G314" s="716" t="s">
        <v>179</v>
      </c>
      <c r="H314" s="101"/>
      <c r="I314" s="101">
        <v>70800</v>
      </c>
      <c r="J314" s="101">
        <v>70800</v>
      </c>
      <c r="K314" s="102">
        <v>70800</v>
      </c>
      <c r="L314" s="6"/>
    </row>
    <row r="315" spans="1:12" s="48" customFormat="1" ht="17.100000000000001" customHeight="1" x14ac:dyDescent="0.25">
      <c r="A315" s="1306" t="s">
        <v>163</v>
      </c>
      <c r="B315" s="1305" t="s">
        <v>1317</v>
      </c>
      <c r="C315" s="44" t="s">
        <v>178</v>
      </c>
      <c r="D315" s="113"/>
      <c r="E315" s="113"/>
      <c r="F315" s="113"/>
      <c r="G315" s="716" t="s">
        <v>179</v>
      </c>
      <c r="H315" s="101"/>
      <c r="I315" s="101">
        <v>0</v>
      </c>
      <c r="J315" s="101">
        <v>0</v>
      </c>
      <c r="K315" s="102">
        <v>54000</v>
      </c>
      <c r="L315" s="6"/>
    </row>
    <row r="316" spans="1:12" s="48" customFormat="1" ht="17.100000000000001" customHeight="1" x14ac:dyDescent="0.25">
      <c r="A316" s="1306" t="s">
        <v>163</v>
      </c>
      <c r="B316" s="1305" t="s">
        <v>1317</v>
      </c>
      <c r="C316" s="44" t="s">
        <v>178</v>
      </c>
      <c r="D316" s="113"/>
      <c r="E316" s="113"/>
      <c r="F316" s="113"/>
      <c r="G316" s="143" t="s">
        <v>179</v>
      </c>
      <c r="H316" s="101"/>
      <c r="I316" s="101">
        <v>60000</v>
      </c>
      <c r="J316" s="101">
        <v>60000</v>
      </c>
      <c r="K316" s="102">
        <v>60000</v>
      </c>
      <c r="L316" s="6"/>
    </row>
    <row r="317" spans="1:12" s="48" customFormat="1" ht="17.100000000000001" customHeight="1" x14ac:dyDescent="0.25">
      <c r="A317" s="1306" t="s">
        <v>163</v>
      </c>
      <c r="B317" s="1305" t="s">
        <v>1317</v>
      </c>
      <c r="C317" s="44" t="s">
        <v>178</v>
      </c>
      <c r="D317" s="125"/>
      <c r="E317" s="125"/>
      <c r="F317" s="125"/>
      <c r="G317" s="143" t="s">
        <v>179</v>
      </c>
      <c r="H317" s="101"/>
      <c r="I317" s="101">
        <v>50000</v>
      </c>
      <c r="J317" s="101">
        <v>50000</v>
      </c>
      <c r="K317" s="102">
        <v>50000</v>
      </c>
      <c r="L317" s="6"/>
    </row>
    <row r="318" spans="1:12" s="48" customFormat="1" ht="17.100000000000001" customHeight="1" x14ac:dyDescent="0.25">
      <c r="A318" s="1306" t="s">
        <v>163</v>
      </c>
      <c r="B318" s="1305" t="s">
        <v>1317</v>
      </c>
      <c r="C318" s="44" t="s">
        <v>178</v>
      </c>
      <c r="D318" s="125"/>
      <c r="E318" s="125"/>
      <c r="F318" s="125"/>
      <c r="G318" s="143" t="s">
        <v>179</v>
      </c>
      <c r="H318" s="101"/>
      <c r="I318" s="101">
        <v>71988</v>
      </c>
      <c r="J318" s="101">
        <v>71988</v>
      </c>
      <c r="K318" s="102">
        <v>71988</v>
      </c>
      <c r="L318" s="6"/>
    </row>
    <row r="319" spans="1:12" s="48" customFormat="1" ht="17.100000000000001" customHeight="1" x14ac:dyDescent="0.25">
      <c r="A319" s="1306" t="s">
        <v>163</v>
      </c>
      <c r="B319" s="1305" t="s">
        <v>1317</v>
      </c>
      <c r="C319" s="44" t="s">
        <v>178</v>
      </c>
      <c r="D319" s="125"/>
      <c r="E319" s="125"/>
      <c r="F319" s="125"/>
      <c r="G319" s="143" t="s">
        <v>179</v>
      </c>
      <c r="H319" s="105"/>
      <c r="I319" s="105">
        <f>60000+42000</f>
        <v>102000</v>
      </c>
      <c r="J319" s="105">
        <f>60000+42000</f>
        <v>102000</v>
      </c>
      <c r="K319" s="106">
        <f>60000+42000</f>
        <v>102000</v>
      </c>
      <c r="L319" s="6"/>
    </row>
    <row r="320" spans="1:12" s="48" customFormat="1" ht="17.100000000000001" customHeight="1" x14ac:dyDescent="0.25">
      <c r="A320" s="1306" t="s">
        <v>163</v>
      </c>
      <c r="B320" s="1305" t="s">
        <v>1317</v>
      </c>
      <c r="C320" s="44" t="s">
        <v>178</v>
      </c>
      <c r="D320" s="125"/>
      <c r="E320" s="125"/>
      <c r="F320" s="125"/>
      <c r="G320" s="143" t="s">
        <v>179</v>
      </c>
      <c r="H320" s="699"/>
      <c r="I320" s="699">
        <v>42000</v>
      </c>
      <c r="J320" s="699">
        <v>42000</v>
      </c>
      <c r="K320" s="162">
        <v>42000</v>
      </c>
      <c r="L320" s="6">
        <f>SUM(K302:K320)</f>
        <v>2088188</v>
      </c>
    </row>
    <row r="321" spans="1:12" s="48" customFormat="1" ht="17.100000000000001" customHeight="1" x14ac:dyDescent="0.25">
      <c r="A321" s="1306" t="s">
        <v>163</v>
      </c>
      <c r="B321" s="1305" t="s">
        <v>1317</v>
      </c>
      <c r="C321" s="44" t="s">
        <v>166</v>
      </c>
      <c r="D321" s="113"/>
      <c r="E321" s="113"/>
      <c r="F321" s="113"/>
      <c r="G321" s="716" t="s">
        <v>167</v>
      </c>
      <c r="H321" s="699"/>
      <c r="I321" s="699">
        <v>1000000</v>
      </c>
      <c r="J321" s="699">
        <v>1000000</v>
      </c>
      <c r="K321" s="162">
        <f>1000000+120000</f>
        <v>1120000</v>
      </c>
      <c r="L321" s="6"/>
    </row>
    <row r="322" spans="1:12" s="48" customFormat="1" ht="17.100000000000001" customHeight="1" x14ac:dyDescent="0.25">
      <c r="A322" s="1306" t="s">
        <v>163</v>
      </c>
      <c r="B322" s="1305" t="s">
        <v>1317</v>
      </c>
      <c r="C322" s="1306" t="s">
        <v>166</v>
      </c>
      <c r="D322" s="1306"/>
      <c r="E322" s="1306"/>
      <c r="F322" s="1306"/>
      <c r="G322" s="134"/>
      <c r="H322" s="699"/>
      <c r="I322" s="699"/>
      <c r="J322" s="699"/>
      <c r="K322" s="162">
        <v>50000</v>
      </c>
      <c r="L322" s="6"/>
    </row>
    <row r="323" spans="1:12" s="48" customFormat="1" ht="17.100000000000001" customHeight="1" x14ac:dyDescent="0.25">
      <c r="A323" s="1306" t="s">
        <v>163</v>
      </c>
      <c r="B323" s="1305" t="s">
        <v>1317</v>
      </c>
      <c r="C323" s="44" t="s">
        <v>166</v>
      </c>
      <c r="D323" s="113"/>
      <c r="E323" s="113"/>
      <c r="F323" s="113"/>
      <c r="G323" s="716"/>
      <c r="H323" s="699"/>
      <c r="I323" s="699"/>
      <c r="J323" s="699"/>
      <c r="K323" s="162">
        <v>50000</v>
      </c>
      <c r="L323" s="6"/>
    </row>
    <row r="324" spans="1:12" s="48" customFormat="1" ht="17.100000000000001" customHeight="1" x14ac:dyDescent="0.25">
      <c r="A324" s="1306" t="s">
        <v>163</v>
      </c>
      <c r="B324" s="1305" t="s">
        <v>1317</v>
      </c>
      <c r="C324" s="44" t="s">
        <v>166</v>
      </c>
      <c r="D324" s="113"/>
      <c r="E324" s="113"/>
      <c r="F324" s="113"/>
      <c r="G324" s="716"/>
      <c r="H324" s="699"/>
      <c r="I324" s="699"/>
      <c r="J324" s="699"/>
      <c r="K324" s="162">
        <v>50000</v>
      </c>
      <c r="L324" s="6"/>
    </row>
    <row r="325" spans="1:12" s="48" customFormat="1" ht="17.100000000000001" customHeight="1" x14ac:dyDescent="0.25">
      <c r="A325" s="1306" t="s">
        <v>163</v>
      </c>
      <c r="B325" s="1305" t="s">
        <v>1317</v>
      </c>
      <c r="C325" s="44" t="s">
        <v>312</v>
      </c>
      <c r="D325" s="113"/>
      <c r="E325" s="113"/>
      <c r="F325" s="113"/>
      <c r="G325" s="143"/>
      <c r="H325" s="699"/>
      <c r="I325" s="699"/>
      <c r="J325" s="699"/>
      <c r="K325" s="162">
        <v>50000</v>
      </c>
      <c r="L325" s="6"/>
    </row>
    <row r="326" spans="1:12" s="48" customFormat="1" ht="17.100000000000001" customHeight="1" x14ac:dyDescent="0.25">
      <c r="A326" s="1306" t="s">
        <v>163</v>
      </c>
      <c r="B326" s="1305" t="s">
        <v>1317</v>
      </c>
      <c r="C326" s="44" t="s">
        <v>166</v>
      </c>
      <c r="D326" s="113"/>
      <c r="E326" s="113"/>
      <c r="F326" s="113"/>
      <c r="G326" s="143"/>
      <c r="H326" s="699"/>
      <c r="I326" s="699"/>
      <c r="J326" s="699"/>
      <c r="K326" s="162">
        <v>50000</v>
      </c>
      <c r="L326" s="6"/>
    </row>
    <row r="327" spans="1:12" s="48" customFormat="1" ht="17.100000000000001" customHeight="1" x14ac:dyDescent="0.25">
      <c r="A327" s="1306" t="s">
        <v>163</v>
      </c>
      <c r="B327" s="1305" t="s">
        <v>1317</v>
      </c>
      <c r="C327" s="38" t="s">
        <v>166</v>
      </c>
      <c r="D327" s="184"/>
      <c r="E327" s="184"/>
      <c r="F327" s="184"/>
      <c r="G327" s="143" t="s">
        <v>293</v>
      </c>
      <c r="H327" s="699"/>
      <c r="I327" s="699">
        <v>750000</v>
      </c>
      <c r="J327" s="699">
        <v>750000</v>
      </c>
      <c r="K327" s="1169">
        <v>500000</v>
      </c>
      <c r="L327" s="6"/>
    </row>
    <row r="328" spans="1:12" ht="17.25" customHeight="1" x14ac:dyDescent="0.25">
      <c r="A328" s="1306" t="s">
        <v>163</v>
      </c>
      <c r="B328" s="1305" t="s">
        <v>1317</v>
      </c>
      <c r="C328" s="38" t="s">
        <v>166</v>
      </c>
      <c r="D328" s="184"/>
      <c r="E328" s="184"/>
      <c r="F328" s="184"/>
      <c r="G328" s="143" t="s">
        <v>293</v>
      </c>
      <c r="H328" s="101"/>
      <c r="I328" s="101">
        <v>1000000</v>
      </c>
      <c r="J328" s="101">
        <v>1000000</v>
      </c>
      <c r="K328" s="102">
        <v>1000000</v>
      </c>
    </row>
    <row r="329" spans="1:12" s="146" customFormat="1" ht="18" customHeight="1" x14ac:dyDescent="0.25">
      <c r="A329" s="1306" t="s">
        <v>163</v>
      </c>
      <c r="B329" s="1305" t="s">
        <v>1317</v>
      </c>
      <c r="C329" s="38" t="s">
        <v>312</v>
      </c>
      <c r="D329" s="184"/>
      <c r="E329" s="184"/>
      <c r="F329" s="184"/>
      <c r="G329" s="143" t="s">
        <v>293</v>
      </c>
      <c r="H329" s="101"/>
      <c r="I329" s="101">
        <v>200000</v>
      </c>
      <c r="J329" s="101">
        <v>200000</v>
      </c>
      <c r="K329" s="102">
        <v>200000</v>
      </c>
      <c r="L329" s="10"/>
    </row>
    <row r="330" spans="1:12" s="146" customFormat="1" ht="18" customHeight="1" x14ac:dyDescent="0.25">
      <c r="A330" s="1305" t="s">
        <v>163</v>
      </c>
      <c r="B330" s="1305" t="s">
        <v>1317</v>
      </c>
      <c r="C330" s="1306" t="s">
        <v>166</v>
      </c>
      <c r="D330" s="1309"/>
      <c r="E330" s="1309"/>
      <c r="F330" s="1309"/>
      <c r="G330" s="134"/>
      <c r="H330" s="101"/>
      <c r="I330" s="101"/>
      <c r="J330" s="101"/>
      <c r="K330" s="102">
        <v>50000</v>
      </c>
      <c r="L330" s="10"/>
    </row>
    <row r="331" spans="1:12" s="146" customFormat="1" ht="18" customHeight="1" x14ac:dyDescent="0.25">
      <c r="A331" s="1305" t="s">
        <v>163</v>
      </c>
      <c r="B331" s="1305" t="s">
        <v>1317</v>
      </c>
      <c r="C331" s="38" t="s">
        <v>166</v>
      </c>
      <c r="D331" s="125"/>
      <c r="E331" s="199"/>
      <c r="F331" s="1305"/>
      <c r="G331" s="716"/>
      <c r="H331" s="101"/>
      <c r="I331" s="101">
        <v>600000</v>
      </c>
      <c r="J331" s="101">
        <v>600000</v>
      </c>
      <c r="K331" s="102">
        <v>600000</v>
      </c>
      <c r="L331" s="10"/>
    </row>
    <row r="332" spans="1:12" s="146" customFormat="1" ht="18" customHeight="1" x14ac:dyDescent="0.25">
      <c r="A332" s="1305" t="s">
        <v>163</v>
      </c>
      <c r="B332" s="1305" t="s">
        <v>1317</v>
      </c>
      <c r="C332" s="44" t="s">
        <v>166</v>
      </c>
      <c r="D332" s="113"/>
      <c r="E332" s="113"/>
      <c r="F332" s="113"/>
      <c r="G332" s="716"/>
      <c r="H332" s="101"/>
      <c r="I332" s="101"/>
      <c r="J332" s="101"/>
      <c r="K332" s="102">
        <v>50000</v>
      </c>
      <c r="L332" s="10"/>
    </row>
    <row r="333" spans="1:12" s="146" customFormat="1" ht="18" customHeight="1" x14ac:dyDescent="0.25">
      <c r="A333" s="1305" t="s">
        <v>163</v>
      </c>
      <c r="B333" s="1305" t="s">
        <v>1317</v>
      </c>
      <c r="C333" s="44" t="s">
        <v>166</v>
      </c>
      <c r="D333" s="113"/>
      <c r="E333" s="113"/>
      <c r="F333" s="113"/>
      <c r="G333" s="716"/>
      <c r="H333" s="101"/>
      <c r="I333" s="101">
        <v>70000</v>
      </c>
      <c r="J333" s="101">
        <v>70000</v>
      </c>
      <c r="K333" s="102">
        <v>70000</v>
      </c>
      <c r="L333" s="10"/>
    </row>
    <row r="334" spans="1:12" s="48" customFormat="1" ht="17.100000000000001" customHeight="1" x14ac:dyDescent="0.25">
      <c r="A334" s="1305" t="s">
        <v>163</v>
      </c>
      <c r="B334" s="1305" t="s">
        <v>1317</v>
      </c>
      <c r="C334" s="44" t="s">
        <v>166</v>
      </c>
      <c r="D334" s="113"/>
      <c r="E334" s="113"/>
      <c r="F334" s="113"/>
      <c r="G334" s="143"/>
      <c r="H334" s="101"/>
      <c r="I334" s="101"/>
      <c r="J334" s="101"/>
      <c r="K334" s="102">
        <v>50000</v>
      </c>
      <c r="L334" s="6"/>
    </row>
    <row r="335" spans="1:12" s="48" customFormat="1" ht="17.100000000000001" customHeight="1" x14ac:dyDescent="0.25">
      <c r="A335" s="1305" t="s">
        <v>163</v>
      </c>
      <c r="B335" s="1305" t="s">
        <v>1317</v>
      </c>
      <c r="C335" s="44" t="s">
        <v>166</v>
      </c>
      <c r="D335" s="125"/>
      <c r="E335" s="125"/>
      <c r="F335" s="125"/>
      <c r="G335" s="143"/>
      <c r="H335" s="101"/>
      <c r="I335" s="101"/>
      <c r="J335" s="101"/>
      <c r="K335" s="102">
        <v>50000</v>
      </c>
      <c r="L335" s="6"/>
    </row>
    <row r="336" spans="1:12" s="48" customFormat="1" ht="17.100000000000001" customHeight="1" x14ac:dyDescent="0.25">
      <c r="A336" s="1305" t="s">
        <v>163</v>
      </c>
      <c r="B336" s="1305" t="s">
        <v>1317</v>
      </c>
      <c r="C336" s="44" t="s">
        <v>166</v>
      </c>
      <c r="D336" s="125"/>
      <c r="E336" s="125"/>
      <c r="F336" s="125"/>
      <c r="G336" s="143"/>
      <c r="H336" s="101"/>
      <c r="I336" s="101"/>
      <c r="J336" s="101"/>
      <c r="K336" s="102">
        <v>50000</v>
      </c>
      <c r="L336" s="6"/>
    </row>
    <row r="337" spans="1:12" s="48" customFormat="1" ht="17.100000000000001" customHeight="1" x14ac:dyDescent="0.25">
      <c r="A337" s="1305" t="s">
        <v>163</v>
      </c>
      <c r="B337" s="1305" t="s">
        <v>1317</v>
      </c>
      <c r="C337" s="44" t="s">
        <v>166</v>
      </c>
      <c r="D337" s="125"/>
      <c r="E337" s="125"/>
      <c r="F337" s="125"/>
      <c r="G337" s="143"/>
      <c r="H337" s="101"/>
      <c r="I337" s="101"/>
      <c r="J337" s="101"/>
      <c r="K337" s="102">
        <v>50000</v>
      </c>
      <c r="L337" s="6"/>
    </row>
    <row r="338" spans="1:12" s="48" customFormat="1" ht="17.100000000000001" customHeight="1" x14ac:dyDescent="0.25">
      <c r="A338" s="1305" t="s">
        <v>163</v>
      </c>
      <c r="B338" s="1305" t="s">
        <v>1317</v>
      </c>
      <c r="C338" s="44" t="s">
        <v>312</v>
      </c>
      <c r="D338" s="125"/>
      <c r="E338" s="125"/>
      <c r="F338" s="125"/>
      <c r="G338" s="143"/>
      <c r="H338" s="101"/>
      <c r="I338" s="101"/>
      <c r="J338" s="101"/>
      <c r="K338" s="102">
        <v>15000</v>
      </c>
      <c r="L338" s="6">
        <f>SUM(K321:K338)</f>
        <v>4055000</v>
      </c>
    </row>
    <row r="339" spans="1:12" s="48" customFormat="1" ht="17.100000000000001" customHeight="1" x14ac:dyDescent="0.25">
      <c r="A339" s="1305" t="s">
        <v>163</v>
      </c>
      <c r="B339" s="1305" t="s">
        <v>1317</v>
      </c>
      <c r="C339" s="44" t="s">
        <v>353</v>
      </c>
      <c r="D339" s="113"/>
      <c r="E339" s="113"/>
      <c r="F339" s="113"/>
      <c r="G339" s="716" t="s">
        <v>165</v>
      </c>
      <c r="H339" s="101"/>
      <c r="I339" s="101">
        <v>1000000</v>
      </c>
      <c r="J339" s="101">
        <v>1000000</v>
      </c>
      <c r="K339" s="102">
        <f>1000000+120000</f>
        <v>1120000</v>
      </c>
      <c r="L339" s="6"/>
    </row>
    <row r="340" spans="1:12" s="48" customFormat="1" ht="17.100000000000001" customHeight="1" x14ac:dyDescent="0.25">
      <c r="A340" s="1305" t="s">
        <v>163</v>
      </c>
      <c r="B340" s="1305" t="s">
        <v>1317</v>
      </c>
      <c r="C340" s="1306" t="s">
        <v>353</v>
      </c>
      <c r="D340" s="1306"/>
      <c r="E340" s="1306"/>
      <c r="F340" s="1306"/>
      <c r="G340" s="134"/>
      <c r="H340" s="101"/>
      <c r="I340" s="101"/>
      <c r="J340" s="101"/>
      <c r="K340" s="102">
        <v>50000</v>
      </c>
      <c r="L340" s="6"/>
    </row>
    <row r="341" spans="1:12" s="48" customFormat="1" ht="17.100000000000001" customHeight="1" x14ac:dyDescent="0.25">
      <c r="A341" s="1306" t="s">
        <v>163</v>
      </c>
      <c r="B341" s="1305" t="s">
        <v>1317</v>
      </c>
      <c r="C341" s="44" t="s">
        <v>353</v>
      </c>
      <c r="D341" s="113"/>
      <c r="E341" s="113"/>
      <c r="F341" s="113"/>
      <c r="G341" s="716" t="s">
        <v>165</v>
      </c>
      <c r="H341" s="101"/>
      <c r="I341" s="101">
        <v>30000</v>
      </c>
      <c r="J341" s="101">
        <v>30000</v>
      </c>
      <c r="K341" s="102">
        <v>20000</v>
      </c>
      <c r="L341" s="6"/>
    </row>
    <row r="342" spans="1:12" s="48" customFormat="1" ht="17.100000000000001" customHeight="1" x14ac:dyDescent="0.25">
      <c r="A342" s="1306" t="s">
        <v>163</v>
      </c>
      <c r="B342" s="1305" t="s">
        <v>1317</v>
      </c>
      <c r="C342" s="44" t="s">
        <v>353</v>
      </c>
      <c r="D342" s="113"/>
      <c r="E342" s="113"/>
      <c r="F342" s="113"/>
      <c r="G342" s="716" t="s">
        <v>165</v>
      </c>
      <c r="H342" s="101"/>
      <c r="I342" s="101">
        <v>25000</v>
      </c>
      <c r="J342" s="101">
        <v>25000</v>
      </c>
      <c r="K342" s="102">
        <v>25000</v>
      </c>
      <c r="L342" s="6"/>
    </row>
    <row r="343" spans="1:12" s="48" customFormat="1" ht="17.100000000000001" customHeight="1" x14ac:dyDescent="0.25">
      <c r="A343" s="1306" t="s">
        <v>163</v>
      </c>
      <c r="B343" s="1305" t="s">
        <v>1317</v>
      </c>
      <c r="C343" s="44" t="s">
        <v>353</v>
      </c>
      <c r="D343" s="113"/>
      <c r="E343" s="113"/>
      <c r="F343" s="113"/>
      <c r="G343" s="143" t="s">
        <v>165</v>
      </c>
      <c r="H343" s="101"/>
      <c r="I343" s="101">
        <v>40000</v>
      </c>
      <c r="J343" s="101">
        <v>40000</v>
      </c>
      <c r="K343" s="102">
        <v>40000</v>
      </c>
      <c r="L343" s="6"/>
    </row>
    <row r="344" spans="1:12" s="48" customFormat="1" ht="17.100000000000001" customHeight="1" x14ac:dyDescent="0.25">
      <c r="A344" s="1306" t="s">
        <v>163</v>
      </c>
      <c r="B344" s="1305" t="s">
        <v>1317</v>
      </c>
      <c r="C344" s="44" t="s">
        <v>353</v>
      </c>
      <c r="D344" s="113"/>
      <c r="E344" s="113"/>
      <c r="F344" s="113"/>
      <c r="G344" s="143" t="s">
        <v>165</v>
      </c>
      <c r="H344" s="101"/>
      <c r="I344" s="101">
        <v>30000</v>
      </c>
      <c r="J344" s="101">
        <v>30000</v>
      </c>
      <c r="K344" s="102">
        <v>30000</v>
      </c>
      <c r="L344" s="6"/>
    </row>
    <row r="345" spans="1:12" s="48" customFormat="1" ht="17.100000000000001" customHeight="1" x14ac:dyDescent="0.25">
      <c r="A345" s="1306" t="s">
        <v>163</v>
      </c>
      <c r="B345" s="1305" t="s">
        <v>1317</v>
      </c>
      <c r="C345" s="44" t="s">
        <v>353</v>
      </c>
      <c r="D345" s="113"/>
      <c r="E345" s="113"/>
      <c r="F345" s="113"/>
      <c r="G345" s="143" t="s">
        <v>292</v>
      </c>
      <c r="H345" s="101"/>
      <c r="I345" s="101">
        <v>350000</v>
      </c>
      <c r="J345" s="101">
        <v>350000</v>
      </c>
      <c r="K345" s="1154">
        <v>350000</v>
      </c>
      <c r="L345" s="6"/>
    </row>
    <row r="346" spans="1:12" s="48" customFormat="1" ht="17.100000000000001" customHeight="1" x14ac:dyDescent="0.25">
      <c r="A346" s="1306" t="s">
        <v>163</v>
      </c>
      <c r="B346" s="1305" t="s">
        <v>1317</v>
      </c>
      <c r="C346" s="44" t="s">
        <v>353</v>
      </c>
      <c r="D346" s="113"/>
      <c r="E346" s="113"/>
      <c r="F346" s="113"/>
      <c r="G346" s="143" t="s">
        <v>165</v>
      </c>
      <c r="H346" s="101"/>
      <c r="I346" s="101">
        <v>1200000</v>
      </c>
      <c r="J346" s="101">
        <v>1200000</v>
      </c>
      <c r="K346" s="1154">
        <v>1500000</v>
      </c>
      <c r="L346" s="6"/>
    </row>
    <row r="347" spans="1:12" s="48" customFormat="1" ht="17.100000000000001" customHeight="1" x14ac:dyDescent="0.25">
      <c r="A347" s="1306" t="s">
        <v>163</v>
      </c>
      <c r="B347" s="1305" t="s">
        <v>1317</v>
      </c>
      <c r="C347" s="44" t="s">
        <v>353</v>
      </c>
      <c r="D347" s="113"/>
      <c r="E347" s="113"/>
      <c r="F347" s="113"/>
      <c r="G347" s="143" t="s">
        <v>165</v>
      </c>
      <c r="H347" s="101"/>
      <c r="I347" s="101">
        <v>300000</v>
      </c>
      <c r="J347" s="101">
        <v>300000</v>
      </c>
      <c r="K347" s="1154">
        <v>300000</v>
      </c>
      <c r="L347" s="6"/>
    </row>
    <row r="348" spans="1:12" s="48" customFormat="1" ht="17.100000000000001" customHeight="1" x14ac:dyDescent="0.25">
      <c r="A348" s="1306" t="s">
        <v>163</v>
      </c>
      <c r="B348" s="1305" t="s">
        <v>1317</v>
      </c>
      <c r="C348" s="1306" t="s">
        <v>353</v>
      </c>
      <c r="D348" s="1309"/>
      <c r="E348" s="1309"/>
      <c r="F348" s="1309"/>
      <c r="G348" s="134"/>
      <c r="H348" s="101"/>
      <c r="I348" s="101"/>
      <c r="J348" s="101"/>
      <c r="K348" s="102">
        <v>50000</v>
      </c>
      <c r="L348" s="6"/>
    </row>
    <row r="349" spans="1:12" s="48" customFormat="1" ht="17.100000000000001" customHeight="1" x14ac:dyDescent="0.25">
      <c r="A349" s="1306" t="s">
        <v>163</v>
      </c>
      <c r="B349" s="1305" t="s">
        <v>1317</v>
      </c>
      <c r="C349" s="44" t="s">
        <v>353</v>
      </c>
      <c r="D349" s="113"/>
      <c r="E349" s="113"/>
      <c r="F349" s="113"/>
      <c r="G349" s="716" t="s">
        <v>165</v>
      </c>
      <c r="H349" s="101"/>
      <c r="I349" s="101">
        <v>25000</v>
      </c>
      <c r="J349" s="101">
        <v>25000</v>
      </c>
      <c r="K349" s="102">
        <v>25000</v>
      </c>
      <c r="L349" s="6"/>
    </row>
    <row r="350" spans="1:12" s="48" customFormat="1" ht="17.100000000000001" customHeight="1" x14ac:dyDescent="0.25">
      <c r="A350" s="1306" t="s">
        <v>163</v>
      </c>
      <c r="B350" s="1305" t="s">
        <v>1317</v>
      </c>
      <c r="C350" s="44" t="s">
        <v>353</v>
      </c>
      <c r="D350" s="113"/>
      <c r="E350" s="113"/>
      <c r="F350" s="113"/>
      <c r="G350" s="716" t="s">
        <v>165</v>
      </c>
      <c r="H350" s="101"/>
      <c r="I350" s="101">
        <v>96000</v>
      </c>
      <c r="J350" s="101">
        <v>96000</v>
      </c>
      <c r="K350" s="102">
        <v>96000</v>
      </c>
      <c r="L350" s="6"/>
    </row>
    <row r="351" spans="1:12" s="48" customFormat="1" ht="17.100000000000001" customHeight="1" x14ac:dyDescent="0.25">
      <c r="A351" s="1306" t="s">
        <v>163</v>
      </c>
      <c r="B351" s="1305" t="s">
        <v>1317</v>
      </c>
      <c r="C351" s="44" t="s">
        <v>353</v>
      </c>
      <c r="D351" s="113"/>
      <c r="E351" s="113"/>
      <c r="F351" s="113"/>
      <c r="G351" s="1336" t="s">
        <v>165</v>
      </c>
      <c r="H351" s="105"/>
      <c r="I351" s="105">
        <v>60000</v>
      </c>
      <c r="J351" s="105">
        <v>60000</v>
      </c>
      <c r="K351" s="106">
        <v>60000</v>
      </c>
      <c r="L351" s="6"/>
    </row>
    <row r="352" spans="1:12" s="48" customFormat="1" ht="17.100000000000001" customHeight="1" x14ac:dyDescent="0.25">
      <c r="A352" s="1305" t="s">
        <v>163</v>
      </c>
      <c r="B352" s="1305" t="s">
        <v>1317</v>
      </c>
      <c r="C352" s="44" t="s">
        <v>353</v>
      </c>
      <c r="D352" s="113"/>
      <c r="E352" s="113"/>
      <c r="F352" s="113"/>
      <c r="G352" s="143" t="s">
        <v>165</v>
      </c>
      <c r="H352" s="101"/>
      <c r="I352" s="101">
        <v>80000</v>
      </c>
      <c r="J352" s="101">
        <v>80000</v>
      </c>
      <c r="K352" s="102">
        <v>80000</v>
      </c>
      <c r="L352" s="6"/>
    </row>
    <row r="353" spans="1:12" s="48" customFormat="1" ht="17.100000000000001" customHeight="1" x14ac:dyDescent="0.25">
      <c r="A353" s="1305" t="s">
        <v>163</v>
      </c>
      <c r="B353" s="1305" t="s">
        <v>1317</v>
      </c>
      <c r="C353" s="44" t="s">
        <v>353</v>
      </c>
      <c r="D353" s="125"/>
      <c r="E353" s="125"/>
      <c r="F353" s="125"/>
      <c r="G353" s="143" t="s">
        <v>165</v>
      </c>
      <c r="H353" s="101"/>
      <c r="I353" s="101">
        <v>80000</v>
      </c>
      <c r="J353" s="101">
        <v>80000</v>
      </c>
      <c r="K353" s="102">
        <v>80000</v>
      </c>
      <c r="L353" s="6"/>
    </row>
    <row r="354" spans="1:12" s="48" customFormat="1" ht="17.100000000000001" customHeight="1" x14ac:dyDescent="0.25">
      <c r="A354" s="1305" t="s">
        <v>163</v>
      </c>
      <c r="B354" s="1305" t="s">
        <v>1317</v>
      </c>
      <c r="C354" s="44" t="s">
        <v>353</v>
      </c>
      <c r="D354" s="125"/>
      <c r="E354" s="125"/>
      <c r="F354" s="125"/>
      <c r="G354" s="143" t="s">
        <v>165</v>
      </c>
      <c r="H354" s="101"/>
      <c r="I354" s="101">
        <v>58500</v>
      </c>
      <c r="J354" s="101">
        <v>58500</v>
      </c>
      <c r="K354" s="102">
        <v>58500</v>
      </c>
      <c r="L354" s="6"/>
    </row>
    <row r="355" spans="1:12" s="48" customFormat="1" ht="17.100000000000001" customHeight="1" x14ac:dyDescent="0.25">
      <c r="A355" s="1305" t="s">
        <v>163</v>
      </c>
      <c r="B355" s="1305" t="s">
        <v>1317</v>
      </c>
      <c r="C355" s="44" t="s">
        <v>353</v>
      </c>
      <c r="D355" s="125"/>
      <c r="E355" s="125"/>
      <c r="F355" s="125"/>
      <c r="G355" s="143" t="s">
        <v>165</v>
      </c>
      <c r="H355" s="101"/>
      <c r="I355" s="101">
        <v>200000</v>
      </c>
      <c r="J355" s="101">
        <v>200000</v>
      </c>
      <c r="K355" s="102">
        <v>200000</v>
      </c>
      <c r="L355" s="6"/>
    </row>
    <row r="356" spans="1:12" s="48" customFormat="1" ht="17.100000000000001" customHeight="1" x14ac:dyDescent="0.25">
      <c r="A356" s="1305" t="s">
        <v>163</v>
      </c>
      <c r="B356" s="1305" t="s">
        <v>1317</v>
      </c>
      <c r="C356" s="44" t="s">
        <v>353</v>
      </c>
      <c r="D356" s="125"/>
      <c r="E356" s="125"/>
      <c r="F356" s="125"/>
      <c r="G356" s="143" t="s">
        <v>165</v>
      </c>
      <c r="H356" s="101"/>
      <c r="I356" s="101">
        <v>25000</v>
      </c>
      <c r="J356" s="101">
        <v>25000</v>
      </c>
      <c r="K356" s="102">
        <v>25000</v>
      </c>
      <c r="L356" s="6">
        <f>SUM(K339:K356)</f>
        <v>4109500</v>
      </c>
    </row>
    <row r="357" spans="1:12" s="48" customFormat="1" ht="18" customHeight="1" x14ac:dyDescent="0.25">
      <c r="A357" s="1305" t="s">
        <v>163</v>
      </c>
      <c r="B357" s="1305" t="s">
        <v>1317</v>
      </c>
      <c r="C357" s="44" t="s">
        <v>382</v>
      </c>
      <c r="D357" s="125"/>
      <c r="E357" s="125"/>
      <c r="F357" s="125"/>
      <c r="G357" s="143" t="s">
        <v>383</v>
      </c>
      <c r="H357" s="101"/>
      <c r="I357" s="101">
        <v>40000</v>
      </c>
      <c r="J357" s="101">
        <v>40000</v>
      </c>
      <c r="K357" s="102">
        <v>40000</v>
      </c>
      <c r="L357" s="6"/>
    </row>
    <row r="358" spans="1:12" ht="18" x14ac:dyDescent="0.25">
      <c r="A358" s="1306" t="s">
        <v>2019</v>
      </c>
      <c r="B358" s="1305" t="s">
        <v>1317</v>
      </c>
      <c r="C358" s="44" t="s">
        <v>1552</v>
      </c>
      <c r="D358" s="113"/>
      <c r="E358" s="113"/>
      <c r="F358" s="113"/>
      <c r="G358" s="716"/>
      <c r="H358" s="101"/>
      <c r="I358" s="101"/>
      <c r="J358" s="101"/>
      <c r="K358" s="102">
        <v>6000000</v>
      </c>
    </row>
    <row r="359" spans="1:12" ht="18" x14ac:dyDescent="0.25">
      <c r="A359" s="1306" t="s">
        <v>2019</v>
      </c>
      <c r="B359" s="1305" t="s">
        <v>1317</v>
      </c>
      <c r="C359" s="44" t="s">
        <v>1553</v>
      </c>
      <c r="D359" s="113"/>
      <c r="E359" s="113"/>
      <c r="F359" s="113"/>
      <c r="G359" s="716"/>
      <c r="H359" s="101"/>
      <c r="I359" s="102">
        <v>900000</v>
      </c>
      <c r="J359" s="102">
        <v>900000</v>
      </c>
      <c r="K359" s="102">
        <v>900000</v>
      </c>
    </row>
    <row r="360" spans="1:12" ht="18" x14ac:dyDescent="0.25">
      <c r="A360" s="1306" t="s">
        <v>2019</v>
      </c>
      <c r="B360" s="1305" t="s">
        <v>1317</v>
      </c>
      <c r="C360" s="44" t="s">
        <v>1554</v>
      </c>
      <c r="D360" s="113"/>
      <c r="E360" s="113"/>
      <c r="F360" s="113"/>
      <c r="G360" s="716"/>
      <c r="H360" s="101"/>
      <c r="I360" s="102">
        <v>250000</v>
      </c>
      <c r="J360" s="102">
        <v>250000</v>
      </c>
      <c r="K360" s="102">
        <v>250000</v>
      </c>
    </row>
    <row r="361" spans="1:12" ht="18" x14ac:dyDescent="0.25">
      <c r="A361" s="1306" t="s">
        <v>2019</v>
      </c>
      <c r="B361" s="1305" t="s">
        <v>1317</v>
      </c>
      <c r="C361" s="44" t="s">
        <v>1555</v>
      </c>
      <c r="D361" s="113"/>
      <c r="E361" s="113"/>
      <c r="F361" s="113"/>
      <c r="G361" s="716"/>
      <c r="H361" s="101"/>
      <c r="I361" s="102">
        <v>15000000</v>
      </c>
      <c r="J361" s="102">
        <v>15000000</v>
      </c>
      <c r="K361" s="102">
        <v>15000000</v>
      </c>
    </row>
    <row r="362" spans="1:12" s="146" customFormat="1" ht="18" customHeight="1" x14ac:dyDescent="0.25">
      <c r="A362" s="1306" t="s">
        <v>2019</v>
      </c>
      <c r="B362" s="1305" t="s">
        <v>1317</v>
      </c>
      <c r="C362" s="180" t="s">
        <v>1556</v>
      </c>
      <c r="D362" s="427"/>
      <c r="E362" s="1307"/>
      <c r="F362" s="1305"/>
      <c r="G362" s="716"/>
      <c r="H362" s="101"/>
      <c r="I362" s="101">
        <v>800000</v>
      </c>
      <c r="J362" s="101">
        <v>800000</v>
      </c>
      <c r="K362" s="102">
        <v>800000</v>
      </c>
      <c r="L362" s="10"/>
    </row>
    <row r="363" spans="1:12" s="146" customFormat="1" ht="18" customHeight="1" x14ac:dyDescent="0.25">
      <c r="A363" s="1306" t="s">
        <v>2019</v>
      </c>
      <c r="B363" s="1305" t="s">
        <v>1317</v>
      </c>
      <c r="C363" s="1327" t="s">
        <v>1557</v>
      </c>
      <c r="D363" s="1327"/>
      <c r="E363" s="1327"/>
      <c r="F363" s="184"/>
      <c r="G363" s="716"/>
      <c r="H363" s="101"/>
      <c r="I363" s="101">
        <v>500000</v>
      </c>
      <c r="J363" s="101">
        <v>500000</v>
      </c>
      <c r="K363" s="102">
        <v>100000</v>
      </c>
      <c r="L363" s="10"/>
    </row>
    <row r="364" spans="1:12" s="146" customFormat="1" ht="18" customHeight="1" x14ac:dyDescent="0.25">
      <c r="A364" s="1306" t="s">
        <v>2019</v>
      </c>
      <c r="B364" s="1305" t="s">
        <v>1317</v>
      </c>
      <c r="C364" s="180" t="s">
        <v>1558</v>
      </c>
      <c r="D364" s="225"/>
      <c r="E364" s="427"/>
      <c r="F364" s="184"/>
      <c r="G364" s="716"/>
      <c r="H364" s="101"/>
      <c r="I364" s="101"/>
      <c r="J364" s="101"/>
      <c r="K364" s="102">
        <v>50000</v>
      </c>
      <c r="L364" s="10"/>
    </row>
    <row r="365" spans="1:12" s="146" customFormat="1" ht="18" customHeight="1" x14ac:dyDescent="0.25">
      <c r="A365" s="1306" t="s">
        <v>2019</v>
      </c>
      <c r="B365" s="1305" t="s">
        <v>1317</v>
      </c>
      <c r="C365" s="1328" t="s">
        <v>1559</v>
      </c>
      <c r="D365" s="1328"/>
      <c r="E365" s="1328"/>
      <c r="F365" s="1328"/>
      <c r="G365" s="716"/>
      <c r="H365" s="101"/>
      <c r="I365" s="101">
        <v>500000</v>
      </c>
      <c r="J365" s="101">
        <v>500000</v>
      </c>
      <c r="K365" s="102">
        <v>500000</v>
      </c>
      <c r="L365" s="10"/>
    </row>
    <row r="366" spans="1:12" s="146" customFormat="1" ht="18" customHeight="1" x14ac:dyDescent="0.25">
      <c r="A366" s="1306" t="s">
        <v>2019</v>
      </c>
      <c r="B366" s="1305" t="s">
        <v>1317</v>
      </c>
      <c r="C366" s="1328" t="s">
        <v>1560</v>
      </c>
      <c r="D366" s="1328"/>
      <c r="E366" s="1328"/>
      <c r="F366" s="1328"/>
      <c r="G366" s="716"/>
      <c r="H366" s="101"/>
      <c r="I366" s="101">
        <v>15000000</v>
      </c>
      <c r="J366" s="101">
        <v>15000000</v>
      </c>
      <c r="K366" s="102">
        <v>15000000</v>
      </c>
      <c r="L366" s="10"/>
    </row>
    <row r="367" spans="1:12" s="146" customFormat="1" ht="18" customHeight="1" x14ac:dyDescent="0.25">
      <c r="A367" s="1306" t="s">
        <v>2019</v>
      </c>
      <c r="B367" s="1305" t="s">
        <v>1317</v>
      </c>
      <c r="C367" s="113" t="s">
        <v>1589</v>
      </c>
      <c r="D367" s="113"/>
      <c r="E367" s="113"/>
      <c r="F367" s="113"/>
      <c r="G367" s="716"/>
      <c r="H367" s="101"/>
      <c r="I367" s="101">
        <v>103400</v>
      </c>
      <c r="J367" s="101">
        <v>103400</v>
      </c>
      <c r="K367" s="102">
        <v>103400</v>
      </c>
      <c r="L367" s="10"/>
    </row>
    <row r="368" spans="1:12" s="146" customFormat="1" ht="72" x14ac:dyDescent="0.25">
      <c r="A368" s="1306" t="s">
        <v>2019</v>
      </c>
      <c r="B368" s="1305" t="s">
        <v>1317</v>
      </c>
      <c r="C368" s="113" t="s">
        <v>1631</v>
      </c>
      <c r="D368" s="113"/>
      <c r="E368" s="113"/>
      <c r="F368" s="113"/>
      <c r="G368" s="716"/>
      <c r="H368" s="101"/>
      <c r="I368" s="101">
        <v>600000</v>
      </c>
      <c r="J368" s="101">
        <v>600000</v>
      </c>
      <c r="K368" s="102">
        <v>600000</v>
      </c>
      <c r="L368" s="10"/>
    </row>
    <row r="369" spans="1:12" s="146" customFormat="1" ht="18" customHeight="1" x14ac:dyDescent="0.25">
      <c r="A369" s="1306" t="s">
        <v>2019</v>
      </c>
      <c r="B369" s="1305" t="s">
        <v>1317</v>
      </c>
      <c r="C369" s="113" t="s">
        <v>1640</v>
      </c>
      <c r="D369" s="113"/>
      <c r="E369" s="113"/>
      <c r="F369" s="113"/>
      <c r="G369" s="143"/>
      <c r="H369" s="101"/>
      <c r="I369" s="101">
        <v>2000000</v>
      </c>
      <c r="J369" s="101">
        <v>2000000</v>
      </c>
      <c r="K369" s="102">
        <v>2000000</v>
      </c>
      <c r="L369" s="10"/>
    </row>
    <row r="370" spans="1:12" s="146" customFormat="1" ht="18" x14ac:dyDescent="0.25">
      <c r="A370" s="1306" t="s">
        <v>2019</v>
      </c>
      <c r="B370" s="1305" t="s">
        <v>1317</v>
      </c>
      <c r="C370" s="1310" t="s">
        <v>1641</v>
      </c>
      <c r="D370" s="113"/>
      <c r="E370" s="1305"/>
      <c r="F370" s="1305"/>
      <c r="G370" s="716"/>
      <c r="H370" s="101"/>
      <c r="I370" s="101">
        <v>300000</v>
      </c>
      <c r="J370" s="101">
        <v>300000</v>
      </c>
      <c r="K370" s="102">
        <v>300000</v>
      </c>
      <c r="L370" s="10"/>
    </row>
    <row r="371" spans="1:12" s="146" customFormat="1" ht="18" x14ac:dyDescent="0.25">
      <c r="A371" s="1306" t="s">
        <v>2019</v>
      </c>
      <c r="B371" s="1305" t="s">
        <v>1317</v>
      </c>
      <c r="C371" s="44" t="s">
        <v>1642</v>
      </c>
      <c r="D371" s="170"/>
      <c r="E371" s="1305"/>
      <c r="F371" s="1305"/>
      <c r="G371" s="716"/>
      <c r="H371" s="101"/>
      <c r="I371" s="101">
        <v>500000</v>
      </c>
      <c r="J371" s="101">
        <v>500000</v>
      </c>
      <c r="K371" s="102">
        <v>500000</v>
      </c>
      <c r="L371" s="10"/>
    </row>
    <row r="372" spans="1:12" s="146" customFormat="1" ht="19.5" customHeight="1" x14ac:dyDescent="0.25">
      <c r="A372" s="1305" t="s">
        <v>2020</v>
      </c>
      <c r="B372" s="1305" t="s">
        <v>1317</v>
      </c>
      <c r="C372" s="427" t="s">
        <v>1624</v>
      </c>
      <c r="D372" s="428"/>
      <c r="E372" s="428"/>
      <c r="F372" s="1305"/>
      <c r="G372" s="716"/>
      <c r="H372" s="101"/>
      <c r="I372" s="101">
        <v>60000</v>
      </c>
      <c r="J372" s="101">
        <v>60000</v>
      </c>
      <c r="K372" s="102">
        <v>60000</v>
      </c>
      <c r="L372" s="10"/>
    </row>
    <row r="373" spans="1:12" s="146" customFormat="1" ht="19.5" customHeight="1" x14ac:dyDescent="0.25">
      <c r="A373" s="1305" t="s">
        <v>2020</v>
      </c>
      <c r="B373" s="1305" t="s">
        <v>1317</v>
      </c>
      <c r="C373" s="180" t="s">
        <v>1625</v>
      </c>
      <c r="D373" s="225"/>
      <c r="E373" s="225"/>
      <c r="F373" s="1305"/>
      <c r="G373" s="716"/>
      <c r="H373" s="101"/>
      <c r="I373" s="101">
        <v>755000</v>
      </c>
      <c r="J373" s="101">
        <v>755000</v>
      </c>
      <c r="K373" s="102">
        <v>755000</v>
      </c>
      <c r="L373" s="10"/>
    </row>
    <row r="374" spans="1:12" s="146" customFormat="1" ht="19.5" customHeight="1" x14ac:dyDescent="0.25">
      <c r="A374" s="1305" t="s">
        <v>2020</v>
      </c>
      <c r="B374" s="1305" t="s">
        <v>1317</v>
      </c>
      <c r="C374" s="609" t="s">
        <v>1626</v>
      </c>
      <c r="D374" s="609"/>
      <c r="E374" s="609"/>
      <c r="F374" s="1305"/>
      <c r="G374" s="716"/>
      <c r="H374" s="101"/>
      <c r="I374" s="101">
        <v>25000</v>
      </c>
      <c r="J374" s="101">
        <v>25000</v>
      </c>
      <c r="K374" s="102">
        <v>25000</v>
      </c>
      <c r="L374" s="10"/>
    </row>
    <row r="375" spans="1:12" s="146" customFormat="1" ht="19.5" customHeight="1" x14ac:dyDescent="0.25">
      <c r="A375" s="1305" t="s">
        <v>2020</v>
      </c>
      <c r="B375" s="1305" t="s">
        <v>1317</v>
      </c>
      <c r="C375" s="180" t="s">
        <v>1627</v>
      </c>
      <c r="D375" s="1317"/>
      <c r="E375" s="1317"/>
      <c r="F375" s="1317"/>
      <c r="G375" s="1335"/>
      <c r="H375" s="102"/>
      <c r="I375" s="102">
        <v>710000</v>
      </c>
      <c r="J375" s="102">
        <v>710000</v>
      </c>
      <c r="K375" s="102">
        <v>940000</v>
      </c>
      <c r="L375" s="10"/>
    </row>
    <row r="376" spans="1:12" s="146" customFormat="1" ht="19.5" customHeight="1" x14ac:dyDescent="0.25">
      <c r="A376" s="1305" t="s">
        <v>2020</v>
      </c>
      <c r="B376" s="1305" t="s">
        <v>1317</v>
      </c>
      <c r="C376" s="206" t="s">
        <v>1620</v>
      </c>
      <c r="D376" s="198"/>
      <c r="E376" s="198"/>
      <c r="F376" s="1305"/>
      <c r="G376" s="716"/>
      <c r="H376" s="101"/>
      <c r="I376" s="101"/>
      <c r="J376" s="101"/>
      <c r="K376" s="102"/>
      <c r="L376" s="10"/>
    </row>
    <row r="377" spans="1:12" s="146" customFormat="1" ht="19.5" customHeight="1" x14ac:dyDescent="0.25">
      <c r="A377" s="1305" t="s">
        <v>2021</v>
      </c>
      <c r="B377" s="1305" t="s">
        <v>1317</v>
      </c>
      <c r="C377" s="206" t="s">
        <v>1621</v>
      </c>
      <c r="D377" s="125"/>
      <c r="E377" s="199"/>
      <c r="F377" s="1305"/>
      <c r="G377" s="716"/>
      <c r="H377" s="101"/>
      <c r="I377" s="101">
        <v>510000</v>
      </c>
      <c r="J377" s="101">
        <v>510000</v>
      </c>
      <c r="K377" s="102">
        <v>510000</v>
      </c>
      <c r="L377" s="10"/>
    </row>
    <row r="378" spans="1:12" s="146" customFormat="1" ht="19.5" customHeight="1" x14ac:dyDescent="0.25">
      <c r="A378" s="1305" t="s">
        <v>2022</v>
      </c>
      <c r="B378" s="1305" t="s">
        <v>1317</v>
      </c>
      <c r="C378" s="1318" t="s">
        <v>1622</v>
      </c>
      <c r="D378" s="125"/>
      <c r="E378" s="199"/>
      <c r="F378" s="1305"/>
      <c r="G378" s="716"/>
      <c r="H378" s="105"/>
      <c r="I378" s="105">
        <v>200000</v>
      </c>
      <c r="J378" s="105">
        <v>200000</v>
      </c>
      <c r="K378" s="106">
        <v>200000</v>
      </c>
      <c r="L378" s="10"/>
    </row>
    <row r="379" spans="1:12" s="146" customFormat="1" ht="17.45" customHeight="1" x14ac:dyDescent="0.25">
      <c r="A379" s="1305" t="s">
        <v>2023</v>
      </c>
      <c r="B379" s="1305" t="s">
        <v>1317</v>
      </c>
      <c r="C379" s="1318" t="s">
        <v>1623</v>
      </c>
      <c r="D379" s="44"/>
      <c r="E379" s="38"/>
      <c r="F379" s="1308"/>
      <c r="G379" s="1335"/>
      <c r="H379" s="102"/>
      <c r="I379" s="102"/>
      <c r="J379" s="102"/>
      <c r="K379" s="102">
        <v>5000000</v>
      </c>
      <c r="L379" s="10">
        <f>SUM(K358:K379)</f>
        <v>49593400</v>
      </c>
    </row>
    <row r="380" spans="1:12" s="48" customFormat="1" ht="18" customHeight="1" x14ac:dyDescent="0.25">
      <c r="A380" s="1305"/>
      <c r="B380" s="1305"/>
      <c r="C380" s="44"/>
      <c r="D380" s="125"/>
      <c r="E380" s="125"/>
      <c r="F380" s="125"/>
      <c r="G380" s="143"/>
      <c r="H380" s="101"/>
      <c r="I380" s="101"/>
      <c r="J380" s="101"/>
      <c r="K380" s="102"/>
      <c r="L380" s="6"/>
    </row>
    <row r="381" spans="1:12" s="48" customFormat="1" ht="18" customHeight="1" x14ac:dyDescent="0.25">
      <c r="A381" s="1305"/>
      <c r="B381" s="1305"/>
      <c r="C381" s="44"/>
      <c r="D381" s="125"/>
      <c r="E381" s="125"/>
      <c r="F381" s="125"/>
      <c r="G381" s="143"/>
      <c r="H381" s="101"/>
      <c r="I381" s="101"/>
      <c r="J381" s="101"/>
      <c r="K381" s="102"/>
      <c r="L381" s="6"/>
    </row>
    <row r="382" spans="1:12" s="48" customFormat="1" ht="18" customHeight="1" x14ac:dyDescent="0.25">
      <c r="A382" s="1305" t="s">
        <v>163</v>
      </c>
      <c r="B382" s="1305" t="s">
        <v>2025</v>
      </c>
      <c r="C382" s="44" t="s">
        <v>1562</v>
      </c>
      <c r="D382" s="125"/>
      <c r="E382" s="125"/>
      <c r="F382" s="125"/>
      <c r="G382" s="143" t="s">
        <v>218</v>
      </c>
      <c r="H382" s="101"/>
      <c r="I382" s="101">
        <v>9000</v>
      </c>
      <c r="J382" s="101">
        <v>9000</v>
      </c>
      <c r="K382" s="102">
        <v>9000</v>
      </c>
      <c r="L382" s="6"/>
    </row>
    <row r="383" spans="1:12" s="48" customFormat="1" ht="18" customHeight="1" x14ac:dyDescent="0.25">
      <c r="A383" s="1305" t="s">
        <v>163</v>
      </c>
      <c r="B383" s="1305" t="s">
        <v>2025</v>
      </c>
      <c r="C383" s="44" t="s">
        <v>466</v>
      </c>
      <c r="D383" s="125"/>
      <c r="E383" s="125"/>
      <c r="F383" s="125"/>
      <c r="G383" s="143" t="s">
        <v>467</v>
      </c>
      <c r="H383" s="101"/>
      <c r="I383" s="101">
        <v>21259768</v>
      </c>
      <c r="J383" s="101">
        <v>21259768</v>
      </c>
      <c r="K383" s="102">
        <v>21259768</v>
      </c>
      <c r="L383" s="6"/>
    </row>
    <row r="384" spans="1:12" s="48" customFormat="1" ht="18" customHeight="1" x14ac:dyDescent="0.25">
      <c r="A384" s="1305" t="s">
        <v>163</v>
      </c>
      <c r="B384" s="1305" t="s">
        <v>2025</v>
      </c>
      <c r="C384" s="44" t="s">
        <v>182</v>
      </c>
      <c r="D384" s="113"/>
      <c r="E384" s="113"/>
      <c r="F384" s="113"/>
      <c r="G384" s="143" t="s">
        <v>183</v>
      </c>
      <c r="H384" s="101"/>
      <c r="I384" s="101">
        <v>48000</v>
      </c>
      <c r="J384" s="101">
        <v>48000</v>
      </c>
      <c r="K384" s="102">
        <v>48000</v>
      </c>
      <c r="L384" s="6"/>
    </row>
    <row r="385" spans="1:12" s="48" customFormat="1" ht="18" customHeight="1" x14ac:dyDescent="0.25">
      <c r="A385" s="1305" t="s">
        <v>163</v>
      </c>
      <c r="B385" s="1305" t="s">
        <v>2025</v>
      </c>
      <c r="C385" s="38" t="s">
        <v>182</v>
      </c>
      <c r="D385" s="184"/>
      <c r="E385" s="184"/>
      <c r="F385" s="184"/>
      <c r="G385" s="143" t="s">
        <v>183</v>
      </c>
      <c r="H385" s="101"/>
      <c r="I385" s="101">
        <v>67200</v>
      </c>
      <c r="J385" s="101">
        <v>67200</v>
      </c>
      <c r="K385" s="102">
        <v>67200</v>
      </c>
      <c r="L385" s="6"/>
    </row>
    <row r="386" spans="1:12" s="48" customFormat="1" ht="17.100000000000001" customHeight="1" x14ac:dyDescent="0.25">
      <c r="A386" s="1305" t="s">
        <v>163</v>
      </c>
      <c r="B386" s="1305" t="s">
        <v>2025</v>
      </c>
      <c r="C386" s="44" t="s">
        <v>182</v>
      </c>
      <c r="D386" s="125"/>
      <c r="E386" s="125"/>
      <c r="F386" s="125"/>
      <c r="G386" s="143" t="s">
        <v>183</v>
      </c>
      <c r="H386" s="105"/>
      <c r="I386" s="105">
        <v>99840</v>
      </c>
      <c r="J386" s="105">
        <v>99840</v>
      </c>
      <c r="K386" s="106">
        <v>99840</v>
      </c>
      <c r="L386" s="6">
        <f>SUM(K384:K386)</f>
        <v>215040</v>
      </c>
    </row>
    <row r="387" spans="1:12" s="48" customFormat="1" ht="18" customHeight="1" x14ac:dyDescent="0.25">
      <c r="A387" s="1305" t="s">
        <v>163</v>
      </c>
      <c r="B387" s="1305" t="s">
        <v>2025</v>
      </c>
      <c r="C387" s="44" t="s">
        <v>468</v>
      </c>
      <c r="D387" s="125"/>
      <c r="E387" s="125"/>
      <c r="F387" s="125"/>
      <c r="G387" s="143" t="s">
        <v>469</v>
      </c>
      <c r="H387" s="101"/>
      <c r="I387" s="101">
        <v>18215843.5</v>
      </c>
      <c r="J387" s="101">
        <v>18215843.5</v>
      </c>
      <c r="K387" s="102">
        <v>18215843.5</v>
      </c>
      <c r="L387" s="6"/>
    </row>
    <row r="388" spans="1:12" s="48" customFormat="1" ht="18" customHeight="1" x14ac:dyDescent="0.25">
      <c r="A388" s="1305" t="s">
        <v>163</v>
      </c>
      <c r="B388" s="1305" t="s">
        <v>2025</v>
      </c>
      <c r="C388" s="44" t="s">
        <v>168</v>
      </c>
      <c r="D388" s="113"/>
      <c r="E388" s="113"/>
      <c r="F388" s="113"/>
      <c r="G388" s="143" t="s">
        <v>169</v>
      </c>
      <c r="H388" s="101"/>
      <c r="I388" s="101">
        <v>41483</v>
      </c>
      <c r="J388" s="101">
        <v>41483</v>
      </c>
      <c r="K388" s="102">
        <v>41483</v>
      </c>
      <c r="L388" s="6"/>
    </row>
    <row r="389" spans="1:12" s="48" customFormat="1" ht="18" customHeight="1" x14ac:dyDescent="0.25">
      <c r="A389" s="1305" t="s">
        <v>163</v>
      </c>
      <c r="B389" s="1305" t="s">
        <v>2025</v>
      </c>
      <c r="C389" s="44" t="s">
        <v>168</v>
      </c>
      <c r="D389" s="113"/>
      <c r="E389" s="113"/>
      <c r="F389" s="113"/>
      <c r="G389" s="143" t="s">
        <v>169</v>
      </c>
      <c r="H389" s="102"/>
      <c r="I389" s="1154">
        <v>49952</v>
      </c>
      <c r="J389" s="1154">
        <v>49952</v>
      </c>
      <c r="K389" s="102">
        <v>49952</v>
      </c>
      <c r="L389" s="6"/>
    </row>
    <row r="390" spans="1:12" s="48" customFormat="1" ht="18" customHeight="1" x14ac:dyDescent="0.25">
      <c r="A390" s="1305" t="s">
        <v>163</v>
      </c>
      <c r="B390" s="1305" t="s">
        <v>2025</v>
      </c>
      <c r="C390" s="38" t="s">
        <v>294</v>
      </c>
      <c r="D390" s="184"/>
      <c r="E390" s="184"/>
      <c r="F390" s="184"/>
      <c r="G390" s="143" t="s">
        <v>169</v>
      </c>
      <c r="H390" s="101"/>
      <c r="I390" s="101">
        <v>50000</v>
      </c>
      <c r="J390" s="101">
        <v>50000</v>
      </c>
      <c r="K390" s="102">
        <v>50000</v>
      </c>
      <c r="L390" s="6"/>
    </row>
    <row r="391" spans="1:12" s="48" customFormat="1" ht="18" customHeight="1" x14ac:dyDescent="0.25">
      <c r="A391" s="1306" t="s">
        <v>163</v>
      </c>
      <c r="B391" s="1305" t="s">
        <v>2025</v>
      </c>
      <c r="C391" s="44" t="s">
        <v>168</v>
      </c>
      <c r="D391" s="125"/>
      <c r="E391" s="125"/>
      <c r="F391" s="125"/>
      <c r="G391" s="143" t="s">
        <v>169</v>
      </c>
      <c r="H391" s="101"/>
      <c r="I391" s="101">
        <v>1720483</v>
      </c>
      <c r="J391" s="101">
        <v>1720483</v>
      </c>
      <c r="K391" s="102">
        <v>1720483</v>
      </c>
      <c r="L391" s="6"/>
    </row>
    <row r="392" spans="1:12" s="48" customFormat="1" ht="18" customHeight="1" x14ac:dyDescent="0.25">
      <c r="A392" s="1306" t="s">
        <v>163</v>
      </c>
      <c r="B392" s="1305" t="s">
        <v>2025</v>
      </c>
      <c r="C392" s="44" t="s">
        <v>168</v>
      </c>
      <c r="D392" s="113"/>
      <c r="E392" s="113"/>
      <c r="F392" s="113"/>
      <c r="G392" s="143" t="s">
        <v>169</v>
      </c>
      <c r="H392" s="101"/>
      <c r="I392" s="101">
        <v>236173</v>
      </c>
      <c r="J392" s="101">
        <v>236173</v>
      </c>
      <c r="K392" s="102">
        <f>80314+236173</f>
        <v>316487</v>
      </c>
      <c r="L392" s="6">
        <f>SUM(K388:K392)</f>
        <v>2178405</v>
      </c>
    </row>
    <row r="393" spans="1:12" s="48" customFormat="1" ht="18" customHeight="1" x14ac:dyDescent="0.25">
      <c r="A393" s="1306" t="s">
        <v>163</v>
      </c>
      <c r="B393" s="1305" t="s">
        <v>2025</v>
      </c>
      <c r="C393" s="38" t="s">
        <v>300</v>
      </c>
      <c r="D393" s="184"/>
      <c r="E393" s="184"/>
      <c r="F393" s="184"/>
      <c r="G393" s="143" t="s">
        <v>199</v>
      </c>
      <c r="H393" s="101"/>
      <c r="I393" s="101">
        <v>33000</v>
      </c>
      <c r="J393" s="101">
        <v>33000</v>
      </c>
      <c r="K393" s="102">
        <v>33000</v>
      </c>
      <c r="L393" s="6"/>
    </row>
    <row r="394" spans="1:12" s="48" customFormat="1" ht="18" customHeight="1" x14ac:dyDescent="0.25">
      <c r="A394" s="1306" t="s">
        <v>163</v>
      </c>
      <c r="B394" s="1305" t="s">
        <v>2025</v>
      </c>
      <c r="C394" s="44" t="s">
        <v>198</v>
      </c>
      <c r="D394" s="113"/>
      <c r="E394" s="113"/>
      <c r="F394" s="113"/>
      <c r="G394" s="143" t="s">
        <v>199</v>
      </c>
      <c r="H394" s="101"/>
      <c r="I394" s="101">
        <v>168504</v>
      </c>
      <c r="J394" s="101">
        <v>168504</v>
      </c>
      <c r="K394" s="102">
        <v>168504</v>
      </c>
      <c r="L394" s="6"/>
    </row>
    <row r="395" spans="1:12" s="48" customFormat="1" ht="18" customHeight="1" x14ac:dyDescent="0.25">
      <c r="A395" s="1306" t="s">
        <v>163</v>
      </c>
      <c r="B395" s="1305" t="s">
        <v>2025</v>
      </c>
      <c r="C395" s="44" t="s">
        <v>198</v>
      </c>
      <c r="D395" s="113"/>
      <c r="E395" s="113"/>
      <c r="F395" s="113"/>
      <c r="G395" s="143" t="s">
        <v>199</v>
      </c>
      <c r="H395" s="102"/>
      <c r="I395" s="1154">
        <v>5000</v>
      </c>
      <c r="J395" s="1154">
        <v>5000</v>
      </c>
      <c r="K395" s="102">
        <v>5000</v>
      </c>
      <c r="L395" s="6"/>
    </row>
    <row r="396" spans="1:12" s="48" customFormat="1" ht="18" customHeight="1" x14ac:dyDescent="0.25">
      <c r="A396" s="1306" t="s">
        <v>163</v>
      </c>
      <c r="B396" s="1305" t="s">
        <v>2025</v>
      </c>
      <c r="C396" s="44" t="s">
        <v>198</v>
      </c>
      <c r="D396" s="113"/>
      <c r="E396" s="113"/>
      <c r="F396" s="113"/>
      <c r="G396" s="143" t="s">
        <v>199</v>
      </c>
      <c r="H396" s="101"/>
      <c r="I396" s="101">
        <v>1170166.56</v>
      </c>
      <c r="J396" s="101">
        <v>1170166.56</v>
      </c>
      <c r="K396" s="102">
        <v>1170166.56</v>
      </c>
      <c r="L396" s="6"/>
    </row>
    <row r="397" spans="1:12" s="48" customFormat="1" ht="18" customHeight="1" x14ac:dyDescent="0.25">
      <c r="A397" s="1306" t="s">
        <v>163</v>
      </c>
      <c r="B397" s="1305" t="s">
        <v>2025</v>
      </c>
      <c r="C397" s="44" t="s">
        <v>1646</v>
      </c>
      <c r="D397" s="125"/>
      <c r="E397" s="125"/>
      <c r="F397" s="125"/>
      <c r="G397" s="143" t="s">
        <v>199</v>
      </c>
      <c r="H397" s="101"/>
      <c r="I397" s="101">
        <v>7610045.7599999998</v>
      </c>
      <c r="J397" s="101">
        <v>7610045.7599999998</v>
      </c>
      <c r="K397" s="102">
        <v>7610045.7599999998</v>
      </c>
      <c r="L397" s="6">
        <f>SUM(K393:K397)</f>
        <v>8986716.3200000003</v>
      </c>
    </row>
    <row r="398" spans="1:12" s="48" customFormat="1" ht="18" customHeight="1" x14ac:dyDescent="0.25">
      <c r="A398" s="1306" t="s">
        <v>163</v>
      </c>
      <c r="B398" s="1305" t="s">
        <v>2025</v>
      </c>
      <c r="C398" s="1310" t="s">
        <v>170</v>
      </c>
      <c r="D398" s="1306"/>
      <c r="E398" s="1306"/>
      <c r="F398" s="1306"/>
      <c r="G398" s="143" t="s">
        <v>171</v>
      </c>
      <c r="H398" s="101"/>
      <c r="I398" s="101">
        <v>2081672</v>
      </c>
      <c r="J398" s="101">
        <v>2081672</v>
      </c>
      <c r="K398" s="102">
        <v>2081672</v>
      </c>
      <c r="L398" s="6"/>
    </row>
    <row r="399" spans="1:12" s="48" customFormat="1" ht="18" customHeight="1" x14ac:dyDescent="0.25">
      <c r="A399" s="1306" t="s">
        <v>163</v>
      </c>
      <c r="B399" s="1305" t="s">
        <v>2025</v>
      </c>
      <c r="C399" s="44" t="s">
        <v>213</v>
      </c>
      <c r="D399" s="113"/>
      <c r="E399" s="113"/>
      <c r="F399" s="113"/>
      <c r="G399" s="143" t="s">
        <v>171</v>
      </c>
      <c r="H399" s="101"/>
      <c r="I399" s="101">
        <v>48758.3</v>
      </c>
      <c r="J399" s="101">
        <v>48758.3</v>
      </c>
      <c r="K399" s="102">
        <v>48758.3</v>
      </c>
      <c r="L399" s="6"/>
    </row>
    <row r="400" spans="1:12" s="48" customFormat="1" ht="18" customHeight="1" x14ac:dyDescent="0.25">
      <c r="A400" s="1306" t="s">
        <v>163</v>
      </c>
      <c r="B400" s="1305" t="s">
        <v>2025</v>
      </c>
      <c r="C400" s="44" t="s">
        <v>288</v>
      </c>
      <c r="D400" s="113"/>
      <c r="E400" s="113"/>
      <c r="F400" s="113"/>
      <c r="G400" s="143" t="s">
        <v>171</v>
      </c>
      <c r="H400" s="102"/>
      <c r="I400" s="1154">
        <v>33960</v>
      </c>
      <c r="J400" s="1154">
        <v>33960</v>
      </c>
      <c r="K400" s="102">
        <v>33960</v>
      </c>
      <c r="L400" s="6"/>
    </row>
    <row r="401" spans="1:12" s="48" customFormat="1" ht="18" customHeight="1" x14ac:dyDescent="0.25">
      <c r="A401" s="1305" t="s">
        <v>163</v>
      </c>
      <c r="B401" s="1305" t="s">
        <v>2025</v>
      </c>
      <c r="C401" s="38" t="s">
        <v>319</v>
      </c>
      <c r="D401" s="184"/>
      <c r="E401" s="184"/>
      <c r="F401" s="184"/>
      <c r="G401" s="143" t="s">
        <v>171</v>
      </c>
      <c r="H401" s="101"/>
      <c r="I401" s="101">
        <v>60000</v>
      </c>
      <c r="J401" s="101">
        <v>60000</v>
      </c>
      <c r="K401" s="102">
        <v>60000</v>
      </c>
      <c r="L401" s="6"/>
    </row>
    <row r="402" spans="1:12" s="48" customFormat="1" ht="18" customHeight="1" x14ac:dyDescent="0.25">
      <c r="A402" s="1305" t="s">
        <v>163</v>
      </c>
      <c r="B402" s="1305" t="s">
        <v>2025</v>
      </c>
      <c r="C402" s="44" t="s">
        <v>213</v>
      </c>
      <c r="D402" s="113"/>
      <c r="E402" s="113"/>
      <c r="F402" s="113"/>
      <c r="G402" s="143" t="s">
        <v>171</v>
      </c>
      <c r="H402" s="101"/>
      <c r="I402" s="101">
        <v>298897</v>
      </c>
      <c r="J402" s="101">
        <v>298897</v>
      </c>
      <c r="K402" s="102">
        <f>50000+298897</f>
        <v>348897</v>
      </c>
      <c r="L402" s="6">
        <f>SUM(K398:K402)</f>
        <v>2573287.2999999998</v>
      </c>
    </row>
    <row r="403" spans="1:12" s="48" customFormat="1" ht="18" customHeight="1" x14ac:dyDescent="0.25">
      <c r="A403" s="1305" t="s">
        <v>163</v>
      </c>
      <c r="B403" s="1305" t="s">
        <v>2025</v>
      </c>
      <c r="C403" s="44" t="s">
        <v>296</v>
      </c>
      <c r="D403" s="125"/>
      <c r="E403" s="125"/>
      <c r="F403" s="125"/>
      <c r="G403" s="143" t="s">
        <v>177</v>
      </c>
      <c r="H403" s="101"/>
      <c r="I403" s="101">
        <v>6000</v>
      </c>
      <c r="J403" s="101">
        <v>6000</v>
      </c>
      <c r="K403" s="102">
        <v>6000</v>
      </c>
      <c r="L403" s="6"/>
    </row>
    <row r="404" spans="1:12" s="48" customFormat="1" ht="18" customHeight="1" x14ac:dyDescent="0.25">
      <c r="A404" s="1305" t="s">
        <v>163</v>
      </c>
      <c r="B404" s="1305" t="s">
        <v>2025</v>
      </c>
      <c r="C404" s="44" t="s">
        <v>176</v>
      </c>
      <c r="D404" s="113"/>
      <c r="E404" s="113"/>
      <c r="F404" s="113"/>
      <c r="G404" s="143" t="s">
        <v>177</v>
      </c>
      <c r="H404" s="102"/>
      <c r="I404" s="1154">
        <v>5000</v>
      </c>
      <c r="J404" s="1154">
        <v>5000</v>
      </c>
      <c r="K404" s="102">
        <v>5000</v>
      </c>
      <c r="L404" s="6"/>
    </row>
    <row r="405" spans="1:12" s="48" customFormat="1" ht="18" customHeight="1" x14ac:dyDescent="0.25">
      <c r="A405" s="1305" t="s">
        <v>163</v>
      </c>
      <c r="B405" s="1305" t="s">
        <v>2025</v>
      </c>
      <c r="C405" s="44" t="s">
        <v>176</v>
      </c>
      <c r="D405" s="113"/>
      <c r="E405" s="113"/>
      <c r="F405" s="113"/>
      <c r="G405" s="143" t="s">
        <v>177</v>
      </c>
      <c r="H405" s="101"/>
      <c r="I405" s="101">
        <v>1000</v>
      </c>
      <c r="J405" s="101">
        <v>1000</v>
      </c>
      <c r="K405" s="102">
        <v>1000</v>
      </c>
      <c r="L405" s="6">
        <f>SUM(K403:K405)</f>
        <v>12000</v>
      </c>
    </row>
    <row r="406" spans="1:12" s="48" customFormat="1" ht="18" customHeight="1" x14ac:dyDescent="0.25">
      <c r="A406" s="1305" t="s">
        <v>163</v>
      </c>
      <c r="B406" s="1305" t="s">
        <v>2025</v>
      </c>
      <c r="C406" s="44" t="s">
        <v>1645</v>
      </c>
      <c r="D406" s="125"/>
      <c r="E406" s="125"/>
      <c r="F406" s="125"/>
      <c r="G406" s="143" t="s">
        <v>474</v>
      </c>
      <c r="H406" s="101"/>
      <c r="I406" s="101">
        <v>1000000</v>
      </c>
      <c r="J406" s="101">
        <v>1000000</v>
      </c>
      <c r="K406" s="102">
        <v>1000000</v>
      </c>
      <c r="L406" s="6"/>
    </row>
    <row r="407" spans="1:12" s="48" customFormat="1" ht="18" customHeight="1" x14ac:dyDescent="0.25">
      <c r="A407" s="1305" t="s">
        <v>163</v>
      </c>
      <c r="B407" s="1305" t="s">
        <v>2025</v>
      </c>
      <c r="C407" s="44" t="s">
        <v>186</v>
      </c>
      <c r="D407" s="113"/>
      <c r="E407" s="113"/>
      <c r="F407" s="113"/>
      <c r="G407" s="143" t="s">
        <v>187</v>
      </c>
      <c r="H407" s="101"/>
      <c r="I407" s="101">
        <v>20000</v>
      </c>
      <c r="J407" s="101">
        <v>20000</v>
      </c>
      <c r="K407" s="102">
        <v>20000</v>
      </c>
      <c r="L407" s="6"/>
    </row>
    <row r="408" spans="1:12" s="48" customFormat="1" ht="18" customHeight="1" x14ac:dyDescent="0.25">
      <c r="A408" s="1305" t="s">
        <v>163</v>
      </c>
      <c r="B408" s="1305" t="s">
        <v>2025</v>
      </c>
      <c r="C408" s="44" t="s">
        <v>186</v>
      </c>
      <c r="D408" s="113"/>
      <c r="E408" s="113"/>
      <c r="F408" s="113"/>
      <c r="G408" s="143" t="s">
        <v>187</v>
      </c>
      <c r="H408" s="102"/>
      <c r="I408" s="1154">
        <v>5000</v>
      </c>
      <c r="J408" s="1154">
        <v>5000</v>
      </c>
      <c r="K408" s="102">
        <v>5000</v>
      </c>
      <c r="L408" s="6"/>
    </row>
    <row r="409" spans="1:12" s="48" customFormat="1" ht="18" customHeight="1" x14ac:dyDescent="0.25">
      <c r="A409" s="1305" t="s">
        <v>163</v>
      </c>
      <c r="B409" s="1305" t="s">
        <v>2025</v>
      </c>
      <c r="C409" s="44" t="s">
        <v>186</v>
      </c>
      <c r="D409" s="125"/>
      <c r="E409" s="125"/>
      <c r="F409" s="125"/>
      <c r="G409" s="143" t="s">
        <v>356</v>
      </c>
      <c r="H409" s="101"/>
      <c r="I409" s="101">
        <v>250000</v>
      </c>
      <c r="J409" s="101">
        <v>250000</v>
      </c>
      <c r="K409" s="102">
        <v>250000</v>
      </c>
      <c r="L409" s="6"/>
    </row>
    <row r="410" spans="1:12" s="48" customFormat="1" ht="18" customHeight="1" x14ac:dyDescent="0.25">
      <c r="A410" s="1305" t="s">
        <v>163</v>
      </c>
      <c r="B410" s="1305" t="s">
        <v>2025</v>
      </c>
      <c r="C410" s="44" t="s">
        <v>186</v>
      </c>
      <c r="D410" s="113"/>
      <c r="E410" s="113"/>
      <c r="F410" s="113"/>
      <c r="G410" s="143" t="s">
        <v>187</v>
      </c>
      <c r="H410" s="101"/>
      <c r="I410" s="101">
        <v>5000</v>
      </c>
      <c r="J410" s="101">
        <v>5000</v>
      </c>
      <c r="K410" s="102">
        <v>5000</v>
      </c>
      <c r="L410" s="6"/>
    </row>
    <row r="411" spans="1:12" s="48" customFormat="1" ht="18" customHeight="1" x14ac:dyDescent="0.25">
      <c r="A411" s="1305" t="s">
        <v>163</v>
      </c>
      <c r="B411" s="1305" t="s">
        <v>2025</v>
      </c>
      <c r="C411" s="38" t="s">
        <v>297</v>
      </c>
      <c r="D411" s="184"/>
      <c r="E411" s="184"/>
      <c r="F411" s="184"/>
      <c r="G411" s="143" t="s">
        <v>187</v>
      </c>
      <c r="H411" s="101"/>
      <c r="I411" s="101">
        <v>30000</v>
      </c>
      <c r="J411" s="101">
        <v>30000</v>
      </c>
      <c r="K411" s="102">
        <v>30000</v>
      </c>
      <c r="L411" s="6">
        <f>SUM(K407:K411)</f>
        <v>310000</v>
      </c>
    </row>
    <row r="412" spans="1:12" s="48" customFormat="1" ht="18" customHeight="1" x14ac:dyDescent="0.25">
      <c r="A412" s="1306" t="s">
        <v>163</v>
      </c>
      <c r="B412" s="1305" t="s">
        <v>2025</v>
      </c>
      <c r="C412" s="44" t="s">
        <v>188</v>
      </c>
      <c r="D412" s="125"/>
      <c r="E412" s="125"/>
      <c r="F412" s="125"/>
      <c r="G412" s="143" t="s">
        <v>189</v>
      </c>
      <c r="H412" s="101"/>
      <c r="I412" s="101">
        <v>1000000</v>
      </c>
      <c r="J412" s="101">
        <v>1000000</v>
      </c>
      <c r="K412" s="102">
        <v>1000000</v>
      </c>
      <c r="L412" s="6"/>
    </row>
    <row r="413" spans="1:12" s="48" customFormat="1" ht="18" customHeight="1" x14ac:dyDescent="0.25">
      <c r="A413" s="1306" t="s">
        <v>163</v>
      </c>
      <c r="B413" s="1305" t="s">
        <v>2025</v>
      </c>
      <c r="C413" s="44" t="s">
        <v>178</v>
      </c>
      <c r="D413" s="113"/>
      <c r="E413" s="113"/>
      <c r="F413" s="113"/>
      <c r="G413" s="143" t="s">
        <v>179</v>
      </c>
      <c r="H413" s="101"/>
      <c r="I413" s="101"/>
      <c r="J413" s="101"/>
      <c r="K413" s="102"/>
      <c r="L413" s="6"/>
    </row>
    <row r="414" spans="1:12" s="48" customFormat="1" ht="18" customHeight="1" x14ac:dyDescent="0.25">
      <c r="A414" s="1306" t="s">
        <v>163</v>
      </c>
      <c r="B414" s="1305" t="s">
        <v>2025</v>
      </c>
      <c r="C414" s="44" t="s">
        <v>178</v>
      </c>
      <c r="D414" s="113"/>
      <c r="E414" s="113"/>
      <c r="F414" s="113"/>
      <c r="G414" s="143" t="s">
        <v>179</v>
      </c>
      <c r="H414" s="102"/>
      <c r="I414" s="1154">
        <v>30000</v>
      </c>
      <c r="J414" s="1154">
        <v>30000</v>
      </c>
      <c r="K414" s="102">
        <v>30000</v>
      </c>
      <c r="L414" s="6"/>
    </row>
    <row r="415" spans="1:12" s="48" customFormat="1" ht="18" customHeight="1" x14ac:dyDescent="0.25">
      <c r="A415" s="1306" t="s">
        <v>163</v>
      </c>
      <c r="B415" s="1305" t="s">
        <v>2025</v>
      </c>
      <c r="C415" s="38" t="s">
        <v>178</v>
      </c>
      <c r="D415" s="184"/>
      <c r="E415" s="184"/>
      <c r="F415" s="184"/>
      <c r="G415" s="143" t="s">
        <v>179</v>
      </c>
      <c r="H415" s="105"/>
      <c r="I415" s="105">
        <v>28800</v>
      </c>
      <c r="J415" s="105">
        <v>28800</v>
      </c>
      <c r="K415" s="106">
        <v>28800</v>
      </c>
      <c r="L415" s="6"/>
    </row>
    <row r="416" spans="1:12" s="48" customFormat="1" ht="18" customHeight="1" x14ac:dyDescent="0.25">
      <c r="A416" s="1306" t="s">
        <v>163</v>
      </c>
      <c r="B416" s="1305" t="s">
        <v>2025</v>
      </c>
      <c r="C416" s="44" t="s">
        <v>178</v>
      </c>
      <c r="D416" s="125"/>
      <c r="E416" s="125"/>
      <c r="F416" s="125"/>
      <c r="G416" s="143" t="s">
        <v>179</v>
      </c>
      <c r="H416" s="101"/>
      <c r="I416" s="101">
        <v>151200</v>
      </c>
      <c r="J416" s="101">
        <v>151200</v>
      </c>
      <c r="K416" s="102">
        <v>151200</v>
      </c>
      <c r="L416" s="6"/>
    </row>
    <row r="417" spans="1:12" s="146" customFormat="1" ht="18" customHeight="1" x14ac:dyDescent="0.25">
      <c r="A417" s="1306" t="s">
        <v>163</v>
      </c>
      <c r="B417" s="1305" t="s">
        <v>2025</v>
      </c>
      <c r="C417" s="44" t="s">
        <v>178</v>
      </c>
      <c r="D417" s="113"/>
      <c r="E417" s="113"/>
      <c r="F417" s="113"/>
      <c r="G417" s="143" t="s">
        <v>179</v>
      </c>
      <c r="H417" s="101"/>
      <c r="I417" s="101">
        <f>54000+48000+42000</f>
        <v>144000</v>
      </c>
      <c r="J417" s="101">
        <f>54000+48000+42000</f>
        <v>144000</v>
      </c>
      <c r="K417" s="102">
        <f>54000+48000+42000</f>
        <v>144000</v>
      </c>
      <c r="L417" s="10">
        <f>SUM(K414:K417)</f>
        <v>354000</v>
      </c>
    </row>
    <row r="418" spans="1:12" s="146" customFormat="1" ht="18" customHeight="1" x14ac:dyDescent="0.25">
      <c r="A418" s="1306" t="s">
        <v>163</v>
      </c>
      <c r="B418" s="1305" t="s">
        <v>2025</v>
      </c>
      <c r="C418" s="38" t="s">
        <v>1675</v>
      </c>
      <c r="D418" s="199"/>
      <c r="E418" s="199"/>
      <c r="F418" s="1305"/>
      <c r="G418" s="716"/>
      <c r="H418" s="102"/>
      <c r="I418" s="102">
        <v>1200000</v>
      </c>
      <c r="J418" s="102">
        <v>1200000</v>
      </c>
      <c r="K418" s="102">
        <v>2350000</v>
      </c>
      <c r="L418" s="10"/>
    </row>
    <row r="419" spans="1:12" s="146" customFormat="1" ht="18" customHeight="1" x14ac:dyDescent="0.25">
      <c r="A419" s="1306" t="s">
        <v>163</v>
      </c>
      <c r="B419" s="1305" t="s">
        <v>2025</v>
      </c>
      <c r="C419" s="44" t="s">
        <v>166</v>
      </c>
      <c r="D419" s="113"/>
      <c r="E419" s="113"/>
      <c r="F419" s="113"/>
      <c r="G419" s="143"/>
      <c r="H419" s="101"/>
      <c r="I419" s="101"/>
      <c r="J419" s="101"/>
      <c r="K419" s="102">
        <v>15000</v>
      </c>
      <c r="L419" s="10"/>
    </row>
    <row r="420" spans="1:12" s="146" customFormat="1" ht="18" customHeight="1" x14ac:dyDescent="0.25">
      <c r="A420" s="1306" t="s">
        <v>163</v>
      </c>
      <c r="B420" s="1305" t="s">
        <v>2025</v>
      </c>
      <c r="C420" s="44" t="s">
        <v>166</v>
      </c>
      <c r="D420" s="113"/>
      <c r="E420" s="113"/>
      <c r="F420" s="113"/>
      <c r="G420" s="143"/>
      <c r="H420" s="102"/>
      <c r="I420" s="1154"/>
      <c r="J420" s="1154"/>
      <c r="K420" s="102">
        <v>15000</v>
      </c>
      <c r="L420" s="10"/>
    </row>
    <row r="421" spans="1:12" s="146" customFormat="1" ht="18" customHeight="1" x14ac:dyDescent="0.25">
      <c r="A421" s="1306" t="s">
        <v>163</v>
      </c>
      <c r="B421" s="1305" t="s">
        <v>2025</v>
      </c>
      <c r="C421" s="44" t="s">
        <v>166</v>
      </c>
      <c r="D421" s="113"/>
      <c r="E421" s="113"/>
      <c r="F421" s="113"/>
      <c r="G421" s="143"/>
      <c r="H421" s="101"/>
      <c r="I421" s="101">
        <v>20000</v>
      </c>
      <c r="J421" s="101">
        <v>20000</v>
      </c>
      <c r="K421" s="102">
        <v>20000</v>
      </c>
      <c r="L421" s="10"/>
    </row>
    <row r="422" spans="1:12" s="146" customFormat="1" ht="18" customHeight="1" x14ac:dyDescent="0.25">
      <c r="A422" s="1306" t="s">
        <v>163</v>
      </c>
      <c r="B422" s="1305" t="s">
        <v>2025</v>
      </c>
      <c r="C422" s="44" t="s">
        <v>166</v>
      </c>
      <c r="D422" s="125"/>
      <c r="E422" s="125"/>
      <c r="F422" s="125"/>
      <c r="G422" s="143"/>
      <c r="H422" s="101"/>
      <c r="I422" s="101"/>
      <c r="J422" s="101"/>
      <c r="K422" s="102">
        <v>100000</v>
      </c>
      <c r="L422" s="10"/>
    </row>
    <row r="423" spans="1:12" s="146" customFormat="1" ht="18" customHeight="1" x14ac:dyDescent="0.25">
      <c r="A423" s="1306" t="s">
        <v>163</v>
      </c>
      <c r="B423" s="1305" t="s">
        <v>2025</v>
      </c>
      <c r="C423" s="44" t="s">
        <v>166</v>
      </c>
      <c r="D423" s="113"/>
      <c r="E423" s="113"/>
      <c r="F423" s="113"/>
      <c r="G423" s="143"/>
      <c r="H423" s="102"/>
      <c r="I423" s="102"/>
      <c r="J423" s="102"/>
      <c r="K423" s="102">
        <v>50000</v>
      </c>
      <c r="L423" s="10">
        <f>SUM(K419:K423)</f>
        <v>200000</v>
      </c>
    </row>
    <row r="424" spans="1:12" s="146" customFormat="1" ht="18" x14ac:dyDescent="0.25">
      <c r="A424" s="1306" t="s">
        <v>163</v>
      </c>
      <c r="B424" s="1305" t="s">
        <v>2025</v>
      </c>
      <c r="C424" s="44" t="s">
        <v>353</v>
      </c>
      <c r="D424" s="113"/>
      <c r="E424" s="113"/>
      <c r="F424" s="113"/>
      <c r="G424" s="143" t="s">
        <v>165</v>
      </c>
      <c r="H424" s="101"/>
      <c r="I424" s="101">
        <v>15000</v>
      </c>
      <c r="J424" s="101">
        <v>15000</v>
      </c>
      <c r="K424" s="102">
        <v>15000</v>
      </c>
      <c r="L424" s="10"/>
    </row>
    <row r="425" spans="1:12" s="146" customFormat="1" ht="18" customHeight="1" x14ac:dyDescent="0.25">
      <c r="A425" s="1306" t="s">
        <v>163</v>
      </c>
      <c r="B425" s="1305" t="s">
        <v>2025</v>
      </c>
      <c r="C425" s="44" t="s">
        <v>353</v>
      </c>
      <c r="D425" s="113"/>
      <c r="E425" s="113"/>
      <c r="F425" s="113"/>
      <c r="G425" s="143" t="s">
        <v>165</v>
      </c>
      <c r="H425" s="102"/>
      <c r="I425" s="1154">
        <v>15000</v>
      </c>
      <c r="J425" s="1154">
        <v>15000</v>
      </c>
      <c r="K425" s="102">
        <v>15000</v>
      </c>
      <c r="L425" s="10"/>
    </row>
    <row r="426" spans="1:12" s="146" customFormat="1" ht="18" customHeight="1" x14ac:dyDescent="0.25">
      <c r="A426" s="1306" t="s">
        <v>163</v>
      </c>
      <c r="B426" s="1305" t="s">
        <v>2025</v>
      </c>
      <c r="C426" s="44" t="s">
        <v>353</v>
      </c>
      <c r="D426" s="113"/>
      <c r="E426" s="113"/>
      <c r="F426" s="113"/>
      <c r="G426" s="143" t="s">
        <v>165</v>
      </c>
      <c r="H426" s="101"/>
      <c r="I426" s="101">
        <v>20000</v>
      </c>
      <c r="J426" s="101">
        <v>20000</v>
      </c>
      <c r="K426" s="102">
        <v>20000</v>
      </c>
      <c r="L426" s="10"/>
    </row>
    <row r="427" spans="1:12" s="146" customFormat="1" ht="18" customHeight="1" x14ac:dyDescent="0.25">
      <c r="A427" s="1306" t="s">
        <v>163</v>
      </c>
      <c r="B427" s="1305" t="s">
        <v>2025</v>
      </c>
      <c r="C427" s="44" t="s">
        <v>353</v>
      </c>
      <c r="D427" s="125"/>
      <c r="E427" s="125"/>
      <c r="F427" s="125"/>
      <c r="G427" s="143" t="s">
        <v>165</v>
      </c>
      <c r="H427" s="101"/>
      <c r="I427" s="101">
        <v>640000</v>
      </c>
      <c r="J427" s="101">
        <v>640000</v>
      </c>
      <c r="K427" s="102">
        <v>640000</v>
      </c>
      <c r="L427" s="10"/>
    </row>
    <row r="428" spans="1:12" s="146" customFormat="1" ht="18" x14ac:dyDescent="0.25">
      <c r="A428" s="1306" t="s">
        <v>163</v>
      </c>
      <c r="B428" s="1305" t="s">
        <v>2025</v>
      </c>
      <c r="C428" s="44" t="s">
        <v>353</v>
      </c>
      <c r="D428" s="113"/>
      <c r="E428" s="113"/>
      <c r="F428" s="113"/>
      <c r="G428" s="143" t="s">
        <v>165</v>
      </c>
      <c r="H428" s="102"/>
      <c r="I428" s="102">
        <v>200000</v>
      </c>
      <c r="J428" s="102">
        <v>200000</v>
      </c>
      <c r="K428" s="102">
        <v>200000</v>
      </c>
      <c r="L428" s="10">
        <f>SUM(K424:K428)</f>
        <v>890000</v>
      </c>
    </row>
    <row r="429" spans="1:12" s="146" customFormat="1" ht="18" customHeight="1" x14ac:dyDescent="0.25">
      <c r="A429" s="1306" t="s">
        <v>163</v>
      </c>
      <c r="B429" s="1305" t="s">
        <v>2025</v>
      </c>
      <c r="C429" s="44" t="s">
        <v>382</v>
      </c>
      <c r="D429" s="125"/>
      <c r="E429" s="125"/>
      <c r="F429" s="125"/>
      <c r="G429" s="143" t="s">
        <v>383</v>
      </c>
      <c r="H429" s="101"/>
      <c r="I429" s="101">
        <v>10800</v>
      </c>
      <c r="J429" s="101">
        <v>10800</v>
      </c>
      <c r="K429" s="102">
        <v>10800</v>
      </c>
      <c r="L429" s="10"/>
    </row>
    <row r="430" spans="1:12" s="146" customFormat="1" ht="18" customHeight="1" x14ac:dyDescent="0.25">
      <c r="A430" s="1306" t="s">
        <v>163</v>
      </c>
      <c r="B430" s="1305" t="s">
        <v>2025</v>
      </c>
      <c r="C430" s="44" t="s">
        <v>382</v>
      </c>
      <c r="D430" s="113"/>
      <c r="E430" s="113"/>
      <c r="F430" s="113"/>
      <c r="G430" s="143"/>
      <c r="H430" s="101"/>
      <c r="I430" s="101"/>
      <c r="J430" s="101"/>
      <c r="K430" s="102">
        <v>50000</v>
      </c>
      <c r="L430" s="10">
        <f>SUM(K429:K430)</f>
        <v>60800</v>
      </c>
    </row>
    <row r="431" spans="1:12" s="146" customFormat="1" ht="18" customHeight="1" x14ac:dyDescent="0.25">
      <c r="A431" s="1306" t="s">
        <v>2019</v>
      </c>
      <c r="B431" s="1305" t="s">
        <v>2025</v>
      </c>
      <c r="C431" s="1329" t="s">
        <v>1609</v>
      </c>
      <c r="D431" s="1329"/>
      <c r="E431" s="1329"/>
      <c r="F431" s="1329"/>
      <c r="G431" s="716"/>
      <c r="H431" s="101"/>
      <c r="I431" s="1156">
        <v>500000</v>
      </c>
      <c r="J431" s="1156">
        <v>500000</v>
      </c>
      <c r="K431" s="102">
        <v>100000</v>
      </c>
      <c r="L431" s="10"/>
    </row>
    <row r="432" spans="1:12" s="146" customFormat="1" ht="18" customHeight="1" x14ac:dyDescent="0.25">
      <c r="A432" s="1306" t="s">
        <v>2019</v>
      </c>
      <c r="B432" s="1305" t="s">
        <v>2025</v>
      </c>
      <c r="C432" s="1318" t="s">
        <v>1610</v>
      </c>
      <c r="D432" s="1316"/>
      <c r="E432" s="422"/>
      <c r="F432" s="422"/>
      <c r="G432" s="716"/>
      <c r="H432" s="102"/>
      <c r="I432" s="102">
        <v>700000</v>
      </c>
      <c r="J432" s="102">
        <v>700000</v>
      </c>
      <c r="K432" s="102">
        <v>700000</v>
      </c>
      <c r="L432" s="10"/>
    </row>
    <row r="433" spans="1:12" s="146" customFormat="1" ht="18" customHeight="1" x14ac:dyDescent="0.25">
      <c r="A433" s="1306" t="s">
        <v>2019</v>
      </c>
      <c r="B433" s="1305" t="s">
        <v>2025</v>
      </c>
      <c r="C433" s="1318" t="s">
        <v>1611</v>
      </c>
      <c r="D433" s="199"/>
      <c r="E433" s="184"/>
      <c r="F433" s="184"/>
      <c r="G433" s="716"/>
      <c r="H433" s="102"/>
      <c r="I433" s="102">
        <v>500000</v>
      </c>
      <c r="J433" s="102">
        <v>500000</v>
      </c>
      <c r="K433" s="102">
        <v>500000</v>
      </c>
      <c r="L433" s="10"/>
    </row>
    <row r="434" spans="1:12" s="146" customFormat="1" ht="18" customHeight="1" x14ac:dyDescent="0.25">
      <c r="A434" s="1306" t="s">
        <v>2019</v>
      </c>
      <c r="B434" s="1305" t="s">
        <v>2025</v>
      </c>
      <c r="C434" s="1318" t="s">
        <v>1612</v>
      </c>
      <c r="D434" s="1316"/>
      <c r="E434" s="422"/>
      <c r="F434" s="422"/>
      <c r="G434" s="716"/>
      <c r="H434" s="102"/>
      <c r="I434" s="102">
        <v>800000</v>
      </c>
      <c r="J434" s="102">
        <v>800000</v>
      </c>
      <c r="K434" s="102">
        <v>800000</v>
      </c>
      <c r="L434" s="10"/>
    </row>
    <row r="435" spans="1:12" s="146" customFormat="1" ht="18" customHeight="1" x14ac:dyDescent="0.25">
      <c r="A435" s="1306" t="s">
        <v>2019</v>
      </c>
      <c r="B435" s="1305" t="s">
        <v>2025</v>
      </c>
      <c r="C435" s="1318" t="s">
        <v>1613</v>
      </c>
      <c r="D435" s="1316"/>
      <c r="E435" s="422"/>
      <c r="F435" s="422"/>
      <c r="G435" s="716"/>
      <c r="H435" s="102"/>
      <c r="I435" s="102">
        <v>200000</v>
      </c>
      <c r="J435" s="102">
        <v>200000</v>
      </c>
      <c r="K435" s="102">
        <v>200000</v>
      </c>
      <c r="L435" s="10"/>
    </row>
    <row r="436" spans="1:12" ht="18" customHeight="1" x14ac:dyDescent="0.25">
      <c r="A436" s="1306" t="s">
        <v>2019</v>
      </c>
      <c r="B436" s="1305" t="s">
        <v>2025</v>
      </c>
      <c r="C436" s="1318" t="s">
        <v>1614</v>
      </c>
      <c r="D436" s="199"/>
      <c r="E436" s="184"/>
      <c r="F436" s="184"/>
      <c r="G436" s="716"/>
      <c r="H436" s="102"/>
      <c r="I436" s="102">
        <v>50000</v>
      </c>
      <c r="J436" s="102">
        <v>50000</v>
      </c>
      <c r="K436" s="102">
        <v>50000</v>
      </c>
    </row>
    <row r="437" spans="1:12" ht="18" customHeight="1" x14ac:dyDescent="0.25">
      <c r="A437" s="1306" t="s">
        <v>2019</v>
      </c>
      <c r="B437" s="1305" t="s">
        <v>2025</v>
      </c>
      <c r="C437" s="38" t="s">
        <v>1647</v>
      </c>
      <c r="D437" s="1316"/>
      <c r="E437" s="1305"/>
      <c r="F437" s="1305"/>
      <c r="G437" s="716"/>
      <c r="H437" s="101"/>
      <c r="I437" s="101">
        <v>50000</v>
      </c>
      <c r="J437" s="101">
        <v>50000</v>
      </c>
      <c r="K437" s="102">
        <v>50000</v>
      </c>
    </row>
    <row r="438" spans="1:12" ht="18" x14ac:dyDescent="0.25">
      <c r="A438" s="1306" t="s">
        <v>2019</v>
      </c>
      <c r="B438" s="1305" t="s">
        <v>2025</v>
      </c>
      <c r="C438" s="38" t="s">
        <v>1648</v>
      </c>
      <c r="D438" s="1316"/>
      <c r="E438" s="1305"/>
      <c r="F438" s="1305"/>
      <c r="G438" s="716"/>
      <c r="H438" s="101"/>
      <c r="I438" s="101">
        <v>100000</v>
      </c>
      <c r="J438" s="101">
        <v>100000</v>
      </c>
      <c r="K438" s="102">
        <v>100000</v>
      </c>
    </row>
    <row r="439" spans="1:12" ht="18" x14ac:dyDescent="0.25">
      <c r="A439" s="1306" t="s">
        <v>2019</v>
      </c>
      <c r="B439" s="1305" t="s">
        <v>2025</v>
      </c>
      <c r="C439" s="38" t="s">
        <v>1649</v>
      </c>
      <c r="D439" s="1316"/>
      <c r="E439" s="1305"/>
      <c r="F439" s="1305"/>
      <c r="G439" s="716"/>
      <c r="H439" s="101"/>
      <c r="I439" s="101">
        <v>30000</v>
      </c>
      <c r="J439" s="101">
        <v>30000</v>
      </c>
      <c r="K439" s="102">
        <v>30000</v>
      </c>
    </row>
    <row r="440" spans="1:12" s="191" customFormat="1" ht="18" x14ac:dyDescent="0.25">
      <c r="A440" s="1306" t="s">
        <v>2019</v>
      </c>
      <c r="B440" s="1305" t="s">
        <v>2025</v>
      </c>
      <c r="C440" s="38" t="s">
        <v>1650</v>
      </c>
      <c r="D440" s="1318"/>
      <c r="E440" s="1308"/>
      <c r="F440" s="1308"/>
      <c r="G440" s="1335"/>
      <c r="H440" s="102"/>
      <c r="I440" s="102">
        <v>900000</v>
      </c>
      <c r="J440" s="102">
        <v>900000</v>
      </c>
      <c r="K440" s="102">
        <v>900000</v>
      </c>
      <c r="L440" s="10"/>
    </row>
    <row r="441" spans="1:12" s="191" customFormat="1" ht="18" x14ac:dyDescent="0.25">
      <c r="A441" s="1306" t="s">
        <v>2019</v>
      </c>
      <c r="B441" s="1305" t="s">
        <v>2025</v>
      </c>
      <c r="C441" s="180" t="s">
        <v>1651</v>
      </c>
      <c r="D441" s="1317"/>
      <c r="E441" s="1307"/>
      <c r="F441" s="1307"/>
      <c r="G441" s="1177"/>
      <c r="H441" s="101"/>
      <c r="I441" s="101">
        <v>181350</v>
      </c>
      <c r="J441" s="101">
        <v>181350</v>
      </c>
      <c r="K441" s="102">
        <v>181350</v>
      </c>
      <c r="L441" s="10"/>
    </row>
    <row r="442" spans="1:12" ht="18" x14ac:dyDescent="0.25">
      <c r="A442" s="1306" t="s">
        <v>2019</v>
      </c>
      <c r="B442" s="1305" t="s">
        <v>2025</v>
      </c>
      <c r="C442" s="1318" t="s">
        <v>1652</v>
      </c>
      <c r="D442" s="125"/>
      <c r="E442" s="1305"/>
      <c r="F442" s="1305"/>
      <c r="G442" s="716"/>
      <c r="H442" s="101"/>
      <c r="I442" s="101">
        <v>603300</v>
      </c>
      <c r="J442" s="101">
        <v>603300</v>
      </c>
      <c r="K442" s="102">
        <v>603300</v>
      </c>
    </row>
    <row r="443" spans="1:12" ht="18" x14ac:dyDescent="0.25">
      <c r="A443" s="1306" t="s">
        <v>2019</v>
      </c>
      <c r="B443" s="1305" t="s">
        <v>2025</v>
      </c>
      <c r="C443" s="1318" t="s">
        <v>1653</v>
      </c>
      <c r="D443" s="125"/>
      <c r="E443" s="1305"/>
      <c r="F443" s="1305"/>
      <c r="G443" s="716"/>
      <c r="H443" s="105"/>
      <c r="I443" s="105">
        <v>81950</v>
      </c>
      <c r="J443" s="105">
        <v>81950</v>
      </c>
      <c r="K443" s="106">
        <v>81950</v>
      </c>
    </row>
    <row r="444" spans="1:12" s="146" customFormat="1" ht="18" customHeight="1" x14ac:dyDescent="0.25">
      <c r="A444" s="1306" t="s">
        <v>2019</v>
      </c>
      <c r="B444" s="1305" t="s">
        <v>2025</v>
      </c>
      <c r="C444" s="1318" t="s">
        <v>1654</v>
      </c>
      <c r="D444" s="125"/>
      <c r="E444" s="1305"/>
      <c r="F444" s="1305"/>
      <c r="G444" s="716"/>
      <c r="H444" s="101"/>
      <c r="I444" s="101">
        <v>147300</v>
      </c>
      <c r="J444" s="101">
        <v>147300</v>
      </c>
      <c r="K444" s="102">
        <v>147300</v>
      </c>
      <c r="L444" s="10"/>
    </row>
    <row r="445" spans="1:12" s="146" customFormat="1" ht="18" customHeight="1" x14ac:dyDescent="0.25">
      <c r="A445" s="1306" t="s">
        <v>2019</v>
      </c>
      <c r="B445" s="1305" t="s">
        <v>2025</v>
      </c>
      <c r="C445" s="1318" t="s">
        <v>1655</v>
      </c>
      <c r="D445" s="125"/>
      <c r="E445" s="1305"/>
      <c r="F445" s="1305"/>
      <c r="G445" s="716"/>
      <c r="H445" s="101"/>
      <c r="I445" s="101">
        <v>175300</v>
      </c>
      <c r="J445" s="101">
        <v>175300</v>
      </c>
      <c r="K445" s="102">
        <v>175300</v>
      </c>
      <c r="L445" s="10"/>
    </row>
    <row r="446" spans="1:12" s="146" customFormat="1" ht="18" customHeight="1" x14ac:dyDescent="0.25">
      <c r="A446" s="1306" t="s">
        <v>2019</v>
      </c>
      <c r="B446" s="1305" t="s">
        <v>2025</v>
      </c>
      <c r="C446" s="1321" t="s">
        <v>1656</v>
      </c>
      <c r="D446" s="1321"/>
      <c r="E446" s="1305"/>
      <c r="F446" s="1305"/>
      <c r="G446" s="716"/>
      <c r="H446" s="101"/>
      <c r="I446" s="101">
        <v>1500000</v>
      </c>
      <c r="J446" s="101">
        <v>1500000</v>
      </c>
      <c r="K446" s="102">
        <v>1500000</v>
      </c>
      <c r="L446" s="10"/>
    </row>
    <row r="447" spans="1:12" s="146" customFormat="1" ht="18" customHeight="1" x14ac:dyDescent="0.25">
      <c r="A447" s="1306" t="s">
        <v>2019</v>
      </c>
      <c r="B447" s="1305" t="s">
        <v>2025</v>
      </c>
      <c r="C447" s="1318" t="s">
        <v>1657</v>
      </c>
      <c r="D447" s="125"/>
      <c r="E447" s="1305"/>
      <c r="F447" s="1305"/>
      <c r="G447" s="716"/>
      <c r="H447" s="101"/>
      <c r="I447" s="101">
        <v>209800</v>
      </c>
      <c r="J447" s="101">
        <v>209800</v>
      </c>
      <c r="K447" s="102">
        <v>209800</v>
      </c>
      <c r="L447" s="10"/>
    </row>
    <row r="448" spans="1:12" s="146" customFormat="1" ht="18" customHeight="1" x14ac:dyDescent="0.25">
      <c r="A448" s="1306" t="s">
        <v>2019</v>
      </c>
      <c r="B448" s="1305" t="s">
        <v>2025</v>
      </c>
      <c r="C448" s="1318" t="s">
        <v>1658</v>
      </c>
      <c r="D448" s="125"/>
      <c r="E448" s="1305"/>
      <c r="F448" s="1305"/>
      <c r="G448" s="716"/>
      <c r="H448" s="101"/>
      <c r="I448" s="101">
        <v>60000</v>
      </c>
      <c r="J448" s="101">
        <v>60000</v>
      </c>
      <c r="K448" s="102">
        <v>60000</v>
      </c>
      <c r="L448" s="10"/>
    </row>
    <row r="449" spans="1:12" s="146" customFormat="1" ht="18" customHeight="1" x14ac:dyDescent="0.25">
      <c r="A449" s="1306" t="s">
        <v>2019</v>
      </c>
      <c r="B449" s="1305" t="s">
        <v>2025</v>
      </c>
      <c r="C449" s="1318" t="s">
        <v>1659</v>
      </c>
      <c r="D449" s="125"/>
      <c r="E449" s="1305"/>
      <c r="F449" s="1305"/>
      <c r="G449" s="716"/>
      <c r="H449" s="101"/>
      <c r="I449" s="101">
        <v>28000</v>
      </c>
      <c r="J449" s="101">
        <v>28000</v>
      </c>
      <c r="K449" s="102">
        <v>28000</v>
      </c>
      <c r="L449" s="10"/>
    </row>
    <row r="450" spans="1:12" s="146" customFormat="1" ht="18" customHeight="1" x14ac:dyDescent="0.25">
      <c r="A450" s="1306" t="s">
        <v>2019</v>
      </c>
      <c r="B450" s="1305" t="s">
        <v>2025</v>
      </c>
      <c r="C450" s="1318" t="s">
        <v>1660</v>
      </c>
      <c r="D450" s="125"/>
      <c r="E450" s="1305"/>
      <c r="F450" s="1305"/>
      <c r="G450" s="716"/>
      <c r="H450" s="101"/>
      <c r="I450" s="101">
        <v>28000</v>
      </c>
      <c r="J450" s="101">
        <v>28000</v>
      </c>
      <c r="K450" s="102">
        <v>28000</v>
      </c>
      <c r="L450" s="10"/>
    </row>
    <row r="451" spans="1:12" s="146" customFormat="1" ht="18" customHeight="1" x14ac:dyDescent="0.25">
      <c r="A451" s="1305" t="s">
        <v>2019</v>
      </c>
      <c r="B451" s="1305" t="s">
        <v>2025</v>
      </c>
      <c r="C451" s="1318" t="s">
        <v>1661</v>
      </c>
      <c r="D451" s="44"/>
      <c r="E451" s="1305"/>
      <c r="F451" s="1305"/>
      <c r="G451" s="716"/>
      <c r="H451" s="101"/>
      <c r="I451" s="101">
        <v>186000</v>
      </c>
      <c r="J451" s="101">
        <v>186000</v>
      </c>
      <c r="K451" s="102">
        <v>186000</v>
      </c>
      <c r="L451" s="10"/>
    </row>
    <row r="452" spans="1:12" s="146" customFormat="1" ht="18" x14ac:dyDescent="0.25">
      <c r="A452" s="1305" t="s">
        <v>2019</v>
      </c>
      <c r="B452" s="1305" t="s">
        <v>2025</v>
      </c>
      <c r="C452" s="1318" t="s">
        <v>1662</v>
      </c>
      <c r="D452" s="125"/>
      <c r="E452" s="1305"/>
      <c r="F452" s="1305"/>
      <c r="G452" s="716"/>
      <c r="H452" s="101"/>
      <c r="I452" s="101">
        <v>110000</v>
      </c>
      <c r="J452" s="101">
        <v>110000</v>
      </c>
      <c r="K452" s="102">
        <v>110000</v>
      </c>
      <c r="L452" s="10"/>
    </row>
    <row r="453" spans="1:12" s="146" customFormat="1" ht="18" customHeight="1" x14ac:dyDescent="0.25">
      <c r="A453" s="1305" t="s">
        <v>2019</v>
      </c>
      <c r="B453" s="1305" t="s">
        <v>2025</v>
      </c>
      <c r="C453" s="1330" t="s">
        <v>1663</v>
      </c>
      <c r="D453" s="1330"/>
      <c r="E453" s="1305"/>
      <c r="F453" s="1305"/>
      <c r="G453" s="716"/>
      <c r="H453" s="101"/>
      <c r="I453" s="101">
        <v>100000</v>
      </c>
      <c r="J453" s="101">
        <v>100000</v>
      </c>
      <c r="K453" s="102">
        <v>100000</v>
      </c>
      <c r="L453" s="10"/>
    </row>
    <row r="454" spans="1:12" s="146" customFormat="1" ht="18" customHeight="1" x14ac:dyDescent="0.25">
      <c r="A454" s="1305" t="s">
        <v>2019</v>
      </c>
      <c r="B454" s="1305" t="s">
        <v>2025</v>
      </c>
      <c r="C454" s="1318" t="s">
        <v>1664</v>
      </c>
      <c r="D454" s="125"/>
      <c r="E454" s="1305"/>
      <c r="F454" s="1305"/>
      <c r="G454" s="716"/>
      <c r="H454" s="101"/>
      <c r="I454" s="101">
        <v>2000000</v>
      </c>
      <c r="J454" s="101">
        <v>2000000</v>
      </c>
      <c r="K454" s="102">
        <v>2500000</v>
      </c>
      <c r="L454" s="10"/>
    </row>
    <row r="455" spans="1:12" s="146" customFormat="1" ht="18" x14ac:dyDescent="0.25">
      <c r="A455" s="1305" t="s">
        <v>2019</v>
      </c>
      <c r="B455" s="1305" t="s">
        <v>2025</v>
      </c>
      <c r="C455" s="1318" t="s">
        <v>1665</v>
      </c>
      <c r="D455" s="44"/>
      <c r="E455" s="1308"/>
      <c r="F455" s="1308"/>
      <c r="G455" s="1335"/>
      <c r="H455" s="102"/>
      <c r="I455" s="102">
        <v>500000</v>
      </c>
      <c r="J455" s="102">
        <v>500000</v>
      </c>
      <c r="K455" s="102">
        <v>500000</v>
      </c>
      <c r="L455" s="10"/>
    </row>
    <row r="456" spans="1:12" s="146" customFormat="1" ht="18" customHeight="1" x14ac:dyDescent="0.25">
      <c r="A456" s="1305" t="s">
        <v>2019</v>
      </c>
      <c r="B456" s="1305" t="s">
        <v>2025</v>
      </c>
      <c r="C456" s="206" t="s">
        <v>1666</v>
      </c>
      <c r="D456" s="206"/>
      <c r="E456" s="206"/>
      <c r="F456" s="206"/>
      <c r="G456" s="1335"/>
      <c r="H456" s="102"/>
      <c r="I456" s="102">
        <v>450000</v>
      </c>
      <c r="J456" s="102">
        <v>450000</v>
      </c>
      <c r="K456" s="102">
        <v>450000</v>
      </c>
      <c r="L456" s="10"/>
    </row>
    <row r="457" spans="1:12" s="146" customFormat="1" ht="18" customHeight="1" x14ac:dyDescent="0.25">
      <c r="A457" s="1305" t="s">
        <v>2019</v>
      </c>
      <c r="B457" s="1305" t="s">
        <v>2025</v>
      </c>
      <c r="C457" s="1318" t="s">
        <v>1667</v>
      </c>
      <c r="D457" s="44"/>
      <c r="E457" s="1308"/>
      <c r="F457" s="1308"/>
      <c r="G457" s="1335"/>
      <c r="H457" s="102"/>
      <c r="I457" s="102">
        <v>50000</v>
      </c>
      <c r="J457" s="102">
        <v>50000</v>
      </c>
      <c r="K457" s="102">
        <v>50000</v>
      </c>
      <c r="L457" s="10"/>
    </row>
    <row r="458" spans="1:12" s="146" customFormat="1" ht="18" customHeight="1" x14ac:dyDescent="0.25">
      <c r="A458" s="1305" t="s">
        <v>2019</v>
      </c>
      <c r="B458" s="1305" t="s">
        <v>2025</v>
      </c>
      <c r="C458" s="1318" t="s">
        <v>1668</v>
      </c>
      <c r="D458" s="125"/>
      <c r="E458" s="1305"/>
      <c r="F458" s="1305"/>
      <c r="G458" s="716"/>
      <c r="H458" s="101"/>
      <c r="I458" s="101">
        <v>200000</v>
      </c>
      <c r="J458" s="101">
        <v>200000</v>
      </c>
      <c r="K458" s="102">
        <v>200000</v>
      </c>
      <c r="L458" s="10"/>
    </row>
    <row r="459" spans="1:12" s="146" customFormat="1" ht="18" customHeight="1" x14ac:dyDescent="0.25">
      <c r="A459" s="1305" t="s">
        <v>2019</v>
      </c>
      <c r="B459" s="1305" t="s">
        <v>2025</v>
      </c>
      <c r="C459" s="1318" t="s">
        <v>1669</v>
      </c>
      <c r="D459" s="125"/>
      <c r="E459" s="1305"/>
      <c r="F459" s="1305"/>
      <c r="G459" s="716"/>
      <c r="H459" s="101"/>
      <c r="I459" s="101">
        <v>200000</v>
      </c>
      <c r="J459" s="101">
        <v>200000</v>
      </c>
      <c r="K459" s="102">
        <v>200000</v>
      </c>
      <c r="L459" s="10"/>
    </row>
    <row r="460" spans="1:12" s="146" customFormat="1" ht="18" x14ac:dyDescent="0.25">
      <c r="A460" s="1305" t="s">
        <v>2019</v>
      </c>
      <c r="B460" s="1305" t="s">
        <v>2025</v>
      </c>
      <c r="C460" s="1318" t="s">
        <v>1670</v>
      </c>
      <c r="D460" s="125"/>
      <c r="E460" s="1305"/>
      <c r="F460" s="1305"/>
      <c r="G460" s="716"/>
      <c r="H460" s="101"/>
      <c r="I460" s="101">
        <v>200000</v>
      </c>
      <c r="J460" s="101">
        <v>200000</v>
      </c>
      <c r="K460" s="102">
        <v>200000</v>
      </c>
      <c r="L460" s="10"/>
    </row>
    <row r="461" spans="1:12" s="146" customFormat="1" ht="18" x14ac:dyDescent="0.25">
      <c r="A461" s="1305" t="s">
        <v>2019</v>
      </c>
      <c r="B461" s="1305" t="s">
        <v>2025</v>
      </c>
      <c r="C461" s="1318" t="s">
        <v>1671</v>
      </c>
      <c r="D461" s="125"/>
      <c r="E461" s="1305"/>
      <c r="F461" s="1305"/>
      <c r="G461" s="716"/>
      <c r="H461" s="101"/>
      <c r="I461" s="101">
        <v>100000</v>
      </c>
      <c r="J461" s="101">
        <v>100000</v>
      </c>
      <c r="K461" s="102">
        <v>100000</v>
      </c>
      <c r="L461" s="10"/>
    </row>
    <row r="462" spans="1:12" s="146" customFormat="1" ht="18" x14ac:dyDescent="0.25">
      <c r="A462" s="1305" t="s">
        <v>2019</v>
      </c>
      <c r="B462" s="1305" t="s">
        <v>2025</v>
      </c>
      <c r="C462" s="1318" t="s">
        <v>1672</v>
      </c>
      <c r="D462" s="125"/>
      <c r="E462" s="1305"/>
      <c r="F462" s="1305"/>
      <c r="G462" s="716"/>
      <c r="H462" s="101"/>
      <c r="I462" s="101">
        <v>50000</v>
      </c>
      <c r="J462" s="101">
        <v>50000</v>
      </c>
      <c r="K462" s="102">
        <v>50000</v>
      </c>
      <c r="L462" s="10"/>
    </row>
    <row r="463" spans="1:12" s="146" customFormat="1" ht="18" x14ac:dyDescent="0.25">
      <c r="A463" s="1305" t="s">
        <v>2019</v>
      </c>
      <c r="B463" s="1305" t="s">
        <v>2025</v>
      </c>
      <c r="C463" s="38" t="s">
        <v>1673</v>
      </c>
      <c r="D463" s="199"/>
      <c r="E463" s="1305"/>
      <c r="F463" s="1305"/>
      <c r="G463" s="716"/>
      <c r="H463" s="101"/>
      <c r="I463" s="101">
        <v>500000</v>
      </c>
      <c r="J463" s="101">
        <v>500000</v>
      </c>
      <c r="K463" s="102">
        <v>500000</v>
      </c>
      <c r="L463" s="10"/>
    </row>
    <row r="464" spans="1:12" s="146" customFormat="1" ht="18" x14ac:dyDescent="0.25">
      <c r="A464" s="1305" t="s">
        <v>2019</v>
      </c>
      <c r="B464" s="1305" t="s">
        <v>2025</v>
      </c>
      <c r="C464" s="38" t="s">
        <v>1153</v>
      </c>
      <c r="D464" s="199"/>
      <c r="E464" s="1305"/>
      <c r="F464" s="1305"/>
      <c r="G464" s="716"/>
      <c r="H464" s="101"/>
      <c r="I464" s="101">
        <v>3042000</v>
      </c>
      <c r="J464" s="101">
        <v>3042000</v>
      </c>
      <c r="K464" s="1154">
        <v>4056000</v>
      </c>
      <c r="L464" s="10"/>
    </row>
    <row r="465" spans="1:12" s="146" customFormat="1" ht="18" x14ac:dyDescent="0.25">
      <c r="A465" s="1305" t="s">
        <v>2019</v>
      </c>
      <c r="B465" s="1305" t="s">
        <v>2025</v>
      </c>
      <c r="C465" s="38" t="s">
        <v>1154</v>
      </c>
      <c r="D465" s="199"/>
      <c r="E465" s="1305"/>
      <c r="F465" s="1305"/>
      <c r="G465" s="716"/>
      <c r="H465" s="101"/>
      <c r="I465" s="101">
        <v>424000</v>
      </c>
      <c r="J465" s="101">
        <v>424000</v>
      </c>
      <c r="K465" s="1154">
        <v>540000</v>
      </c>
      <c r="L465" s="10"/>
    </row>
    <row r="466" spans="1:12" s="146" customFormat="1" ht="18" x14ac:dyDescent="0.25">
      <c r="A466" s="1305" t="s">
        <v>2019</v>
      </c>
      <c r="B466" s="1305" t="s">
        <v>2025</v>
      </c>
      <c r="C466" s="38" t="s">
        <v>1674</v>
      </c>
      <c r="D466" s="199"/>
      <c r="E466" s="1305"/>
      <c r="F466" s="1305"/>
      <c r="G466" s="716"/>
      <c r="H466" s="101"/>
      <c r="I466" s="101"/>
      <c r="J466" s="101"/>
      <c r="K466" s="102">
        <v>200000</v>
      </c>
      <c r="L466" s="10"/>
    </row>
    <row r="467" spans="1:12" s="146" customFormat="1" ht="18" x14ac:dyDescent="0.25">
      <c r="A467" s="1305" t="s">
        <v>2019</v>
      </c>
      <c r="B467" s="1305" t="s">
        <v>2025</v>
      </c>
      <c r="C467" s="38" t="s">
        <v>1155</v>
      </c>
      <c r="D467" s="199"/>
      <c r="E467" s="1305"/>
      <c r="F467" s="1305"/>
      <c r="G467" s="716"/>
      <c r="H467" s="101"/>
      <c r="I467" s="105">
        <v>648000</v>
      </c>
      <c r="J467" s="105">
        <v>648000</v>
      </c>
      <c r="K467" s="1257">
        <v>756000</v>
      </c>
      <c r="L467" s="10"/>
    </row>
    <row r="468" spans="1:12" s="194" customFormat="1" ht="18" x14ac:dyDescent="0.25">
      <c r="A468" s="1305" t="s">
        <v>2019</v>
      </c>
      <c r="B468" s="1305" t="s">
        <v>2025</v>
      </c>
      <c r="C468" s="38" t="s">
        <v>1158</v>
      </c>
      <c r="D468" s="1305"/>
      <c r="E468" s="1305"/>
      <c r="F468" s="1305"/>
      <c r="G468" s="716"/>
      <c r="H468" s="101"/>
      <c r="I468" s="105">
        <v>5000000</v>
      </c>
      <c r="J468" s="105">
        <v>5000000</v>
      </c>
      <c r="K468" s="106">
        <v>5000000</v>
      </c>
      <c r="L468" s="10"/>
    </row>
    <row r="469" spans="1:12" s="146" customFormat="1" ht="18" customHeight="1" x14ac:dyDescent="0.25">
      <c r="A469" s="1305" t="s">
        <v>2019</v>
      </c>
      <c r="B469" s="1305" t="s">
        <v>2025</v>
      </c>
      <c r="C469" s="1330" t="s">
        <v>1160</v>
      </c>
      <c r="D469" s="1330"/>
      <c r="E469" s="1305"/>
      <c r="F469" s="1305"/>
      <c r="G469" s="716"/>
      <c r="H469" s="101"/>
      <c r="I469" s="101">
        <v>400000</v>
      </c>
      <c r="J469" s="101">
        <v>400000</v>
      </c>
      <c r="K469" s="102">
        <v>400000</v>
      </c>
      <c r="L469" s="10"/>
    </row>
    <row r="470" spans="1:12" s="146" customFormat="1" ht="18" customHeight="1" x14ac:dyDescent="0.25">
      <c r="A470" s="1305" t="s">
        <v>2019</v>
      </c>
      <c r="B470" s="1305" t="s">
        <v>2025</v>
      </c>
      <c r="C470" s="38" t="s">
        <v>1165</v>
      </c>
      <c r="D470" s="199"/>
      <c r="E470" s="199"/>
      <c r="F470" s="1305"/>
      <c r="G470" s="716"/>
      <c r="H470" s="101"/>
      <c r="I470" s="101"/>
      <c r="J470" s="101"/>
      <c r="K470" s="102"/>
      <c r="L470" s="10"/>
    </row>
    <row r="471" spans="1:12" s="146" customFormat="1" ht="18" customHeight="1" x14ac:dyDescent="0.25">
      <c r="A471" s="1305" t="s">
        <v>2019</v>
      </c>
      <c r="B471" s="1305" t="s">
        <v>2025</v>
      </c>
      <c r="C471" s="38" t="s">
        <v>1677</v>
      </c>
      <c r="D471" s="1311"/>
      <c r="E471" s="199"/>
      <c r="F471" s="1305"/>
      <c r="G471" s="716"/>
      <c r="H471" s="101"/>
      <c r="I471" s="101">
        <v>920392.19</v>
      </c>
      <c r="J471" s="101">
        <v>920392.19</v>
      </c>
      <c r="K471" s="102">
        <v>920392.19</v>
      </c>
      <c r="L471" s="10"/>
    </row>
    <row r="472" spans="1:12" s="146" customFormat="1" ht="18" customHeight="1" x14ac:dyDescent="0.25">
      <c r="A472" s="1305" t="s">
        <v>2019</v>
      </c>
      <c r="B472" s="1305" t="s">
        <v>2025</v>
      </c>
      <c r="C472" s="38" t="s">
        <v>1678</v>
      </c>
      <c r="D472" s="199"/>
      <c r="E472" s="199"/>
      <c r="F472" s="1305"/>
      <c r="G472" s="716"/>
      <c r="H472" s="101"/>
      <c r="I472" s="1180"/>
      <c r="J472" s="1180"/>
      <c r="K472" s="1180"/>
      <c r="L472" s="10"/>
    </row>
    <row r="473" spans="1:12" s="146" customFormat="1" ht="18" customHeight="1" x14ac:dyDescent="0.25">
      <c r="A473" s="1305" t="s">
        <v>2019</v>
      </c>
      <c r="B473" s="1305" t="s">
        <v>2025</v>
      </c>
      <c r="C473" s="38" t="s">
        <v>1679</v>
      </c>
      <c r="D473" s="199"/>
      <c r="E473" s="199"/>
      <c r="F473" s="1305"/>
      <c r="G473" s="716"/>
      <c r="H473" s="102"/>
      <c r="I473" s="102">
        <v>500000</v>
      </c>
      <c r="J473" s="102">
        <v>500000</v>
      </c>
      <c r="K473" s="102">
        <v>500000</v>
      </c>
      <c r="L473" s="10"/>
    </row>
    <row r="474" spans="1:12" s="146" customFormat="1" ht="18" customHeight="1" x14ac:dyDescent="0.25">
      <c r="A474" s="1305" t="s">
        <v>2019</v>
      </c>
      <c r="B474" s="1305" t="s">
        <v>2025</v>
      </c>
      <c r="C474" s="1316" t="s">
        <v>1680</v>
      </c>
      <c r="D474" s="1311"/>
      <c r="E474" s="199"/>
      <c r="F474" s="1305"/>
      <c r="G474" s="716"/>
      <c r="H474" s="101"/>
      <c r="I474" s="101">
        <v>150000</v>
      </c>
      <c r="J474" s="101">
        <v>150000</v>
      </c>
      <c r="K474" s="102">
        <v>150000</v>
      </c>
      <c r="L474" s="10"/>
    </row>
    <row r="475" spans="1:12" s="146" customFormat="1" ht="18" customHeight="1" x14ac:dyDescent="0.25">
      <c r="A475" s="1305" t="s">
        <v>2019</v>
      </c>
      <c r="B475" s="1305" t="s">
        <v>2025</v>
      </c>
      <c r="C475" s="1316" t="s">
        <v>1681</v>
      </c>
      <c r="D475" s="1311"/>
      <c r="E475" s="199"/>
      <c r="F475" s="1305"/>
      <c r="G475" s="716"/>
      <c r="H475" s="101"/>
      <c r="I475" s="101">
        <v>200000</v>
      </c>
      <c r="J475" s="101">
        <v>200000</v>
      </c>
      <c r="K475" s="102">
        <v>200000</v>
      </c>
      <c r="L475" s="10"/>
    </row>
    <row r="476" spans="1:12" s="146" customFormat="1" ht="18" x14ac:dyDescent="0.25">
      <c r="A476" s="1305" t="s">
        <v>2019</v>
      </c>
      <c r="B476" s="1305" t="s">
        <v>2025</v>
      </c>
      <c r="C476" s="38" t="s">
        <v>1682</v>
      </c>
      <c r="D476" s="199"/>
      <c r="E476" s="199"/>
      <c r="F476" s="1305"/>
      <c r="G476" s="716"/>
      <c r="H476" s="101"/>
      <c r="I476" s="101"/>
      <c r="J476" s="101"/>
      <c r="K476" s="102"/>
      <c r="L476" s="10"/>
    </row>
    <row r="477" spans="1:12" s="146" customFormat="1" ht="18" customHeight="1" x14ac:dyDescent="0.25">
      <c r="A477" s="1305" t="s">
        <v>2019</v>
      </c>
      <c r="B477" s="1305" t="s">
        <v>2025</v>
      </c>
      <c r="C477" s="609" t="s">
        <v>1683</v>
      </c>
      <c r="D477" s="1330"/>
      <c r="E477" s="199"/>
      <c r="F477" s="1305"/>
      <c r="G477" s="716"/>
      <c r="H477" s="101"/>
      <c r="I477" s="101">
        <v>500000</v>
      </c>
      <c r="J477" s="101">
        <v>500000</v>
      </c>
      <c r="K477" s="102">
        <v>500000</v>
      </c>
      <c r="L477" s="10"/>
    </row>
    <row r="478" spans="1:12" s="146" customFormat="1" ht="18" x14ac:dyDescent="0.25">
      <c r="A478" s="1305" t="s">
        <v>2019</v>
      </c>
      <c r="B478" s="1305" t="s">
        <v>2025</v>
      </c>
      <c r="C478" s="609" t="s">
        <v>1684</v>
      </c>
      <c r="D478" s="1330"/>
      <c r="E478" s="199"/>
      <c r="F478" s="1305"/>
      <c r="G478" s="716"/>
      <c r="H478" s="101"/>
      <c r="I478" s="101">
        <v>150000</v>
      </c>
      <c r="J478" s="101">
        <v>150000</v>
      </c>
      <c r="K478" s="102">
        <v>150000</v>
      </c>
      <c r="L478" s="10"/>
    </row>
    <row r="479" spans="1:12" s="146" customFormat="1" ht="18" customHeight="1" x14ac:dyDescent="0.25">
      <c r="A479" s="1305" t="s">
        <v>2019</v>
      </c>
      <c r="B479" s="1305" t="s">
        <v>2025</v>
      </c>
      <c r="C479" s="38" t="s">
        <v>1685</v>
      </c>
      <c r="D479" s="199"/>
      <c r="E479" s="199"/>
      <c r="F479" s="1305"/>
      <c r="G479" s="716"/>
      <c r="H479" s="101"/>
      <c r="I479" s="101">
        <v>200000</v>
      </c>
      <c r="J479" s="101">
        <v>200000</v>
      </c>
      <c r="K479" s="102">
        <v>200000</v>
      </c>
      <c r="L479" s="10"/>
    </row>
    <row r="480" spans="1:12" s="146" customFormat="1" ht="18" customHeight="1" x14ac:dyDescent="0.25">
      <c r="A480" s="1305" t="s">
        <v>2019</v>
      </c>
      <c r="B480" s="1305" t="s">
        <v>2025</v>
      </c>
      <c r="C480" s="38" t="s">
        <v>1686</v>
      </c>
      <c r="D480" s="38"/>
      <c r="E480" s="38"/>
      <c r="F480" s="1308"/>
      <c r="G480" s="1335"/>
      <c r="H480" s="102"/>
      <c r="I480" s="102"/>
      <c r="J480" s="102"/>
      <c r="K480" s="102">
        <v>1200000</v>
      </c>
      <c r="L480" s="10"/>
    </row>
    <row r="481" spans="1:12" s="146" customFormat="1" ht="18" customHeight="1" x14ac:dyDescent="0.25">
      <c r="A481" s="1305" t="s">
        <v>2019</v>
      </c>
      <c r="B481" s="1305" t="s">
        <v>2025</v>
      </c>
      <c r="C481" s="428" t="s">
        <v>1687</v>
      </c>
      <c r="D481" s="428"/>
      <c r="E481" s="199"/>
      <c r="F481" s="1305"/>
      <c r="G481" s="716"/>
      <c r="H481" s="101"/>
      <c r="I481" s="101">
        <v>100000</v>
      </c>
      <c r="J481" s="101">
        <v>100000</v>
      </c>
      <c r="K481" s="102">
        <v>100000</v>
      </c>
      <c r="L481" s="10"/>
    </row>
    <row r="482" spans="1:12" s="146" customFormat="1" ht="18" customHeight="1" x14ac:dyDescent="0.25">
      <c r="A482" s="1305" t="s">
        <v>2019</v>
      </c>
      <c r="B482" s="1305" t="s">
        <v>2025</v>
      </c>
      <c r="C482" s="1313" t="s">
        <v>1188</v>
      </c>
      <c r="D482" s="1315"/>
      <c r="E482" s="427"/>
      <c r="F482" s="1307"/>
      <c r="G482" s="1177"/>
      <c r="H482" s="101"/>
      <c r="I482" s="101">
        <v>270000</v>
      </c>
      <c r="J482" s="101">
        <v>270000</v>
      </c>
      <c r="K482" s="102">
        <v>270000</v>
      </c>
      <c r="L482" s="10"/>
    </row>
    <row r="483" spans="1:12" s="146" customFormat="1" ht="18" x14ac:dyDescent="0.25">
      <c r="A483" s="1305" t="s">
        <v>2019</v>
      </c>
      <c r="B483" s="1305" t="s">
        <v>2025</v>
      </c>
      <c r="C483" s="1313" t="s">
        <v>1189</v>
      </c>
      <c r="D483" s="1315"/>
      <c r="E483" s="427"/>
      <c r="F483" s="1307"/>
      <c r="G483" s="1177"/>
      <c r="H483" s="101"/>
      <c r="I483" s="101">
        <v>65000</v>
      </c>
      <c r="J483" s="101">
        <v>65000</v>
      </c>
      <c r="K483" s="102">
        <v>65000</v>
      </c>
      <c r="L483" s="10"/>
    </row>
    <row r="484" spans="1:12" s="146" customFormat="1" ht="18" x14ac:dyDescent="0.25">
      <c r="A484" s="1305" t="s">
        <v>2019</v>
      </c>
      <c r="B484" s="1305" t="s">
        <v>2025</v>
      </c>
      <c r="C484" s="1313" t="s">
        <v>1688</v>
      </c>
      <c r="D484" s="1315"/>
      <c r="E484" s="427"/>
      <c r="F484" s="1307"/>
      <c r="G484" s="1177"/>
      <c r="H484" s="101"/>
      <c r="I484" s="101">
        <v>60000</v>
      </c>
      <c r="J484" s="101">
        <v>60000</v>
      </c>
      <c r="K484" s="102">
        <v>60000</v>
      </c>
      <c r="L484" s="10"/>
    </row>
    <row r="485" spans="1:12" s="146" customFormat="1" ht="18" x14ac:dyDescent="0.25">
      <c r="A485" s="1305" t="s">
        <v>2019</v>
      </c>
      <c r="B485" s="1305" t="s">
        <v>2025</v>
      </c>
      <c r="C485" s="1313" t="s">
        <v>1190</v>
      </c>
      <c r="D485" s="1315"/>
      <c r="E485" s="427"/>
      <c r="F485" s="1307"/>
      <c r="G485" s="1177"/>
      <c r="H485" s="105"/>
      <c r="I485" s="105"/>
      <c r="J485" s="105"/>
      <c r="K485" s="106"/>
      <c r="L485" s="10"/>
    </row>
    <row r="486" spans="1:12" s="146" customFormat="1" ht="18" customHeight="1" x14ac:dyDescent="0.25">
      <c r="A486" s="1305" t="s">
        <v>2019</v>
      </c>
      <c r="B486" s="1305" t="s">
        <v>2025</v>
      </c>
      <c r="C486" s="428" t="s">
        <v>1191</v>
      </c>
      <c r="D486" s="428"/>
      <c r="E486" s="427"/>
      <c r="F486" s="1307"/>
      <c r="G486" s="1177"/>
      <c r="H486" s="101"/>
      <c r="I486" s="101">
        <v>700000</v>
      </c>
      <c r="J486" s="101">
        <v>700000</v>
      </c>
      <c r="K486" s="102">
        <v>700000</v>
      </c>
      <c r="L486" s="10"/>
    </row>
    <row r="487" spans="1:12" s="146" customFormat="1" ht="18" customHeight="1" x14ac:dyDescent="0.25">
      <c r="A487" s="1305" t="s">
        <v>2019</v>
      </c>
      <c r="B487" s="1305" t="s">
        <v>2025</v>
      </c>
      <c r="C487" s="180" t="s">
        <v>1689</v>
      </c>
      <c r="D487" s="1317"/>
      <c r="E487" s="1312"/>
      <c r="F487" s="1312"/>
      <c r="G487" s="1338"/>
      <c r="H487" s="102"/>
      <c r="I487" s="102">
        <v>1500000</v>
      </c>
      <c r="J487" s="102">
        <v>1500000</v>
      </c>
      <c r="K487" s="102">
        <v>1500000</v>
      </c>
      <c r="L487" s="10"/>
    </row>
    <row r="488" spans="1:12" s="146" customFormat="1" ht="18" customHeight="1" x14ac:dyDescent="0.25">
      <c r="A488" s="1305" t="s">
        <v>2019</v>
      </c>
      <c r="B488" s="1305" t="s">
        <v>2025</v>
      </c>
      <c r="C488" s="427" t="s">
        <v>1690</v>
      </c>
      <c r="D488" s="428"/>
      <c r="E488" s="1315"/>
      <c r="F488" s="1307"/>
      <c r="G488" s="1177"/>
      <c r="H488" s="101"/>
      <c r="I488" s="101">
        <v>200000</v>
      </c>
      <c r="J488" s="101">
        <v>200000</v>
      </c>
      <c r="K488" s="102">
        <v>200000</v>
      </c>
      <c r="L488" s="10"/>
    </row>
    <row r="489" spans="1:12" s="146" customFormat="1" ht="18" customHeight="1" x14ac:dyDescent="0.25">
      <c r="A489" s="1305" t="s">
        <v>2019</v>
      </c>
      <c r="B489" s="1305" t="s">
        <v>2025</v>
      </c>
      <c r="C489" s="428" t="s">
        <v>1691</v>
      </c>
      <c r="D489" s="428"/>
      <c r="E489" s="1315"/>
      <c r="F489" s="1307"/>
      <c r="G489" s="1177"/>
      <c r="H489" s="101"/>
      <c r="I489" s="101"/>
      <c r="J489" s="101"/>
      <c r="K489" s="102"/>
      <c r="L489" s="10"/>
    </row>
    <row r="490" spans="1:12" s="146" customFormat="1" ht="18" x14ac:dyDescent="0.25">
      <c r="A490" s="1305" t="s">
        <v>2019</v>
      </c>
      <c r="B490" s="1305" t="s">
        <v>2025</v>
      </c>
      <c r="C490" s="1313" t="s">
        <v>1692</v>
      </c>
      <c r="D490" s="1315"/>
      <c r="E490" s="1315"/>
      <c r="F490" s="1307"/>
      <c r="G490" s="1177"/>
      <c r="H490" s="101"/>
      <c r="I490" s="101">
        <v>3000000</v>
      </c>
      <c r="J490" s="101">
        <v>3000000</v>
      </c>
      <c r="K490" s="102">
        <v>3000000</v>
      </c>
      <c r="L490" s="10"/>
    </row>
    <row r="491" spans="1:12" s="146" customFormat="1" ht="18" customHeight="1" x14ac:dyDescent="0.25">
      <c r="A491" s="1305" t="s">
        <v>2019</v>
      </c>
      <c r="B491" s="1305" t="s">
        <v>2025</v>
      </c>
      <c r="C491" s="1317" t="s">
        <v>1693</v>
      </c>
      <c r="D491" s="1317"/>
      <c r="E491" s="1315"/>
      <c r="F491" s="1307"/>
      <c r="G491" s="1177"/>
      <c r="H491" s="101"/>
      <c r="I491" s="101">
        <v>100000</v>
      </c>
      <c r="J491" s="101">
        <v>100000</v>
      </c>
      <c r="K491" s="102">
        <v>100000</v>
      </c>
      <c r="L491" s="10"/>
    </row>
    <row r="492" spans="1:12" s="146" customFormat="1" ht="18" customHeight="1" x14ac:dyDescent="0.25">
      <c r="A492" s="1305" t="s">
        <v>2019</v>
      </c>
      <c r="B492" s="1305" t="s">
        <v>2025</v>
      </c>
      <c r="C492" s="1313" t="s">
        <v>1694</v>
      </c>
      <c r="D492" s="1315"/>
      <c r="E492" s="1315"/>
      <c r="F492" s="1307"/>
      <c r="G492" s="1177"/>
      <c r="H492" s="101"/>
      <c r="I492" s="101">
        <v>80314</v>
      </c>
      <c r="J492" s="101">
        <v>80314</v>
      </c>
      <c r="K492" s="102"/>
      <c r="L492" s="10"/>
    </row>
    <row r="493" spans="1:12" s="146" customFormat="1" ht="18" customHeight="1" x14ac:dyDescent="0.25">
      <c r="A493" s="1305" t="s">
        <v>2019</v>
      </c>
      <c r="B493" s="1305" t="s">
        <v>2025</v>
      </c>
      <c r="C493" s="174" t="s">
        <v>1197</v>
      </c>
      <c r="D493" s="174"/>
      <c r="E493" s="1315"/>
      <c r="F493" s="1307"/>
      <c r="G493" s="1177"/>
      <c r="H493" s="101"/>
      <c r="I493" s="101">
        <v>10000</v>
      </c>
      <c r="J493" s="101">
        <v>10000</v>
      </c>
      <c r="K493" s="102">
        <v>10000</v>
      </c>
      <c r="L493" s="10"/>
    </row>
    <row r="494" spans="1:12" s="146" customFormat="1" ht="18" customHeight="1" x14ac:dyDescent="0.25">
      <c r="A494" s="1305" t="s">
        <v>2019</v>
      </c>
      <c r="B494" s="1305" t="s">
        <v>2025</v>
      </c>
      <c r="C494" s="1319" t="s">
        <v>1204</v>
      </c>
      <c r="D494" s="1319"/>
      <c r="E494" s="1314"/>
      <c r="F494" s="400"/>
      <c r="G494" s="716"/>
      <c r="H494" s="101"/>
      <c r="I494" s="101"/>
      <c r="J494" s="101"/>
      <c r="K494" s="102"/>
      <c r="L494" s="10"/>
    </row>
    <row r="495" spans="1:12" s="146" customFormat="1" ht="18" customHeight="1" x14ac:dyDescent="0.25">
      <c r="A495" s="1305" t="s">
        <v>2019</v>
      </c>
      <c r="B495" s="1305" t="s">
        <v>2025</v>
      </c>
      <c r="C495" s="1310" t="s">
        <v>1205</v>
      </c>
      <c r="D495" s="1314"/>
      <c r="E495" s="1314"/>
      <c r="F495" s="400"/>
      <c r="G495" s="716"/>
      <c r="H495" s="102"/>
      <c r="I495" s="102">
        <v>50000</v>
      </c>
      <c r="J495" s="102">
        <v>50000</v>
      </c>
      <c r="K495" s="102">
        <v>50000</v>
      </c>
      <c r="L495" s="10"/>
    </row>
    <row r="496" spans="1:12" s="146" customFormat="1" ht="18" x14ac:dyDescent="0.25">
      <c r="A496" s="1305" t="s">
        <v>2019</v>
      </c>
      <c r="B496" s="1305" t="s">
        <v>2025</v>
      </c>
      <c r="C496" s="1310" t="s">
        <v>1206</v>
      </c>
      <c r="D496" s="1314"/>
      <c r="E496" s="1314"/>
      <c r="F496" s="400"/>
      <c r="G496" s="716"/>
      <c r="H496" s="102"/>
      <c r="I496" s="102">
        <v>50000</v>
      </c>
      <c r="J496" s="102">
        <v>50000</v>
      </c>
      <c r="K496" s="102">
        <v>50000</v>
      </c>
      <c r="L496" s="10"/>
    </row>
    <row r="497" spans="1:12" s="146" customFormat="1" ht="18" customHeight="1" x14ac:dyDescent="0.25">
      <c r="A497" s="1305" t="s">
        <v>2019</v>
      </c>
      <c r="B497" s="1305" t="s">
        <v>2025</v>
      </c>
      <c r="C497" s="1310" t="s">
        <v>1207</v>
      </c>
      <c r="D497" s="1314"/>
      <c r="E497" s="1314"/>
      <c r="F497" s="400"/>
      <c r="G497" s="716"/>
      <c r="H497" s="102"/>
      <c r="I497" s="102">
        <v>50000</v>
      </c>
      <c r="J497" s="102">
        <v>50000</v>
      </c>
      <c r="K497" s="102">
        <v>50000</v>
      </c>
      <c r="L497" s="10"/>
    </row>
    <row r="498" spans="1:12" s="146" customFormat="1" ht="18" x14ac:dyDescent="0.25">
      <c r="A498" s="1305" t="s">
        <v>2019</v>
      </c>
      <c r="B498" s="1305" t="s">
        <v>2025</v>
      </c>
      <c r="C498" s="1310" t="s">
        <v>1208</v>
      </c>
      <c r="D498" s="1314"/>
      <c r="E498" s="1314"/>
      <c r="F498" s="400"/>
      <c r="G498" s="716"/>
      <c r="H498" s="102"/>
      <c r="I498" s="102">
        <v>54968</v>
      </c>
      <c r="J498" s="102">
        <v>54968</v>
      </c>
      <c r="K498" s="102">
        <v>54968</v>
      </c>
      <c r="L498" s="10"/>
    </row>
    <row r="499" spans="1:12" s="146" customFormat="1" ht="18" x14ac:dyDescent="0.25">
      <c r="A499" s="1306" t="s">
        <v>2019</v>
      </c>
      <c r="B499" s="1305" t="s">
        <v>2025</v>
      </c>
      <c r="C499" s="1310" t="s">
        <v>1209</v>
      </c>
      <c r="D499" s="1314"/>
      <c r="E499" s="1314"/>
      <c r="F499" s="400"/>
      <c r="G499" s="716"/>
      <c r="H499" s="102"/>
      <c r="I499" s="102">
        <v>38159</v>
      </c>
      <c r="J499" s="102">
        <v>38159</v>
      </c>
      <c r="K499" s="102">
        <v>38159</v>
      </c>
      <c r="L499" s="10"/>
    </row>
    <row r="500" spans="1:12" s="146" customFormat="1" ht="18" customHeight="1" x14ac:dyDescent="0.25">
      <c r="A500" s="1306" t="s">
        <v>2019</v>
      </c>
      <c r="B500" s="1305" t="s">
        <v>2025</v>
      </c>
      <c r="C500" s="1310" t="s">
        <v>1210</v>
      </c>
      <c r="D500" s="1314"/>
      <c r="E500" s="1314"/>
      <c r="F500" s="400"/>
      <c r="G500" s="716"/>
      <c r="H500" s="102"/>
      <c r="I500" s="102">
        <v>50000</v>
      </c>
      <c r="J500" s="102">
        <v>50000</v>
      </c>
      <c r="K500" s="102">
        <v>50000</v>
      </c>
      <c r="L500" s="10"/>
    </row>
    <row r="501" spans="1:12" s="146" customFormat="1" ht="18" customHeight="1" x14ac:dyDescent="0.25">
      <c r="A501" s="1306" t="s">
        <v>2019</v>
      </c>
      <c r="B501" s="1305" t="s">
        <v>2025</v>
      </c>
      <c r="C501" s="1310" t="s">
        <v>1211</v>
      </c>
      <c r="D501" s="1314"/>
      <c r="E501" s="1314"/>
      <c r="F501" s="400"/>
      <c r="G501" s="716"/>
      <c r="H501" s="102"/>
      <c r="I501" s="102">
        <v>96000</v>
      </c>
      <c r="J501" s="102">
        <v>96000</v>
      </c>
      <c r="K501" s="102">
        <v>96000</v>
      </c>
      <c r="L501" s="10"/>
    </row>
    <row r="502" spans="1:12" s="146" customFormat="1" ht="18" customHeight="1" x14ac:dyDescent="0.25">
      <c r="A502" s="1306" t="s">
        <v>2019</v>
      </c>
      <c r="B502" s="1305" t="s">
        <v>2025</v>
      </c>
      <c r="C502" s="1317" t="s">
        <v>1695</v>
      </c>
      <c r="D502" s="1317"/>
      <c r="E502" s="1314"/>
      <c r="F502" s="400"/>
      <c r="G502" s="716"/>
      <c r="H502" s="102"/>
      <c r="I502" s="102">
        <v>500000</v>
      </c>
      <c r="J502" s="102">
        <v>500000</v>
      </c>
      <c r="K502" s="102">
        <v>500000</v>
      </c>
      <c r="L502" s="10"/>
    </row>
    <row r="503" spans="1:12" s="146" customFormat="1" ht="18" customHeight="1" x14ac:dyDescent="0.25">
      <c r="A503" s="1306" t="s">
        <v>2019</v>
      </c>
      <c r="B503" s="1305" t="s">
        <v>2025</v>
      </c>
      <c r="C503" s="1310" t="s">
        <v>1216</v>
      </c>
      <c r="D503" s="1314"/>
      <c r="E503" s="1314"/>
      <c r="F503" s="400"/>
      <c r="G503" s="716"/>
      <c r="H503" s="101"/>
      <c r="I503" s="101">
        <v>100000</v>
      </c>
      <c r="J503" s="101">
        <v>100000</v>
      </c>
      <c r="K503" s="102">
        <v>100000</v>
      </c>
      <c r="L503" s="10"/>
    </row>
    <row r="504" spans="1:12" s="146" customFormat="1" ht="18" customHeight="1" x14ac:dyDescent="0.25">
      <c r="A504" s="1306" t="s">
        <v>2019</v>
      </c>
      <c r="B504" s="1305" t="s">
        <v>2025</v>
      </c>
      <c r="C504" s="1319" t="s">
        <v>1217</v>
      </c>
      <c r="D504" s="1319"/>
      <c r="E504" s="1314"/>
      <c r="F504" s="400"/>
      <c r="G504" s="716"/>
      <c r="H504" s="101"/>
      <c r="I504" s="101">
        <v>700000</v>
      </c>
      <c r="J504" s="101">
        <v>700000</v>
      </c>
      <c r="K504" s="102">
        <v>700000</v>
      </c>
      <c r="L504" s="10"/>
    </row>
    <row r="505" spans="1:12" s="146" customFormat="1" ht="18" customHeight="1" x14ac:dyDescent="0.25">
      <c r="A505" s="1306" t="s">
        <v>2019</v>
      </c>
      <c r="B505" s="1305" t="s">
        <v>2025</v>
      </c>
      <c r="C505" s="1310" t="s">
        <v>1218</v>
      </c>
      <c r="D505" s="1314"/>
      <c r="E505" s="1314"/>
      <c r="F505" s="400"/>
      <c r="G505" s="716"/>
      <c r="H505" s="101"/>
      <c r="I505" s="101">
        <v>10000</v>
      </c>
      <c r="J505" s="101">
        <v>10000</v>
      </c>
      <c r="K505" s="102">
        <v>10000</v>
      </c>
      <c r="L505" s="10"/>
    </row>
    <row r="506" spans="1:12" s="146" customFormat="1" ht="18" x14ac:dyDescent="0.25">
      <c r="A506" s="1306" t="s">
        <v>2019</v>
      </c>
      <c r="B506" s="1305" t="s">
        <v>2025</v>
      </c>
      <c r="C506" s="402" t="s">
        <v>1219</v>
      </c>
      <c r="D506" s="1319"/>
      <c r="E506" s="1314"/>
      <c r="F506" s="400"/>
      <c r="G506" s="716"/>
      <c r="H506" s="101"/>
      <c r="I506" s="101">
        <v>300000</v>
      </c>
      <c r="J506" s="101">
        <v>300000</v>
      </c>
      <c r="K506" s="102">
        <v>300000</v>
      </c>
      <c r="L506" s="10"/>
    </row>
    <row r="507" spans="1:12" s="146" customFormat="1" ht="18" x14ac:dyDescent="0.25">
      <c r="A507" s="1305" t="s">
        <v>2019</v>
      </c>
      <c r="B507" s="1305" t="s">
        <v>2025</v>
      </c>
      <c r="C507" s="427" t="s">
        <v>1696</v>
      </c>
      <c r="D507" s="427"/>
      <c r="E507" s="1314"/>
      <c r="F507" s="400"/>
      <c r="G507" s="716"/>
      <c r="H507" s="101"/>
      <c r="I507" s="101">
        <v>50000</v>
      </c>
      <c r="J507" s="101">
        <v>50000</v>
      </c>
      <c r="K507" s="102">
        <v>50000</v>
      </c>
      <c r="L507" s="10"/>
    </row>
    <row r="508" spans="1:12" s="146" customFormat="1" ht="18" x14ac:dyDescent="0.25">
      <c r="A508" s="1305" t="s">
        <v>2019</v>
      </c>
      <c r="B508" s="1305" t="s">
        <v>2025</v>
      </c>
      <c r="C508" s="1310" t="s">
        <v>1220</v>
      </c>
      <c r="D508" s="1314"/>
      <c r="E508" s="1314"/>
      <c r="F508" s="400"/>
      <c r="G508" s="716"/>
      <c r="H508" s="102"/>
      <c r="I508" s="102">
        <v>600000</v>
      </c>
      <c r="J508" s="102">
        <v>600000</v>
      </c>
      <c r="K508" s="102">
        <v>600000</v>
      </c>
      <c r="L508" s="10"/>
    </row>
    <row r="509" spans="1:12" s="146" customFormat="1" ht="18" x14ac:dyDescent="0.25">
      <c r="A509" s="1305" t="s">
        <v>2019</v>
      </c>
      <c r="B509" s="1305" t="s">
        <v>2025</v>
      </c>
      <c r="C509" s="1310" t="s">
        <v>1698</v>
      </c>
      <c r="D509" s="1308"/>
      <c r="E509" s="1308"/>
      <c r="F509" s="1185"/>
      <c r="G509" s="1335"/>
      <c r="H509" s="102"/>
      <c r="I509" s="102">
        <v>100000</v>
      </c>
      <c r="J509" s="102">
        <v>100000</v>
      </c>
      <c r="K509" s="102">
        <v>100000</v>
      </c>
      <c r="L509" s="10"/>
    </row>
    <row r="510" spans="1:12" s="146" customFormat="1" ht="18" x14ac:dyDescent="0.25">
      <c r="A510" s="1305" t="s">
        <v>2019</v>
      </c>
      <c r="B510" s="1305" t="s">
        <v>2025</v>
      </c>
      <c r="C510" s="1310" t="s">
        <v>1221</v>
      </c>
      <c r="D510" s="1314"/>
      <c r="E510" s="1314"/>
      <c r="F510" s="400"/>
      <c r="G510" s="716"/>
      <c r="H510" s="101"/>
      <c r="I510" s="101">
        <v>25000</v>
      </c>
      <c r="J510" s="101">
        <v>25000</v>
      </c>
      <c r="K510" s="102">
        <v>25000</v>
      </c>
      <c r="L510" s="10"/>
    </row>
    <row r="511" spans="1:12" s="146" customFormat="1" ht="18" x14ac:dyDescent="0.25">
      <c r="A511" s="1305" t="s">
        <v>2019</v>
      </c>
      <c r="B511" s="1305" t="s">
        <v>2025</v>
      </c>
      <c r="C511" s="1310" t="s">
        <v>1222</v>
      </c>
      <c r="D511" s="1314"/>
      <c r="E511" s="1314"/>
      <c r="F511" s="400"/>
      <c r="G511" s="716"/>
      <c r="H511" s="101"/>
      <c r="I511" s="101">
        <v>250000</v>
      </c>
      <c r="J511" s="101">
        <v>250000</v>
      </c>
      <c r="K511" s="102">
        <v>250000</v>
      </c>
      <c r="L511" s="10"/>
    </row>
    <row r="512" spans="1:12" s="146" customFormat="1" ht="18" x14ac:dyDescent="0.25">
      <c r="A512" s="1305" t="s">
        <v>2019</v>
      </c>
      <c r="B512" s="1305" t="s">
        <v>2025</v>
      </c>
      <c r="C512" s="1310" t="s">
        <v>1699</v>
      </c>
      <c r="D512" s="1314"/>
      <c r="E512" s="1314"/>
      <c r="F512" s="400"/>
      <c r="G512" s="716"/>
      <c r="H512" s="101"/>
      <c r="I512" s="101">
        <v>1000000</v>
      </c>
      <c r="J512" s="101">
        <v>1000000</v>
      </c>
      <c r="K512" s="102">
        <v>1000000</v>
      </c>
      <c r="L512" s="10"/>
    </row>
    <row r="513" spans="1:12" s="146" customFormat="1" ht="18" x14ac:dyDescent="0.25">
      <c r="A513" s="1305" t="s">
        <v>2019</v>
      </c>
      <c r="B513" s="1305" t="s">
        <v>2025</v>
      </c>
      <c r="C513" s="1310" t="s">
        <v>1223</v>
      </c>
      <c r="D513" s="1314"/>
      <c r="E513" s="1314"/>
      <c r="F513" s="400"/>
      <c r="G513" s="716"/>
      <c r="H513" s="102"/>
      <c r="I513" s="102">
        <v>200000</v>
      </c>
      <c r="J513" s="102">
        <v>200000</v>
      </c>
      <c r="K513" s="102">
        <v>200000</v>
      </c>
      <c r="L513" s="10"/>
    </row>
    <row r="514" spans="1:12" s="146" customFormat="1" ht="18" x14ac:dyDescent="0.25">
      <c r="A514" s="1305" t="s">
        <v>2019</v>
      </c>
      <c r="B514" s="1305" t="s">
        <v>2025</v>
      </c>
      <c r="C514" s="1310" t="s">
        <v>1225</v>
      </c>
      <c r="D514" s="1314"/>
      <c r="E514" s="1314"/>
      <c r="F514" s="400"/>
      <c r="G514" s="716"/>
      <c r="H514" s="101"/>
      <c r="I514" s="101">
        <v>50000</v>
      </c>
      <c r="J514" s="101">
        <v>50000</v>
      </c>
      <c r="K514" s="102">
        <v>50000</v>
      </c>
      <c r="L514" s="10"/>
    </row>
    <row r="515" spans="1:12" s="146" customFormat="1" ht="18" x14ac:dyDescent="0.25">
      <c r="A515" s="1306" t="s">
        <v>2019</v>
      </c>
      <c r="B515" s="1305" t="s">
        <v>2025</v>
      </c>
      <c r="C515" s="206" t="s">
        <v>1700</v>
      </c>
      <c r="D515" s="1321"/>
      <c r="E515" s="400"/>
      <c r="F515" s="400"/>
      <c r="G515" s="716"/>
      <c r="H515" s="101"/>
      <c r="I515" s="101"/>
      <c r="J515" s="101"/>
      <c r="K515" s="102">
        <v>360000</v>
      </c>
      <c r="L515" s="10"/>
    </row>
    <row r="516" spans="1:12" s="146" customFormat="1" ht="17.45" customHeight="1" x14ac:dyDescent="0.25">
      <c r="A516" s="1305" t="s">
        <v>2024</v>
      </c>
      <c r="B516" s="1305" t="s">
        <v>2025</v>
      </c>
      <c r="C516" s="38" t="s">
        <v>1563</v>
      </c>
      <c r="D516" s="303"/>
      <c r="E516" s="199"/>
      <c r="F516" s="184"/>
      <c r="G516" s="716"/>
      <c r="H516" s="101"/>
      <c r="I516" s="101">
        <v>2127240</v>
      </c>
      <c r="J516" s="101">
        <v>2127240</v>
      </c>
      <c r="K516" s="102">
        <v>1228986</v>
      </c>
      <c r="L516" s="10"/>
    </row>
    <row r="517" spans="1:12" s="146" customFormat="1" ht="17.45" customHeight="1" x14ac:dyDescent="0.25">
      <c r="A517" s="1305" t="s">
        <v>2024</v>
      </c>
      <c r="B517" s="1305" t="s">
        <v>2025</v>
      </c>
      <c r="C517" s="1318" t="s">
        <v>1564</v>
      </c>
      <c r="D517" s="303"/>
      <c r="E517" s="303"/>
      <c r="F517" s="393"/>
      <c r="G517" s="716"/>
      <c r="H517" s="101"/>
      <c r="I517" s="101">
        <v>75000</v>
      </c>
      <c r="J517" s="101">
        <v>75000</v>
      </c>
      <c r="K517" s="102">
        <v>100000</v>
      </c>
      <c r="L517" s="10"/>
    </row>
    <row r="518" spans="1:12" s="146" customFormat="1" ht="17.45" customHeight="1" x14ac:dyDescent="0.25">
      <c r="A518" s="1305" t="s">
        <v>2024</v>
      </c>
      <c r="B518" s="1305" t="s">
        <v>2025</v>
      </c>
      <c r="C518" s="38" t="s">
        <v>1565</v>
      </c>
      <c r="D518" s="303"/>
      <c r="E518" s="303"/>
      <c r="F518" s="393"/>
      <c r="G518" s="716"/>
      <c r="H518" s="101"/>
      <c r="I518" s="101">
        <v>50000</v>
      </c>
      <c r="J518" s="101">
        <v>50000</v>
      </c>
      <c r="K518" s="102">
        <v>100000</v>
      </c>
      <c r="L518" s="10"/>
    </row>
    <row r="519" spans="1:12" s="146" customFormat="1" ht="17.45" customHeight="1" x14ac:dyDescent="0.25">
      <c r="A519" s="1305" t="s">
        <v>2024</v>
      </c>
      <c r="B519" s="1305" t="s">
        <v>2025</v>
      </c>
      <c r="C519" s="38" t="s">
        <v>1566</v>
      </c>
      <c r="D519" s="303"/>
      <c r="E519" s="303"/>
      <c r="F519" s="393"/>
      <c r="G519" s="716"/>
      <c r="H519" s="101"/>
      <c r="I519" s="101">
        <v>792000</v>
      </c>
      <c r="J519" s="101">
        <v>792000</v>
      </c>
      <c r="K519" s="102">
        <v>792000</v>
      </c>
      <c r="L519" s="10">
        <f>SUM(K431:K519)</f>
        <v>39223505.189999998</v>
      </c>
    </row>
    <row r="520" spans="1:12" s="146" customFormat="1" ht="17.45" customHeight="1" x14ac:dyDescent="0.25">
      <c r="A520" s="1305"/>
      <c r="B520" s="1305"/>
      <c r="C520" s="38"/>
      <c r="D520" s="303"/>
      <c r="E520" s="303"/>
      <c r="F520" s="393"/>
      <c r="G520" s="716"/>
      <c r="H520" s="101"/>
      <c r="I520" s="101"/>
      <c r="J520" s="101"/>
      <c r="K520" s="102"/>
      <c r="L520" s="10"/>
    </row>
    <row r="521" spans="1:12" s="146" customFormat="1" ht="17.45" customHeight="1" x14ac:dyDescent="0.25">
      <c r="A521" s="1305" t="s">
        <v>123</v>
      </c>
      <c r="B521" s="1305" t="s">
        <v>1388</v>
      </c>
      <c r="C521" s="125" t="s">
        <v>143</v>
      </c>
      <c r="D521" s="113"/>
      <c r="E521" s="113"/>
      <c r="F521" s="113"/>
      <c r="G521" s="143" t="s">
        <v>144</v>
      </c>
      <c r="H521" s="101"/>
      <c r="I521" s="101">
        <v>25000</v>
      </c>
      <c r="J521" s="101">
        <v>25000</v>
      </c>
      <c r="K521" s="102">
        <v>25000</v>
      </c>
      <c r="L521" s="10"/>
    </row>
    <row r="522" spans="1:12" s="146" customFormat="1" ht="17.45" customHeight="1" x14ac:dyDescent="0.25">
      <c r="A522" s="1305" t="s">
        <v>123</v>
      </c>
      <c r="B522" s="1305" t="s">
        <v>1388</v>
      </c>
      <c r="C522" s="125" t="s">
        <v>143</v>
      </c>
      <c r="D522" s="113"/>
      <c r="E522" s="113"/>
      <c r="F522" s="113"/>
      <c r="G522" s="143" t="s">
        <v>144</v>
      </c>
      <c r="H522" s="101"/>
      <c r="I522" s="101">
        <v>15000</v>
      </c>
      <c r="J522" s="101">
        <v>15000</v>
      </c>
      <c r="K522" s="102">
        <v>15000</v>
      </c>
      <c r="L522" s="10"/>
    </row>
    <row r="523" spans="1:12" s="146" customFormat="1" ht="17.45" customHeight="1" x14ac:dyDescent="0.25">
      <c r="A523" s="1305" t="s">
        <v>123</v>
      </c>
      <c r="B523" s="1305" t="s">
        <v>1388</v>
      </c>
      <c r="C523" s="125" t="s">
        <v>143</v>
      </c>
      <c r="D523" s="113"/>
      <c r="E523" s="113"/>
      <c r="F523" s="113"/>
      <c r="G523" s="143" t="s">
        <v>144</v>
      </c>
      <c r="H523" s="101"/>
      <c r="I523" s="101">
        <v>150000</v>
      </c>
      <c r="J523" s="101">
        <v>150000</v>
      </c>
      <c r="K523" s="102">
        <v>150000</v>
      </c>
      <c r="L523" s="10"/>
    </row>
    <row r="524" spans="1:12" s="146" customFormat="1" ht="17.45" customHeight="1" x14ac:dyDescent="0.25">
      <c r="A524" s="1305" t="s">
        <v>123</v>
      </c>
      <c r="B524" s="1305" t="s">
        <v>1388</v>
      </c>
      <c r="C524" s="125" t="s">
        <v>143</v>
      </c>
      <c r="D524" s="113"/>
      <c r="E524" s="113"/>
      <c r="F524" s="113"/>
      <c r="G524" s="143" t="s">
        <v>144</v>
      </c>
      <c r="H524" s="101"/>
      <c r="I524" s="101">
        <v>15000</v>
      </c>
      <c r="J524" s="101">
        <v>15000</v>
      </c>
      <c r="K524" s="102">
        <v>15000</v>
      </c>
      <c r="L524" s="10"/>
    </row>
    <row r="525" spans="1:12" s="146" customFormat="1" ht="17.45" customHeight="1" x14ac:dyDescent="0.25">
      <c r="A525" s="1305" t="s">
        <v>123</v>
      </c>
      <c r="B525" s="1305" t="s">
        <v>1388</v>
      </c>
      <c r="C525" s="125" t="s">
        <v>143</v>
      </c>
      <c r="D525" s="113"/>
      <c r="E525" s="113"/>
      <c r="F525" s="113"/>
      <c r="G525" s="143" t="s">
        <v>144</v>
      </c>
      <c r="H525" s="101"/>
      <c r="I525" s="101">
        <v>270000</v>
      </c>
      <c r="J525" s="101">
        <v>270000</v>
      </c>
      <c r="K525" s="102">
        <v>270000</v>
      </c>
      <c r="L525" s="10"/>
    </row>
    <row r="526" spans="1:12" s="146" customFormat="1" ht="17.45" customHeight="1" x14ac:dyDescent="0.25">
      <c r="A526" s="1305" t="s">
        <v>123</v>
      </c>
      <c r="B526" s="1305" t="s">
        <v>1388</v>
      </c>
      <c r="C526" s="125" t="s">
        <v>143</v>
      </c>
      <c r="D526" s="113"/>
      <c r="E526" s="113"/>
      <c r="F526" s="113"/>
      <c r="G526" s="143" t="s">
        <v>144</v>
      </c>
      <c r="H526" s="101"/>
      <c r="I526" s="101">
        <v>30000</v>
      </c>
      <c r="J526" s="101">
        <v>30000</v>
      </c>
      <c r="K526" s="102">
        <v>30000</v>
      </c>
      <c r="L526" s="10"/>
    </row>
    <row r="527" spans="1:12" s="146" customFormat="1" ht="17.45" customHeight="1" x14ac:dyDescent="0.25">
      <c r="A527" s="1305" t="s">
        <v>123</v>
      </c>
      <c r="B527" s="1305" t="s">
        <v>1388</v>
      </c>
      <c r="C527" s="125" t="s">
        <v>143</v>
      </c>
      <c r="D527" s="113"/>
      <c r="E527" s="113"/>
      <c r="F527" s="113"/>
      <c r="G527" s="716" t="s">
        <v>144</v>
      </c>
      <c r="H527" s="101"/>
      <c r="I527" s="101">
        <v>120000</v>
      </c>
      <c r="J527" s="101">
        <v>120000</v>
      </c>
      <c r="K527" s="102">
        <v>120000</v>
      </c>
      <c r="L527" s="10"/>
    </row>
    <row r="528" spans="1:12" s="146" customFormat="1" ht="17.45" customHeight="1" x14ac:dyDescent="0.25">
      <c r="A528" s="1305" t="s">
        <v>123</v>
      </c>
      <c r="B528" s="1305" t="s">
        <v>1388</v>
      </c>
      <c r="C528" s="125" t="s">
        <v>143</v>
      </c>
      <c r="D528" s="113"/>
      <c r="E528" s="113"/>
      <c r="F528" s="113"/>
      <c r="G528" s="716" t="s">
        <v>144</v>
      </c>
      <c r="H528" s="101"/>
      <c r="I528" s="101">
        <v>60000</v>
      </c>
      <c r="J528" s="101">
        <v>60000</v>
      </c>
      <c r="K528" s="102">
        <v>60000</v>
      </c>
      <c r="L528" s="10"/>
    </row>
    <row r="529" spans="1:12" s="146" customFormat="1" ht="17.45" customHeight="1" x14ac:dyDescent="0.25">
      <c r="A529" s="1305" t="s">
        <v>123</v>
      </c>
      <c r="B529" s="1305" t="s">
        <v>1388</v>
      </c>
      <c r="C529" s="125" t="s">
        <v>143</v>
      </c>
      <c r="D529" s="113"/>
      <c r="E529" s="113"/>
      <c r="F529" s="113"/>
      <c r="G529" s="716" t="s">
        <v>144</v>
      </c>
      <c r="H529" s="101"/>
      <c r="I529" s="101">
        <v>90000</v>
      </c>
      <c r="J529" s="101">
        <v>90000</v>
      </c>
      <c r="K529" s="102">
        <v>90000</v>
      </c>
      <c r="L529" s="10">
        <f>SUM(K521:K529)</f>
        <v>775000</v>
      </c>
    </row>
    <row r="530" spans="1:12" s="146" customFormat="1" ht="17.45" customHeight="1" x14ac:dyDescent="0.25">
      <c r="A530" s="1305" t="s">
        <v>123</v>
      </c>
      <c r="B530" s="1305" t="s">
        <v>1388</v>
      </c>
      <c r="C530" s="125" t="s">
        <v>137</v>
      </c>
      <c r="D530" s="113"/>
      <c r="E530" s="113"/>
      <c r="F530" s="113"/>
      <c r="G530" s="143" t="s">
        <v>138</v>
      </c>
      <c r="H530" s="101"/>
      <c r="I530" s="101">
        <v>30000</v>
      </c>
      <c r="J530" s="101">
        <v>30000</v>
      </c>
      <c r="K530" s="102">
        <v>30000</v>
      </c>
      <c r="L530" s="10"/>
    </row>
    <row r="531" spans="1:12" s="146" customFormat="1" ht="17.45" customHeight="1" x14ac:dyDescent="0.25">
      <c r="A531" s="1305" t="s">
        <v>123</v>
      </c>
      <c r="B531" s="1305" t="s">
        <v>1388</v>
      </c>
      <c r="C531" s="125" t="s">
        <v>137</v>
      </c>
      <c r="D531" s="113"/>
      <c r="E531" s="113"/>
      <c r="F531" s="113"/>
      <c r="G531" s="143" t="s">
        <v>138</v>
      </c>
      <c r="H531" s="101"/>
      <c r="I531" s="101">
        <v>18000</v>
      </c>
      <c r="J531" s="101">
        <v>18000</v>
      </c>
      <c r="K531" s="102">
        <v>18000</v>
      </c>
      <c r="L531" s="10"/>
    </row>
    <row r="532" spans="1:12" s="146" customFormat="1" ht="17.45" customHeight="1" x14ac:dyDescent="0.25">
      <c r="A532" s="1305" t="s">
        <v>123</v>
      </c>
      <c r="B532" s="1305" t="s">
        <v>1388</v>
      </c>
      <c r="C532" s="125" t="s">
        <v>137</v>
      </c>
      <c r="D532" s="113"/>
      <c r="E532" s="113"/>
      <c r="F532" s="113"/>
      <c r="G532" s="143" t="s">
        <v>138</v>
      </c>
      <c r="H532" s="101"/>
      <c r="I532" s="101">
        <v>180000</v>
      </c>
      <c r="J532" s="101">
        <v>180000</v>
      </c>
      <c r="K532" s="102">
        <v>180000</v>
      </c>
      <c r="L532" s="10"/>
    </row>
    <row r="533" spans="1:12" s="146" customFormat="1" ht="17.45" customHeight="1" x14ac:dyDescent="0.25">
      <c r="A533" s="1305" t="s">
        <v>123</v>
      </c>
      <c r="B533" s="1305" t="s">
        <v>1388</v>
      </c>
      <c r="C533" s="125" t="s">
        <v>137</v>
      </c>
      <c r="D533" s="113"/>
      <c r="E533" s="113"/>
      <c r="F533" s="113"/>
      <c r="G533" s="143" t="s">
        <v>138</v>
      </c>
      <c r="H533" s="101"/>
      <c r="I533" s="101">
        <v>18000</v>
      </c>
      <c r="J533" s="101">
        <v>18000</v>
      </c>
      <c r="K533" s="102">
        <v>18000</v>
      </c>
      <c r="L533" s="10"/>
    </row>
    <row r="534" spans="1:12" s="146" customFormat="1" ht="17.45" customHeight="1" x14ac:dyDescent="0.25">
      <c r="A534" s="1305" t="s">
        <v>123</v>
      </c>
      <c r="B534" s="1305" t="s">
        <v>1388</v>
      </c>
      <c r="C534" s="125" t="s">
        <v>137</v>
      </c>
      <c r="D534" s="113"/>
      <c r="E534" s="113"/>
      <c r="F534" s="113"/>
      <c r="G534" s="143" t="s">
        <v>138</v>
      </c>
      <c r="H534" s="101"/>
      <c r="I534" s="101">
        <v>324000</v>
      </c>
      <c r="J534" s="101">
        <v>324000</v>
      </c>
      <c r="K534" s="102">
        <v>324000</v>
      </c>
      <c r="L534" s="10"/>
    </row>
    <row r="535" spans="1:12" ht="17.45" customHeight="1" x14ac:dyDescent="0.25">
      <c r="A535" s="1305" t="s">
        <v>123</v>
      </c>
      <c r="B535" s="1305" t="s">
        <v>1388</v>
      </c>
      <c r="C535" s="125" t="s">
        <v>137</v>
      </c>
      <c r="D535" s="113"/>
      <c r="E535" s="113"/>
      <c r="F535" s="113"/>
      <c r="G535" s="143" t="s">
        <v>138</v>
      </c>
      <c r="H535" s="101"/>
      <c r="I535" s="101">
        <v>36000</v>
      </c>
      <c r="J535" s="101">
        <v>36000</v>
      </c>
      <c r="K535" s="102">
        <v>36000</v>
      </c>
    </row>
    <row r="536" spans="1:12" s="146" customFormat="1" ht="17.45" customHeight="1" x14ac:dyDescent="0.25">
      <c r="A536" s="1305" t="s">
        <v>123</v>
      </c>
      <c r="B536" s="1305" t="s">
        <v>1388</v>
      </c>
      <c r="C536" s="125" t="s">
        <v>137</v>
      </c>
      <c r="D536" s="113"/>
      <c r="E536" s="113"/>
      <c r="F536" s="113"/>
      <c r="G536" s="716" t="s">
        <v>138</v>
      </c>
      <c r="H536" s="101"/>
      <c r="I536" s="101">
        <v>144000</v>
      </c>
      <c r="J536" s="101">
        <v>144000</v>
      </c>
      <c r="K536" s="102">
        <v>144000</v>
      </c>
      <c r="L536" s="10"/>
    </row>
    <row r="537" spans="1:12" s="146" customFormat="1" ht="17.45" customHeight="1" x14ac:dyDescent="0.25">
      <c r="A537" s="1305" t="s">
        <v>123</v>
      </c>
      <c r="B537" s="1305" t="s">
        <v>1388</v>
      </c>
      <c r="C537" s="125" t="s">
        <v>137</v>
      </c>
      <c r="D537" s="113"/>
      <c r="E537" s="113"/>
      <c r="F537" s="113"/>
      <c r="G537" s="716" t="s">
        <v>138</v>
      </c>
      <c r="H537" s="101"/>
      <c r="I537" s="101">
        <v>72000</v>
      </c>
      <c r="J537" s="101">
        <v>72000</v>
      </c>
      <c r="K537" s="102">
        <v>72000</v>
      </c>
      <c r="L537" s="10"/>
    </row>
    <row r="538" spans="1:12" s="146" customFormat="1" ht="17.45" customHeight="1" x14ac:dyDescent="0.25">
      <c r="A538" s="1305" t="s">
        <v>123</v>
      </c>
      <c r="B538" s="1305" t="s">
        <v>1388</v>
      </c>
      <c r="C538" s="125" t="s">
        <v>137</v>
      </c>
      <c r="D538" s="113"/>
      <c r="E538" s="113"/>
      <c r="F538" s="113"/>
      <c r="G538" s="716" t="s">
        <v>138</v>
      </c>
      <c r="H538" s="101"/>
      <c r="I538" s="101">
        <v>108000</v>
      </c>
      <c r="J538" s="101">
        <v>108000</v>
      </c>
      <c r="K538" s="102">
        <v>108000</v>
      </c>
      <c r="L538" s="10">
        <f>SUM(K530:K538)</f>
        <v>930000</v>
      </c>
    </row>
    <row r="539" spans="1:12" ht="17.45" customHeight="1" x14ac:dyDescent="0.25">
      <c r="A539" s="1305" t="s">
        <v>123</v>
      </c>
      <c r="B539" s="1305" t="s">
        <v>1388</v>
      </c>
      <c r="C539" s="125" t="s">
        <v>1546</v>
      </c>
      <c r="D539" s="113"/>
      <c r="E539" s="113"/>
      <c r="F539" s="113"/>
      <c r="G539" s="143" t="s">
        <v>160</v>
      </c>
      <c r="H539" s="101"/>
      <c r="I539" s="101">
        <v>6000</v>
      </c>
      <c r="J539" s="101">
        <v>6000</v>
      </c>
      <c r="K539" s="102">
        <v>6000</v>
      </c>
    </row>
    <row r="540" spans="1:12" s="146" customFormat="1" ht="18" customHeight="1" x14ac:dyDescent="0.25">
      <c r="A540" s="1305" t="s">
        <v>123</v>
      </c>
      <c r="B540" s="1305" t="s">
        <v>1388</v>
      </c>
      <c r="C540" s="125" t="s">
        <v>1546</v>
      </c>
      <c r="D540" s="113"/>
      <c r="E540" s="113"/>
      <c r="F540" s="113"/>
      <c r="G540" s="143" t="s">
        <v>160</v>
      </c>
      <c r="H540" s="101"/>
      <c r="I540" s="101">
        <v>3600</v>
      </c>
      <c r="J540" s="101">
        <v>3600</v>
      </c>
      <c r="K540" s="102">
        <v>3600</v>
      </c>
      <c r="L540" s="10"/>
    </row>
    <row r="541" spans="1:12" s="203" customFormat="1" ht="18" x14ac:dyDescent="0.25">
      <c r="A541" s="1305" t="s">
        <v>123</v>
      </c>
      <c r="B541" s="1305" t="s">
        <v>1388</v>
      </c>
      <c r="C541" s="125" t="s">
        <v>1546</v>
      </c>
      <c r="D541" s="113"/>
      <c r="E541" s="113"/>
      <c r="F541" s="113"/>
      <c r="G541" s="143" t="s">
        <v>160</v>
      </c>
      <c r="H541" s="101"/>
      <c r="I541" s="101">
        <v>36000</v>
      </c>
      <c r="J541" s="101">
        <v>36000</v>
      </c>
      <c r="K541" s="102">
        <v>36000</v>
      </c>
      <c r="L541" s="10"/>
    </row>
    <row r="542" spans="1:12" s="48" customFormat="1" ht="18" customHeight="1" x14ac:dyDescent="0.25">
      <c r="A542" s="1305" t="s">
        <v>123</v>
      </c>
      <c r="B542" s="1305" t="s">
        <v>1388</v>
      </c>
      <c r="C542" s="125" t="s">
        <v>1546</v>
      </c>
      <c r="D542" s="113"/>
      <c r="E542" s="113"/>
      <c r="F542" s="113"/>
      <c r="G542" s="143" t="s">
        <v>160</v>
      </c>
      <c r="H542" s="101"/>
      <c r="I542" s="101">
        <v>3600</v>
      </c>
      <c r="J542" s="101">
        <v>3600</v>
      </c>
      <c r="K542" s="102">
        <v>3600</v>
      </c>
      <c r="L542" s="6"/>
    </row>
    <row r="543" spans="1:12" s="48" customFormat="1" ht="18" customHeight="1" x14ac:dyDescent="0.25">
      <c r="A543" s="1305" t="s">
        <v>123</v>
      </c>
      <c r="B543" s="1305" t="s">
        <v>1388</v>
      </c>
      <c r="C543" s="125" t="s">
        <v>1546</v>
      </c>
      <c r="D543" s="113"/>
      <c r="E543" s="113"/>
      <c r="F543" s="113"/>
      <c r="G543" s="143" t="s">
        <v>160</v>
      </c>
      <c r="H543" s="101"/>
      <c r="I543" s="101">
        <v>64800</v>
      </c>
      <c r="J543" s="101">
        <v>64800</v>
      </c>
      <c r="K543" s="102">
        <v>64800</v>
      </c>
      <c r="L543" s="6"/>
    </row>
    <row r="544" spans="1:12" s="48" customFormat="1" ht="18" customHeight="1" x14ac:dyDescent="0.25">
      <c r="A544" s="1305" t="s">
        <v>123</v>
      </c>
      <c r="B544" s="1305" t="s">
        <v>1388</v>
      </c>
      <c r="C544" s="125" t="s">
        <v>1546</v>
      </c>
      <c r="D544" s="113"/>
      <c r="E544" s="113"/>
      <c r="F544" s="113"/>
      <c r="G544" s="143" t="s">
        <v>160</v>
      </c>
      <c r="H544" s="101"/>
      <c r="I544" s="101">
        <v>7200</v>
      </c>
      <c r="J544" s="101">
        <v>7200</v>
      </c>
      <c r="K544" s="102">
        <v>7200</v>
      </c>
      <c r="L544" s="6"/>
    </row>
    <row r="545" spans="1:12" s="48" customFormat="1" ht="18" customHeight="1" x14ac:dyDescent="0.25">
      <c r="A545" s="1305" t="s">
        <v>123</v>
      </c>
      <c r="B545" s="1305" t="s">
        <v>1388</v>
      </c>
      <c r="C545" s="125" t="s">
        <v>1546</v>
      </c>
      <c r="D545" s="113"/>
      <c r="E545" s="113"/>
      <c r="F545" s="113"/>
      <c r="G545" s="716" t="s">
        <v>160</v>
      </c>
      <c r="H545" s="101"/>
      <c r="I545" s="101">
        <v>28800</v>
      </c>
      <c r="J545" s="101">
        <v>28800</v>
      </c>
      <c r="K545" s="102">
        <v>28800</v>
      </c>
      <c r="L545" s="6"/>
    </row>
    <row r="546" spans="1:12" s="48" customFormat="1" ht="18" customHeight="1" x14ac:dyDescent="0.25">
      <c r="A546" s="1305" t="s">
        <v>123</v>
      </c>
      <c r="B546" s="1305" t="s">
        <v>1388</v>
      </c>
      <c r="C546" s="125" t="s">
        <v>1546</v>
      </c>
      <c r="D546" s="113"/>
      <c r="E546" s="113"/>
      <c r="F546" s="113"/>
      <c r="G546" s="716" t="s">
        <v>160</v>
      </c>
      <c r="H546" s="101"/>
      <c r="I546" s="101">
        <v>14400</v>
      </c>
      <c r="J546" s="101">
        <v>14400</v>
      </c>
      <c r="K546" s="102">
        <v>14400</v>
      </c>
      <c r="L546" s="6"/>
    </row>
    <row r="547" spans="1:12" s="48" customFormat="1" ht="18" customHeight="1" x14ac:dyDescent="0.25">
      <c r="A547" s="1305" t="s">
        <v>123</v>
      </c>
      <c r="B547" s="1305" t="s">
        <v>1388</v>
      </c>
      <c r="C547" s="125" t="s">
        <v>1546</v>
      </c>
      <c r="D547" s="113"/>
      <c r="E547" s="113"/>
      <c r="F547" s="113"/>
      <c r="G547" s="716" t="s">
        <v>160</v>
      </c>
      <c r="H547" s="101"/>
      <c r="I547" s="101">
        <v>21600</v>
      </c>
      <c r="J547" s="101">
        <v>21600</v>
      </c>
      <c r="K547" s="102">
        <v>21600</v>
      </c>
      <c r="L547" s="6">
        <f>SUM(K539:K547)</f>
        <v>186000</v>
      </c>
    </row>
    <row r="548" spans="1:12" s="48" customFormat="1" ht="18" customHeight="1" x14ac:dyDescent="0.25">
      <c r="A548" s="1305" t="s">
        <v>123</v>
      </c>
      <c r="B548" s="1305" t="s">
        <v>1388</v>
      </c>
      <c r="C548" s="1310" t="s">
        <v>149</v>
      </c>
      <c r="D548" s="1305"/>
      <c r="E548" s="1305"/>
      <c r="F548" s="1305"/>
      <c r="G548" s="716" t="s">
        <v>150</v>
      </c>
      <c r="H548" s="101"/>
      <c r="I548" s="1156">
        <v>146931</v>
      </c>
      <c r="J548" s="1156">
        <v>146931</v>
      </c>
      <c r="K548" s="102">
        <v>141078</v>
      </c>
      <c r="L548" s="6"/>
    </row>
    <row r="549" spans="1:12" s="48" customFormat="1" ht="18" customHeight="1" x14ac:dyDescent="0.25">
      <c r="A549" s="1305" t="s">
        <v>123</v>
      </c>
      <c r="B549" s="1305" t="s">
        <v>1388</v>
      </c>
      <c r="C549" s="125" t="s">
        <v>211</v>
      </c>
      <c r="D549" s="113"/>
      <c r="E549" s="1305"/>
      <c r="F549" s="1305"/>
      <c r="G549" s="716" t="s">
        <v>212</v>
      </c>
      <c r="H549" s="101"/>
      <c r="I549" s="101">
        <v>5400</v>
      </c>
      <c r="J549" s="101">
        <v>5400</v>
      </c>
      <c r="K549" s="102">
        <v>5400</v>
      </c>
      <c r="L549" s="6"/>
    </row>
    <row r="550" spans="1:12" s="48" customFormat="1" ht="18" customHeight="1" x14ac:dyDescent="0.25">
      <c r="A550" s="1305" t="s">
        <v>123</v>
      </c>
      <c r="B550" s="1305" t="s">
        <v>1388</v>
      </c>
      <c r="C550" s="125" t="s">
        <v>1568</v>
      </c>
      <c r="D550" s="113"/>
      <c r="E550" s="113"/>
      <c r="F550" s="113"/>
      <c r="G550" s="143" t="s">
        <v>232</v>
      </c>
      <c r="H550" s="101"/>
      <c r="I550" s="101"/>
      <c r="J550" s="101"/>
      <c r="K550" s="102">
        <v>5000</v>
      </c>
      <c r="L550" s="6"/>
    </row>
    <row r="551" spans="1:12" s="48" customFormat="1" ht="18" customHeight="1" x14ac:dyDescent="0.25">
      <c r="A551" s="1305" t="s">
        <v>123</v>
      </c>
      <c r="B551" s="1305" t="s">
        <v>1388</v>
      </c>
      <c r="C551" s="44" t="s">
        <v>1568</v>
      </c>
      <c r="D551" s="170"/>
      <c r="E551" s="170"/>
      <c r="F551" s="170"/>
      <c r="G551" s="143" t="s">
        <v>232</v>
      </c>
      <c r="H551" s="101"/>
      <c r="I551" s="101"/>
      <c r="J551" s="101"/>
      <c r="K551" s="102">
        <v>15000</v>
      </c>
      <c r="L551" s="6"/>
    </row>
    <row r="552" spans="1:12" s="48" customFormat="1" ht="18" customHeight="1" x14ac:dyDescent="0.25">
      <c r="A552" s="1305" t="s">
        <v>123</v>
      </c>
      <c r="B552" s="1305" t="s">
        <v>1388</v>
      </c>
      <c r="C552" s="1306" t="s">
        <v>1568</v>
      </c>
      <c r="D552" s="1305"/>
      <c r="E552" s="1305"/>
      <c r="F552" s="1305"/>
      <c r="G552" s="1336"/>
      <c r="H552" s="105"/>
      <c r="I552" s="105"/>
      <c r="J552" s="105"/>
      <c r="K552" s="106">
        <v>15000</v>
      </c>
      <c r="L552" s="6"/>
    </row>
    <row r="553" spans="1:12" s="48" customFormat="1" ht="18" customHeight="1" x14ac:dyDescent="0.25">
      <c r="A553" s="1305" t="s">
        <v>123</v>
      </c>
      <c r="B553" s="1305" t="s">
        <v>1388</v>
      </c>
      <c r="C553" s="1310" t="s">
        <v>1568</v>
      </c>
      <c r="D553" s="1305"/>
      <c r="E553" s="1305"/>
      <c r="F553" s="1305"/>
      <c r="G553" s="716" t="s">
        <v>232</v>
      </c>
      <c r="H553" s="101"/>
      <c r="I553" s="101"/>
      <c r="J553" s="101"/>
      <c r="K553" s="102">
        <v>10000</v>
      </c>
      <c r="L553" s="6"/>
    </row>
    <row r="554" spans="1:12" s="48" customFormat="1" ht="18" customHeight="1" x14ac:dyDescent="0.25">
      <c r="A554" s="1305" t="s">
        <v>123</v>
      </c>
      <c r="B554" s="1305" t="s">
        <v>1388</v>
      </c>
      <c r="C554" s="1306" t="s">
        <v>1568</v>
      </c>
      <c r="D554" s="1305"/>
      <c r="E554" s="1305"/>
      <c r="F554" s="1305"/>
      <c r="G554" s="716"/>
      <c r="H554" s="101"/>
      <c r="I554" s="101"/>
      <c r="J554" s="101"/>
      <c r="K554" s="102">
        <v>5000</v>
      </c>
      <c r="L554" s="6">
        <f>SUM(K550:K554)</f>
        <v>50000</v>
      </c>
    </row>
    <row r="555" spans="1:12" s="48" customFormat="1" ht="18" customHeight="1" x14ac:dyDescent="0.25">
      <c r="A555" s="1305" t="s">
        <v>123</v>
      </c>
      <c r="B555" s="1305" t="s">
        <v>1388</v>
      </c>
      <c r="C555" s="125" t="s">
        <v>1284</v>
      </c>
      <c r="D555" s="113"/>
      <c r="E555" s="113"/>
      <c r="F555" s="1305"/>
      <c r="G555" s="716" t="s">
        <v>136</v>
      </c>
      <c r="H555" s="101"/>
      <c r="I555" s="1156">
        <v>160988.1</v>
      </c>
      <c r="J555" s="1156">
        <v>160988.1</v>
      </c>
      <c r="K555" s="102">
        <v>154923.6</v>
      </c>
      <c r="L555" s="6"/>
    </row>
    <row r="556" spans="1:12" s="48" customFormat="1" ht="18" customHeight="1" x14ac:dyDescent="0.25">
      <c r="A556" s="1305" t="s">
        <v>123</v>
      </c>
      <c r="B556" s="1305" t="s">
        <v>1388</v>
      </c>
      <c r="C556" s="125" t="s">
        <v>1541</v>
      </c>
      <c r="D556" s="113"/>
      <c r="E556" s="113"/>
      <c r="F556" s="113"/>
      <c r="G556" s="143" t="s">
        <v>140</v>
      </c>
      <c r="H556" s="101"/>
      <c r="I556" s="101">
        <v>99426</v>
      </c>
      <c r="J556" s="101">
        <v>99426</v>
      </c>
      <c r="K556" s="102">
        <v>95427</v>
      </c>
      <c r="L556" s="6"/>
    </row>
    <row r="557" spans="1:12" s="48" customFormat="1" ht="18" customHeight="1" x14ac:dyDescent="0.25">
      <c r="A557" s="1305" t="s">
        <v>123</v>
      </c>
      <c r="B557" s="1305" t="s">
        <v>1388</v>
      </c>
      <c r="C557" s="125" t="s">
        <v>1541</v>
      </c>
      <c r="D557" s="113"/>
      <c r="E557" s="113"/>
      <c r="F557" s="113"/>
      <c r="G557" s="143" t="s">
        <v>140</v>
      </c>
      <c r="H557" s="101"/>
      <c r="I557" s="101">
        <v>63591</v>
      </c>
      <c r="J557" s="101">
        <v>63591</v>
      </c>
      <c r="K557" s="102">
        <v>60650</v>
      </c>
      <c r="L557" s="6"/>
    </row>
    <row r="558" spans="1:12" s="48" customFormat="1" ht="18" customHeight="1" x14ac:dyDescent="0.25">
      <c r="A558" s="1305" t="s">
        <v>123</v>
      </c>
      <c r="B558" s="1305" t="s">
        <v>1388</v>
      </c>
      <c r="C558" s="125" t="s">
        <v>1541</v>
      </c>
      <c r="D558" s="113"/>
      <c r="E558" s="113"/>
      <c r="F558" s="113"/>
      <c r="G558" s="143" t="s">
        <v>140</v>
      </c>
      <c r="H558" s="101"/>
      <c r="I558" s="101">
        <v>633365</v>
      </c>
      <c r="J558" s="101">
        <v>633365</v>
      </c>
      <c r="K558" s="102">
        <v>606885</v>
      </c>
      <c r="L558" s="6"/>
    </row>
    <row r="559" spans="1:12" s="48" customFormat="1" ht="18" customHeight="1" x14ac:dyDescent="0.25">
      <c r="A559" s="1305" t="s">
        <v>123</v>
      </c>
      <c r="B559" s="1305" t="s">
        <v>1388</v>
      </c>
      <c r="C559" s="125" t="s">
        <v>1541</v>
      </c>
      <c r="D559" s="113"/>
      <c r="E559" s="113"/>
      <c r="F559" s="113"/>
      <c r="G559" s="143" t="s">
        <v>140</v>
      </c>
      <c r="H559" s="101"/>
      <c r="I559" s="101">
        <v>113358</v>
      </c>
      <c r="J559" s="101">
        <v>113358</v>
      </c>
      <c r="K559" s="102">
        <v>108053</v>
      </c>
      <c r="L559" s="6"/>
    </row>
    <row r="560" spans="1:12" s="48" customFormat="1" ht="18" customHeight="1" x14ac:dyDescent="0.25">
      <c r="A560" s="1305" t="s">
        <v>123</v>
      </c>
      <c r="B560" s="1305" t="s">
        <v>1388</v>
      </c>
      <c r="C560" s="125" t="s">
        <v>1541</v>
      </c>
      <c r="D560" s="113"/>
      <c r="E560" s="113"/>
      <c r="F560" s="113"/>
      <c r="G560" s="143" t="s">
        <v>140</v>
      </c>
      <c r="H560" s="101"/>
      <c r="I560" s="101">
        <v>907873</v>
      </c>
      <c r="J560" s="101">
        <v>907873</v>
      </c>
      <c r="K560" s="102">
        <v>873279</v>
      </c>
      <c r="L560" s="6"/>
    </row>
    <row r="561" spans="1:13" s="48" customFormat="1" ht="18" customHeight="1" x14ac:dyDescent="0.25">
      <c r="A561" s="1305" t="s">
        <v>123</v>
      </c>
      <c r="B561" s="1305" t="s">
        <v>1388</v>
      </c>
      <c r="C561" s="125" t="s">
        <v>1541</v>
      </c>
      <c r="D561" s="113"/>
      <c r="E561" s="113"/>
      <c r="F561" s="113"/>
      <c r="G561" s="1332" t="s">
        <v>140</v>
      </c>
      <c r="H561" s="105"/>
      <c r="I561" s="105">
        <v>172371</v>
      </c>
      <c r="J561" s="105">
        <v>172371</v>
      </c>
      <c r="K561" s="106">
        <v>166725</v>
      </c>
      <c r="L561" s="6"/>
    </row>
    <row r="562" spans="1:13" ht="18" customHeight="1" x14ac:dyDescent="0.25">
      <c r="A562" s="1305" t="s">
        <v>123</v>
      </c>
      <c r="B562" s="1305" t="s">
        <v>1388</v>
      </c>
      <c r="C562" s="125" t="s">
        <v>1541</v>
      </c>
      <c r="D562" s="113"/>
      <c r="E562" s="113"/>
      <c r="F562" s="113"/>
      <c r="G562" s="716" t="s">
        <v>140</v>
      </c>
      <c r="H562" s="101"/>
      <c r="I562" s="101">
        <v>344282</v>
      </c>
      <c r="J562" s="101">
        <v>344282</v>
      </c>
      <c r="K562" s="102">
        <v>331188</v>
      </c>
      <c r="L562" s="188"/>
    </row>
    <row r="563" spans="1:13" ht="18" customHeight="1" x14ac:dyDescent="0.25">
      <c r="A563" s="1305" t="s">
        <v>123</v>
      </c>
      <c r="B563" s="1305" t="s">
        <v>1388</v>
      </c>
      <c r="C563" s="125" t="s">
        <v>1541</v>
      </c>
      <c r="D563" s="113"/>
      <c r="E563" s="113"/>
      <c r="F563" s="113"/>
      <c r="G563" s="716" t="s">
        <v>140</v>
      </c>
      <c r="H563" s="101"/>
      <c r="I563" s="101">
        <v>160053</v>
      </c>
      <c r="J563" s="101">
        <v>160053</v>
      </c>
      <c r="K563" s="102">
        <v>153894</v>
      </c>
      <c r="L563" s="188"/>
    </row>
    <row r="564" spans="1:13" ht="18" customHeight="1" x14ac:dyDescent="0.25">
      <c r="A564" s="1305" t="s">
        <v>123</v>
      </c>
      <c r="B564" s="1305" t="s">
        <v>1388</v>
      </c>
      <c r="C564" s="125" t="s">
        <v>1541</v>
      </c>
      <c r="D564" s="113"/>
      <c r="E564" s="113"/>
      <c r="F564" s="113"/>
      <c r="G564" s="716" t="s">
        <v>140</v>
      </c>
      <c r="H564" s="101"/>
      <c r="I564" s="101">
        <v>275087</v>
      </c>
      <c r="J564" s="101">
        <v>275087</v>
      </c>
      <c r="K564" s="102">
        <v>264031</v>
      </c>
      <c r="L564" s="188">
        <f>SUM(K556:K564)</f>
        <v>2660132</v>
      </c>
    </row>
    <row r="565" spans="1:13" s="10" customFormat="1" ht="18" customHeight="1" x14ac:dyDescent="0.25">
      <c r="A565" s="1305" t="s">
        <v>123</v>
      </c>
      <c r="B565" s="1305" t="s">
        <v>1388</v>
      </c>
      <c r="C565" s="125" t="s">
        <v>1567</v>
      </c>
      <c r="D565" s="113"/>
      <c r="E565" s="113"/>
      <c r="F565" s="113"/>
      <c r="G565" s="143"/>
      <c r="H565" s="101"/>
      <c r="I565" s="101"/>
      <c r="J565" s="101"/>
      <c r="K565" s="102">
        <v>658221.56000000006</v>
      </c>
      <c r="M565"/>
    </row>
    <row r="566" spans="1:13" s="10" customFormat="1" ht="18" customHeight="1" x14ac:dyDescent="0.25">
      <c r="A566" s="1305" t="s">
        <v>123</v>
      </c>
      <c r="B566" s="1305" t="s">
        <v>1388</v>
      </c>
      <c r="C566" s="125" t="s">
        <v>1543</v>
      </c>
      <c r="D566" s="113"/>
      <c r="E566" s="113"/>
      <c r="F566" s="113"/>
      <c r="G566" s="143" t="s">
        <v>146</v>
      </c>
      <c r="H566" s="105"/>
      <c r="I566" s="105">
        <v>25000</v>
      </c>
      <c r="J566" s="105">
        <v>25000</v>
      </c>
      <c r="K566" s="106">
        <v>25000</v>
      </c>
      <c r="M566"/>
    </row>
    <row r="567" spans="1:13" s="48" customFormat="1" ht="18" customHeight="1" x14ac:dyDescent="0.25">
      <c r="A567" s="1305" t="s">
        <v>123</v>
      </c>
      <c r="B567" s="1305" t="s">
        <v>1388</v>
      </c>
      <c r="C567" s="125" t="s">
        <v>1543</v>
      </c>
      <c r="D567" s="113"/>
      <c r="E567" s="113"/>
      <c r="F567" s="113"/>
      <c r="G567" s="143" t="s">
        <v>146</v>
      </c>
      <c r="H567" s="101"/>
      <c r="I567" s="101">
        <v>15000</v>
      </c>
      <c r="J567" s="101">
        <v>15000</v>
      </c>
      <c r="K567" s="102">
        <v>15000</v>
      </c>
      <c r="L567" s="6"/>
    </row>
    <row r="568" spans="1:13" s="48" customFormat="1" ht="18" customHeight="1" x14ac:dyDescent="0.25">
      <c r="A568" s="1305" t="s">
        <v>123</v>
      </c>
      <c r="B568" s="1305" t="s">
        <v>1388</v>
      </c>
      <c r="C568" s="125" t="s">
        <v>1543</v>
      </c>
      <c r="D568" s="113"/>
      <c r="E568" s="113"/>
      <c r="F568" s="113"/>
      <c r="G568" s="143" t="s">
        <v>146</v>
      </c>
      <c r="H568" s="101"/>
      <c r="I568" s="101">
        <v>150000</v>
      </c>
      <c r="J568" s="101">
        <v>150000</v>
      </c>
      <c r="K568" s="102">
        <v>150000</v>
      </c>
      <c r="L568" s="6"/>
    </row>
    <row r="569" spans="1:13" s="48" customFormat="1" ht="18" customHeight="1" x14ac:dyDescent="0.25">
      <c r="A569" s="1305" t="s">
        <v>123</v>
      </c>
      <c r="B569" s="1305" t="s">
        <v>1388</v>
      </c>
      <c r="C569" s="125" t="s">
        <v>1543</v>
      </c>
      <c r="D569" s="113"/>
      <c r="E569" s="113"/>
      <c r="F569" s="113"/>
      <c r="G569" s="143" t="s">
        <v>146</v>
      </c>
      <c r="H569" s="101"/>
      <c r="I569" s="101">
        <v>15000</v>
      </c>
      <c r="J569" s="101">
        <v>15000</v>
      </c>
      <c r="K569" s="102">
        <v>15000</v>
      </c>
      <c r="L569" s="6"/>
    </row>
    <row r="570" spans="1:13" s="48" customFormat="1" ht="18" customHeight="1" x14ac:dyDescent="0.25">
      <c r="A570" s="1305" t="s">
        <v>123</v>
      </c>
      <c r="B570" s="1305" t="s">
        <v>1388</v>
      </c>
      <c r="C570" s="125" t="s">
        <v>1543</v>
      </c>
      <c r="D570" s="113"/>
      <c r="E570" s="113"/>
      <c r="F570" s="113"/>
      <c r="G570" s="143" t="s">
        <v>146</v>
      </c>
      <c r="H570" s="101"/>
      <c r="I570" s="101">
        <v>270000</v>
      </c>
      <c r="J570" s="101">
        <v>270000</v>
      </c>
      <c r="K570" s="102">
        <v>270000</v>
      </c>
      <c r="L570" s="6"/>
    </row>
    <row r="571" spans="1:13" s="48" customFormat="1" ht="18" customHeight="1" x14ac:dyDescent="0.25">
      <c r="A571" s="1305" t="s">
        <v>123</v>
      </c>
      <c r="B571" s="1305" t="s">
        <v>1388</v>
      </c>
      <c r="C571" s="125" t="s">
        <v>1543</v>
      </c>
      <c r="D571" s="113"/>
      <c r="E571" s="113"/>
      <c r="F571" s="113"/>
      <c r="G571" s="143" t="s">
        <v>146</v>
      </c>
      <c r="H571" s="101"/>
      <c r="I571" s="101">
        <v>30000</v>
      </c>
      <c r="J571" s="101">
        <v>30000</v>
      </c>
      <c r="K571" s="102">
        <v>30000</v>
      </c>
      <c r="L571" s="6"/>
    </row>
    <row r="572" spans="1:13" s="48" customFormat="1" ht="18" customHeight="1" x14ac:dyDescent="0.25">
      <c r="A572" s="1305" t="s">
        <v>123</v>
      </c>
      <c r="B572" s="1305" t="s">
        <v>1388</v>
      </c>
      <c r="C572" s="125" t="s">
        <v>1543</v>
      </c>
      <c r="D572" s="113"/>
      <c r="E572" s="113"/>
      <c r="F572" s="113"/>
      <c r="G572" s="716" t="s">
        <v>146</v>
      </c>
      <c r="H572" s="101"/>
      <c r="I572" s="101">
        <v>120000</v>
      </c>
      <c r="J572" s="101">
        <v>120000</v>
      </c>
      <c r="K572" s="102">
        <v>120000</v>
      </c>
      <c r="L572" s="6"/>
    </row>
    <row r="573" spans="1:13" s="48" customFormat="1" ht="18" customHeight="1" x14ac:dyDescent="0.25">
      <c r="A573" s="1305" t="s">
        <v>123</v>
      </c>
      <c r="B573" s="1305" t="s">
        <v>1388</v>
      </c>
      <c r="C573" s="125" t="s">
        <v>1543</v>
      </c>
      <c r="D573" s="113"/>
      <c r="E573" s="113"/>
      <c r="F573" s="113"/>
      <c r="G573" s="716" t="s">
        <v>146</v>
      </c>
      <c r="H573" s="101"/>
      <c r="I573" s="101">
        <v>60000</v>
      </c>
      <c r="J573" s="101">
        <v>60000</v>
      </c>
      <c r="K573" s="102">
        <v>60000</v>
      </c>
      <c r="L573" s="6"/>
    </row>
    <row r="574" spans="1:13" s="48" customFormat="1" ht="18" customHeight="1" x14ac:dyDescent="0.25">
      <c r="A574" s="1305" t="s">
        <v>123</v>
      </c>
      <c r="B574" s="1305" t="s">
        <v>1388</v>
      </c>
      <c r="C574" s="125" t="s">
        <v>1543</v>
      </c>
      <c r="D574" s="113"/>
      <c r="E574" s="113"/>
      <c r="F574" s="113"/>
      <c r="G574" s="716" t="s">
        <v>146</v>
      </c>
      <c r="H574" s="101"/>
      <c r="I574" s="101">
        <v>90000</v>
      </c>
      <c r="J574" s="101">
        <v>90000</v>
      </c>
      <c r="K574" s="102">
        <v>90000</v>
      </c>
      <c r="L574" s="6">
        <f>SUM(K566:K574)</f>
        <v>775000</v>
      </c>
    </row>
    <row r="575" spans="1:13" s="48" customFormat="1" ht="18" customHeight="1" x14ac:dyDescent="0.25">
      <c r="A575" s="1305" t="s">
        <v>123</v>
      </c>
      <c r="B575" s="1305" t="s">
        <v>1388</v>
      </c>
      <c r="C575" s="125" t="s">
        <v>135</v>
      </c>
      <c r="D575" s="113"/>
      <c r="E575" s="113"/>
      <c r="F575" s="113"/>
      <c r="G575" s="143" t="s">
        <v>136</v>
      </c>
      <c r="H575" s="101"/>
      <c r="I575" s="101">
        <v>116000</v>
      </c>
      <c r="J575" s="101">
        <v>116000</v>
      </c>
      <c r="K575" s="102">
        <v>116000</v>
      </c>
      <c r="L575" s="6"/>
    </row>
    <row r="576" spans="1:13" s="48" customFormat="1" ht="18" customHeight="1" x14ac:dyDescent="0.25">
      <c r="A576" s="1305" t="s">
        <v>123</v>
      </c>
      <c r="B576" s="1305" t="s">
        <v>1388</v>
      </c>
      <c r="C576" s="1310" t="s">
        <v>135</v>
      </c>
      <c r="D576" s="1305"/>
      <c r="E576" s="1305"/>
      <c r="F576" s="1305"/>
      <c r="G576" s="143" t="s">
        <v>136</v>
      </c>
      <c r="H576" s="102"/>
      <c r="I576" s="1154">
        <v>20000</v>
      </c>
      <c r="J576" s="1154">
        <v>20000</v>
      </c>
      <c r="K576" s="102">
        <v>20000</v>
      </c>
      <c r="L576" s="6"/>
    </row>
    <row r="577" spans="1:12" s="48" customFormat="1" ht="18" customHeight="1" x14ac:dyDescent="0.25">
      <c r="A577" s="1305" t="s">
        <v>123</v>
      </c>
      <c r="B577" s="1305" t="s">
        <v>1388</v>
      </c>
      <c r="C577" s="125" t="s">
        <v>135</v>
      </c>
      <c r="D577" s="113"/>
      <c r="E577" s="113"/>
      <c r="F577" s="113"/>
      <c r="G577" s="143" t="s">
        <v>136</v>
      </c>
      <c r="H577" s="102"/>
      <c r="I577" s="102">
        <v>381063.45</v>
      </c>
      <c r="J577" s="102">
        <v>381063.45</v>
      </c>
      <c r="K577" s="102">
        <v>381063.45</v>
      </c>
      <c r="L577" s="6"/>
    </row>
    <row r="578" spans="1:12" s="48" customFormat="1" ht="18" customHeight="1" x14ac:dyDescent="0.25">
      <c r="A578" s="1305" t="s">
        <v>123</v>
      </c>
      <c r="B578" s="1305" t="s">
        <v>1388</v>
      </c>
      <c r="C578" s="125" t="s">
        <v>135</v>
      </c>
      <c r="D578" s="113"/>
      <c r="E578" s="113"/>
      <c r="F578" s="113"/>
      <c r="G578" s="143" t="s">
        <v>136</v>
      </c>
      <c r="H578" s="101"/>
      <c r="I578" s="101">
        <v>41554.69</v>
      </c>
      <c r="J578" s="101">
        <v>41554.69</v>
      </c>
      <c r="K578" s="102">
        <v>41554.69</v>
      </c>
      <c r="L578" s="6"/>
    </row>
    <row r="579" spans="1:12" s="48" customFormat="1" ht="18" customHeight="1" x14ac:dyDescent="0.25">
      <c r="A579" s="1305" t="s">
        <v>123</v>
      </c>
      <c r="B579" s="1305" t="s">
        <v>1388</v>
      </c>
      <c r="C579" s="125" t="s">
        <v>135</v>
      </c>
      <c r="D579" s="113"/>
      <c r="E579" s="113"/>
      <c r="F579" s="113"/>
      <c r="G579" s="143" t="s">
        <v>136</v>
      </c>
      <c r="H579" s="102"/>
      <c r="I579" s="1154">
        <v>372794.2</v>
      </c>
      <c r="J579" s="1154">
        <v>372794.2</v>
      </c>
      <c r="K579" s="102">
        <v>372794.2</v>
      </c>
      <c r="L579" s="6"/>
    </row>
    <row r="580" spans="1:12" s="48" customFormat="1" ht="18" customHeight="1" x14ac:dyDescent="0.25">
      <c r="A580" s="1305" t="s">
        <v>123</v>
      </c>
      <c r="B580" s="1305" t="s">
        <v>1388</v>
      </c>
      <c r="C580" s="125" t="s">
        <v>135</v>
      </c>
      <c r="D580" s="113"/>
      <c r="E580" s="113"/>
      <c r="F580" s="113"/>
      <c r="G580" s="143" t="s">
        <v>136</v>
      </c>
      <c r="H580" s="102"/>
      <c r="I580" s="102">
        <v>70035.53</v>
      </c>
      <c r="J580" s="102">
        <v>70035.53</v>
      </c>
      <c r="K580" s="102">
        <v>70035.53</v>
      </c>
      <c r="L580" s="6"/>
    </row>
    <row r="581" spans="1:12" s="48" customFormat="1" ht="18" customHeight="1" x14ac:dyDescent="0.25">
      <c r="A581" s="1305" t="s">
        <v>123</v>
      </c>
      <c r="B581" s="1305" t="s">
        <v>1388</v>
      </c>
      <c r="C581" s="125" t="s">
        <v>135</v>
      </c>
      <c r="D581" s="113"/>
      <c r="E581" s="113"/>
      <c r="F581" s="113"/>
      <c r="G581" s="716" t="s">
        <v>136</v>
      </c>
      <c r="H581" s="101"/>
      <c r="I581" s="101">
        <v>662351.80000000005</v>
      </c>
      <c r="J581" s="101">
        <v>662351.80000000005</v>
      </c>
      <c r="K581" s="102">
        <v>662351.80000000005</v>
      </c>
      <c r="L581" s="6"/>
    </row>
    <row r="582" spans="1:12" s="48" customFormat="1" ht="18" customHeight="1" x14ac:dyDescent="0.25">
      <c r="A582" s="1305" t="s">
        <v>123</v>
      </c>
      <c r="B582" s="1305" t="s">
        <v>1388</v>
      </c>
      <c r="C582" s="125" t="s">
        <v>135</v>
      </c>
      <c r="D582" s="113"/>
      <c r="E582" s="113"/>
      <c r="F582" s="113"/>
      <c r="G582" s="716" t="s">
        <v>136</v>
      </c>
      <c r="H582" s="101"/>
      <c r="I582" s="101">
        <v>507722.97</v>
      </c>
      <c r="J582" s="101">
        <v>507722.97</v>
      </c>
      <c r="K582" s="102">
        <v>507722.97</v>
      </c>
      <c r="L582" s="6"/>
    </row>
    <row r="583" spans="1:12" s="48" customFormat="1" ht="18" customHeight="1" x14ac:dyDescent="0.25">
      <c r="A583" s="1305" t="s">
        <v>123</v>
      </c>
      <c r="B583" s="1305" t="s">
        <v>1388</v>
      </c>
      <c r="C583" s="125" t="s">
        <v>135</v>
      </c>
      <c r="D583" s="113"/>
      <c r="E583" s="113"/>
      <c r="F583" s="113"/>
      <c r="G583" s="716" t="s">
        <v>136</v>
      </c>
      <c r="H583" s="102"/>
      <c r="I583" s="1154">
        <v>720902.73</v>
      </c>
      <c r="J583" s="1154">
        <v>720902.73</v>
      </c>
      <c r="K583" s="102">
        <v>720902.73</v>
      </c>
      <c r="L583" s="6">
        <f>SUM(K575:K583)</f>
        <v>2892425.37</v>
      </c>
    </row>
    <row r="584" spans="1:12" s="48" customFormat="1" ht="18" customHeight="1" x14ac:dyDescent="0.25">
      <c r="A584" s="1305" t="s">
        <v>123</v>
      </c>
      <c r="B584" s="1305" t="s">
        <v>1388</v>
      </c>
      <c r="C584" s="125" t="s">
        <v>155</v>
      </c>
      <c r="D584" s="113"/>
      <c r="E584" s="113"/>
      <c r="F584" s="113"/>
      <c r="G584" s="143" t="s">
        <v>156</v>
      </c>
      <c r="H584" s="101"/>
      <c r="I584" s="101">
        <v>6000</v>
      </c>
      <c r="J584" s="101">
        <v>6000</v>
      </c>
      <c r="K584" s="102">
        <v>6000</v>
      </c>
      <c r="L584" s="6"/>
    </row>
    <row r="585" spans="1:12" s="48" customFormat="1" ht="18" customHeight="1" x14ac:dyDescent="0.25">
      <c r="A585" s="1305" t="s">
        <v>123</v>
      </c>
      <c r="B585" s="1305" t="s">
        <v>1388</v>
      </c>
      <c r="C585" s="125" t="s">
        <v>155</v>
      </c>
      <c r="D585" s="113"/>
      <c r="E585" s="113"/>
      <c r="F585" s="113"/>
      <c r="G585" s="143" t="s">
        <v>156</v>
      </c>
      <c r="H585" s="101"/>
      <c r="I585" s="101">
        <v>3600</v>
      </c>
      <c r="J585" s="101">
        <v>3600</v>
      </c>
      <c r="K585" s="102">
        <v>3600</v>
      </c>
      <c r="L585" s="6"/>
    </row>
    <row r="586" spans="1:12" s="48" customFormat="1" ht="18" customHeight="1" x14ac:dyDescent="0.25">
      <c r="A586" s="1305" t="s">
        <v>123</v>
      </c>
      <c r="B586" s="1305" t="s">
        <v>1388</v>
      </c>
      <c r="C586" s="125" t="s">
        <v>155</v>
      </c>
      <c r="D586" s="113"/>
      <c r="E586" s="113"/>
      <c r="F586" s="113"/>
      <c r="G586" s="143" t="s">
        <v>156</v>
      </c>
      <c r="H586" s="101"/>
      <c r="I586" s="101">
        <v>36000</v>
      </c>
      <c r="J586" s="101">
        <v>36000</v>
      </c>
      <c r="K586" s="102">
        <v>36000</v>
      </c>
      <c r="L586" s="6"/>
    </row>
    <row r="587" spans="1:12" s="48" customFormat="1" ht="18" customHeight="1" x14ac:dyDescent="0.25">
      <c r="A587" s="1305" t="s">
        <v>123</v>
      </c>
      <c r="B587" s="1305" t="s">
        <v>1388</v>
      </c>
      <c r="C587" s="125" t="s">
        <v>155</v>
      </c>
      <c r="D587" s="113"/>
      <c r="E587" s="113"/>
      <c r="F587" s="113"/>
      <c r="G587" s="143" t="s">
        <v>156</v>
      </c>
      <c r="H587" s="101"/>
      <c r="I587" s="101">
        <v>3600</v>
      </c>
      <c r="J587" s="101">
        <v>3600</v>
      </c>
      <c r="K587" s="102">
        <v>3600</v>
      </c>
      <c r="L587" s="6"/>
    </row>
    <row r="588" spans="1:12" s="48" customFormat="1" ht="18" customHeight="1" x14ac:dyDescent="0.25">
      <c r="A588" s="1305" t="s">
        <v>123</v>
      </c>
      <c r="B588" s="1305" t="s">
        <v>1388</v>
      </c>
      <c r="C588" s="125" t="s">
        <v>155</v>
      </c>
      <c r="D588" s="113"/>
      <c r="E588" s="113"/>
      <c r="F588" s="113"/>
      <c r="G588" s="143" t="s">
        <v>156</v>
      </c>
      <c r="H588" s="101"/>
      <c r="I588" s="101">
        <v>64800</v>
      </c>
      <c r="J588" s="101">
        <v>64800</v>
      </c>
      <c r="K588" s="102">
        <v>64800</v>
      </c>
      <c r="L588" s="6"/>
    </row>
    <row r="589" spans="1:12" s="48" customFormat="1" ht="18" customHeight="1" x14ac:dyDescent="0.25">
      <c r="A589" s="1305" t="s">
        <v>123</v>
      </c>
      <c r="B589" s="1305" t="s">
        <v>1388</v>
      </c>
      <c r="C589" s="125" t="s">
        <v>155</v>
      </c>
      <c r="D589" s="113"/>
      <c r="E589" s="113"/>
      <c r="F589" s="113"/>
      <c r="G589" s="143" t="s">
        <v>156</v>
      </c>
      <c r="H589" s="101"/>
      <c r="I589" s="101">
        <v>7200</v>
      </c>
      <c r="J589" s="101">
        <v>7200</v>
      </c>
      <c r="K589" s="102">
        <v>7200</v>
      </c>
      <c r="L589" s="6"/>
    </row>
    <row r="590" spans="1:12" s="48" customFormat="1" ht="18" customHeight="1" x14ac:dyDescent="0.25">
      <c r="A590" s="1305" t="s">
        <v>123</v>
      </c>
      <c r="B590" s="1305" t="s">
        <v>1388</v>
      </c>
      <c r="C590" s="125" t="s">
        <v>155</v>
      </c>
      <c r="D590" s="113"/>
      <c r="E590" s="113"/>
      <c r="F590" s="113"/>
      <c r="G590" s="716" t="s">
        <v>156</v>
      </c>
      <c r="H590" s="101"/>
      <c r="I590" s="101">
        <v>28800</v>
      </c>
      <c r="J590" s="101">
        <v>28800</v>
      </c>
      <c r="K590" s="102">
        <v>28800</v>
      </c>
      <c r="L590" s="6"/>
    </row>
    <row r="591" spans="1:12" s="48" customFormat="1" ht="18" customHeight="1" x14ac:dyDescent="0.25">
      <c r="A591" s="1305" t="s">
        <v>123</v>
      </c>
      <c r="B591" s="1305" t="s">
        <v>1388</v>
      </c>
      <c r="C591" s="125" t="s">
        <v>155</v>
      </c>
      <c r="D591" s="113"/>
      <c r="E591" s="113"/>
      <c r="F591" s="113"/>
      <c r="G591" s="716" t="s">
        <v>156</v>
      </c>
      <c r="H591" s="101"/>
      <c r="I591" s="101">
        <v>14400</v>
      </c>
      <c r="J591" s="101">
        <v>14400</v>
      </c>
      <c r="K591" s="102">
        <v>14400</v>
      </c>
      <c r="L591" s="6"/>
    </row>
    <row r="592" spans="1:12" s="48" customFormat="1" ht="18" customHeight="1" x14ac:dyDescent="0.25">
      <c r="A592" s="1305" t="s">
        <v>123</v>
      </c>
      <c r="B592" s="1305" t="s">
        <v>1388</v>
      </c>
      <c r="C592" s="125" t="s">
        <v>155</v>
      </c>
      <c r="D592" s="113"/>
      <c r="E592" s="113"/>
      <c r="F592" s="113"/>
      <c r="G592" s="716" t="s">
        <v>156</v>
      </c>
      <c r="H592" s="101"/>
      <c r="I592" s="101">
        <v>21600</v>
      </c>
      <c r="J592" s="101">
        <v>21600</v>
      </c>
      <c r="K592" s="102">
        <v>21600</v>
      </c>
      <c r="L592" s="6">
        <f>SUM(K584:K592)</f>
        <v>186000</v>
      </c>
    </row>
    <row r="593" spans="1:12" s="48" customFormat="1" ht="18" customHeight="1" x14ac:dyDescent="0.25">
      <c r="A593" s="1305" t="s">
        <v>123</v>
      </c>
      <c r="B593" s="1305" t="s">
        <v>1388</v>
      </c>
      <c r="C593" s="125" t="s">
        <v>129</v>
      </c>
      <c r="D593" s="113"/>
      <c r="E593" s="113"/>
      <c r="F593" s="113"/>
      <c r="G593" s="144" t="s">
        <v>130</v>
      </c>
      <c r="H593" s="101"/>
      <c r="I593" s="101">
        <v>120000</v>
      </c>
      <c r="J593" s="101">
        <v>120000</v>
      </c>
      <c r="K593" s="102">
        <v>120000</v>
      </c>
      <c r="L593" s="6"/>
    </row>
    <row r="594" spans="1:12" s="48" customFormat="1" ht="18" customHeight="1" x14ac:dyDescent="0.25">
      <c r="A594" s="1305" t="s">
        <v>123</v>
      </c>
      <c r="B594" s="1305" t="s">
        <v>1388</v>
      </c>
      <c r="C594" s="125" t="s">
        <v>129</v>
      </c>
      <c r="D594" s="113"/>
      <c r="E594" s="113"/>
      <c r="F594" s="113"/>
      <c r="G594" s="144" t="s">
        <v>130</v>
      </c>
      <c r="H594" s="101"/>
      <c r="I594" s="101">
        <v>72000</v>
      </c>
      <c r="J594" s="101">
        <v>72000</v>
      </c>
      <c r="K594" s="102">
        <v>72000</v>
      </c>
      <c r="L594" s="6"/>
    </row>
    <row r="595" spans="1:12" s="48" customFormat="1" ht="18" customHeight="1" x14ac:dyDescent="0.25">
      <c r="A595" s="1305" t="s">
        <v>123</v>
      </c>
      <c r="B595" s="1305" t="s">
        <v>1388</v>
      </c>
      <c r="C595" s="125" t="s">
        <v>129</v>
      </c>
      <c r="D595" s="113"/>
      <c r="E595" s="113"/>
      <c r="F595" s="113"/>
      <c r="G595" s="144" t="s">
        <v>130</v>
      </c>
      <c r="H595" s="101"/>
      <c r="I595" s="101">
        <v>720000</v>
      </c>
      <c r="J595" s="101">
        <v>720000</v>
      </c>
      <c r="K595" s="102">
        <v>720000</v>
      </c>
      <c r="L595" s="6"/>
    </row>
    <row r="596" spans="1:12" s="48" customFormat="1" ht="18" customHeight="1" x14ac:dyDescent="0.25">
      <c r="A596" s="1305" t="s">
        <v>123</v>
      </c>
      <c r="B596" s="1305" t="s">
        <v>1388</v>
      </c>
      <c r="C596" s="125" t="s">
        <v>129</v>
      </c>
      <c r="D596" s="113"/>
      <c r="E596" s="113"/>
      <c r="F596" s="113"/>
      <c r="G596" s="144" t="s">
        <v>130</v>
      </c>
      <c r="H596" s="101"/>
      <c r="I596" s="101">
        <v>72000</v>
      </c>
      <c r="J596" s="101">
        <v>72000</v>
      </c>
      <c r="K596" s="102">
        <v>72000</v>
      </c>
      <c r="L596" s="6"/>
    </row>
    <row r="597" spans="1:12" s="48" customFormat="1" ht="18.75" customHeight="1" x14ac:dyDescent="0.25">
      <c r="A597" s="1305" t="s">
        <v>123</v>
      </c>
      <c r="B597" s="1305" t="s">
        <v>1388</v>
      </c>
      <c r="C597" s="125" t="s">
        <v>129</v>
      </c>
      <c r="D597" s="113"/>
      <c r="E597" s="113"/>
      <c r="F597" s="113"/>
      <c r="G597" s="144" t="s">
        <v>130</v>
      </c>
      <c r="H597" s="101"/>
      <c r="I597" s="101">
        <v>1296000</v>
      </c>
      <c r="J597" s="101">
        <v>1296000</v>
      </c>
      <c r="K597" s="102">
        <v>1296000</v>
      </c>
      <c r="L597" s="222"/>
    </row>
    <row r="598" spans="1:12" s="48" customFormat="1" ht="18" customHeight="1" x14ac:dyDescent="0.25">
      <c r="A598" s="1305" t="s">
        <v>123</v>
      </c>
      <c r="B598" s="1305" t="s">
        <v>1388</v>
      </c>
      <c r="C598" s="125" t="s">
        <v>129</v>
      </c>
      <c r="D598" s="113"/>
      <c r="E598" s="113"/>
      <c r="F598" s="113"/>
      <c r="G598" s="144" t="s">
        <v>130</v>
      </c>
      <c r="H598" s="101"/>
      <c r="I598" s="101">
        <v>144000</v>
      </c>
      <c r="J598" s="101">
        <v>144000</v>
      </c>
      <c r="K598" s="102">
        <v>144000</v>
      </c>
      <c r="L598" s="6"/>
    </row>
    <row r="599" spans="1:12" s="146" customFormat="1" ht="17.45" customHeight="1" x14ac:dyDescent="0.25">
      <c r="A599" s="1305" t="s">
        <v>123</v>
      </c>
      <c r="B599" s="1305" t="s">
        <v>1388</v>
      </c>
      <c r="C599" s="125" t="s">
        <v>129</v>
      </c>
      <c r="D599" s="113"/>
      <c r="E599" s="113"/>
      <c r="F599" s="113"/>
      <c r="G599" s="1331" t="s">
        <v>130</v>
      </c>
      <c r="H599" s="101"/>
      <c r="I599" s="101">
        <v>576000</v>
      </c>
      <c r="J599" s="101">
        <v>576000</v>
      </c>
      <c r="K599" s="102">
        <v>576000</v>
      </c>
      <c r="L599" s="10"/>
    </row>
    <row r="600" spans="1:12" s="227" customFormat="1" ht="18" customHeight="1" x14ac:dyDescent="0.25">
      <c r="A600" s="1305" t="s">
        <v>123</v>
      </c>
      <c r="B600" s="1305" t="s">
        <v>1388</v>
      </c>
      <c r="C600" s="125" t="s">
        <v>129</v>
      </c>
      <c r="D600" s="113"/>
      <c r="E600" s="113"/>
      <c r="F600" s="113"/>
      <c r="G600" s="1331" t="s">
        <v>130</v>
      </c>
      <c r="H600" s="101"/>
      <c r="I600" s="101">
        <v>288000</v>
      </c>
      <c r="J600" s="101">
        <v>288000</v>
      </c>
      <c r="K600" s="102">
        <v>288000</v>
      </c>
      <c r="L600" s="177"/>
    </row>
    <row r="601" spans="1:12" s="179" customFormat="1" ht="18" customHeight="1" x14ac:dyDescent="0.25">
      <c r="A601" s="1305" t="s">
        <v>123</v>
      </c>
      <c r="B601" s="1305" t="s">
        <v>1388</v>
      </c>
      <c r="C601" s="125" t="s">
        <v>129</v>
      </c>
      <c r="D601" s="113"/>
      <c r="E601" s="113"/>
      <c r="F601" s="113"/>
      <c r="G601" s="1331" t="s">
        <v>130</v>
      </c>
      <c r="H601" s="101"/>
      <c r="I601" s="101">
        <v>432000</v>
      </c>
      <c r="J601" s="101">
        <v>432000</v>
      </c>
      <c r="K601" s="102">
        <v>432000</v>
      </c>
      <c r="L601" s="177">
        <f>SUM(K593:K601)</f>
        <v>3720000</v>
      </c>
    </row>
    <row r="602" spans="1:12" s="179" customFormat="1" ht="18" customHeight="1" x14ac:dyDescent="0.25">
      <c r="A602" s="1305" t="s">
        <v>123</v>
      </c>
      <c r="B602" s="1305" t="s">
        <v>1388</v>
      </c>
      <c r="C602" s="125" t="s">
        <v>157</v>
      </c>
      <c r="D602" s="113"/>
      <c r="E602" s="113"/>
      <c r="F602" s="113"/>
      <c r="G602" s="143" t="s">
        <v>158</v>
      </c>
      <c r="H602" s="101"/>
      <c r="I602" s="101">
        <v>26845.02</v>
      </c>
      <c r="J602" s="101">
        <v>26845.02</v>
      </c>
      <c r="K602" s="102">
        <v>25765.29</v>
      </c>
      <c r="L602" s="177"/>
    </row>
    <row r="603" spans="1:12" s="179" customFormat="1" ht="18" customHeight="1" x14ac:dyDescent="0.25">
      <c r="A603" s="1305" t="s">
        <v>123</v>
      </c>
      <c r="B603" s="1305" t="s">
        <v>1388</v>
      </c>
      <c r="C603" s="125" t="s">
        <v>157</v>
      </c>
      <c r="D603" s="113"/>
      <c r="E603" s="113"/>
      <c r="F603" s="113"/>
      <c r="G603" s="143" t="s">
        <v>158</v>
      </c>
      <c r="H603" s="101"/>
      <c r="I603" s="101">
        <v>17169.57</v>
      </c>
      <c r="J603" s="101">
        <v>17169.57</v>
      </c>
      <c r="K603" s="102">
        <v>16375.5</v>
      </c>
      <c r="L603" s="177"/>
    </row>
    <row r="604" spans="1:12" s="212" customFormat="1" ht="18" customHeight="1" x14ac:dyDescent="0.25">
      <c r="A604" s="1305" t="s">
        <v>123</v>
      </c>
      <c r="B604" s="1305" t="s">
        <v>1388</v>
      </c>
      <c r="C604" s="125" t="s">
        <v>157</v>
      </c>
      <c r="D604" s="113"/>
      <c r="E604" s="113"/>
      <c r="F604" s="113"/>
      <c r="G604" s="143" t="s">
        <v>158</v>
      </c>
      <c r="H604" s="101"/>
      <c r="I604" s="101">
        <v>171008.55</v>
      </c>
      <c r="J604" s="101">
        <v>171008.55</v>
      </c>
      <c r="K604" s="102">
        <v>163863.18</v>
      </c>
      <c r="L604" s="6"/>
    </row>
    <row r="605" spans="1:12" s="229" customFormat="1" ht="18" customHeight="1" x14ac:dyDescent="0.25">
      <c r="A605" s="1305" t="s">
        <v>123</v>
      </c>
      <c r="B605" s="1305" t="s">
        <v>1388</v>
      </c>
      <c r="C605" s="125" t="s">
        <v>157</v>
      </c>
      <c r="D605" s="113"/>
      <c r="E605" s="113"/>
      <c r="F605" s="113"/>
      <c r="G605" s="143" t="s">
        <v>158</v>
      </c>
      <c r="H605" s="101"/>
      <c r="I605" s="101">
        <v>30606.66</v>
      </c>
      <c r="J605" s="101">
        <v>30606.66</v>
      </c>
      <c r="K605" s="102">
        <v>29174.31</v>
      </c>
      <c r="L605" s="6"/>
    </row>
    <row r="606" spans="1:12" s="212" customFormat="1" ht="18" customHeight="1" x14ac:dyDescent="0.25">
      <c r="A606" s="1305" t="s">
        <v>123</v>
      </c>
      <c r="B606" s="1305" t="s">
        <v>1388</v>
      </c>
      <c r="C606" s="125" t="s">
        <v>157</v>
      </c>
      <c r="D606" s="113"/>
      <c r="E606" s="113"/>
      <c r="F606" s="113"/>
      <c r="G606" s="143" t="s">
        <v>158</v>
      </c>
      <c r="H606" s="101"/>
      <c r="I606" s="101">
        <v>244981.8</v>
      </c>
      <c r="J606" s="101">
        <v>244981.8</v>
      </c>
      <c r="K606" s="102">
        <v>235811.88</v>
      </c>
      <c r="L606" s="207"/>
    </row>
    <row r="607" spans="1:12" s="212" customFormat="1" ht="18" customHeight="1" x14ac:dyDescent="0.25">
      <c r="A607" s="1305" t="s">
        <v>123</v>
      </c>
      <c r="B607" s="1305" t="s">
        <v>1388</v>
      </c>
      <c r="C607" s="125" t="s">
        <v>157</v>
      </c>
      <c r="D607" s="113"/>
      <c r="E607" s="113"/>
      <c r="F607" s="113"/>
      <c r="G607" s="143" t="s">
        <v>158</v>
      </c>
      <c r="H607" s="101"/>
      <c r="I607" s="101">
        <v>46540.17</v>
      </c>
      <c r="J607" s="101">
        <v>46540.17</v>
      </c>
      <c r="K607" s="102">
        <v>45015.75</v>
      </c>
      <c r="L607" s="207"/>
    </row>
    <row r="608" spans="1:12" s="146" customFormat="1" ht="17.45" customHeight="1" x14ac:dyDescent="0.25">
      <c r="A608" s="1305" t="s">
        <v>123</v>
      </c>
      <c r="B608" s="1305" t="s">
        <v>1388</v>
      </c>
      <c r="C608" s="125" t="s">
        <v>157</v>
      </c>
      <c r="D608" s="113"/>
      <c r="E608" s="113"/>
      <c r="F608" s="113"/>
      <c r="G608" s="1175" t="s">
        <v>158</v>
      </c>
      <c r="H608" s="105"/>
      <c r="I608" s="105">
        <v>92956.14</v>
      </c>
      <c r="J608" s="105">
        <v>92956.14</v>
      </c>
      <c r="K608" s="106">
        <v>89424.77</v>
      </c>
      <c r="L608" s="10"/>
    </row>
    <row r="609" spans="1:12" s="313" customFormat="1" ht="17.45" customHeight="1" x14ac:dyDescent="0.25">
      <c r="A609" s="1305" t="s">
        <v>123</v>
      </c>
      <c r="B609" s="1305" t="s">
        <v>1388</v>
      </c>
      <c r="C609" s="125" t="s">
        <v>157</v>
      </c>
      <c r="D609" s="113"/>
      <c r="E609" s="113"/>
      <c r="F609" s="113"/>
      <c r="G609" s="716" t="s">
        <v>158</v>
      </c>
      <c r="H609" s="101"/>
      <c r="I609" s="101">
        <v>43214.31</v>
      </c>
      <c r="J609" s="101">
        <v>43214.31</v>
      </c>
      <c r="K609" s="102">
        <v>41551.379999999997</v>
      </c>
      <c r="L609" s="193"/>
    </row>
    <row r="610" spans="1:12" s="146" customFormat="1" ht="18" customHeight="1" x14ac:dyDescent="0.25">
      <c r="A610" s="1305" t="s">
        <v>123</v>
      </c>
      <c r="B610" s="1305" t="s">
        <v>1388</v>
      </c>
      <c r="C610" s="125" t="s">
        <v>157</v>
      </c>
      <c r="D610" s="113"/>
      <c r="E610" s="113"/>
      <c r="F610" s="113"/>
      <c r="G610" s="716" t="s">
        <v>158</v>
      </c>
      <c r="H610" s="101"/>
      <c r="I610" s="101">
        <v>74273.490000000005</v>
      </c>
      <c r="J610" s="101">
        <v>74273.490000000005</v>
      </c>
      <c r="K610" s="102">
        <v>71298.63</v>
      </c>
      <c r="L610" s="10">
        <f>SUM(K602:K610)</f>
        <v>718280.69000000006</v>
      </c>
    </row>
    <row r="611" spans="1:12" s="146" customFormat="1" ht="18" customHeight="1" x14ac:dyDescent="0.25">
      <c r="A611" s="1305" t="s">
        <v>123</v>
      </c>
      <c r="B611" s="1305" t="s">
        <v>1388</v>
      </c>
      <c r="C611" s="125" t="s">
        <v>131</v>
      </c>
      <c r="D611" s="113"/>
      <c r="E611" s="113"/>
      <c r="F611" s="113"/>
      <c r="G611" s="143" t="s">
        <v>132</v>
      </c>
      <c r="H611" s="101"/>
      <c r="I611" s="101">
        <v>72000</v>
      </c>
      <c r="J611" s="101">
        <v>72000</v>
      </c>
      <c r="K611" s="102">
        <v>72000</v>
      </c>
      <c r="L611" s="10"/>
    </row>
    <row r="612" spans="1:12" s="146" customFormat="1" ht="18" customHeight="1" x14ac:dyDescent="0.25">
      <c r="A612" s="1305" t="s">
        <v>123</v>
      </c>
      <c r="B612" s="1305" t="s">
        <v>1388</v>
      </c>
      <c r="C612" s="125" t="s">
        <v>131</v>
      </c>
      <c r="D612" s="113"/>
      <c r="E612" s="113"/>
      <c r="F612" s="113"/>
      <c r="G612" s="143" t="s">
        <v>132</v>
      </c>
      <c r="H612" s="101"/>
      <c r="I612" s="101">
        <v>72000</v>
      </c>
      <c r="J612" s="101">
        <v>72000</v>
      </c>
      <c r="K612" s="102">
        <v>72000</v>
      </c>
      <c r="L612" s="10"/>
    </row>
    <row r="613" spans="1:12" s="146" customFormat="1" ht="18" customHeight="1" x14ac:dyDescent="0.25">
      <c r="A613" s="1305" t="s">
        <v>123</v>
      </c>
      <c r="B613" s="1305" t="s">
        <v>1388</v>
      </c>
      <c r="C613" s="125" t="s">
        <v>131</v>
      </c>
      <c r="D613" s="113"/>
      <c r="E613" s="113"/>
      <c r="F613" s="113"/>
      <c r="G613" s="143" t="s">
        <v>132</v>
      </c>
      <c r="H613" s="101"/>
      <c r="I613" s="101">
        <v>72000</v>
      </c>
      <c r="J613" s="101">
        <v>72000</v>
      </c>
      <c r="K613" s="102">
        <v>72000</v>
      </c>
      <c r="L613" s="10"/>
    </row>
    <row r="614" spans="1:12" s="146" customFormat="1" ht="18" x14ac:dyDescent="0.25">
      <c r="A614" s="1305" t="s">
        <v>123</v>
      </c>
      <c r="B614" s="1305" t="s">
        <v>1388</v>
      </c>
      <c r="C614" s="125" t="s">
        <v>131</v>
      </c>
      <c r="D614" s="113"/>
      <c r="E614" s="113"/>
      <c r="F614" s="113"/>
      <c r="G614" s="143" t="s">
        <v>132</v>
      </c>
      <c r="H614" s="101"/>
      <c r="I614" s="101">
        <v>72000</v>
      </c>
      <c r="J614" s="101">
        <v>72000</v>
      </c>
      <c r="K614" s="102">
        <v>72000</v>
      </c>
      <c r="L614" s="10">
        <f>SUM(K611:K614)</f>
        <v>288000</v>
      </c>
    </row>
    <row r="615" spans="1:12" s="146" customFormat="1" ht="18" customHeight="1" x14ac:dyDescent="0.25">
      <c r="A615" s="1305" t="s">
        <v>123</v>
      </c>
      <c r="B615" s="1305" t="s">
        <v>1388</v>
      </c>
      <c r="C615" s="125" t="s">
        <v>1545</v>
      </c>
      <c r="D615" s="113"/>
      <c r="E615" s="113"/>
      <c r="F615" s="113"/>
      <c r="G615" s="143" t="s">
        <v>154</v>
      </c>
      <c r="H615" s="101"/>
      <c r="I615" s="101">
        <v>143173.44</v>
      </c>
      <c r="J615" s="101">
        <v>143173.44</v>
      </c>
      <c r="K615" s="102">
        <v>137414.88</v>
      </c>
      <c r="L615" s="10"/>
    </row>
    <row r="616" spans="1:12" s="146" customFormat="1" ht="18" x14ac:dyDescent="0.25">
      <c r="A616" s="1305" t="s">
        <v>123</v>
      </c>
      <c r="B616" s="1305" t="s">
        <v>1388</v>
      </c>
      <c r="C616" s="125" t="s">
        <v>1545</v>
      </c>
      <c r="D616" s="113"/>
      <c r="E616" s="113"/>
      <c r="F616" s="113"/>
      <c r="G616" s="143" t="s">
        <v>154</v>
      </c>
      <c r="H616" s="101"/>
      <c r="I616" s="101">
        <v>91571.04</v>
      </c>
      <c r="J616" s="101">
        <v>91571.04</v>
      </c>
      <c r="K616" s="102">
        <v>87336</v>
      </c>
      <c r="L616" s="10"/>
    </row>
    <row r="617" spans="1:12" s="146" customFormat="1" ht="18" customHeight="1" x14ac:dyDescent="0.25">
      <c r="A617" s="1305" t="s">
        <v>123</v>
      </c>
      <c r="B617" s="1305" t="s">
        <v>1388</v>
      </c>
      <c r="C617" s="125" t="s">
        <v>1545</v>
      </c>
      <c r="D617" s="113"/>
      <c r="E617" s="113"/>
      <c r="F617" s="113"/>
      <c r="G617" s="143" t="s">
        <v>154</v>
      </c>
      <c r="H617" s="101"/>
      <c r="I617" s="101">
        <v>912045.6</v>
      </c>
      <c r="J617" s="101">
        <v>912045.6</v>
      </c>
      <c r="K617" s="102">
        <v>873936.96</v>
      </c>
      <c r="L617" s="10"/>
    </row>
    <row r="618" spans="1:12" s="146" customFormat="1" ht="18" customHeight="1" x14ac:dyDescent="0.25">
      <c r="A618" s="1305" t="s">
        <v>123</v>
      </c>
      <c r="B618" s="1305" t="s">
        <v>1388</v>
      </c>
      <c r="C618" s="125" t="s">
        <v>1545</v>
      </c>
      <c r="D618" s="113"/>
      <c r="E618" s="113"/>
      <c r="F618" s="113"/>
      <c r="G618" s="143" t="s">
        <v>154</v>
      </c>
      <c r="H618" s="101"/>
      <c r="I618" s="101">
        <v>163235.51999999999</v>
      </c>
      <c r="J618" s="101">
        <v>163235.51999999999</v>
      </c>
      <c r="K618" s="102">
        <v>155596.32</v>
      </c>
      <c r="L618" s="10"/>
    </row>
    <row r="619" spans="1:12" s="146" customFormat="1" ht="18" customHeight="1" x14ac:dyDescent="0.25">
      <c r="A619" s="1305" t="s">
        <v>123</v>
      </c>
      <c r="B619" s="1305" t="s">
        <v>1388</v>
      </c>
      <c r="C619" s="125" t="s">
        <v>1545</v>
      </c>
      <c r="D619" s="113"/>
      <c r="E619" s="113"/>
      <c r="F619" s="113"/>
      <c r="G619" s="143" t="s">
        <v>154</v>
      </c>
      <c r="H619" s="101"/>
      <c r="I619" s="101">
        <v>1307337.1200000001</v>
      </c>
      <c r="J619" s="101">
        <v>1307337.1200000001</v>
      </c>
      <c r="K619" s="102">
        <v>1257663.3600000001</v>
      </c>
      <c r="L619" s="10"/>
    </row>
    <row r="620" spans="1:12" s="146" customFormat="1" ht="18" x14ac:dyDescent="0.25">
      <c r="A620" s="1305" t="s">
        <v>123</v>
      </c>
      <c r="B620" s="1305" t="s">
        <v>1388</v>
      </c>
      <c r="C620" s="125" t="s">
        <v>1545</v>
      </c>
      <c r="D620" s="113"/>
      <c r="E620" s="113"/>
      <c r="F620" s="113"/>
      <c r="G620" s="143" t="s">
        <v>154</v>
      </c>
      <c r="H620" s="101"/>
      <c r="I620" s="101">
        <v>246847.68</v>
      </c>
      <c r="J620" s="101">
        <v>246847.68</v>
      </c>
      <c r="K620" s="102">
        <v>239401.44</v>
      </c>
      <c r="L620" s="10"/>
    </row>
    <row r="621" spans="1:12" s="146" customFormat="1" ht="18" customHeight="1" x14ac:dyDescent="0.25">
      <c r="A621" s="1305" t="s">
        <v>123</v>
      </c>
      <c r="B621" s="1305" t="s">
        <v>1388</v>
      </c>
      <c r="C621" s="125" t="s">
        <v>1545</v>
      </c>
      <c r="D621" s="113"/>
      <c r="E621" s="113"/>
      <c r="F621" s="113"/>
      <c r="G621" s="716" t="s">
        <v>154</v>
      </c>
      <c r="H621" s="101"/>
      <c r="I621" s="101">
        <v>495766.08</v>
      </c>
      <c r="J621" s="101">
        <v>495766.08</v>
      </c>
      <c r="K621" s="102">
        <v>476932.08</v>
      </c>
      <c r="L621" s="10"/>
    </row>
    <row r="622" spans="1:12" s="146" customFormat="1" ht="18" x14ac:dyDescent="0.25">
      <c r="A622" s="1305" t="s">
        <v>123</v>
      </c>
      <c r="B622" s="1305" t="s">
        <v>1388</v>
      </c>
      <c r="C622" s="125" t="s">
        <v>1545</v>
      </c>
      <c r="D622" s="113"/>
      <c r="E622" s="113"/>
      <c r="F622" s="113"/>
      <c r="G622" s="716" t="s">
        <v>154</v>
      </c>
      <c r="H622" s="101"/>
      <c r="I622" s="101">
        <v>230476.32</v>
      </c>
      <c r="J622" s="101">
        <v>230476.32</v>
      </c>
      <c r="K622" s="102">
        <v>221607.36</v>
      </c>
      <c r="L622" s="10"/>
    </row>
    <row r="623" spans="1:12" s="146" customFormat="1" ht="18" x14ac:dyDescent="0.25">
      <c r="A623" s="1305" t="s">
        <v>123</v>
      </c>
      <c r="B623" s="1305" t="s">
        <v>1388</v>
      </c>
      <c r="C623" s="125" t="s">
        <v>1545</v>
      </c>
      <c r="D623" s="113"/>
      <c r="E623" s="113"/>
      <c r="F623" s="113"/>
      <c r="G623" s="716" t="s">
        <v>154</v>
      </c>
      <c r="H623" s="101"/>
      <c r="I623" s="101">
        <v>396125.28</v>
      </c>
      <c r="J623" s="101">
        <v>396125.28</v>
      </c>
      <c r="K623" s="102">
        <v>380259.36</v>
      </c>
      <c r="L623" s="10">
        <f>SUM(K615:K623)</f>
        <v>3830147.76</v>
      </c>
    </row>
    <row r="624" spans="1:12" s="146" customFormat="1" ht="18" x14ac:dyDescent="0.25">
      <c r="A624" s="1305" t="s">
        <v>123</v>
      </c>
      <c r="B624" s="1305" t="s">
        <v>1388</v>
      </c>
      <c r="C624" s="125" t="s">
        <v>126</v>
      </c>
      <c r="D624" s="113"/>
      <c r="E624" s="113"/>
      <c r="F624" s="113"/>
      <c r="G624" s="143" t="s">
        <v>127</v>
      </c>
      <c r="H624" s="101"/>
      <c r="I624" s="101">
        <v>149628</v>
      </c>
      <c r="J624" s="101">
        <v>149628</v>
      </c>
      <c r="K624" s="102">
        <v>143928</v>
      </c>
      <c r="L624" s="10"/>
    </row>
    <row r="625" spans="1:12" s="146" customFormat="1" ht="18" customHeight="1" x14ac:dyDescent="0.25">
      <c r="A625" s="1305" t="s">
        <v>123</v>
      </c>
      <c r="B625" s="1305" t="s">
        <v>1388</v>
      </c>
      <c r="C625" s="125" t="s">
        <v>126</v>
      </c>
      <c r="D625" s="113"/>
      <c r="E625" s="113"/>
      <c r="F625" s="113"/>
      <c r="G625" s="143" t="s">
        <v>127</v>
      </c>
      <c r="H625" s="101"/>
      <c r="I625" s="101">
        <v>299256</v>
      </c>
      <c r="J625" s="101">
        <v>299256</v>
      </c>
      <c r="K625" s="102">
        <v>287856</v>
      </c>
      <c r="L625" s="10"/>
    </row>
    <row r="626" spans="1:12" s="146" customFormat="1" ht="18" customHeight="1" x14ac:dyDescent="0.25">
      <c r="A626" s="1305" t="s">
        <v>123</v>
      </c>
      <c r="B626" s="1305" t="s">
        <v>1388</v>
      </c>
      <c r="C626" s="125" t="s">
        <v>126</v>
      </c>
      <c r="D626" s="113"/>
      <c r="E626" s="113"/>
      <c r="F626" s="113"/>
      <c r="G626" s="143" t="s">
        <v>127</v>
      </c>
      <c r="H626" s="101"/>
      <c r="I626" s="101">
        <v>1285584</v>
      </c>
      <c r="J626" s="101">
        <v>1285584</v>
      </c>
      <c r="K626" s="102">
        <v>1237056</v>
      </c>
      <c r="L626" s="10"/>
    </row>
    <row r="627" spans="1:12" s="146" customFormat="1" ht="18" customHeight="1" x14ac:dyDescent="0.25">
      <c r="A627" s="1305" t="s">
        <v>123</v>
      </c>
      <c r="B627" s="1305" t="s">
        <v>1388</v>
      </c>
      <c r="C627" s="125" t="s">
        <v>126</v>
      </c>
      <c r="D627" s="113"/>
      <c r="E627" s="113"/>
      <c r="F627" s="113"/>
      <c r="G627" s="143" t="s">
        <v>127</v>
      </c>
      <c r="H627" s="101"/>
      <c r="I627" s="101">
        <v>149628</v>
      </c>
      <c r="J627" s="101">
        <v>149628</v>
      </c>
      <c r="K627" s="102">
        <v>143928</v>
      </c>
      <c r="L627" s="10"/>
    </row>
    <row r="628" spans="1:12" s="146" customFormat="1" ht="18" customHeight="1" x14ac:dyDescent="0.25">
      <c r="A628" s="1305" t="s">
        <v>123</v>
      </c>
      <c r="B628" s="1305" t="s">
        <v>1388</v>
      </c>
      <c r="C628" s="125" t="s">
        <v>126</v>
      </c>
      <c r="D628" s="113"/>
      <c r="E628" s="113"/>
      <c r="F628" s="113"/>
      <c r="G628" s="716" t="s">
        <v>127</v>
      </c>
      <c r="H628" s="101"/>
      <c r="I628" s="101">
        <v>845424</v>
      </c>
      <c r="J628" s="101">
        <v>845424</v>
      </c>
      <c r="K628" s="102">
        <v>813600</v>
      </c>
      <c r="L628" s="10"/>
    </row>
    <row r="629" spans="1:12" s="146" customFormat="1" ht="18" customHeight="1" x14ac:dyDescent="0.25">
      <c r="A629" s="1305" t="s">
        <v>123</v>
      </c>
      <c r="B629" s="1305" t="s">
        <v>1388</v>
      </c>
      <c r="C629" s="125" t="s">
        <v>126</v>
      </c>
      <c r="D629" s="113"/>
      <c r="E629" s="113"/>
      <c r="F629" s="113"/>
      <c r="G629" s="716" t="s">
        <v>127</v>
      </c>
      <c r="H629" s="101"/>
      <c r="I629" s="101">
        <v>563616</v>
      </c>
      <c r="J629" s="101">
        <v>563616</v>
      </c>
      <c r="K629" s="102">
        <v>542400</v>
      </c>
      <c r="L629" s="10">
        <f>SUM(K624:K629)</f>
        <v>3168768</v>
      </c>
    </row>
    <row r="630" spans="1:12" s="229" customFormat="1" ht="18" customHeight="1" x14ac:dyDescent="0.25">
      <c r="A630" s="1305" t="s">
        <v>123</v>
      </c>
      <c r="B630" s="1305" t="s">
        <v>1388</v>
      </c>
      <c r="C630" s="125" t="s">
        <v>124</v>
      </c>
      <c r="D630" s="113"/>
      <c r="E630" s="113"/>
      <c r="F630" s="113"/>
      <c r="G630" s="143" t="s">
        <v>125</v>
      </c>
      <c r="H630" s="101"/>
      <c r="I630" s="101">
        <v>1043484</v>
      </c>
      <c r="J630" s="101">
        <v>1043484</v>
      </c>
      <c r="K630" s="102">
        <v>1001196</v>
      </c>
      <c r="L630" s="207"/>
    </row>
    <row r="631" spans="1:12" s="229" customFormat="1" ht="18" customHeight="1" x14ac:dyDescent="0.25">
      <c r="A631" s="1305" t="s">
        <v>123</v>
      </c>
      <c r="B631" s="1305" t="s">
        <v>1388</v>
      </c>
      <c r="C631" s="125" t="s">
        <v>124</v>
      </c>
      <c r="D631" s="113"/>
      <c r="E631" s="113"/>
      <c r="F631" s="113"/>
      <c r="G631" s="143" t="s">
        <v>125</v>
      </c>
      <c r="H631" s="101"/>
      <c r="I631" s="101">
        <v>763092</v>
      </c>
      <c r="J631" s="101">
        <v>763092</v>
      </c>
      <c r="K631" s="102">
        <v>727800</v>
      </c>
      <c r="L631" s="207"/>
    </row>
    <row r="632" spans="1:12" s="229" customFormat="1" ht="18" customHeight="1" x14ac:dyDescent="0.25">
      <c r="A632" s="1305" t="s">
        <v>123</v>
      </c>
      <c r="B632" s="1305" t="s">
        <v>1388</v>
      </c>
      <c r="C632" s="125" t="s">
        <v>124</v>
      </c>
      <c r="D632" s="113"/>
      <c r="E632" s="113"/>
      <c r="F632" s="113"/>
      <c r="G632" s="143" t="s">
        <v>125</v>
      </c>
      <c r="H632" s="101"/>
      <c r="I632" s="101">
        <v>7301124</v>
      </c>
      <c r="J632" s="101">
        <v>7301124</v>
      </c>
      <c r="K632" s="102">
        <v>6994764</v>
      </c>
      <c r="L632" s="207"/>
    </row>
    <row r="633" spans="1:12" s="229" customFormat="1" ht="18" customHeight="1" x14ac:dyDescent="0.25">
      <c r="A633" s="1305" t="s">
        <v>123</v>
      </c>
      <c r="B633" s="1305" t="s">
        <v>1388</v>
      </c>
      <c r="C633" s="125" t="s">
        <v>124</v>
      </c>
      <c r="D633" s="113"/>
      <c r="E633" s="113"/>
      <c r="F633" s="113"/>
      <c r="G633" s="143" t="s">
        <v>125</v>
      </c>
      <c r="H633" s="101"/>
      <c r="I633" s="101">
        <v>1360296</v>
      </c>
      <c r="J633" s="101">
        <v>1360296</v>
      </c>
      <c r="K633" s="102">
        <v>1296636</v>
      </c>
      <c r="L633" s="207"/>
    </row>
    <row r="634" spans="1:12" s="229" customFormat="1" ht="18" x14ac:dyDescent="0.25">
      <c r="A634" s="1305" t="s">
        <v>123</v>
      </c>
      <c r="B634" s="1305" t="s">
        <v>1388</v>
      </c>
      <c r="C634" s="125" t="s">
        <v>124</v>
      </c>
      <c r="D634" s="113"/>
      <c r="E634" s="113"/>
      <c r="F634" s="113"/>
      <c r="G634" s="143" t="s">
        <v>125</v>
      </c>
      <c r="H634" s="101"/>
      <c r="I634" s="101">
        <v>9608892</v>
      </c>
      <c r="J634" s="101">
        <v>9608892</v>
      </c>
      <c r="K634" s="102">
        <v>9242292</v>
      </c>
      <c r="L634" s="207"/>
    </row>
    <row r="635" spans="1:12" s="229" customFormat="1" ht="18" customHeight="1" x14ac:dyDescent="0.25">
      <c r="A635" s="1305" t="s">
        <v>123</v>
      </c>
      <c r="B635" s="1305" t="s">
        <v>1388</v>
      </c>
      <c r="C635" s="125" t="s">
        <v>124</v>
      </c>
      <c r="D635" s="113"/>
      <c r="E635" s="113"/>
      <c r="F635" s="113"/>
      <c r="G635" s="143" t="s">
        <v>125</v>
      </c>
      <c r="H635" s="101"/>
      <c r="I635" s="101">
        <v>1918824</v>
      </c>
      <c r="J635" s="101">
        <v>1918824</v>
      </c>
      <c r="K635" s="102">
        <v>1856772</v>
      </c>
      <c r="L635" s="207"/>
    </row>
    <row r="636" spans="1:12" s="229" customFormat="1" ht="18" customHeight="1" x14ac:dyDescent="0.25">
      <c r="A636" s="1305" t="s">
        <v>123</v>
      </c>
      <c r="B636" s="1305" t="s">
        <v>1388</v>
      </c>
      <c r="C636" s="125" t="s">
        <v>124</v>
      </c>
      <c r="D636" s="113"/>
      <c r="E636" s="113"/>
      <c r="F636" s="113"/>
      <c r="G636" s="716" t="s">
        <v>125</v>
      </c>
      <c r="H636" s="101"/>
      <c r="I636" s="101">
        <v>3285960</v>
      </c>
      <c r="J636" s="101">
        <v>3285960</v>
      </c>
      <c r="K636" s="102">
        <v>3160656</v>
      </c>
      <c r="L636" s="207"/>
    </row>
    <row r="637" spans="1:12" s="229" customFormat="1" ht="18" customHeight="1" x14ac:dyDescent="0.25">
      <c r="A637" s="1305" t="s">
        <v>123</v>
      </c>
      <c r="B637" s="1305" t="s">
        <v>1388</v>
      </c>
      <c r="C637" s="125" t="s">
        <v>124</v>
      </c>
      <c r="D637" s="113"/>
      <c r="E637" s="113"/>
      <c r="F637" s="113"/>
      <c r="G637" s="716" t="s">
        <v>125</v>
      </c>
      <c r="H637" s="101"/>
      <c r="I637" s="101">
        <v>1357020</v>
      </c>
      <c r="J637" s="101">
        <v>1357020</v>
      </c>
      <c r="K637" s="102">
        <v>1304328</v>
      </c>
      <c r="L637" s="207"/>
    </row>
    <row r="638" spans="1:12" s="229" customFormat="1" ht="18" customHeight="1" x14ac:dyDescent="0.25">
      <c r="A638" s="1305" t="s">
        <v>123</v>
      </c>
      <c r="B638" s="1305" t="s">
        <v>1388</v>
      </c>
      <c r="C638" s="125" t="s">
        <v>124</v>
      </c>
      <c r="D638" s="113"/>
      <c r="E638" s="113"/>
      <c r="F638" s="113"/>
      <c r="G638" s="716" t="s">
        <v>125</v>
      </c>
      <c r="H638" s="101"/>
      <c r="I638" s="101">
        <v>3301044</v>
      </c>
      <c r="J638" s="101">
        <v>3301044</v>
      </c>
      <c r="K638" s="102">
        <v>3168372</v>
      </c>
      <c r="L638" s="207">
        <f>SUM(K630:K638)</f>
        <v>28752816</v>
      </c>
    </row>
    <row r="639" spans="1:12" s="229" customFormat="1" ht="18" customHeight="1" x14ac:dyDescent="0.25">
      <c r="A639" s="1305" t="s">
        <v>123</v>
      </c>
      <c r="B639" s="1305" t="s">
        <v>1388</v>
      </c>
      <c r="C639" s="125" t="s">
        <v>274</v>
      </c>
      <c r="D639" s="113"/>
      <c r="E639" s="113"/>
      <c r="F639" s="113"/>
      <c r="G639" s="143" t="s">
        <v>148</v>
      </c>
      <c r="H639" s="101"/>
      <c r="I639" s="101"/>
      <c r="J639" s="101"/>
      <c r="K639" s="102"/>
      <c r="L639" s="207"/>
    </row>
    <row r="640" spans="1:12" s="229" customFormat="1" ht="18" customHeight="1" x14ac:dyDescent="0.25">
      <c r="A640" s="1305" t="s">
        <v>123</v>
      </c>
      <c r="B640" s="1305" t="s">
        <v>1388</v>
      </c>
      <c r="C640" s="125" t="s">
        <v>210</v>
      </c>
      <c r="D640" s="113"/>
      <c r="E640" s="113"/>
      <c r="F640" s="1305"/>
      <c r="G640" s="716" t="s">
        <v>464</v>
      </c>
      <c r="H640" s="101"/>
      <c r="I640" s="101">
        <v>54000</v>
      </c>
      <c r="J640" s="101">
        <v>54000</v>
      </c>
      <c r="K640" s="102">
        <v>54000</v>
      </c>
      <c r="L640" s="207"/>
    </row>
    <row r="641" spans="1:12" s="229" customFormat="1" ht="18" customHeight="1" x14ac:dyDescent="0.25">
      <c r="A641" s="1305" t="s">
        <v>123</v>
      </c>
      <c r="B641" s="1305" t="s">
        <v>1388</v>
      </c>
      <c r="C641" s="125" t="s">
        <v>133</v>
      </c>
      <c r="D641" s="113"/>
      <c r="E641" s="113"/>
      <c r="F641" s="113"/>
      <c r="G641" s="143" t="s">
        <v>134</v>
      </c>
      <c r="H641" s="105"/>
      <c r="I641" s="105">
        <v>72000</v>
      </c>
      <c r="J641" s="105">
        <v>72000</v>
      </c>
      <c r="K641" s="106">
        <v>72000</v>
      </c>
      <c r="L641" s="207"/>
    </row>
    <row r="642" spans="1:12" s="194" customFormat="1" ht="18" customHeight="1" x14ac:dyDescent="0.25">
      <c r="A642" s="1305" t="s">
        <v>123</v>
      </c>
      <c r="B642" s="1305" t="s">
        <v>1388</v>
      </c>
      <c r="C642" s="125" t="s">
        <v>133</v>
      </c>
      <c r="D642" s="113"/>
      <c r="E642" s="113"/>
      <c r="F642" s="113"/>
      <c r="G642" s="143" t="s">
        <v>134</v>
      </c>
      <c r="H642" s="101"/>
      <c r="I642" s="101">
        <v>72000</v>
      </c>
      <c r="J642" s="101">
        <v>72000</v>
      </c>
      <c r="K642" s="102">
        <v>72000</v>
      </c>
      <c r="L642" s="10"/>
    </row>
    <row r="643" spans="1:12" ht="17.45" customHeight="1" x14ac:dyDescent="0.25">
      <c r="A643" s="1305" t="s">
        <v>123</v>
      </c>
      <c r="B643" s="1305" t="s">
        <v>1388</v>
      </c>
      <c r="C643" s="125" t="s">
        <v>133</v>
      </c>
      <c r="D643" s="113"/>
      <c r="E643" s="113"/>
      <c r="F643" s="113"/>
      <c r="G643" s="143" t="s">
        <v>134</v>
      </c>
      <c r="H643" s="101"/>
      <c r="I643" s="101">
        <v>72000</v>
      </c>
      <c r="J643" s="101">
        <v>72000</v>
      </c>
      <c r="K643" s="102">
        <v>72000</v>
      </c>
    </row>
    <row r="644" spans="1:12" ht="17.45" customHeight="1" x14ac:dyDescent="0.25">
      <c r="A644" s="1305" t="s">
        <v>123</v>
      </c>
      <c r="B644" s="1305" t="s">
        <v>1388</v>
      </c>
      <c r="C644" s="125" t="s">
        <v>133</v>
      </c>
      <c r="D644" s="113"/>
      <c r="E644" s="113"/>
      <c r="F644" s="113"/>
      <c r="G644" s="143" t="s">
        <v>134</v>
      </c>
      <c r="H644" s="101"/>
      <c r="I644" s="101">
        <v>72000</v>
      </c>
      <c r="J644" s="101">
        <v>72000</v>
      </c>
      <c r="K644" s="102">
        <v>72000</v>
      </c>
      <c r="L644" s="10">
        <f>SUM(K641:K644)</f>
        <v>288000</v>
      </c>
    </row>
    <row r="645" spans="1:12" ht="17.45" customHeight="1" x14ac:dyDescent="0.25">
      <c r="A645" s="1305" t="s">
        <v>123</v>
      </c>
      <c r="B645" s="1305" t="s">
        <v>1388</v>
      </c>
      <c r="C645" s="125" t="s">
        <v>141</v>
      </c>
      <c r="D645" s="113"/>
      <c r="E645" s="113"/>
      <c r="F645" s="113"/>
      <c r="G645" s="143" t="s">
        <v>142</v>
      </c>
      <c r="H645" s="101"/>
      <c r="I645" s="101">
        <v>99426</v>
      </c>
      <c r="J645" s="101">
        <v>99426</v>
      </c>
      <c r="K645" s="102">
        <v>95427</v>
      </c>
    </row>
    <row r="646" spans="1:12" ht="17.45" customHeight="1" x14ac:dyDescent="0.25">
      <c r="A646" s="1305" t="s">
        <v>123</v>
      </c>
      <c r="B646" s="1305" t="s">
        <v>1388</v>
      </c>
      <c r="C646" s="125" t="s">
        <v>141</v>
      </c>
      <c r="D646" s="113"/>
      <c r="E646" s="113"/>
      <c r="F646" s="113"/>
      <c r="G646" s="143" t="s">
        <v>142</v>
      </c>
      <c r="H646" s="101"/>
      <c r="I646" s="101">
        <v>63591</v>
      </c>
      <c r="J646" s="101">
        <v>63591</v>
      </c>
      <c r="K646" s="102">
        <v>60650</v>
      </c>
    </row>
    <row r="647" spans="1:12" s="146" customFormat="1" ht="17.45" customHeight="1" x14ac:dyDescent="0.25">
      <c r="A647" s="1305" t="s">
        <v>123</v>
      </c>
      <c r="B647" s="1305" t="s">
        <v>1388</v>
      </c>
      <c r="C647" s="125" t="s">
        <v>141</v>
      </c>
      <c r="D647" s="113"/>
      <c r="E647" s="113"/>
      <c r="F647" s="113"/>
      <c r="G647" s="143" t="s">
        <v>142</v>
      </c>
      <c r="H647" s="101"/>
      <c r="I647" s="101">
        <v>633365</v>
      </c>
      <c r="J647" s="101">
        <v>633365</v>
      </c>
      <c r="K647" s="102">
        <v>606885</v>
      </c>
      <c r="L647" s="10"/>
    </row>
    <row r="648" spans="1:12" s="146" customFormat="1" ht="17.45" customHeight="1" x14ac:dyDescent="0.25">
      <c r="A648" s="1305" t="s">
        <v>123</v>
      </c>
      <c r="B648" s="1305" t="s">
        <v>1388</v>
      </c>
      <c r="C648" s="125" t="s">
        <v>141</v>
      </c>
      <c r="D648" s="113"/>
      <c r="E648" s="113"/>
      <c r="F648" s="113"/>
      <c r="G648" s="143" t="s">
        <v>142</v>
      </c>
      <c r="H648" s="101"/>
      <c r="I648" s="101">
        <v>113358</v>
      </c>
      <c r="J648" s="101">
        <v>113358</v>
      </c>
      <c r="K648" s="102">
        <v>108053</v>
      </c>
      <c r="L648" s="10"/>
    </row>
    <row r="649" spans="1:12" s="146" customFormat="1" ht="17.45" customHeight="1" x14ac:dyDescent="0.25">
      <c r="A649" s="1305" t="s">
        <v>123</v>
      </c>
      <c r="B649" s="1305" t="s">
        <v>1388</v>
      </c>
      <c r="C649" s="125" t="s">
        <v>141</v>
      </c>
      <c r="D649" s="113"/>
      <c r="E649" s="113"/>
      <c r="F649" s="113"/>
      <c r="G649" s="143" t="s">
        <v>142</v>
      </c>
      <c r="H649" s="101"/>
      <c r="I649" s="101">
        <v>907873</v>
      </c>
      <c r="J649" s="101">
        <v>907873</v>
      </c>
      <c r="K649" s="102">
        <v>873574</v>
      </c>
      <c r="L649" s="10"/>
    </row>
    <row r="650" spans="1:12" s="146" customFormat="1" ht="17.45" customHeight="1" x14ac:dyDescent="0.25">
      <c r="A650" s="1305" t="s">
        <v>123</v>
      </c>
      <c r="B650" s="1305" t="s">
        <v>1388</v>
      </c>
      <c r="C650" s="125" t="s">
        <v>141</v>
      </c>
      <c r="D650" s="113"/>
      <c r="E650" s="113"/>
      <c r="F650" s="113"/>
      <c r="G650" s="143" t="s">
        <v>142</v>
      </c>
      <c r="H650" s="101"/>
      <c r="I650" s="101">
        <v>172371</v>
      </c>
      <c r="J650" s="101">
        <v>172371</v>
      </c>
      <c r="K650" s="102">
        <v>166725</v>
      </c>
      <c r="L650" s="10"/>
    </row>
    <row r="651" spans="1:12" s="146" customFormat="1" ht="17.45" customHeight="1" x14ac:dyDescent="0.25">
      <c r="A651" s="1305" t="s">
        <v>123</v>
      </c>
      <c r="B651" s="1305" t="s">
        <v>1388</v>
      </c>
      <c r="C651" s="125" t="s">
        <v>141</v>
      </c>
      <c r="D651" s="113"/>
      <c r="E651" s="113"/>
      <c r="F651" s="113"/>
      <c r="G651" s="716" t="s">
        <v>142</v>
      </c>
      <c r="H651" s="101"/>
      <c r="I651" s="101">
        <v>344282</v>
      </c>
      <c r="J651" s="101">
        <v>344282</v>
      </c>
      <c r="K651" s="102">
        <v>331277</v>
      </c>
      <c r="L651" s="10"/>
    </row>
    <row r="652" spans="1:12" s="146" customFormat="1" ht="17.45" customHeight="1" x14ac:dyDescent="0.25">
      <c r="A652" s="1305" t="s">
        <v>123</v>
      </c>
      <c r="B652" s="1305" t="s">
        <v>1388</v>
      </c>
      <c r="C652" s="125" t="s">
        <v>141</v>
      </c>
      <c r="D652" s="113"/>
      <c r="E652" s="113"/>
      <c r="F652" s="113"/>
      <c r="G652" s="716" t="s">
        <v>142</v>
      </c>
      <c r="H652" s="101"/>
      <c r="I652" s="101">
        <v>160053</v>
      </c>
      <c r="J652" s="101">
        <v>160053</v>
      </c>
      <c r="K652" s="102">
        <v>153894</v>
      </c>
      <c r="L652" s="10"/>
    </row>
    <row r="653" spans="1:12" s="146" customFormat="1" ht="17.45" customHeight="1" x14ac:dyDescent="0.25">
      <c r="A653" s="1305" t="s">
        <v>123</v>
      </c>
      <c r="B653" s="1305" t="s">
        <v>1388</v>
      </c>
      <c r="C653" s="125" t="s">
        <v>141</v>
      </c>
      <c r="D653" s="113"/>
      <c r="E653" s="113"/>
      <c r="F653" s="113"/>
      <c r="G653" s="716" t="s">
        <v>142</v>
      </c>
      <c r="H653" s="101"/>
      <c r="I653" s="101">
        <v>275087</v>
      </c>
      <c r="J653" s="101">
        <v>275087</v>
      </c>
      <c r="K653" s="102">
        <v>264145</v>
      </c>
      <c r="L653" s="10">
        <f>SUM(K645:K653)</f>
        <v>2660630</v>
      </c>
    </row>
    <row r="654" spans="1:12" s="146" customFormat="1" ht="17.45" customHeight="1" x14ac:dyDescent="0.25">
      <c r="A654" s="1305"/>
      <c r="B654" s="1305"/>
      <c r="C654" s="125"/>
      <c r="D654" s="113"/>
      <c r="E654" s="113"/>
      <c r="F654" s="113"/>
      <c r="G654" s="716"/>
      <c r="H654" s="101"/>
      <c r="I654" s="101"/>
      <c r="J654" s="101"/>
      <c r="K654" s="102"/>
      <c r="L654" s="10"/>
    </row>
    <row r="655" spans="1:12" s="194" customFormat="1" ht="17.100000000000001" customHeight="1" x14ac:dyDescent="0.25">
      <c r="A655" s="1305" t="s">
        <v>123</v>
      </c>
      <c r="B655" s="1305" t="s">
        <v>1317</v>
      </c>
      <c r="C655" s="125" t="s">
        <v>143</v>
      </c>
      <c r="D655" s="113"/>
      <c r="E655" s="113"/>
      <c r="F655" s="113"/>
      <c r="G655" s="1179" t="s">
        <v>144</v>
      </c>
      <c r="H655" s="1160"/>
      <c r="I655" s="1160">
        <v>55000</v>
      </c>
      <c r="J655" s="1160">
        <v>55000</v>
      </c>
      <c r="K655" s="1161">
        <v>55000</v>
      </c>
      <c r="L655" s="10"/>
    </row>
    <row r="656" spans="1:12" s="388" customFormat="1" ht="17.45" customHeight="1" x14ac:dyDescent="0.25">
      <c r="A656" s="1305" t="s">
        <v>123</v>
      </c>
      <c r="B656" s="1305" t="s">
        <v>1317</v>
      </c>
      <c r="C656" s="125" t="s">
        <v>143</v>
      </c>
      <c r="D656" s="113"/>
      <c r="E656" s="113"/>
      <c r="F656" s="113"/>
      <c r="G656" s="143" t="s">
        <v>144</v>
      </c>
      <c r="H656" s="101"/>
      <c r="I656" s="101">
        <v>150000</v>
      </c>
      <c r="J656" s="101">
        <v>150000</v>
      </c>
      <c r="K656" s="102">
        <v>150000</v>
      </c>
      <c r="L656" s="207"/>
    </row>
    <row r="657" spans="1:12" s="146" customFormat="1" ht="18" customHeight="1" x14ac:dyDescent="0.25">
      <c r="A657" s="1305" t="s">
        <v>123</v>
      </c>
      <c r="B657" s="1305" t="s">
        <v>1317</v>
      </c>
      <c r="C657" s="125" t="s">
        <v>143</v>
      </c>
      <c r="D657" s="113"/>
      <c r="E657" s="113"/>
      <c r="F657" s="113"/>
      <c r="G657" s="716" t="s">
        <v>144</v>
      </c>
      <c r="H657" s="101"/>
      <c r="I657" s="101">
        <v>20000</v>
      </c>
      <c r="J657" s="101">
        <v>20000</v>
      </c>
      <c r="K657" s="102">
        <v>20000</v>
      </c>
      <c r="L657" s="10"/>
    </row>
    <row r="658" spans="1:12" s="146" customFormat="1" ht="18" customHeight="1" x14ac:dyDescent="0.25">
      <c r="A658" s="1305" t="s">
        <v>123</v>
      </c>
      <c r="B658" s="1305" t="s">
        <v>1317</v>
      </c>
      <c r="C658" s="125" t="s">
        <v>143</v>
      </c>
      <c r="D658" s="113"/>
      <c r="E658" s="113"/>
      <c r="F658" s="113"/>
      <c r="G658" s="716" t="s">
        <v>144</v>
      </c>
      <c r="H658" s="101"/>
      <c r="I658" s="101">
        <v>20000</v>
      </c>
      <c r="J658" s="101">
        <v>20000</v>
      </c>
      <c r="K658" s="102">
        <v>20000</v>
      </c>
      <c r="L658" s="10"/>
    </row>
    <row r="659" spans="1:12" s="146" customFormat="1" ht="18" customHeight="1" x14ac:dyDescent="0.25">
      <c r="A659" s="1305" t="s">
        <v>123</v>
      </c>
      <c r="B659" s="1305" t="s">
        <v>1317</v>
      </c>
      <c r="C659" s="125" t="s">
        <v>143</v>
      </c>
      <c r="D659" s="113"/>
      <c r="E659" s="113"/>
      <c r="F659" s="113"/>
      <c r="G659" s="143" t="s">
        <v>144</v>
      </c>
      <c r="H659" s="101"/>
      <c r="I659" s="101">
        <v>15000</v>
      </c>
      <c r="J659" s="101">
        <v>15000</v>
      </c>
      <c r="K659" s="102">
        <v>15000</v>
      </c>
      <c r="L659" s="10"/>
    </row>
    <row r="660" spans="1:12" s="146" customFormat="1" ht="18" customHeight="1" x14ac:dyDescent="0.25">
      <c r="A660" s="1305" t="s">
        <v>123</v>
      </c>
      <c r="B660" s="1305" t="s">
        <v>1317</v>
      </c>
      <c r="C660" s="125" t="s">
        <v>143</v>
      </c>
      <c r="D660" s="113"/>
      <c r="E660" s="113"/>
      <c r="F660" s="113"/>
      <c r="G660" s="143" t="s">
        <v>144</v>
      </c>
      <c r="H660" s="101"/>
      <c r="I660" s="101">
        <v>20000</v>
      </c>
      <c r="J660" s="101">
        <v>20000</v>
      </c>
      <c r="K660" s="102">
        <v>20000</v>
      </c>
      <c r="L660" s="10"/>
    </row>
    <row r="661" spans="1:12" s="146" customFormat="1" ht="18" customHeight="1" x14ac:dyDescent="0.25">
      <c r="A661" s="1305" t="s">
        <v>123</v>
      </c>
      <c r="B661" s="1305" t="s">
        <v>1317</v>
      </c>
      <c r="C661" s="125" t="s">
        <v>143</v>
      </c>
      <c r="D661" s="113"/>
      <c r="E661" s="113"/>
      <c r="F661" s="113"/>
      <c r="G661" s="143" t="s">
        <v>144</v>
      </c>
      <c r="H661" s="101"/>
      <c r="I661" s="101">
        <v>35000</v>
      </c>
      <c r="J661" s="101">
        <v>35000</v>
      </c>
      <c r="K661" s="102">
        <v>35000</v>
      </c>
      <c r="L661" s="10"/>
    </row>
    <row r="662" spans="1:12" s="146" customFormat="1" ht="18" customHeight="1" x14ac:dyDescent="0.25">
      <c r="A662" s="1305" t="s">
        <v>123</v>
      </c>
      <c r="B662" s="1305" t="s">
        <v>1317</v>
      </c>
      <c r="C662" s="125" t="s">
        <v>143</v>
      </c>
      <c r="D662" s="113"/>
      <c r="E662" s="113"/>
      <c r="F662" s="113"/>
      <c r="G662" s="143" t="s">
        <v>144</v>
      </c>
      <c r="H662" s="101"/>
      <c r="I662" s="101">
        <v>185000</v>
      </c>
      <c r="J662" s="101">
        <v>185000</v>
      </c>
      <c r="K662" s="102">
        <v>185000</v>
      </c>
      <c r="L662" s="10"/>
    </row>
    <row r="663" spans="1:12" s="146" customFormat="1" ht="18" customHeight="1" x14ac:dyDescent="0.25">
      <c r="A663" s="1305" t="s">
        <v>123</v>
      </c>
      <c r="B663" s="1305" t="s">
        <v>1317</v>
      </c>
      <c r="C663" s="125" t="s">
        <v>143</v>
      </c>
      <c r="D663" s="113"/>
      <c r="E663" s="113"/>
      <c r="F663" s="113"/>
      <c r="G663" s="143" t="s">
        <v>144</v>
      </c>
      <c r="H663" s="101"/>
      <c r="I663" s="101">
        <v>90000</v>
      </c>
      <c r="J663" s="101">
        <v>90000</v>
      </c>
      <c r="K663" s="102">
        <v>90000</v>
      </c>
      <c r="L663" s="10"/>
    </row>
    <row r="664" spans="1:12" s="146" customFormat="1" ht="18" customHeight="1" x14ac:dyDescent="0.25">
      <c r="A664" s="1305" t="s">
        <v>123</v>
      </c>
      <c r="B664" s="1305" t="s">
        <v>1317</v>
      </c>
      <c r="C664" s="125" t="s">
        <v>143</v>
      </c>
      <c r="D664" s="113"/>
      <c r="E664" s="113"/>
      <c r="F664" s="113"/>
      <c r="G664" s="143" t="s">
        <v>144</v>
      </c>
      <c r="H664" s="101"/>
      <c r="I664" s="101">
        <v>15000</v>
      </c>
      <c r="J664" s="101">
        <v>15000</v>
      </c>
      <c r="K664" s="102">
        <v>15000</v>
      </c>
      <c r="L664" s="10"/>
    </row>
    <row r="665" spans="1:12" s="146" customFormat="1" ht="18" x14ac:dyDescent="0.25">
      <c r="A665" s="1305" t="s">
        <v>123</v>
      </c>
      <c r="B665" s="1305" t="s">
        <v>1317</v>
      </c>
      <c r="C665" s="125" t="s">
        <v>143</v>
      </c>
      <c r="D665" s="113"/>
      <c r="E665" s="113"/>
      <c r="F665" s="113"/>
      <c r="G665" s="716" t="s">
        <v>144</v>
      </c>
      <c r="H665" s="101"/>
      <c r="I665" s="101">
        <v>10000</v>
      </c>
      <c r="J665" s="101">
        <v>10000</v>
      </c>
      <c r="K665" s="102">
        <v>10000</v>
      </c>
      <c r="L665" s="10"/>
    </row>
    <row r="666" spans="1:12" s="146" customFormat="1" ht="18" customHeight="1" x14ac:dyDescent="0.25">
      <c r="A666" s="1305" t="s">
        <v>123</v>
      </c>
      <c r="B666" s="1305" t="s">
        <v>1317</v>
      </c>
      <c r="C666" s="125" t="s">
        <v>143</v>
      </c>
      <c r="D666" s="113"/>
      <c r="E666" s="113"/>
      <c r="F666" s="113"/>
      <c r="G666" s="716" t="s">
        <v>144</v>
      </c>
      <c r="H666" s="101"/>
      <c r="I666" s="101">
        <v>20000</v>
      </c>
      <c r="J666" s="101">
        <v>20000</v>
      </c>
      <c r="K666" s="102">
        <v>20000</v>
      </c>
      <c r="L666" s="10"/>
    </row>
    <row r="667" spans="1:12" s="146" customFormat="1" ht="18" x14ac:dyDescent="0.25">
      <c r="A667" s="1305" t="s">
        <v>123</v>
      </c>
      <c r="B667" s="1305" t="s">
        <v>1317</v>
      </c>
      <c r="C667" s="125" t="s">
        <v>143</v>
      </c>
      <c r="D667" s="113"/>
      <c r="E667" s="113"/>
      <c r="F667" s="113"/>
      <c r="G667" s="716" t="s">
        <v>144</v>
      </c>
      <c r="H667" s="101"/>
      <c r="I667" s="101">
        <v>70000</v>
      </c>
      <c r="J667" s="101">
        <v>70000</v>
      </c>
      <c r="K667" s="102">
        <v>70000</v>
      </c>
      <c r="L667" s="10"/>
    </row>
    <row r="668" spans="1:12" s="146" customFormat="1" ht="18" x14ac:dyDescent="0.25">
      <c r="A668" s="1305" t="s">
        <v>123</v>
      </c>
      <c r="B668" s="1305" t="s">
        <v>1317</v>
      </c>
      <c r="C668" s="125" t="s">
        <v>143</v>
      </c>
      <c r="D668" s="113"/>
      <c r="E668" s="113"/>
      <c r="F668" s="113"/>
      <c r="G668" s="716" t="s">
        <v>144</v>
      </c>
      <c r="H668" s="101"/>
      <c r="I668" s="101">
        <v>30000</v>
      </c>
      <c r="J668" s="101">
        <v>30000</v>
      </c>
      <c r="K668" s="102">
        <v>30000</v>
      </c>
      <c r="L668" s="10"/>
    </row>
    <row r="669" spans="1:12" s="146" customFormat="1" ht="18" customHeight="1" x14ac:dyDescent="0.25">
      <c r="A669" s="1305" t="s">
        <v>123</v>
      </c>
      <c r="B669" s="1305" t="s">
        <v>1317</v>
      </c>
      <c r="C669" s="125" t="s">
        <v>143</v>
      </c>
      <c r="D669" s="113"/>
      <c r="E669" s="113"/>
      <c r="F669" s="113"/>
      <c r="G669" s="143" t="s">
        <v>144</v>
      </c>
      <c r="H669" s="101"/>
      <c r="I669" s="101">
        <v>65000</v>
      </c>
      <c r="J669" s="101">
        <v>65000</v>
      </c>
      <c r="K669" s="102">
        <v>65000</v>
      </c>
      <c r="L669" s="10"/>
    </row>
    <row r="670" spans="1:12" s="146" customFormat="1" ht="18" x14ac:dyDescent="0.25">
      <c r="A670" s="1305" t="s">
        <v>123</v>
      </c>
      <c r="B670" s="1305" t="s">
        <v>1317</v>
      </c>
      <c r="C670" s="125" t="s">
        <v>143</v>
      </c>
      <c r="D670" s="113"/>
      <c r="E670" s="113"/>
      <c r="F670" s="113"/>
      <c r="G670" s="143" t="s">
        <v>144</v>
      </c>
      <c r="H670" s="101"/>
      <c r="I670" s="101">
        <v>225000</v>
      </c>
      <c r="J670" s="101">
        <v>225000</v>
      </c>
      <c r="K670" s="102">
        <v>225000</v>
      </c>
      <c r="L670" s="10"/>
    </row>
    <row r="671" spans="1:12" s="146" customFormat="1" ht="18" customHeight="1" x14ac:dyDescent="0.25">
      <c r="A671" s="1305" t="s">
        <v>123</v>
      </c>
      <c r="B671" s="1305" t="s">
        <v>1317</v>
      </c>
      <c r="C671" s="125" t="s">
        <v>143</v>
      </c>
      <c r="D671" s="113"/>
      <c r="E671" s="113"/>
      <c r="F671" s="113"/>
      <c r="G671" s="143" t="s">
        <v>144</v>
      </c>
      <c r="H671" s="101"/>
      <c r="I671" s="101">
        <v>90000</v>
      </c>
      <c r="J671" s="101">
        <v>90000</v>
      </c>
      <c r="K671" s="102">
        <v>90000</v>
      </c>
      <c r="L671" s="10"/>
    </row>
    <row r="672" spans="1:12" s="146" customFormat="1" ht="18" customHeight="1" x14ac:dyDescent="0.25">
      <c r="A672" s="1305" t="s">
        <v>123</v>
      </c>
      <c r="B672" s="1305" t="s">
        <v>1317</v>
      </c>
      <c r="C672" s="125" t="s">
        <v>143</v>
      </c>
      <c r="D672" s="113"/>
      <c r="E672" s="113"/>
      <c r="F672" s="113"/>
      <c r="G672" s="143" t="s">
        <v>144</v>
      </c>
      <c r="H672" s="101"/>
      <c r="I672" s="101">
        <v>60000</v>
      </c>
      <c r="J672" s="101">
        <v>60000</v>
      </c>
      <c r="K672" s="102">
        <v>60000</v>
      </c>
      <c r="L672" s="10"/>
    </row>
    <row r="673" spans="1:12" s="146" customFormat="1" ht="18" customHeight="1" x14ac:dyDescent="0.25">
      <c r="A673" s="1305" t="s">
        <v>123</v>
      </c>
      <c r="B673" s="1305" t="s">
        <v>1317</v>
      </c>
      <c r="C673" s="125" t="s">
        <v>143</v>
      </c>
      <c r="D673" s="113"/>
      <c r="E673" s="113"/>
      <c r="F673" s="113"/>
      <c r="G673" s="143" t="s">
        <v>144</v>
      </c>
      <c r="H673" s="101"/>
      <c r="I673" s="101">
        <v>20000</v>
      </c>
      <c r="J673" s="101">
        <v>20000</v>
      </c>
      <c r="K673" s="102">
        <v>20000</v>
      </c>
      <c r="L673" s="10">
        <f>SUM(K655:K673)</f>
        <v>1195000</v>
      </c>
    </row>
    <row r="674" spans="1:12" s="146" customFormat="1" ht="18" customHeight="1" x14ac:dyDescent="0.25">
      <c r="A674" s="1305" t="s">
        <v>123</v>
      </c>
      <c r="B674" s="1305" t="s">
        <v>1317</v>
      </c>
      <c r="C674" s="125" t="s">
        <v>137</v>
      </c>
      <c r="D674" s="113"/>
      <c r="E674" s="113"/>
      <c r="F674" s="113"/>
      <c r="G674" s="716" t="s">
        <v>138</v>
      </c>
      <c r="H674" s="101"/>
      <c r="I674" s="101">
        <v>66000</v>
      </c>
      <c r="J674" s="101">
        <v>66000</v>
      </c>
      <c r="K674" s="102">
        <v>66000</v>
      </c>
      <c r="L674" s="10"/>
    </row>
    <row r="675" spans="1:12" s="229" customFormat="1" ht="18" customHeight="1" x14ac:dyDescent="0.25">
      <c r="A675" s="1305" t="s">
        <v>123</v>
      </c>
      <c r="B675" s="1305" t="s">
        <v>1317</v>
      </c>
      <c r="C675" s="125" t="s">
        <v>137</v>
      </c>
      <c r="D675" s="113"/>
      <c r="E675" s="113"/>
      <c r="F675" s="113"/>
      <c r="G675" s="143" t="s">
        <v>138</v>
      </c>
      <c r="H675" s="101"/>
      <c r="I675" s="101">
        <v>180000</v>
      </c>
      <c r="J675" s="101">
        <v>180000</v>
      </c>
      <c r="K675" s="102">
        <v>180000</v>
      </c>
      <c r="L675" s="207"/>
    </row>
    <row r="676" spans="1:12" s="229" customFormat="1" ht="18" customHeight="1" x14ac:dyDescent="0.25">
      <c r="A676" s="1305" t="s">
        <v>123</v>
      </c>
      <c r="B676" s="1305" t="s">
        <v>1317</v>
      </c>
      <c r="C676" s="125" t="s">
        <v>137</v>
      </c>
      <c r="D676" s="113"/>
      <c r="E676" s="113"/>
      <c r="F676" s="113"/>
      <c r="G676" s="716" t="s">
        <v>138</v>
      </c>
      <c r="H676" s="101"/>
      <c r="I676" s="101">
        <v>24000</v>
      </c>
      <c r="J676" s="101">
        <v>24000</v>
      </c>
      <c r="K676" s="102">
        <v>24000</v>
      </c>
      <c r="L676" s="207"/>
    </row>
    <row r="677" spans="1:12" s="229" customFormat="1" ht="18" customHeight="1" x14ac:dyDescent="0.25">
      <c r="A677" s="1305" t="s">
        <v>123</v>
      </c>
      <c r="B677" s="1305" t="s">
        <v>1317</v>
      </c>
      <c r="C677" s="125" t="s">
        <v>137</v>
      </c>
      <c r="D677" s="113"/>
      <c r="E677" s="113"/>
      <c r="F677" s="113"/>
      <c r="G677" s="716" t="s">
        <v>138</v>
      </c>
      <c r="H677" s="101"/>
      <c r="I677" s="101">
        <v>24000</v>
      </c>
      <c r="J677" s="101">
        <v>24000</v>
      </c>
      <c r="K677" s="102">
        <v>24000</v>
      </c>
      <c r="L677" s="207"/>
    </row>
    <row r="678" spans="1:12" s="229" customFormat="1" ht="18" customHeight="1" x14ac:dyDescent="0.25">
      <c r="A678" s="1305" t="s">
        <v>123</v>
      </c>
      <c r="B678" s="1305" t="s">
        <v>1317</v>
      </c>
      <c r="C678" s="125" t="s">
        <v>137</v>
      </c>
      <c r="D678" s="113"/>
      <c r="E678" s="113"/>
      <c r="F678" s="113"/>
      <c r="G678" s="143" t="s">
        <v>138</v>
      </c>
      <c r="H678" s="101"/>
      <c r="I678" s="101">
        <v>18000</v>
      </c>
      <c r="J678" s="101">
        <v>18000</v>
      </c>
      <c r="K678" s="102">
        <v>18000</v>
      </c>
      <c r="L678" s="207"/>
    </row>
    <row r="679" spans="1:12" s="229" customFormat="1" ht="18" customHeight="1" x14ac:dyDescent="0.25">
      <c r="A679" s="1305" t="s">
        <v>123</v>
      </c>
      <c r="B679" s="1305" t="s">
        <v>1317</v>
      </c>
      <c r="C679" s="125" t="s">
        <v>137</v>
      </c>
      <c r="D679" s="113"/>
      <c r="E679" s="113"/>
      <c r="F679" s="113"/>
      <c r="G679" s="143" t="s">
        <v>138</v>
      </c>
      <c r="H679" s="101"/>
      <c r="I679" s="101">
        <v>24000</v>
      </c>
      <c r="J679" s="101">
        <v>24000</v>
      </c>
      <c r="K679" s="102">
        <v>24000</v>
      </c>
      <c r="L679" s="207"/>
    </row>
    <row r="680" spans="1:12" s="229" customFormat="1" ht="18" customHeight="1" x14ac:dyDescent="0.25">
      <c r="A680" s="1305" t="s">
        <v>123</v>
      </c>
      <c r="B680" s="1305" t="s">
        <v>1317</v>
      </c>
      <c r="C680" s="125" t="s">
        <v>137</v>
      </c>
      <c r="D680" s="113"/>
      <c r="E680" s="113"/>
      <c r="F680" s="113"/>
      <c r="G680" s="143" t="s">
        <v>138</v>
      </c>
      <c r="H680" s="101"/>
      <c r="I680" s="101">
        <v>42000</v>
      </c>
      <c r="J680" s="101">
        <v>42000</v>
      </c>
      <c r="K680" s="102">
        <v>42000</v>
      </c>
      <c r="L680" s="207"/>
    </row>
    <row r="681" spans="1:12" s="229" customFormat="1" ht="18" customHeight="1" x14ac:dyDescent="0.25">
      <c r="A681" s="1305" t="s">
        <v>123</v>
      </c>
      <c r="B681" s="1305" t="s">
        <v>1317</v>
      </c>
      <c r="C681" s="125" t="s">
        <v>137</v>
      </c>
      <c r="D681" s="113"/>
      <c r="E681" s="113"/>
      <c r="F681" s="113"/>
      <c r="G681" s="143" t="s">
        <v>138</v>
      </c>
      <c r="H681" s="101"/>
      <c r="I681" s="101">
        <v>222000</v>
      </c>
      <c r="J681" s="101">
        <v>222000</v>
      </c>
      <c r="K681" s="102">
        <v>222000</v>
      </c>
      <c r="L681" s="207"/>
    </row>
    <row r="682" spans="1:12" s="229" customFormat="1" ht="18" customHeight="1" x14ac:dyDescent="0.25">
      <c r="A682" s="1305" t="s">
        <v>123</v>
      </c>
      <c r="B682" s="1305" t="s">
        <v>1317</v>
      </c>
      <c r="C682" s="125" t="s">
        <v>137</v>
      </c>
      <c r="D682" s="113"/>
      <c r="E682" s="113"/>
      <c r="F682" s="113"/>
      <c r="G682" s="143" t="s">
        <v>138</v>
      </c>
      <c r="H682" s="101"/>
      <c r="I682" s="101">
        <v>108000</v>
      </c>
      <c r="J682" s="101">
        <v>108000</v>
      </c>
      <c r="K682" s="102">
        <v>108000</v>
      </c>
      <c r="L682" s="207"/>
    </row>
    <row r="683" spans="1:12" s="229" customFormat="1" ht="18" customHeight="1" x14ac:dyDescent="0.25">
      <c r="A683" s="1305" t="s">
        <v>123</v>
      </c>
      <c r="B683" s="1305" t="s">
        <v>1317</v>
      </c>
      <c r="C683" s="125" t="s">
        <v>137</v>
      </c>
      <c r="D683" s="113"/>
      <c r="E683" s="113"/>
      <c r="F683" s="113"/>
      <c r="G683" s="143" t="s">
        <v>138</v>
      </c>
      <c r="H683" s="105"/>
      <c r="I683" s="105">
        <v>18000</v>
      </c>
      <c r="J683" s="105">
        <v>18000</v>
      </c>
      <c r="K683" s="106">
        <v>18000</v>
      </c>
      <c r="L683" s="207"/>
    </row>
    <row r="684" spans="1:12" s="146" customFormat="1" ht="18" customHeight="1" x14ac:dyDescent="0.25">
      <c r="A684" s="1305" t="s">
        <v>123</v>
      </c>
      <c r="B684" s="1305" t="s">
        <v>1317</v>
      </c>
      <c r="C684" s="125" t="s">
        <v>137</v>
      </c>
      <c r="D684" s="113"/>
      <c r="E684" s="113"/>
      <c r="F684" s="113"/>
      <c r="G684" s="716" t="s">
        <v>138</v>
      </c>
      <c r="H684" s="101"/>
      <c r="I684" s="101">
        <v>12000</v>
      </c>
      <c r="J684" s="101">
        <v>12000</v>
      </c>
      <c r="K684" s="102">
        <v>12000</v>
      </c>
      <c r="L684" s="10"/>
    </row>
    <row r="685" spans="1:12" s="146" customFormat="1" ht="18" customHeight="1" x14ac:dyDescent="0.25">
      <c r="A685" s="1305" t="s">
        <v>123</v>
      </c>
      <c r="B685" s="1305" t="s">
        <v>1317</v>
      </c>
      <c r="C685" s="125" t="s">
        <v>137</v>
      </c>
      <c r="D685" s="113"/>
      <c r="E685" s="113"/>
      <c r="F685" s="113"/>
      <c r="G685" s="716" t="s">
        <v>138</v>
      </c>
      <c r="H685" s="101"/>
      <c r="I685" s="101">
        <v>24000</v>
      </c>
      <c r="J685" s="101">
        <v>24000</v>
      </c>
      <c r="K685" s="102">
        <v>24000</v>
      </c>
      <c r="L685" s="10"/>
    </row>
    <row r="686" spans="1:12" s="146" customFormat="1" ht="18" customHeight="1" x14ac:dyDescent="0.25">
      <c r="A686" s="1305" t="s">
        <v>123</v>
      </c>
      <c r="B686" s="1305" t="s">
        <v>1317</v>
      </c>
      <c r="C686" s="125" t="s">
        <v>137</v>
      </c>
      <c r="D686" s="113"/>
      <c r="E686" s="113"/>
      <c r="F686" s="113"/>
      <c r="G686" s="716" t="s">
        <v>138</v>
      </c>
      <c r="H686" s="101"/>
      <c r="I686" s="101">
        <v>84000</v>
      </c>
      <c r="J686" s="101">
        <v>84000</v>
      </c>
      <c r="K686" s="102">
        <v>84000</v>
      </c>
      <c r="L686" s="10"/>
    </row>
    <row r="687" spans="1:12" s="146" customFormat="1" ht="18" customHeight="1" x14ac:dyDescent="0.25">
      <c r="A687" s="1305" t="s">
        <v>123</v>
      </c>
      <c r="B687" s="1305" t="s">
        <v>1317</v>
      </c>
      <c r="C687" s="125" t="s">
        <v>137</v>
      </c>
      <c r="D687" s="113"/>
      <c r="E687" s="113"/>
      <c r="F687" s="113"/>
      <c r="G687" s="716" t="s">
        <v>138</v>
      </c>
      <c r="H687" s="101"/>
      <c r="I687" s="101">
        <v>36000</v>
      </c>
      <c r="J687" s="101">
        <v>36000</v>
      </c>
      <c r="K687" s="102">
        <v>36000</v>
      </c>
      <c r="L687" s="10"/>
    </row>
    <row r="688" spans="1:12" s="146" customFormat="1" ht="18" customHeight="1" x14ac:dyDescent="0.25">
      <c r="A688" s="1305" t="s">
        <v>123</v>
      </c>
      <c r="B688" s="1305" t="s">
        <v>1317</v>
      </c>
      <c r="C688" s="125" t="s">
        <v>137</v>
      </c>
      <c r="D688" s="113"/>
      <c r="E688" s="113"/>
      <c r="F688" s="113"/>
      <c r="G688" s="143" t="s">
        <v>138</v>
      </c>
      <c r="H688" s="101"/>
      <c r="I688" s="101">
        <v>78000</v>
      </c>
      <c r="J688" s="101">
        <v>78000</v>
      </c>
      <c r="K688" s="102">
        <v>78000</v>
      </c>
      <c r="L688" s="10"/>
    </row>
    <row r="689" spans="1:12" s="146" customFormat="1" ht="18" x14ac:dyDescent="0.25">
      <c r="A689" s="1305" t="s">
        <v>123</v>
      </c>
      <c r="B689" s="1305" t="s">
        <v>1317</v>
      </c>
      <c r="C689" s="125" t="s">
        <v>137</v>
      </c>
      <c r="D689" s="113"/>
      <c r="E689" s="113"/>
      <c r="F689" s="113"/>
      <c r="G689" s="143" t="s">
        <v>138</v>
      </c>
      <c r="H689" s="101"/>
      <c r="I689" s="101">
        <v>270000</v>
      </c>
      <c r="J689" s="101">
        <v>270000</v>
      </c>
      <c r="K689" s="102">
        <v>270000</v>
      </c>
      <c r="L689" s="10"/>
    </row>
    <row r="690" spans="1:12" s="146" customFormat="1" ht="18" customHeight="1" x14ac:dyDescent="0.25">
      <c r="A690" s="1305" t="s">
        <v>123</v>
      </c>
      <c r="B690" s="1305" t="s">
        <v>1317</v>
      </c>
      <c r="C690" s="125" t="s">
        <v>137</v>
      </c>
      <c r="D690" s="113"/>
      <c r="E690" s="113"/>
      <c r="F690" s="113"/>
      <c r="G690" s="143" t="s">
        <v>138</v>
      </c>
      <c r="H690" s="101"/>
      <c r="I690" s="101">
        <v>108000</v>
      </c>
      <c r="J690" s="101">
        <v>108000</v>
      </c>
      <c r="K690" s="102">
        <v>108000</v>
      </c>
      <c r="L690" s="10"/>
    </row>
    <row r="691" spans="1:12" s="146" customFormat="1" ht="18" customHeight="1" x14ac:dyDescent="0.25">
      <c r="A691" s="1305" t="s">
        <v>123</v>
      </c>
      <c r="B691" s="1305" t="s">
        <v>1317</v>
      </c>
      <c r="C691" s="125" t="s">
        <v>137</v>
      </c>
      <c r="D691" s="113"/>
      <c r="E691" s="113"/>
      <c r="F691" s="113"/>
      <c r="G691" s="143" t="s">
        <v>138</v>
      </c>
      <c r="H691" s="101"/>
      <c r="I691" s="101">
        <v>72000</v>
      </c>
      <c r="J691" s="101">
        <v>72000</v>
      </c>
      <c r="K691" s="102">
        <v>72000</v>
      </c>
      <c r="L691" s="10"/>
    </row>
    <row r="692" spans="1:12" s="146" customFormat="1" ht="18" customHeight="1" x14ac:dyDescent="0.25">
      <c r="A692" s="1305" t="s">
        <v>123</v>
      </c>
      <c r="B692" s="1305" t="s">
        <v>1317</v>
      </c>
      <c r="C692" s="125" t="s">
        <v>137</v>
      </c>
      <c r="D692" s="113"/>
      <c r="E692" s="113"/>
      <c r="F692" s="113"/>
      <c r="G692" s="143" t="s">
        <v>138</v>
      </c>
      <c r="H692" s="101"/>
      <c r="I692" s="101">
        <v>24000</v>
      </c>
      <c r="J692" s="101">
        <v>24000</v>
      </c>
      <c r="K692" s="102">
        <v>24000</v>
      </c>
      <c r="L692" s="10">
        <f>SUM(K674:K692)</f>
        <v>1434000</v>
      </c>
    </row>
    <row r="693" spans="1:12" s="146" customFormat="1" ht="18" customHeight="1" x14ac:dyDescent="0.25">
      <c r="A693" s="1305" t="s">
        <v>123</v>
      </c>
      <c r="B693" s="1305" t="s">
        <v>1317</v>
      </c>
      <c r="C693" s="125" t="s">
        <v>1546</v>
      </c>
      <c r="D693" s="113"/>
      <c r="E693" s="113"/>
      <c r="F693" s="113"/>
      <c r="G693" s="716" t="s">
        <v>160</v>
      </c>
      <c r="H693" s="101"/>
      <c r="I693" s="101">
        <v>13200</v>
      </c>
      <c r="J693" s="101">
        <v>13200</v>
      </c>
      <c r="K693" s="102">
        <v>13200</v>
      </c>
      <c r="L693" s="10"/>
    </row>
    <row r="694" spans="1:12" s="146" customFormat="1" ht="18" x14ac:dyDescent="0.25">
      <c r="A694" s="1305" t="s">
        <v>123</v>
      </c>
      <c r="B694" s="1305" t="s">
        <v>1317</v>
      </c>
      <c r="C694" s="125" t="s">
        <v>1546</v>
      </c>
      <c r="D694" s="113"/>
      <c r="E694" s="113"/>
      <c r="F694" s="113"/>
      <c r="G694" s="143" t="s">
        <v>160</v>
      </c>
      <c r="H694" s="101"/>
      <c r="I694" s="101">
        <v>36000</v>
      </c>
      <c r="J694" s="101">
        <v>36000</v>
      </c>
      <c r="K694" s="102">
        <v>36000</v>
      </c>
      <c r="L694" s="10"/>
    </row>
    <row r="695" spans="1:12" s="146" customFormat="1" ht="18" customHeight="1" x14ac:dyDescent="0.25">
      <c r="A695" s="1305" t="s">
        <v>123</v>
      </c>
      <c r="B695" s="1305" t="s">
        <v>1317</v>
      </c>
      <c r="C695" s="125" t="s">
        <v>1546</v>
      </c>
      <c r="D695" s="113"/>
      <c r="E695" s="113"/>
      <c r="F695" s="113"/>
      <c r="G695" s="716" t="s">
        <v>160</v>
      </c>
      <c r="H695" s="101"/>
      <c r="I695" s="101">
        <v>4800</v>
      </c>
      <c r="J695" s="101">
        <v>4800</v>
      </c>
      <c r="K695" s="102">
        <v>4800</v>
      </c>
      <c r="L695" s="10"/>
    </row>
    <row r="696" spans="1:12" s="146" customFormat="1" ht="18" x14ac:dyDescent="0.25">
      <c r="A696" s="1305" t="s">
        <v>123</v>
      </c>
      <c r="B696" s="1305" t="s">
        <v>1317</v>
      </c>
      <c r="C696" s="125" t="s">
        <v>1546</v>
      </c>
      <c r="D696" s="113"/>
      <c r="E696" s="113"/>
      <c r="F696" s="113"/>
      <c r="G696" s="716" t="s">
        <v>160</v>
      </c>
      <c r="H696" s="101"/>
      <c r="I696" s="101">
        <v>4800</v>
      </c>
      <c r="J696" s="101">
        <v>4800</v>
      </c>
      <c r="K696" s="102">
        <v>4800</v>
      </c>
      <c r="L696" s="10"/>
    </row>
    <row r="697" spans="1:12" s="146" customFormat="1" ht="18" x14ac:dyDescent="0.25">
      <c r="A697" s="1305" t="s">
        <v>123</v>
      </c>
      <c r="B697" s="1305" t="s">
        <v>1317</v>
      </c>
      <c r="C697" s="125" t="s">
        <v>1546</v>
      </c>
      <c r="D697" s="113"/>
      <c r="E697" s="113"/>
      <c r="F697" s="113"/>
      <c r="G697" s="143" t="s">
        <v>160</v>
      </c>
      <c r="H697" s="101"/>
      <c r="I697" s="101">
        <v>3600</v>
      </c>
      <c r="J697" s="101">
        <v>3600</v>
      </c>
      <c r="K697" s="102">
        <v>3600</v>
      </c>
      <c r="L697" s="10"/>
    </row>
    <row r="698" spans="1:12" s="146" customFormat="1" ht="18" customHeight="1" x14ac:dyDescent="0.25">
      <c r="A698" s="1305" t="s">
        <v>123</v>
      </c>
      <c r="B698" s="1305" t="s">
        <v>1317</v>
      </c>
      <c r="C698" s="125" t="s">
        <v>1546</v>
      </c>
      <c r="D698" s="113"/>
      <c r="E698" s="113"/>
      <c r="F698" s="113"/>
      <c r="G698" s="143" t="s">
        <v>160</v>
      </c>
      <c r="H698" s="101"/>
      <c r="I698" s="101">
        <v>4800</v>
      </c>
      <c r="J698" s="101">
        <v>4800</v>
      </c>
      <c r="K698" s="102">
        <v>4800</v>
      </c>
      <c r="L698" s="10"/>
    </row>
    <row r="699" spans="1:12" s="146" customFormat="1" ht="18" customHeight="1" x14ac:dyDescent="0.25">
      <c r="A699" s="1305" t="s">
        <v>123</v>
      </c>
      <c r="B699" s="1305" t="s">
        <v>1317</v>
      </c>
      <c r="C699" s="125" t="s">
        <v>1546</v>
      </c>
      <c r="D699" s="113"/>
      <c r="E699" s="113"/>
      <c r="F699" s="113"/>
      <c r="G699" s="143" t="s">
        <v>160</v>
      </c>
      <c r="H699" s="101"/>
      <c r="I699" s="101">
        <v>8400</v>
      </c>
      <c r="J699" s="101">
        <v>8400</v>
      </c>
      <c r="K699" s="102">
        <v>8400</v>
      </c>
      <c r="L699" s="10"/>
    </row>
    <row r="700" spans="1:12" s="146" customFormat="1" ht="18" x14ac:dyDescent="0.25">
      <c r="A700" s="1305" t="s">
        <v>123</v>
      </c>
      <c r="B700" s="1305" t="s">
        <v>1317</v>
      </c>
      <c r="C700" s="125" t="s">
        <v>1546</v>
      </c>
      <c r="D700" s="113"/>
      <c r="E700" s="113"/>
      <c r="F700" s="113"/>
      <c r="G700" s="143" t="s">
        <v>160</v>
      </c>
      <c r="H700" s="101"/>
      <c r="I700" s="101">
        <v>44400</v>
      </c>
      <c r="J700" s="101">
        <v>44400</v>
      </c>
      <c r="K700" s="102">
        <v>44400</v>
      </c>
      <c r="L700" s="10"/>
    </row>
    <row r="701" spans="1:12" s="146" customFormat="1" ht="18" customHeight="1" x14ac:dyDescent="0.25">
      <c r="A701" s="1305" t="s">
        <v>123</v>
      </c>
      <c r="B701" s="1305" t="s">
        <v>1317</v>
      </c>
      <c r="C701" s="125" t="s">
        <v>1546</v>
      </c>
      <c r="D701" s="113"/>
      <c r="E701" s="113"/>
      <c r="F701" s="113"/>
      <c r="G701" s="143" t="s">
        <v>160</v>
      </c>
      <c r="H701" s="101"/>
      <c r="I701" s="101">
        <v>21600</v>
      </c>
      <c r="J701" s="101">
        <v>21600</v>
      </c>
      <c r="K701" s="102">
        <v>21600</v>
      </c>
      <c r="L701" s="10"/>
    </row>
    <row r="702" spans="1:12" s="146" customFormat="1" ht="18" customHeight="1" x14ac:dyDescent="0.25">
      <c r="A702" s="1305" t="s">
        <v>123</v>
      </c>
      <c r="B702" s="1305" t="s">
        <v>1317</v>
      </c>
      <c r="C702" s="125" t="s">
        <v>1546</v>
      </c>
      <c r="D702" s="113"/>
      <c r="E702" s="113"/>
      <c r="F702" s="113"/>
      <c r="G702" s="143" t="s">
        <v>160</v>
      </c>
      <c r="H702" s="101"/>
      <c r="I702" s="101">
        <v>3600</v>
      </c>
      <c r="J702" s="101">
        <v>3600</v>
      </c>
      <c r="K702" s="102">
        <v>3600</v>
      </c>
      <c r="L702" s="10"/>
    </row>
    <row r="703" spans="1:12" s="146" customFormat="1" ht="18" customHeight="1" x14ac:dyDescent="0.25">
      <c r="A703" s="1305" t="s">
        <v>123</v>
      </c>
      <c r="B703" s="1305" t="s">
        <v>1317</v>
      </c>
      <c r="C703" s="125" t="s">
        <v>1546</v>
      </c>
      <c r="D703" s="113"/>
      <c r="E703" s="113"/>
      <c r="F703" s="113"/>
      <c r="G703" s="716" t="s">
        <v>160</v>
      </c>
      <c r="H703" s="101"/>
      <c r="I703" s="101">
        <v>2400</v>
      </c>
      <c r="J703" s="101">
        <v>2400</v>
      </c>
      <c r="K703" s="102">
        <v>2400</v>
      </c>
      <c r="L703" s="10"/>
    </row>
    <row r="704" spans="1:12" s="146" customFormat="1" ht="18" customHeight="1" x14ac:dyDescent="0.25">
      <c r="A704" s="1305" t="s">
        <v>123</v>
      </c>
      <c r="B704" s="1305" t="s">
        <v>1317</v>
      </c>
      <c r="C704" s="125" t="s">
        <v>1546</v>
      </c>
      <c r="D704" s="113"/>
      <c r="E704" s="113"/>
      <c r="F704" s="113"/>
      <c r="G704" s="716" t="s">
        <v>160</v>
      </c>
      <c r="H704" s="101"/>
      <c r="I704" s="101">
        <v>4800</v>
      </c>
      <c r="J704" s="101">
        <v>4800</v>
      </c>
      <c r="K704" s="102">
        <v>4800</v>
      </c>
      <c r="L704" s="10"/>
    </row>
    <row r="705" spans="1:12" s="146" customFormat="1" ht="18" customHeight="1" x14ac:dyDescent="0.25">
      <c r="A705" s="1305" t="s">
        <v>123</v>
      </c>
      <c r="B705" s="1305" t="s">
        <v>1317</v>
      </c>
      <c r="C705" s="125" t="s">
        <v>1546</v>
      </c>
      <c r="D705" s="113"/>
      <c r="E705" s="113"/>
      <c r="F705" s="113"/>
      <c r="G705" s="716" t="s">
        <v>160</v>
      </c>
      <c r="H705" s="101"/>
      <c r="I705" s="101">
        <v>16800</v>
      </c>
      <c r="J705" s="101">
        <v>16800</v>
      </c>
      <c r="K705" s="102">
        <v>16800</v>
      </c>
      <c r="L705" s="10"/>
    </row>
    <row r="706" spans="1:12" s="212" customFormat="1" ht="18" customHeight="1" x14ac:dyDescent="0.25">
      <c r="A706" s="1305" t="s">
        <v>123</v>
      </c>
      <c r="B706" s="1305" t="s">
        <v>1317</v>
      </c>
      <c r="C706" s="125" t="s">
        <v>1546</v>
      </c>
      <c r="D706" s="113"/>
      <c r="E706" s="113"/>
      <c r="F706" s="113"/>
      <c r="G706" s="716" t="s">
        <v>160</v>
      </c>
      <c r="H706" s="101"/>
      <c r="I706" s="101">
        <v>7200</v>
      </c>
      <c r="J706" s="101">
        <v>7200</v>
      </c>
      <c r="K706" s="102">
        <v>7200</v>
      </c>
      <c r="L706" s="207"/>
    </row>
    <row r="707" spans="1:12" s="212" customFormat="1" ht="18" customHeight="1" x14ac:dyDescent="0.25">
      <c r="A707" s="1305" t="s">
        <v>123</v>
      </c>
      <c r="B707" s="1305" t="s">
        <v>1317</v>
      </c>
      <c r="C707" s="125" t="s">
        <v>1546</v>
      </c>
      <c r="D707" s="113"/>
      <c r="E707" s="113"/>
      <c r="F707" s="113"/>
      <c r="G707" s="143" t="s">
        <v>160</v>
      </c>
      <c r="H707" s="101"/>
      <c r="I707" s="101">
        <v>15600</v>
      </c>
      <c r="J707" s="101">
        <v>15600</v>
      </c>
      <c r="K707" s="102">
        <v>15600</v>
      </c>
      <c r="L707" s="207"/>
    </row>
    <row r="708" spans="1:12" s="212" customFormat="1" ht="18" customHeight="1" x14ac:dyDescent="0.25">
      <c r="A708" s="1305" t="s">
        <v>123</v>
      </c>
      <c r="B708" s="1305" t="s">
        <v>1317</v>
      </c>
      <c r="C708" s="125" t="s">
        <v>1546</v>
      </c>
      <c r="D708" s="113"/>
      <c r="E708" s="113"/>
      <c r="F708" s="113"/>
      <c r="G708" s="143" t="s">
        <v>160</v>
      </c>
      <c r="H708" s="101"/>
      <c r="I708" s="101">
        <v>54000</v>
      </c>
      <c r="J708" s="101">
        <v>54000</v>
      </c>
      <c r="K708" s="102">
        <v>54000</v>
      </c>
      <c r="L708" s="207"/>
    </row>
    <row r="709" spans="1:12" s="212" customFormat="1" ht="18" customHeight="1" x14ac:dyDescent="0.25">
      <c r="A709" s="1305" t="s">
        <v>123</v>
      </c>
      <c r="B709" s="1305" t="s">
        <v>1317</v>
      </c>
      <c r="C709" s="125" t="s">
        <v>1546</v>
      </c>
      <c r="D709" s="113"/>
      <c r="E709" s="113"/>
      <c r="F709" s="113"/>
      <c r="G709" s="143" t="s">
        <v>160</v>
      </c>
      <c r="H709" s="101"/>
      <c r="I709" s="101">
        <v>21600</v>
      </c>
      <c r="J709" s="101">
        <v>21600</v>
      </c>
      <c r="K709" s="102">
        <v>21600</v>
      </c>
      <c r="L709" s="207"/>
    </row>
    <row r="710" spans="1:12" s="212" customFormat="1" ht="18" x14ac:dyDescent="0.25">
      <c r="A710" s="1305" t="s">
        <v>123</v>
      </c>
      <c r="B710" s="1305" t="s">
        <v>1317</v>
      </c>
      <c r="C710" s="125" t="s">
        <v>1546</v>
      </c>
      <c r="D710" s="113"/>
      <c r="E710" s="113"/>
      <c r="F710" s="113"/>
      <c r="G710" s="143" t="s">
        <v>160</v>
      </c>
      <c r="H710" s="101"/>
      <c r="I710" s="101">
        <v>14400</v>
      </c>
      <c r="J710" s="101">
        <v>14400</v>
      </c>
      <c r="K710" s="102">
        <v>14400</v>
      </c>
      <c r="L710" s="207"/>
    </row>
    <row r="711" spans="1:12" s="212" customFormat="1" ht="18" customHeight="1" x14ac:dyDescent="0.25">
      <c r="A711" s="1305" t="s">
        <v>123</v>
      </c>
      <c r="B711" s="1305" t="s">
        <v>1317</v>
      </c>
      <c r="C711" s="125" t="s">
        <v>1546</v>
      </c>
      <c r="D711" s="113"/>
      <c r="E711" s="113"/>
      <c r="F711" s="113"/>
      <c r="G711" s="143" t="s">
        <v>160</v>
      </c>
      <c r="H711" s="101"/>
      <c r="I711" s="101">
        <v>4800</v>
      </c>
      <c r="J711" s="101">
        <v>4800</v>
      </c>
      <c r="K711" s="102">
        <v>4800</v>
      </c>
      <c r="L711" s="207">
        <f>SUM(K693:K711)</f>
        <v>286800</v>
      </c>
    </row>
    <row r="712" spans="1:12" s="146" customFormat="1" ht="17.45" customHeight="1" x14ac:dyDescent="0.25">
      <c r="A712" s="1305" t="s">
        <v>123</v>
      </c>
      <c r="B712" s="1305" t="s">
        <v>1317</v>
      </c>
      <c r="C712" s="1306" t="s">
        <v>1568</v>
      </c>
      <c r="D712" s="1305"/>
      <c r="E712" s="1305"/>
      <c r="F712" s="1305"/>
      <c r="G712" s="716"/>
      <c r="H712" s="101"/>
      <c r="I712" s="101"/>
      <c r="J712" s="101"/>
      <c r="K712" s="102">
        <v>10000</v>
      </c>
      <c r="L712" s="10"/>
    </row>
    <row r="713" spans="1:12" s="146" customFormat="1" ht="17.45" customHeight="1" x14ac:dyDescent="0.25">
      <c r="A713" s="1305" t="s">
        <v>123</v>
      </c>
      <c r="B713" s="1305" t="s">
        <v>1317</v>
      </c>
      <c r="C713" s="1306" t="s">
        <v>1568</v>
      </c>
      <c r="D713" s="1305"/>
      <c r="E713" s="1305"/>
      <c r="F713" s="1305"/>
      <c r="G713" s="143"/>
      <c r="H713" s="101"/>
      <c r="I713" s="101"/>
      <c r="J713" s="101"/>
      <c r="K713" s="102">
        <v>5000</v>
      </c>
      <c r="L713" s="10"/>
    </row>
    <row r="714" spans="1:12" s="146" customFormat="1" ht="17.45" customHeight="1" x14ac:dyDescent="0.25">
      <c r="A714" s="1305" t="s">
        <v>123</v>
      </c>
      <c r="B714" s="1305" t="s">
        <v>1317</v>
      </c>
      <c r="C714" s="1306" t="s">
        <v>1568</v>
      </c>
      <c r="D714" s="1305"/>
      <c r="E714" s="1305"/>
      <c r="F714" s="1305"/>
      <c r="G714" s="143"/>
      <c r="H714" s="101"/>
      <c r="I714" s="101"/>
      <c r="J714" s="101"/>
      <c r="K714" s="102">
        <v>5000</v>
      </c>
      <c r="L714" s="10"/>
    </row>
    <row r="715" spans="1:12" s="146" customFormat="1" ht="17.45" customHeight="1" x14ac:dyDescent="0.25">
      <c r="A715" s="1305" t="s">
        <v>123</v>
      </c>
      <c r="B715" s="1305" t="s">
        <v>1317</v>
      </c>
      <c r="C715" s="125" t="s">
        <v>1633</v>
      </c>
      <c r="D715" s="113"/>
      <c r="E715" s="113"/>
      <c r="F715" s="113"/>
      <c r="G715" s="143" t="s">
        <v>232</v>
      </c>
      <c r="H715" s="101"/>
      <c r="I715" s="101"/>
      <c r="J715" s="101"/>
      <c r="K715" s="102">
        <v>5000</v>
      </c>
      <c r="L715" s="10"/>
    </row>
    <row r="716" spans="1:12" s="146" customFormat="1" ht="17.45" customHeight="1" x14ac:dyDescent="0.25">
      <c r="A716" s="1305" t="s">
        <v>123</v>
      </c>
      <c r="B716" s="1305" t="s">
        <v>1317</v>
      </c>
      <c r="C716" s="125" t="s">
        <v>1568</v>
      </c>
      <c r="D716" s="113"/>
      <c r="E716" s="113"/>
      <c r="F716" s="113"/>
      <c r="G716" s="143" t="s">
        <v>232</v>
      </c>
      <c r="H716" s="101"/>
      <c r="I716" s="101"/>
      <c r="J716" s="101"/>
      <c r="K716" s="102">
        <v>5000</v>
      </c>
      <c r="L716" s="10">
        <f>SUM(K712:K716)</f>
        <v>30000</v>
      </c>
    </row>
    <row r="717" spans="1:12" s="146" customFormat="1" ht="17.45" customHeight="1" x14ac:dyDescent="0.25">
      <c r="A717" s="1305" t="s">
        <v>123</v>
      </c>
      <c r="B717" s="1305" t="s">
        <v>1317</v>
      </c>
      <c r="C717" s="125" t="s">
        <v>1541</v>
      </c>
      <c r="D717" s="113"/>
      <c r="E717" s="113"/>
      <c r="F717" s="113"/>
      <c r="G717" s="716" t="s">
        <v>140</v>
      </c>
      <c r="H717" s="101"/>
      <c r="I717" s="101">
        <v>356579</v>
      </c>
      <c r="J717" s="101">
        <v>356579</v>
      </c>
      <c r="K717" s="102">
        <v>346523</v>
      </c>
      <c r="L717" s="10"/>
    </row>
    <row r="718" spans="1:12" s="146" customFormat="1" ht="17.45" customHeight="1" x14ac:dyDescent="0.25">
      <c r="A718" s="1305" t="s">
        <v>123</v>
      </c>
      <c r="B718" s="1305" t="s">
        <v>1317</v>
      </c>
      <c r="C718" s="125" t="s">
        <v>1541</v>
      </c>
      <c r="D718" s="113"/>
      <c r="E718" s="113"/>
      <c r="F718" s="113"/>
      <c r="G718" s="143" t="s">
        <v>140</v>
      </c>
      <c r="H718" s="101"/>
      <c r="I718" s="101">
        <v>397663</v>
      </c>
      <c r="J718" s="101">
        <v>397663</v>
      </c>
      <c r="K718" s="102">
        <v>382392</v>
      </c>
      <c r="L718" s="10"/>
    </row>
    <row r="719" spans="1:12" s="146" customFormat="1" ht="17.45" customHeight="1" x14ac:dyDescent="0.25">
      <c r="A719" s="1305" t="s">
        <v>123</v>
      </c>
      <c r="B719" s="1305" t="s">
        <v>1317</v>
      </c>
      <c r="C719" s="125" t="s">
        <v>1541</v>
      </c>
      <c r="D719" s="113"/>
      <c r="E719" s="113"/>
      <c r="F719" s="113"/>
      <c r="G719" s="716" t="s">
        <v>140</v>
      </c>
      <c r="H719" s="101"/>
      <c r="I719" s="101">
        <v>74876</v>
      </c>
      <c r="J719" s="101">
        <v>74876</v>
      </c>
      <c r="K719" s="102">
        <v>71779</v>
      </c>
      <c r="L719" s="10"/>
    </row>
    <row r="720" spans="1:12" s="146" customFormat="1" ht="20.25" customHeight="1" x14ac:dyDescent="0.25">
      <c r="A720" s="1305" t="s">
        <v>123</v>
      </c>
      <c r="B720" s="1305" t="s">
        <v>1317</v>
      </c>
      <c r="C720" s="125" t="s">
        <v>1541</v>
      </c>
      <c r="D720" s="113"/>
      <c r="E720" s="113"/>
      <c r="F720" s="113"/>
      <c r="G720" s="716" t="s">
        <v>140</v>
      </c>
      <c r="H720" s="101"/>
      <c r="I720" s="101">
        <v>79352</v>
      </c>
      <c r="J720" s="101">
        <v>79352</v>
      </c>
      <c r="K720" s="102">
        <v>75806</v>
      </c>
      <c r="L720" s="10"/>
    </row>
    <row r="721" spans="1:12" s="146" customFormat="1" ht="18" x14ac:dyDescent="0.25">
      <c r="A721" s="1305" t="s">
        <v>123</v>
      </c>
      <c r="B721" s="1305" t="s">
        <v>1317</v>
      </c>
      <c r="C721" s="125" t="s">
        <v>1541</v>
      </c>
      <c r="D721" s="113"/>
      <c r="E721" s="113"/>
      <c r="F721" s="113"/>
      <c r="G721" s="143" t="s">
        <v>140</v>
      </c>
      <c r="H721" s="101"/>
      <c r="I721" s="101">
        <v>63460</v>
      </c>
      <c r="J721" s="101">
        <v>63460</v>
      </c>
      <c r="K721" s="102">
        <v>60516</v>
      </c>
      <c r="L721" s="10"/>
    </row>
    <row r="722" spans="1:12" s="203" customFormat="1" ht="18" x14ac:dyDescent="0.25">
      <c r="A722" s="1305" t="s">
        <v>123</v>
      </c>
      <c r="B722" s="1305" t="s">
        <v>1317</v>
      </c>
      <c r="C722" s="125" t="s">
        <v>1541</v>
      </c>
      <c r="D722" s="113"/>
      <c r="E722" s="113"/>
      <c r="F722" s="113"/>
      <c r="G722" s="143" t="s">
        <v>140</v>
      </c>
      <c r="H722" s="101"/>
      <c r="I722" s="101">
        <v>106602</v>
      </c>
      <c r="J722" s="101">
        <v>106602</v>
      </c>
      <c r="K722" s="102">
        <v>103560</v>
      </c>
      <c r="L722" s="10"/>
    </row>
    <row r="723" spans="1:12" s="146" customFormat="1" ht="18" x14ac:dyDescent="0.25">
      <c r="A723" s="1305" t="s">
        <v>123</v>
      </c>
      <c r="B723" s="1305" t="s">
        <v>1317</v>
      </c>
      <c r="C723" s="125" t="s">
        <v>1541</v>
      </c>
      <c r="D723" s="113"/>
      <c r="E723" s="113"/>
      <c r="F723" s="113"/>
      <c r="G723" s="143" t="s">
        <v>140</v>
      </c>
      <c r="H723" s="101"/>
      <c r="I723" s="101">
        <v>211293</v>
      </c>
      <c r="J723" s="101">
        <v>211293</v>
      </c>
      <c r="K723" s="102">
        <v>204979</v>
      </c>
      <c r="L723" s="10"/>
    </row>
    <row r="724" spans="1:12" s="146" customFormat="1" ht="18" x14ac:dyDescent="0.25">
      <c r="A724" s="1305" t="s">
        <v>123</v>
      </c>
      <c r="B724" s="1305" t="s">
        <v>1317</v>
      </c>
      <c r="C724" s="125" t="s">
        <v>1541</v>
      </c>
      <c r="D724" s="113"/>
      <c r="E724" s="113"/>
      <c r="F724" s="113"/>
      <c r="G724" s="143" t="s">
        <v>140</v>
      </c>
      <c r="H724" s="101"/>
      <c r="I724" s="101">
        <v>1299549</v>
      </c>
      <c r="J724" s="101">
        <v>1299549</v>
      </c>
      <c r="K724" s="102">
        <v>1264756</v>
      </c>
      <c r="L724" s="10"/>
    </row>
    <row r="725" spans="1:12" s="146" customFormat="1" ht="18" x14ac:dyDescent="0.25">
      <c r="A725" s="1305" t="s">
        <v>123</v>
      </c>
      <c r="B725" s="1305" t="s">
        <v>1317</v>
      </c>
      <c r="C725" s="125" t="s">
        <v>1541</v>
      </c>
      <c r="D725" s="113"/>
      <c r="E725" s="113"/>
      <c r="F725" s="113"/>
      <c r="G725" s="143" t="s">
        <v>140</v>
      </c>
      <c r="H725" s="101"/>
      <c r="I725" s="101">
        <v>374393</v>
      </c>
      <c r="J725" s="101">
        <v>374393</v>
      </c>
      <c r="K725" s="102">
        <v>360457</v>
      </c>
      <c r="L725" s="10"/>
    </row>
    <row r="726" spans="1:12" s="146" customFormat="1" ht="18" x14ac:dyDescent="0.25">
      <c r="A726" s="1305" t="s">
        <v>123</v>
      </c>
      <c r="B726" s="1305" t="s">
        <v>1317</v>
      </c>
      <c r="C726" s="125" t="s">
        <v>1541</v>
      </c>
      <c r="D726" s="113"/>
      <c r="E726" s="113"/>
      <c r="F726" s="113"/>
      <c r="G726" s="143" t="s">
        <v>140</v>
      </c>
      <c r="H726" s="101"/>
      <c r="I726" s="101">
        <v>108663</v>
      </c>
      <c r="J726" s="101">
        <v>108663</v>
      </c>
      <c r="K726" s="102">
        <v>106126</v>
      </c>
      <c r="L726" s="10"/>
    </row>
    <row r="727" spans="1:12" s="146" customFormat="1" ht="18" x14ac:dyDescent="0.25">
      <c r="A727" s="1305" t="s">
        <v>123</v>
      </c>
      <c r="B727" s="1305" t="s">
        <v>1317</v>
      </c>
      <c r="C727" s="125" t="s">
        <v>1541</v>
      </c>
      <c r="D727" s="113"/>
      <c r="E727" s="113"/>
      <c r="F727" s="113"/>
      <c r="G727" s="716" t="s">
        <v>140</v>
      </c>
      <c r="H727" s="101"/>
      <c r="I727" s="101">
        <v>94621</v>
      </c>
      <c r="J727" s="101">
        <v>94621</v>
      </c>
      <c r="K727" s="102">
        <v>92624</v>
      </c>
      <c r="L727" s="10"/>
    </row>
    <row r="728" spans="1:12" s="146" customFormat="1" ht="18" x14ac:dyDescent="0.25">
      <c r="A728" s="1305" t="s">
        <v>123</v>
      </c>
      <c r="B728" s="1305" t="s">
        <v>1317</v>
      </c>
      <c r="C728" s="125" t="s">
        <v>1541</v>
      </c>
      <c r="D728" s="113"/>
      <c r="E728" s="113"/>
      <c r="F728" s="113"/>
      <c r="G728" s="716" t="s">
        <v>140</v>
      </c>
      <c r="H728" s="101"/>
      <c r="I728" s="101">
        <v>168135</v>
      </c>
      <c r="J728" s="101">
        <v>168135</v>
      </c>
      <c r="K728" s="102">
        <v>163533</v>
      </c>
      <c r="L728" s="10"/>
    </row>
    <row r="729" spans="1:12" s="146" customFormat="1" ht="18" x14ac:dyDescent="0.25">
      <c r="A729" s="1305" t="s">
        <v>123</v>
      </c>
      <c r="B729" s="1305" t="s">
        <v>1317</v>
      </c>
      <c r="C729" s="125" t="s">
        <v>1541</v>
      </c>
      <c r="D729" s="113"/>
      <c r="E729" s="113"/>
      <c r="F729" s="113"/>
      <c r="G729" s="716" t="s">
        <v>140</v>
      </c>
      <c r="H729" s="101"/>
      <c r="I729" s="101">
        <v>377655</v>
      </c>
      <c r="J729" s="101">
        <v>377655</v>
      </c>
      <c r="K729" s="102">
        <v>363914</v>
      </c>
      <c r="L729" s="10"/>
    </row>
    <row r="730" spans="1:12" ht="18" x14ac:dyDescent="0.25">
      <c r="A730" s="1305" t="s">
        <v>123</v>
      </c>
      <c r="B730" s="1305" t="s">
        <v>1317</v>
      </c>
      <c r="C730" s="125" t="s">
        <v>1541</v>
      </c>
      <c r="D730" s="113"/>
      <c r="E730" s="113"/>
      <c r="F730" s="113"/>
      <c r="G730" s="716" t="s">
        <v>140</v>
      </c>
      <c r="H730" s="101"/>
      <c r="I730" s="101">
        <v>178729</v>
      </c>
      <c r="J730" s="101">
        <v>178729</v>
      </c>
      <c r="K730" s="102">
        <v>172772</v>
      </c>
    </row>
    <row r="731" spans="1:12" s="415" customFormat="1" ht="18" x14ac:dyDescent="0.25">
      <c r="A731" s="1305" t="s">
        <v>123</v>
      </c>
      <c r="B731" s="1305" t="s">
        <v>1317</v>
      </c>
      <c r="C731" s="125" t="s">
        <v>1541</v>
      </c>
      <c r="D731" s="113"/>
      <c r="E731" s="113"/>
      <c r="F731" s="113"/>
      <c r="G731" s="143" t="s">
        <v>140</v>
      </c>
      <c r="H731" s="101"/>
      <c r="I731" s="101">
        <v>326709</v>
      </c>
      <c r="J731" s="101">
        <v>326709</v>
      </c>
      <c r="K731" s="102">
        <v>315048</v>
      </c>
      <c r="L731" s="10"/>
    </row>
    <row r="732" spans="1:12" s="415" customFormat="1" ht="18" x14ac:dyDescent="0.25">
      <c r="A732" s="1305" t="s">
        <v>123</v>
      </c>
      <c r="B732" s="1305" t="s">
        <v>1317</v>
      </c>
      <c r="C732" s="125" t="s">
        <v>1541</v>
      </c>
      <c r="D732" s="113"/>
      <c r="E732" s="113"/>
      <c r="F732" s="113"/>
      <c r="G732" s="143" t="s">
        <v>140</v>
      </c>
      <c r="H732" s="101"/>
      <c r="I732" s="101">
        <v>675296</v>
      </c>
      <c r="J732" s="101">
        <v>675296</v>
      </c>
      <c r="K732" s="102">
        <v>650509</v>
      </c>
      <c r="L732" s="10"/>
    </row>
    <row r="733" spans="1:12" s="415" customFormat="1" ht="18" x14ac:dyDescent="0.25">
      <c r="A733" s="1305" t="s">
        <v>123</v>
      </c>
      <c r="B733" s="1305" t="s">
        <v>1317</v>
      </c>
      <c r="C733" s="125" t="s">
        <v>1541</v>
      </c>
      <c r="D733" s="113"/>
      <c r="E733" s="113"/>
      <c r="F733" s="113"/>
      <c r="G733" s="143" t="s">
        <v>140</v>
      </c>
      <c r="H733" s="101"/>
      <c r="I733" s="101">
        <v>438957</v>
      </c>
      <c r="J733" s="101">
        <v>438957</v>
      </c>
      <c r="K733" s="102">
        <v>423557</v>
      </c>
      <c r="L733" s="10"/>
    </row>
    <row r="734" spans="1:12" s="415" customFormat="1" ht="18" x14ac:dyDescent="0.25">
      <c r="A734" s="1305" t="s">
        <v>123</v>
      </c>
      <c r="B734" s="1305" t="s">
        <v>1317</v>
      </c>
      <c r="C734" s="125" t="s">
        <v>1541</v>
      </c>
      <c r="D734" s="113"/>
      <c r="E734" s="113"/>
      <c r="F734" s="113"/>
      <c r="G734" s="143" t="s">
        <v>140</v>
      </c>
      <c r="H734" s="101"/>
      <c r="I734" s="101">
        <v>356283</v>
      </c>
      <c r="J734" s="101">
        <v>356283</v>
      </c>
      <c r="K734" s="102">
        <v>343955</v>
      </c>
      <c r="L734" s="10"/>
    </row>
    <row r="735" spans="1:12" ht="18" customHeight="1" x14ac:dyDescent="0.25">
      <c r="A735" s="1305" t="s">
        <v>123</v>
      </c>
      <c r="B735" s="1305" t="s">
        <v>1317</v>
      </c>
      <c r="C735" s="125" t="s">
        <v>1541</v>
      </c>
      <c r="D735" s="113"/>
      <c r="E735" s="113"/>
      <c r="F735" s="113"/>
      <c r="G735" s="143" t="s">
        <v>140</v>
      </c>
      <c r="H735" s="101"/>
      <c r="I735" s="101">
        <v>135325</v>
      </c>
      <c r="J735" s="101">
        <v>135325</v>
      </c>
      <c r="K735" s="102">
        <v>131773</v>
      </c>
      <c r="L735" s="10">
        <f>SUM(K717:K735)</f>
        <v>5634579</v>
      </c>
    </row>
    <row r="736" spans="1:12" ht="17.25" customHeight="1" x14ac:dyDescent="0.25">
      <c r="A736" s="1305" t="s">
        <v>123</v>
      </c>
      <c r="B736" s="1305" t="s">
        <v>1317</v>
      </c>
      <c r="C736" s="1306" t="s">
        <v>1567</v>
      </c>
      <c r="D736" s="1305"/>
      <c r="E736" s="1305"/>
      <c r="F736" s="1305"/>
      <c r="G736" s="143"/>
      <c r="H736" s="101"/>
      <c r="I736" s="101">
        <v>1432449.2</v>
      </c>
      <c r="J736" s="101">
        <v>1432449.2</v>
      </c>
      <c r="K736" s="102">
        <v>868404.62</v>
      </c>
    </row>
    <row r="737" spans="1:12" ht="17.45" customHeight="1" x14ac:dyDescent="0.25">
      <c r="A737" s="1305" t="s">
        <v>123</v>
      </c>
      <c r="B737" s="1305" t="s">
        <v>1317</v>
      </c>
      <c r="C737" s="125" t="s">
        <v>1567</v>
      </c>
      <c r="D737" s="113"/>
      <c r="E737" s="113"/>
      <c r="F737" s="113"/>
      <c r="G737" s="143"/>
      <c r="H737" s="101"/>
      <c r="I737" s="101"/>
      <c r="J737" s="101"/>
      <c r="K737" s="102">
        <v>2267217.65</v>
      </c>
      <c r="L737" s="10">
        <f>SUM(K736:K737)</f>
        <v>3135622.27</v>
      </c>
    </row>
    <row r="738" spans="1:12" s="146" customFormat="1" ht="18" x14ac:dyDescent="0.25">
      <c r="A738" s="1305" t="s">
        <v>123</v>
      </c>
      <c r="B738" s="1305" t="s">
        <v>1317</v>
      </c>
      <c r="C738" s="125" t="s">
        <v>1543</v>
      </c>
      <c r="D738" s="113"/>
      <c r="E738" s="113"/>
      <c r="F738" s="113"/>
      <c r="G738" s="716" t="s">
        <v>146</v>
      </c>
      <c r="H738" s="101"/>
      <c r="I738" s="101">
        <v>55000</v>
      </c>
      <c r="J738" s="101">
        <v>55000</v>
      </c>
      <c r="K738" s="102">
        <v>55000</v>
      </c>
      <c r="L738" s="10"/>
    </row>
    <row r="739" spans="1:12" s="146" customFormat="1" ht="18" x14ac:dyDescent="0.25">
      <c r="A739" s="1305" t="s">
        <v>123</v>
      </c>
      <c r="B739" s="1305" t="s">
        <v>1317</v>
      </c>
      <c r="C739" s="125" t="s">
        <v>1543</v>
      </c>
      <c r="D739" s="113"/>
      <c r="E739" s="113"/>
      <c r="F739" s="113"/>
      <c r="G739" s="143" t="s">
        <v>146</v>
      </c>
      <c r="H739" s="101"/>
      <c r="I739" s="101">
        <v>150000</v>
      </c>
      <c r="J739" s="101">
        <v>150000</v>
      </c>
      <c r="K739" s="102">
        <v>150000</v>
      </c>
      <c r="L739" s="10"/>
    </row>
    <row r="740" spans="1:12" s="146" customFormat="1" ht="18.75" customHeight="1" x14ac:dyDescent="0.25">
      <c r="A740" s="1305" t="s">
        <v>123</v>
      </c>
      <c r="B740" s="1305" t="s">
        <v>1317</v>
      </c>
      <c r="C740" s="125" t="s">
        <v>1543</v>
      </c>
      <c r="D740" s="113"/>
      <c r="E740" s="113"/>
      <c r="F740" s="113"/>
      <c r="G740" s="716" t="s">
        <v>146</v>
      </c>
      <c r="H740" s="101"/>
      <c r="I740" s="101">
        <v>20000</v>
      </c>
      <c r="J740" s="101">
        <v>20000</v>
      </c>
      <c r="K740" s="102">
        <v>20000</v>
      </c>
      <c r="L740" s="10"/>
    </row>
    <row r="741" spans="1:12" s="146" customFormat="1" ht="18.75" customHeight="1" x14ac:dyDescent="0.25">
      <c r="A741" s="1305" t="s">
        <v>123</v>
      </c>
      <c r="B741" s="1305" t="s">
        <v>1317</v>
      </c>
      <c r="C741" s="125" t="s">
        <v>1543</v>
      </c>
      <c r="D741" s="113"/>
      <c r="E741" s="113"/>
      <c r="F741" s="113"/>
      <c r="G741" s="716" t="s">
        <v>146</v>
      </c>
      <c r="H741" s="101"/>
      <c r="I741" s="101">
        <v>20000</v>
      </c>
      <c r="J741" s="101">
        <v>20000</v>
      </c>
      <c r="K741" s="102">
        <v>20000</v>
      </c>
      <c r="L741" s="10"/>
    </row>
    <row r="742" spans="1:12" s="146" customFormat="1" ht="18" x14ac:dyDescent="0.25">
      <c r="A742" s="1305" t="s">
        <v>123</v>
      </c>
      <c r="B742" s="1305" t="s">
        <v>1317</v>
      </c>
      <c r="C742" s="125" t="s">
        <v>1543</v>
      </c>
      <c r="D742" s="113"/>
      <c r="E742" s="113"/>
      <c r="F742" s="113"/>
      <c r="G742" s="143" t="s">
        <v>146</v>
      </c>
      <c r="H742" s="101"/>
      <c r="I742" s="101">
        <v>15000</v>
      </c>
      <c r="J742" s="101">
        <v>15000</v>
      </c>
      <c r="K742" s="102">
        <v>15000</v>
      </c>
      <c r="L742" s="10"/>
    </row>
    <row r="743" spans="1:12" s="146" customFormat="1" ht="15.75" customHeight="1" x14ac:dyDescent="0.25">
      <c r="A743" s="1305" t="s">
        <v>123</v>
      </c>
      <c r="B743" s="1305" t="s">
        <v>1317</v>
      </c>
      <c r="C743" s="125" t="s">
        <v>1543</v>
      </c>
      <c r="D743" s="113"/>
      <c r="E743" s="113"/>
      <c r="F743" s="113"/>
      <c r="G743" s="143" t="s">
        <v>146</v>
      </c>
      <c r="H743" s="101"/>
      <c r="I743" s="101">
        <v>20000</v>
      </c>
      <c r="J743" s="101">
        <v>20000</v>
      </c>
      <c r="K743" s="102">
        <v>20000</v>
      </c>
      <c r="L743" s="10"/>
    </row>
    <row r="744" spans="1:12" s="146" customFormat="1" ht="15.75" customHeight="1" x14ac:dyDescent="0.25">
      <c r="A744" s="1305" t="s">
        <v>123</v>
      </c>
      <c r="B744" s="1305" t="s">
        <v>1317</v>
      </c>
      <c r="C744" s="125" t="s">
        <v>1543</v>
      </c>
      <c r="D744" s="113"/>
      <c r="E744" s="113"/>
      <c r="F744" s="113"/>
      <c r="G744" s="143" t="s">
        <v>146</v>
      </c>
      <c r="H744" s="101"/>
      <c r="I744" s="101">
        <v>35000</v>
      </c>
      <c r="J744" s="101">
        <v>35000</v>
      </c>
      <c r="K744" s="102">
        <v>35000</v>
      </c>
      <c r="L744" s="10"/>
    </row>
    <row r="745" spans="1:12" s="146" customFormat="1" ht="18" x14ac:dyDescent="0.25">
      <c r="A745" s="1305" t="s">
        <v>123</v>
      </c>
      <c r="B745" s="1305" t="s">
        <v>1317</v>
      </c>
      <c r="C745" s="125" t="s">
        <v>1543</v>
      </c>
      <c r="D745" s="113"/>
      <c r="E745" s="113"/>
      <c r="F745" s="113"/>
      <c r="G745" s="143" t="s">
        <v>146</v>
      </c>
      <c r="H745" s="101"/>
      <c r="I745" s="101">
        <v>185000</v>
      </c>
      <c r="J745" s="101">
        <v>185000</v>
      </c>
      <c r="K745" s="102">
        <v>185000</v>
      </c>
      <c r="L745" s="10"/>
    </row>
    <row r="746" spans="1:12" s="146" customFormat="1" ht="18" x14ac:dyDescent="0.25">
      <c r="A746" s="1305" t="s">
        <v>123</v>
      </c>
      <c r="B746" s="1305" t="s">
        <v>1317</v>
      </c>
      <c r="C746" s="125" t="s">
        <v>1543</v>
      </c>
      <c r="D746" s="113"/>
      <c r="E746" s="113"/>
      <c r="F746" s="113"/>
      <c r="G746" s="143" t="s">
        <v>146</v>
      </c>
      <c r="H746" s="101"/>
      <c r="I746" s="101">
        <v>90000</v>
      </c>
      <c r="J746" s="101">
        <v>90000</v>
      </c>
      <c r="K746" s="102">
        <v>90000</v>
      </c>
      <c r="L746" s="10"/>
    </row>
    <row r="747" spans="1:12" s="146" customFormat="1" ht="18.75" customHeight="1" x14ac:dyDescent="0.25">
      <c r="A747" s="1305" t="s">
        <v>123</v>
      </c>
      <c r="B747" s="1305" t="s">
        <v>1317</v>
      </c>
      <c r="C747" s="125" t="s">
        <v>1543</v>
      </c>
      <c r="D747" s="113"/>
      <c r="E747" s="113"/>
      <c r="F747" s="113"/>
      <c r="G747" s="143" t="s">
        <v>146</v>
      </c>
      <c r="H747" s="101"/>
      <c r="I747" s="101">
        <v>15000</v>
      </c>
      <c r="J747" s="101">
        <v>15000</v>
      </c>
      <c r="K747" s="102">
        <v>15000</v>
      </c>
      <c r="L747" s="10"/>
    </row>
    <row r="748" spans="1:12" s="146" customFormat="1" ht="18.75" customHeight="1" x14ac:dyDescent="0.25">
      <c r="A748" s="1305" t="s">
        <v>123</v>
      </c>
      <c r="B748" s="1305" t="s">
        <v>1317</v>
      </c>
      <c r="C748" s="125" t="s">
        <v>1543</v>
      </c>
      <c r="D748" s="113"/>
      <c r="E748" s="113"/>
      <c r="F748" s="113"/>
      <c r="G748" s="716" t="s">
        <v>146</v>
      </c>
      <c r="H748" s="101"/>
      <c r="I748" s="101">
        <v>10000</v>
      </c>
      <c r="J748" s="101">
        <v>10000</v>
      </c>
      <c r="K748" s="102">
        <v>10000</v>
      </c>
      <c r="L748" s="10"/>
    </row>
    <row r="749" spans="1:12" s="146" customFormat="1" ht="18.75" customHeight="1" x14ac:dyDescent="0.25">
      <c r="A749" s="1305" t="s">
        <v>123</v>
      </c>
      <c r="B749" s="1305" t="s">
        <v>1317</v>
      </c>
      <c r="C749" s="125" t="s">
        <v>1543</v>
      </c>
      <c r="D749" s="113"/>
      <c r="E749" s="113"/>
      <c r="F749" s="113"/>
      <c r="G749" s="716" t="s">
        <v>146</v>
      </c>
      <c r="H749" s="101"/>
      <c r="I749" s="101">
        <v>20000</v>
      </c>
      <c r="J749" s="101">
        <v>20000</v>
      </c>
      <c r="K749" s="102">
        <v>20000</v>
      </c>
      <c r="L749" s="10"/>
    </row>
    <row r="750" spans="1:12" s="146" customFormat="1" ht="18.75" customHeight="1" x14ac:dyDescent="0.25">
      <c r="A750" s="1305" t="s">
        <v>123</v>
      </c>
      <c r="B750" s="1305" t="s">
        <v>1317</v>
      </c>
      <c r="C750" s="125" t="s">
        <v>1543</v>
      </c>
      <c r="D750" s="113"/>
      <c r="E750" s="113"/>
      <c r="F750" s="113"/>
      <c r="G750" s="716" t="s">
        <v>146</v>
      </c>
      <c r="H750" s="101"/>
      <c r="I750" s="101">
        <v>70000</v>
      </c>
      <c r="J750" s="101">
        <v>70000</v>
      </c>
      <c r="K750" s="102">
        <v>70000</v>
      </c>
      <c r="L750" s="10"/>
    </row>
    <row r="751" spans="1:12" s="146" customFormat="1" ht="18.75" customHeight="1" x14ac:dyDescent="0.25">
      <c r="A751" s="1305" t="s">
        <v>123</v>
      </c>
      <c r="B751" s="1305" t="s">
        <v>1317</v>
      </c>
      <c r="C751" s="125" t="s">
        <v>1543</v>
      </c>
      <c r="D751" s="113"/>
      <c r="E751" s="113"/>
      <c r="F751" s="113"/>
      <c r="G751" s="716" t="s">
        <v>146</v>
      </c>
      <c r="H751" s="101"/>
      <c r="I751" s="101">
        <v>30000</v>
      </c>
      <c r="J751" s="101">
        <v>30000</v>
      </c>
      <c r="K751" s="102">
        <v>30000</v>
      </c>
      <c r="L751" s="10"/>
    </row>
    <row r="752" spans="1:12" s="146" customFormat="1" ht="18.75" customHeight="1" x14ac:dyDescent="0.25">
      <c r="A752" s="1305" t="s">
        <v>123</v>
      </c>
      <c r="B752" s="1305" t="s">
        <v>1317</v>
      </c>
      <c r="C752" s="125" t="s">
        <v>1543</v>
      </c>
      <c r="D752" s="113"/>
      <c r="E752" s="113"/>
      <c r="F752" s="113"/>
      <c r="G752" s="143" t="s">
        <v>146</v>
      </c>
      <c r="H752" s="101"/>
      <c r="I752" s="101">
        <v>65000</v>
      </c>
      <c r="J752" s="101">
        <v>65000</v>
      </c>
      <c r="K752" s="102">
        <v>65000</v>
      </c>
      <c r="L752" s="10"/>
    </row>
    <row r="753" spans="1:12" s="146" customFormat="1" ht="19.5" customHeight="1" x14ac:dyDescent="0.25">
      <c r="A753" s="1305" t="s">
        <v>123</v>
      </c>
      <c r="B753" s="1305" t="s">
        <v>1317</v>
      </c>
      <c r="C753" s="125" t="s">
        <v>1543</v>
      </c>
      <c r="D753" s="113"/>
      <c r="E753" s="113"/>
      <c r="F753" s="113"/>
      <c r="G753" s="143" t="s">
        <v>146</v>
      </c>
      <c r="H753" s="101"/>
      <c r="I753" s="101">
        <v>225000</v>
      </c>
      <c r="J753" s="101">
        <v>225000</v>
      </c>
      <c r="K753" s="102">
        <v>225000</v>
      </c>
      <c r="L753" s="10"/>
    </row>
    <row r="754" spans="1:12" s="146" customFormat="1" ht="21" customHeight="1" x14ac:dyDescent="0.25">
      <c r="A754" s="1305" t="s">
        <v>123</v>
      </c>
      <c r="B754" s="1305" t="s">
        <v>1317</v>
      </c>
      <c r="C754" s="125" t="s">
        <v>1543</v>
      </c>
      <c r="D754" s="113"/>
      <c r="E754" s="113"/>
      <c r="F754" s="113"/>
      <c r="G754" s="143" t="s">
        <v>146</v>
      </c>
      <c r="H754" s="101"/>
      <c r="I754" s="101">
        <v>90000</v>
      </c>
      <c r="J754" s="101">
        <v>90000</v>
      </c>
      <c r="K754" s="102">
        <v>90000</v>
      </c>
      <c r="L754" s="10"/>
    </row>
    <row r="755" spans="1:12" s="146" customFormat="1" ht="19.5" customHeight="1" x14ac:dyDescent="0.25">
      <c r="A755" s="1305" t="s">
        <v>123</v>
      </c>
      <c r="B755" s="1305" t="s">
        <v>1317</v>
      </c>
      <c r="C755" s="125" t="s">
        <v>1543</v>
      </c>
      <c r="D755" s="113"/>
      <c r="E755" s="113"/>
      <c r="F755" s="113"/>
      <c r="G755" s="143" t="s">
        <v>146</v>
      </c>
      <c r="H755" s="101"/>
      <c r="I755" s="101">
        <v>60000</v>
      </c>
      <c r="J755" s="101">
        <v>60000</v>
      </c>
      <c r="K755" s="102">
        <v>60000</v>
      </c>
      <c r="L755" s="10"/>
    </row>
    <row r="756" spans="1:12" s="146" customFormat="1" ht="19.5" customHeight="1" x14ac:dyDescent="0.25">
      <c r="A756" s="1305" t="s">
        <v>123</v>
      </c>
      <c r="B756" s="1305" t="s">
        <v>1317</v>
      </c>
      <c r="C756" s="125" t="s">
        <v>1543</v>
      </c>
      <c r="D756" s="113"/>
      <c r="E756" s="113"/>
      <c r="F756" s="113"/>
      <c r="G756" s="143" t="s">
        <v>146</v>
      </c>
      <c r="H756" s="101"/>
      <c r="I756" s="101">
        <v>20000</v>
      </c>
      <c r="J756" s="101">
        <v>20000</v>
      </c>
      <c r="K756" s="102">
        <v>20000</v>
      </c>
      <c r="L756" s="10">
        <f>SUM(K738:K756)</f>
        <v>1195000</v>
      </c>
    </row>
    <row r="757" spans="1:12" s="313" customFormat="1" ht="21" customHeight="1" x14ac:dyDescent="0.25">
      <c r="A757" s="1305" t="s">
        <v>123</v>
      </c>
      <c r="B757" s="1305" t="s">
        <v>1317</v>
      </c>
      <c r="C757" s="125" t="s">
        <v>135</v>
      </c>
      <c r="D757" s="113"/>
      <c r="E757" s="113"/>
      <c r="F757" s="113"/>
      <c r="G757" s="716" t="s">
        <v>136</v>
      </c>
      <c r="H757" s="102"/>
      <c r="I757" s="1154">
        <v>449366.65</v>
      </c>
      <c r="J757" s="1154">
        <v>449366.65</v>
      </c>
      <c r="K757" s="102">
        <v>688125.6</v>
      </c>
      <c r="L757" s="193"/>
    </row>
    <row r="758" spans="1:12" s="146" customFormat="1" ht="21" customHeight="1" x14ac:dyDescent="0.25">
      <c r="A758" s="1305" t="s">
        <v>123</v>
      </c>
      <c r="B758" s="1305" t="s">
        <v>1317</v>
      </c>
      <c r="C758" s="125" t="s">
        <v>135</v>
      </c>
      <c r="D758" s="113"/>
      <c r="E758" s="113"/>
      <c r="F758" s="113"/>
      <c r="G758" s="143" t="s">
        <v>136</v>
      </c>
      <c r="H758" s="101"/>
      <c r="I758" s="101">
        <v>641151.32999999996</v>
      </c>
      <c r="J758" s="101">
        <v>641151.32999999996</v>
      </c>
      <c r="K758" s="102">
        <v>641151.32999999996</v>
      </c>
      <c r="L758" s="10"/>
    </row>
    <row r="759" spans="1:12" s="146" customFormat="1" ht="21" customHeight="1" x14ac:dyDescent="0.25">
      <c r="A759" s="1305" t="s">
        <v>123</v>
      </c>
      <c r="B759" s="1305" t="s">
        <v>1317</v>
      </c>
      <c r="C759" s="1310" t="s">
        <v>135</v>
      </c>
      <c r="D759" s="1305"/>
      <c r="E759" s="1305"/>
      <c r="F759" s="1305"/>
      <c r="G759" s="716" t="s">
        <v>136</v>
      </c>
      <c r="H759" s="102"/>
      <c r="I759" s="1154">
        <v>62788.800000000003</v>
      </c>
      <c r="J759" s="1154">
        <v>62788.800000000003</v>
      </c>
      <c r="K759" s="102">
        <v>62788.800000000003</v>
      </c>
      <c r="L759" s="10"/>
    </row>
    <row r="760" spans="1:12" s="146" customFormat="1" ht="21" customHeight="1" x14ac:dyDescent="0.25">
      <c r="A760" s="1305" t="s">
        <v>123</v>
      </c>
      <c r="B760" s="1305" t="s">
        <v>1317</v>
      </c>
      <c r="C760" s="125" t="s">
        <v>135</v>
      </c>
      <c r="D760" s="113"/>
      <c r="E760" s="113"/>
      <c r="F760" s="113"/>
      <c r="G760" s="716" t="s">
        <v>136</v>
      </c>
      <c r="H760" s="101"/>
      <c r="I760" s="101">
        <v>60730.94</v>
      </c>
      <c r="J760" s="101">
        <v>60730.94</v>
      </c>
      <c r="K760" s="102">
        <v>60730.94</v>
      </c>
      <c r="L760" s="10"/>
    </row>
    <row r="761" spans="1:12" s="146" customFormat="1" ht="18" customHeight="1" x14ac:dyDescent="0.25">
      <c r="A761" s="1305" t="s">
        <v>123</v>
      </c>
      <c r="B761" s="1305" t="s">
        <v>1317</v>
      </c>
      <c r="C761" s="125" t="s">
        <v>135</v>
      </c>
      <c r="D761" s="113"/>
      <c r="E761" s="113"/>
      <c r="F761" s="113"/>
      <c r="G761" s="143" t="s">
        <v>136</v>
      </c>
      <c r="H761" s="102"/>
      <c r="I761" s="1154">
        <v>73027.27</v>
      </c>
      <c r="J761" s="1154">
        <v>73027.27</v>
      </c>
      <c r="K761" s="102">
        <v>73027.27</v>
      </c>
      <c r="L761" s="10"/>
    </row>
    <row r="762" spans="1:12" s="146" customFormat="1" ht="18" customHeight="1" x14ac:dyDescent="0.25">
      <c r="A762" s="1305" t="s">
        <v>123</v>
      </c>
      <c r="B762" s="1305" t="s">
        <v>1317</v>
      </c>
      <c r="C762" s="125" t="s">
        <v>135</v>
      </c>
      <c r="D762" s="113"/>
      <c r="E762" s="113"/>
      <c r="F762" s="113"/>
      <c r="G762" s="143" t="s">
        <v>136</v>
      </c>
      <c r="H762" s="101"/>
      <c r="I762" s="101">
        <v>434249.1</v>
      </c>
      <c r="J762" s="101">
        <v>434249.1</v>
      </c>
      <c r="K762" s="102">
        <v>434249.1</v>
      </c>
      <c r="L762" s="10"/>
    </row>
    <row r="763" spans="1:12" s="146" customFormat="1" ht="18" customHeight="1" x14ac:dyDescent="0.25">
      <c r="A763" s="1305" t="s">
        <v>123</v>
      </c>
      <c r="B763" s="1305" t="s">
        <v>1317</v>
      </c>
      <c r="C763" s="125" t="s">
        <v>135</v>
      </c>
      <c r="D763" s="113"/>
      <c r="E763" s="113"/>
      <c r="F763" s="113"/>
      <c r="G763" s="143" t="s">
        <v>136</v>
      </c>
      <c r="H763" s="101"/>
      <c r="I763" s="1156">
        <v>30000</v>
      </c>
      <c r="J763" s="1156">
        <v>30000</v>
      </c>
      <c r="K763" s="102">
        <v>30000</v>
      </c>
      <c r="L763" s="10"/>
    </row>
    <row r="764" spans="1:12" s="146" customFormat="1" ht="18" customHeight="1" x14ac:dyDescent="0.25">
      <c r="A764" s="1305" t="s">
        <v>123</v>
      </c>
      <c r="B764" s="1305" t="s">
        <v>1317</v>
      </c>
      <c r="C764" s="125" t="s">
        <v>135</v>
      </c>
      <c r="D764" s="113"/>
      <c r="E764" s="113"/>
      <c r="F764" s="113"/>
      <c r="G764" s="143" t="s">
        <v>136</v>
      </c>
      <c r="H764" s="102"/>
      <c r="I764" s="1154">
        <v>50000</v>
      </c>
      <c r="J764" s="1154">
        <v>50000</v>
      </c>
      <c r="K764" s="102">
        <v>50000</v>
      </c>
      <c r="L764" s="10"/>
    </row>
    <row r="765" spans="1:12" s="146" customFormat="1" ht="18" customHeight="1" x14ac:dyDescent="0.25">
      <c r="A765" s="1305" t="s">
        <v>123</v>
      </c>
      <c r="B765" s="1305" t="s">
        <v>1317</v>
      </c>
      <c r="C765" s="125" t="s">
        <v>135</v>
      </c>
      <c r="D765" s="113"/>
      <c r="E765" s="113"/>
      <c r="F765" s="113"/>
      <c r="G765" s="143" t="s">
        <v>136</v>
      </c>
      <c r="H765" s="102"/>
      <c r="I765" s="1154">
        <v>100000</v>
      </c>
      <c r="J765" s="1154">
        <v>100000</v>
      </c>
      <c r="K765" s="102">
        <v>100000</v>
      </c>
      <c r="L765" s="10"/>
    </row>
    <row r="766" spans="1:12" s="146" customFormat="1" ht="18" customHeight="1" x14ac:dyDescent="0.25">
      <c r="A766" s="1305" t="s">
        <v>123</v>
      </c>
      <c r="B766" s="1305" t="s">
        <v>1317</v>
      </c>
      <c r="C766" s="125" t="s">
        <v>135</v>
      </c>
      <c r="D766" s="113"/>
      <c r="E766" s="113"/>
      <c r="F766" s="113"/>
      <c r="G766" s="716" t="s">
        <v>136</v>
      </c>
      <c r="H766" s="101"/>
      <c r="I766" s="101">
        <v>125055.8</v>
      </c>
      <c r="J766" s="101">
        <v>125055.8</v>
      </c>
      <c r="K766" s="102">
        <v>125055.8</v>
      </c>
      <c r="L766" s="10"/>
    </row>
    <row r="767" spans="1:12" s="146" customFormat="1" ht="18" customHeight="1" x14ac:dyDescent="0.25">
      <c r="A767" s="1305" t="s">
        <v>123</v>
      </c>
      <c r="B767" s="1305" t="s">
        <v>1317</v>
      </c>
      <c r="C767" s="125" t="s">
        <v>135</v>
      </c>
      <c r="D767" s="113"/>
      <c r="E767" s="113"/>
      <c r="F767" s="113"/>
      <c r="G767" s="716" t="s">
        <v>136</v>
      </c>
      <c r="H767" s="102"/>
      <c r="I767" s="102">
        <v>157909.72</v>
      </c>
      <c r="J767" s="102">
        <v>157909.72</v>
      </c>
      <c r="K767" s="102">
        <v>157909.72</v>
      </c>
      <c r="L767" s="10"/>
    </row>
    <row r="768" spans="1:12" s="146" customFormat="1" ht="18" customHeight="1" x14ac:dyDescent="0.25">
      <c r="A768" s="1305" t="s">
        <v>123</v>
      </c>
      <c r="B768" s="1305" t="s">
        <v>1317</v>
      </c>
      <c r="C768" s="125" t="s">
        <v>135</v>
      </c>
      <c r="D768" s="113"/>
      <c r="E768" s="113"/>
      <c r="F768" s="113"/>
      <c r="G768" s="716" t="s">
        <v>136</v>
      </c>
      <c r="H768" s="102"/>
      <c r="I768" s="102">
        <v>62805.68</v>
      </c>
      <c r="J768" s="102">
        <v>62805.68</v>
      </c>
      <c r="K768" s="102">
        <v>62805.68</v>
      </c>
      <c r="L768" s="10"/>
    </row>
    <row r="769" spans="1:12" s="146" customFormat="1" ht="18" customHeight="1" x14ac:dyDescent="0.25">
      <c r="A769" s="1305" t="s">
        <v>123</v>
      </c>
      <c r="B769" s="1305" t="s">
        <v>1317</v>
      </c>
      <c r="C769" s="125" t="s">
        <v>135</v>
      </c>
      <c r="D769" s="113"/>
      <c r="E769" s="113"/>
      <c r="F769" s="113"/>
      <c r="G769" s="143" t="s">
        <v>136</v>
      </c>
      <c r="H769" s="102"/>
      <c r="I769" s="102">
        <v>282310.5</v>
      </c>
      <c r="J769" s="102">
        <v>282310.5</v>
      </c>
      <c r="K769" s="102">
        <v>282310.5</v>
      </c>
      <c r="L769" s="10"/>
    </row>
    <row r="770" spans="1:12" s="146" customFormat="1" ht="18" customHeight="1" x14ac:dyDescent="0.25">
      <c r="A770" s="1305" t="s">
        <v>123</v>
      </c>
      <c r="B770" s="1305" t="s">
        <v>1317</v>
      </c>
      <c r="C770" s="125" t="s">
        <v>135</v>
      </c>
      <c r="D770" s="113"/>
      <c r="E770" s="113"/>
      <c r="F770" s="113"/>
      <c r="G770" s="143" t="s">
        <v>136</v>
      </c>
      <c r="H770" s="101"/>
      <c r="I770" s="101">
        <v>481917.36</v>
      </c>
      <c r="J770" s="101">
        <v>481917.36</v>
      </c>
      <c r="K770" s="102">
        <v>481917.36</v>
      </c>
      <c r="L770" s="10"/>
    </row>
    <row r="771" spans="1:12" s="146" customFormat="1" ht="18" customHeight="1" x14ac:dyDescent="0.25">
      <c r="A771" s="1305" t="s">
        <v>123</v>
      </c>
      <c r="B771" s="1305" t="s">
        <v>1317</v>
      </c>
      <c r="C771" s="125" t="s">
        <v>135</v>
      </c>
      <c r="D771" s="113"/>
      <c r="E771" s="113"/>
      <c r="F771" s="113"/>
      <c r="G771" s="143" t="s">
        <v>136</v>
      </c>
      <c r="H771" s="101"/>
      <c r="I771" s="101">
        <v>131284.43</v>
      </c>
      <c r="J771" s="101">
        <v>131284.43</v>
      </c>
      <c r="K771" s="102">
        <v>131284.43</v>
      </c>
      <c r="L771" s="10"/>
    </row>
    <row r="772" spans="1:12" s="203" customFormat="1" ht="18" customHeight="1" x14ac:dyDescent="0.25">
      <c r="A772" s="1305" t="s">
        <v>123</v>
      </c>
      <c r="B772" s="1305" t="s">
        <v>1317</v>
      </c>
      <c r="C772" s="1310" t="s">
        <v>135</v>
      </c>
      <c r="D772" s="1305"/>
      <c r="E772" s="1305"/>
      <c r="F772" s="1305"/>
      <c r="G772" s="143" t="s">
        <v>232</v>
      </c>
      <c r="H772" s="102"/>
      <c r="I772" s="102">
        <v>341258.18</v>
      </c>
      <c r="J772" s="102">
        <v>341258.18</v>
      </c>
      <c r="K772" s="102">
        <v>341258.18</v>
      </c>
      <c r="L772" s="10">
        <f>SUM(K757:K772)</f>
        <v>3722614.7100000004</v>
      </c>
    </row>
    <row r="773" spans="1:12" s="146" customFormat="1" ht="19.5" customHeight="1" x14ac:dyDescent="0.25">
      <c r="A773" s="1305" t="s">
        <v>123</v>
      </c>
      <c r="B773" s="1305" t="s">
        <v>1317</v>
      </c>
      <c r="C773" s="125" t="s">
        <v>155</v>
      </c>
      <c r="D773" s="113"/>
      <c r="E773" s="113"/>
      <c r="F773" s="113"/>
      <c r="G773" s="716" t="s">
        <v>156</v>
      </c>
      <c r="H773" s="101"/>
      <c r="I773" s="101">
        <v>13200</v>
      </c>
      <c r="J773" s="101">
        <v>13200</v>
      </c>
      <c r="K773" s="102">
        <v>13200</v>
      </c>
      <c r="L773" s="10"/>
    </row>
    <row r="774" spans="1:12" s="146" customFormat="1" ht="18" customHeight="1" x14ac:dyDescent="0.25">
      <c r="A774" s="1305" t="s">
        <v>123</v>
      </c>
      <c r="B774" s="1305" t="s">
        <v>1317</v>
      </c>
      <c r="C774" s="125" t="s">
        <v>155</v>
      </c>
      <c r="D774" s="113"/>
      <c r="E774" s="113"/>
      <c r="F774" s="113"/>
      <c r="G774" s="143" t="s">
        <v>156</v>
      </c>
      <c r="H774" s="101"/>
      <c r="I774" s="101">
        <v>36000</v>
      </c>
      <c r="J774" s="101">
        <v>36000</v>
      </c>
      <c r="K774" s="102">
        <v>36000</v>
      </c>
      <c r="L774" s="10"/>
    </row>
    <row r="775" spans="1:12" s="146" customFormat="1" ht="18" customHeight="1" x14ac:dyDescent="0.25">
      <c r="A775" s="1305" t="s">
        <v>123</v>
      </c>
      <c r="B775" s="1305" t="s">
        <v>1317</v>
      </c>
      <c r="C775" s="125" t="s">
        <v>155</v>
      </c>
      <c r="D775" s="113"/>
      <c r="E775" s="113"/>
      <c r="F775" s="113"/>
      <c r="G775" s="716" t="s">
        <v>156</v>
      </c>
      <c r="H775" s="101"/>
      <c r="I775" s="101">
        <v>4800</v>
      </c>
      <c r="J775" s="101">
        <v>4800</v>
      </c>
      <c r="K775" s="102">
        <v>4800</v>
      </c>
      <c r="L775" s="10"/>
    </row>
    <row r="776" spans="1:12" s="146" customFormat="1" ht="18" customHeight="1" x14ac:dyDescent="0.25">
      <c r="A776" s="1305" t="s">
        <v>123</v>
      </c>
      <c r="B776" s="1305" t="s">
        <v>1317</v>
      </c>
      <c r="C776" s="125" t="s">
        <v>155</v>
      </c>
      <c r="D776" s="113"/>
      <c r="E776" s="113"/>
      <c r="F776" s="113"/>
      <c r="G776" s="716" t="s">
        <v>156</v>
      </c>
      <c r="H776" s="101"/>
      <c r="I776" s="101">
        <v>4800</v>
      </c>
      <c r="J776" s="101">
        <v>4800</v>
      </c>
      <c r="K776" s="102">
        <v>4800</v>
      </c>
      <c r="L776" s="10"/>
    </row>
    <row r="777" spans="1:12" s="146" customFormat="1" ht="18" customHeight="1" x14ac:dyDescent="0.25">
      <c r="A777" s="1305" t="s">
        <v>123</v>
      </c>
      <c r="B777" s="1305" t="s">
        <v>1317</v>
      </c>
      <c r="C777" s="125" t="s">
        <v>155</v>
      </c>
      <c r="D777" s="113"/>
      <c r="E777" s="113"/>
      <c r="F777" s="113"/>
      <c r="G777" s="143" t="s">
        <v>156</v>
      </c>
      <c r="H777" s="101"/>
      <c r="I777" s="101">
        <v>3600</v>
      </c>
      <c r="J777" s="101">
        <v>3600</v>
      </c>
      <c r="K777" s="102">
        <v>3600</v>
      </c>
      <c r="L777" s="10"/>
    </row>
    <row r="778" spans="1:12" s="146" customFormat="1" ht="18" customHeight="1" x14ac:dyDescent="0.25">
      <c r="A778" s="1305" t="s">
        <v>123</v>
      </c>
      <c r="B778" s="1305" t="s">
        <v>1317</v>
      </c>
      <c r="C778" s="125" t="s">
        <v>155</v>
      </c>
      <c r="D778" s="113"/>
      <c r="E778" s="113"/>
      <c r="F778" s="113"/>
      <c r="G778" s="143" t="s">
        <v>156</v>
      </c>
      <c r="H778" s="101"/>
      <c r="I778" s="101">
        <v>4800</v>
      </c>
      <c r="J778" s="101">
        <v>4800</v>
      </c>
      <c r="K778" s="102">
        <v>4800</v>
      </c>
      <c r="L778" s="10"/>
    </row>
    <row r="779" spans="1:12" s="146" customFormat="1" ht="18" customHeight="1" x14ac:dyDescent="0.25">
      <c r="A779" s="1305" t="s">
        <v>123</v>
      </c>
      <c r="B779" s="1305" t="s">
        <v>1317</v>
      </c>
      <c r="C779" s="125" t="s">
        <v>155</v>
      </c>
      <c r="D779" s="113"/>
      <c r="E779" s="113"/>
      <c r="F779" s="113"/>
      <c r="G779" s="143" t="s">
        <v>156</v>
      </c>
      <c r="H779" s="101"/>
      <c r="I779" s="101">
        <v>8400</v>
      </c>
      <c r="J779" s="101">
        <v>8400</v>
      </c>
      <c r="K779" s="102">
        <v>8400</v>
      </c>
      <c r="L779" s="10"/>
    </row>
    <row r="780" spans="1:12" s="146" customFormat="1" ht="18" customHeight="1" x14ac:dyDescent="0.25">
      <c r="A780" s="1305" t="s">
        <v>123</v>
      </c>
      <c r="B780" s="1305" t="s">
        <v>1317</v>
      </c>
      <c r="C780" s="125" t="s">
        <v>155</v>
      </c>
      <c r="D780" s="113"/>
      <c r="E780" s="113"/>
      <c r="F780" s="113"/>
      <c r="G780" s="143" t="s">
        <v>156</v>
      </c>
      <c r="H780" s="101"/>
      <c r="I780" s="101">
        <v>44400</v>
      </c>
      <c r="J780" s="101">
        <v>44400</v>
      </c>
      <c r="K780" s="102">
        <v>44400</v>
      </c>
      <c r="L780" s="10"/>
    </row>
    <row r="781" spans="1:12" s="146" customFormat="1" ht="21.75" customHeight="1" x14ac:dyDescent="0.25">
      <c r="A781" s="1305" t="s">
        <v>123</v>
      </c>
      <c r="B781" s="1305" t="s">
        <v>1317</v>
      </c>
      <c r="C781" s="125" t="s">
        <v>155</v>
      </c>
      <c r="D781" s="113"/>
      <c r="E781" s="113"/>
      <c r="F781" s="113"/>
      <c r="G781" s="143" t="s">
        <v>156</v>
      </c>
      <c r="H781" s="101"/>
      <c r="I781" s="101">
        <v>21600</v>
      </c>
      <c r="J781" s="101">
        <v>21600</v>
      </c>
      <c r="K781" s="102">
        <v>21600</v>
      </c>
      <c r="L781" s="10"/>
    </row>
    <row r="782" spans="1:12" s="48" customFormat="1" ht="18" customHeight="1" x14ac:dyDescent="0.25">
      <c r="A782" s="1305" t="s">
        <v>123</v>
      </c>
      <c r="B782" s="1305" t="s">
        <v>1317</v>
      </c>
      <c r="C782" s="125" t="s">
        <v>155</v>
      </c>
      <c r="D782" s="113"/>
      <c r="E782" s="113"/>
      <c r="F782" s="113"/>
      <c r="G782" s="143" t="s">
        <v>156</v>
      </c>
      <c r="H782" s="101"/>
      <c r="I782" s="101">
        <v>3600</v>
      </c>
      <c r="J782" s="101">
        <v>3600</v>
      </c>
      <c r="K782" s="102">
        <v>3600</v>
      </c>
      <c r="L782" s="6"/>
    </row>
    <row r="783" spans="1:12" s="48" customFormat="1" ht="18" customHeight="1" x14ac:dyDescent="0.25">
      <c r="A783" s="1305" t="s">
        <v>123</v>
      </c>
      <c r="B783" s="1305" t="s">
        <v>1317</v>
      </c>
      <c r="C783" s="125" t="s">
        <v>155</v>
      </c>
      <c r="D783" s="113"/>
      <c r="E783" s="113"/>
      <c r="F783" s="113"/>
      <c r="G783" s="716" t="s">
        <v>156</v>
      </c>
      <c r="H783" s="101"/>
      <c r="I783" s="101">
        <v>2400</v>
      </c>
      <c r="J783" s="101">
        <v>2400</v>
      </c>
      <c r="K783" s="102">
        <v>2400</v>
      </c>
      <c r="L783" s="6"/>
    </row>
    <row r="784" spans="1:12" s="48" customFormat="1" ht="18" customHeight="1" x14ac:dyDescent="0.25">
      <c r="A784" s="1305" t="s">
        <v>123</v>
      </c>
      <c r="B784" s="1305" t="s">
        <v>1317</v>
      </c>
      <c r="C784" s="125" t="s">
        <v>155</v>
      </c>
      <c r="D784" s="113"/>
      <c r="E784" s="113"/>
      <c r="F784" s="113"/>
      <c r="G784" s="716" t="s">
        <v>156</v>
      </c>
      <c r="H784" s="101"/>
      <c r="I784" s="101">
        <v>4800</v>
      </c>
      <c r="J784" s="101">
        <v>4800</v>
      </c>
      <c r="K784" s="102">
        <v>4800</v>
      </c>
      <c r="L784" s="6"/>
    </row>
    <row r="785" spans="1:12" s="48" customFormat="1" ht="18" customHeight="1" x14ac:dyDescent="0.25">
      <c r="A785" s="1305" t="s">
        <v>123</v>
      </c>
      <c r="B785" s="1305" t="s">
        <v>1317</v>
      </c>
      <c r="C785" s="125" t="s">
        <v>155</v>
      </c>
      <c r="D785" s="113"/>
      <c r="E785" s="113"/>
      <c r="F785" s="113"/>
      <c r="G785" s="716" t="s">
        <v>156</v>
      </c>
      <c r="H785" s="101"/>
      <c r="I785" s="101">
        <v>16800</v>
      </c>
      <c r="J785" s="101">
        <v>16800</v>
      </c>
      <c r="K785" s="102">
        <v>16800</v>
      </c>
      <c r="L785" s="6"/>
    </row>
    <row r="786" spans="1:12" s="48" customFormat="1" ht="18" customHeight="1" x14ac:dyDescent="0.25">
      <c r="A786" s="1305" t="s">
        <v>123</v>
      </c>
      <c r="B786" s="1305" t="s">
        <v>1317</v>
      </c>
      <c r="C786" s="125" t="s">
        <v>155</v>
      </c>
      <c r="D786" s="113"/>
      <c r="E786" s="113"/>
      <c r="F786" s="113"/>
      <c r="G786" s="716" t="s">
        <v>156</v>
      </c>
      <c r="H786" s="101"/>
      <c r="I786" s="101">
        <v>7200</v>
      </c>
      <c r="J786" s="101">
        <v>7200</v>
      </c>
      <c r="K786" s="102">
        <v>7200</v>
      </c>
      <c r="L786" s="6"/>
    </row>
    <row r="787" spans="1:12" s="48" customFormat="1" ht="18" customHeight="1" x14ac:dyDescent="0.25">
      <c r="A787" s="1305" t="s">
        <v>123</v>
      </c>
      <c r="B787" s="1305" t="s">
        <v>1317</v>
      </c>
      <c r="C787" s="125" t="s">
        <v>155</v>
      </c>
      <c r="D787" s="113"/>
      <c r="E787" s="113"/>
      <c r="F787" s="113"/>
      <c r="G787" s="143" t="s">
        <v>156</v>
      </c>
      <c r="H787" s="101"/>
      <c r="I787" s="101">
        <v>15600</v>
      </c>
      <c r="J787" s="101">
        <v>15600</v>
      </c>
      <c r="K787" s="102">
        <v>15600</v>
      </c>
      <c r="L787" s="6"/>
    </row>
    <row r="788" spans="1:12" s="48" customFormat="1" ht="18" customHeight="1" x14ac:dyDescent="0.25">
      <c r="A788" s="1305" t="s">
        <v>123</v>
      </c>
      <c r="B788" s="1305" t="s">
        <v>1317</v>
      </c>
      <c r="C788" s="125" t="s">
        <v>155</v>
      </c>
      <c r="D788" s="113"/>
      <c r="E788" s="113"/>
      <c r="F788" s="113"/>
      <c r="G788" s="143" t="s">
        <v>156</v>
      </c>
      <c r="H788" s="101"/>
      <c r="I788" s="101">
        <v>54000</v>
      </c>
      <c r="J788" s="101">
        <v>54000</v>
      </c>
      <c r="K788" s="102">
        <v>54000</v>
      </c>
      <c r="L788" s="6"/>
    </row>
    <row r="789" spans="1:12" s="48" customFormat="1" ht="18" customHeight="1" x14ac:dyDescent="0.25">
      <c r="A789" s="1305" t="s">
        <v>123</v>
      </c>
      <c r="B789" s="1305" t="s">
        <v>1317</v>
      </c>
      <c r="C789" s="125" t="s">
        <v>155</v>
      </c>
      <c r="D789" s="113"/>
      <c r="E789" s="113"/>
      <c r="F789" s="113"/>
      <c r="G789" s="143" t="s">
        <v>156</v>
      </c>
      <c r="H789" s="101"/>
      <c r="I789" s="101">
        <v>21600</v>
      </c>
      <c r="J789" s="101">
        <v>21600</v>
      </c>
      <c r="K789" s="102">
        <v>21600</v>
      </c>
      <c r="L789" s="6"/>
    </row>
    <row r="790" spans="1:12" s="48" customFormat="1" ht="18" customHeight="1" x14ac:dyDescent="0.25">
      <c r="A790" s="1305" t="s">
        <v>123</v>
      </c>
      <c r="B790" s="1305" t="s">
        <v>1317</v>
      </c>
      <c r="C790" s="125" t="s">
        <v>155</v>
      </c>
      <c r="D790" s="113"/>
      <c r="E790" s="113"/>
      <c r="F790" s="113"/>
      <c r="G790" s="143" t="s">
        <v>156</v>
      </c>
      <c r="H790" s="101"/>
      <c r="I790" s="101">
        <v>14400</v>
      </c>
      <c r="J790" s="101">
        <v>14400</v>
      </c>
      <c r="K790" s="102">
        <v>14400</v>
      </c>
      <c r="L790" s="6"/>
    </row>
    <row r="791" spans="1:12" s="48" customFormat="1" ht="18" customHeight="1" x14ac:dyDescent="0.25">
      <c r="A791" s="1305" t="s">
        <v>123</v>
      </c>
      <c r="B791" s="1305" t="s">
        <v>1317</v>
      </c>
      <c r="C791" s="125" t="s">
        <v>155</v>
      </c>
      <c r="D791" s="113"/>
      <c r="E791" s="113"/>
      <c r="F791" s="113"/>
      <c r="G791" s="143" t="s">
        <v>156</v>
      </c>
      <c r="H791" s="101"/>
      <c r="I791" s="101">
        <v>4800</v>
      </c>
      <c r="J791" s="101">
        <v>4800</v>
      </c>
      <c r="K791" s="102">
        <v>4800</v>
      </c>
      <c r="L791" s="6">
        <f>SUM(K773:K791)</f>
        <v>286800</v>
      </c>
    </row>
    <row r="792" spans="1:12" s="48" customFormat="1" ht="18" customHeight="1" x14ac:dyDescent="0.25">
      <c r="A792" s="1305" t="s">
        <v>123</v>
      </c>
      <c r="B792" s="1305" t="s">
        <v>1317</v>
      </c>
      <c r="C792" s="125" t="s">
        <v>129</v>
      </c>
      <c r="D792" s="113"/>
      <c r="E792" s="113"/>
      <c r="F792" s="113"/>
      <c r="G792" s="1331" t="s">
        <v>130</v>
      </c>
      <c r="H792" s="101"/>
      <c r="I792" s="101">
        <v>264000</v>
      </c>
      <c r="J792" s="101">
        <v>264000</v>
      </c>
      <c r="K792" s="102">
        <v>264000</v>
      </c>
      <c r="L792" s="6"/>
    </row>
    <row r="793" spans="1:12" s="48" customFormat="1" ht="18" customHeight="1" x14ac:dyDescent="0.25">
      <c r="A793" s="1305" t="s">
        <v>123</v>
      </c>
      <c r="B793" s="1305" t="s">
        <v>1317</v>
      </c>
      <c r="C793" s="125" t="s">
        <v>129</v>
      </c>
      <c r="D793" s="113"/>
      <c r="E793" s="113"/>
      <c r="F793" s="113"/>
      <c r="G793" s="144" t="s">
        <v>130</v>
      </c>
      <c r="H793" s="101"/>
      <c r="I793" s="101">
        <v>720000</v>
      </c>
      <c r="J793" s="101">
        <v>720000</v>
      </c>
      <c r="K793" s="102">
        <v>720000</v>
      </c>
      <c r="L793" s="6"/>
    </row>
    <row r="794" spans="1:12" s="48" customFormat="1" ht="18" customHeight="1" x14ac:dyDescent="0.25">
      <c r="A794" s="1305" t="s">
        <v>123</v>
      </c>
      <c r="B794" s="1305" t="s">
        <v>1317</v>
      </c>
      <c r="C794" s="125" t="s">
        <v>129</v>
      </c>
      <c r="D794" s="113"/>
      <c r="E794" s="113"/>
      <c r="F794" s="113"/>
      <c r="G794" s="1331" t="s">
        <v>130</v>
      </c>
      <c r="H794" s="101"/>
      <c r="I794" s="101">
        <v>96000</v>
      </c>
      <c r="J794" s="101">
        <v>96000</v>
      </c>
      <c r="K794" s="102">
        <v>96000</v>
      </c>
      <c r="L794" s="6"/>
    </row>
    <row r="795" spans="1:12" s="48" customFormat="1" ht="18" customHeight="1" x14ac:dyDescent="0.25">
      <c r="A795" s="1305" t="s">
        <v>123</v>
      </c>
      <c r="B795" s="1305" t="s">
        <v>1317</v>
      </c>
      <c r="C795" s="125" t="s">
        <v>129</v>
      </c>
      <c r="D795" s="113"/>
      <c r="E795" s="113"/>
      <c r="F795" s="113"/>
      <c r="G795" s="1331" t="s">
        <v>130</v>
      </c>
      <c r="H795" s="101"/>
      <c r="I795" s="101">
        <v>96000</v>
      </c>
      <c r="J795" s="101">
        <v>96000</v>
      </c>
      <c r="K795" s="102">
        <v>96000</v>
      </c>
      <c r="L795" s="6"/>
    </row>
    <row r="796" spans="1:12" s="48" customFormat="1" ht="18" customHeight="1" x14ac:dyDescent="0.25">
      <c r="A796" s="1305" t="s">
        <v>123</v>
      </c>
      <c r="B796" s="1305" t="s">
        <v>1317</v>
      </c>
      <c r="C796" s="125" t="s">
        <v>129</v>
      </c>
      <c r="D796" s="113"/>
      <c r="E796" s="113"/>
      <c r="F796" s="113"/>
      <c r="G796" s="144" t="s">
        <v>130</v>
      </c>
      <c r="H796" s="101"/>
      <c r="I796" s="101">
        <v>72000</v>
      </c>
      <c r="J796" s="101">
        <v>72000</v>
      </c>
      <c r="K796" s="102">
        <v>72000</v>
      </c>
      <c r="L796" s="6"/>
    </row>
    <row r="797" spans="1:12" s="48" customFormat="1" ht="18" customHeight="1" x14ac:dyDescent="0.25">
      <c r="A797" s="1305" t="s">
        <v>123</v>
      </c>
      <c r="B797" s="1305" t="s">
        <v>1317</v>
      </c>
      <c r="C797" s="125" t="s">
        <v>129</v>
      </c>
      <c r="D797" s="113"/>
      <c r="E797" s="113"/>
      <c r="F797" s="113"/>
      <c r="G797" s="144" t="s">
        <v>130</v>
      </c>
      <c r="H797" s="101"/>
      <c r="I797" s="101">
        <v>96000</v>
      </c>
      <c r="J797" s="101">
        <v>96000</v>
      </c>
      <c r="K797" s="102">
        <v>96000</v>
      </c>
      <c r="L797" s="6"/>
    </row>
    <row r="798" spans="1:12" s="48" customFormat="1" ht="18" customHeight="1" x14ac:dyDescent="0.25">
      <c r="A798" s="1305" t="s">
        <v>123</v>
      </c>
      <c r="B798" s="1305" t="s">
        <v>1317</v>
      </c>
      <c r="C798" s="125" t="s">
        <v>129</v>
      </c>
      <c r="D798" s="113"/>
      <c r="E798" s="113"/>
      <c r="F798" s="113"/>
      <c r="G798" s="144" t="s">
        <v>130</v>
      </c>
      <c r="H798" s="101"/>
      <c r="I798" s="101">
        <v>168000</v>
      </c>
      <c r="J798" s="101">
        <v>168000</v>
      </c>
      <c r="K798" s="102">
        <v>168000</v>
      </c>
      <c r="L798" s="6"/>
    </row>
    <row r="799" spans="1:12" s="48" customFormat="1" ht="18" customHeight="1" x14ac:dyDescent="0.25">
      <c r="A799" s="1305" t="s">
        <v>123</v>
      </c>
      <c r="B799" s="1305" t="s">
        <v>1317</v>
      </c>
      <c r="C799" s="125" t="s">
        <v>129</v>
      </c>
      <c r="D799" s="113"/>
      <c r="E799" s="113"/>
      <c r="F799" s="113"/>
      <c r="G799" s="144" t="s">
        <v>130</v>
      </c>
      <c r="H799" s="101"/>
      <c r="I799" s="101">
        <v>888000</v>
      </c>
      <c r="J799" s="101">
        <v>888000</v>
      </c>
      <c r="K799" s="102">
        <v>888000</v>
      </c>
      <c r="L799" s="6"/>
    </row>
    <row r="800" spans="1:12" s="48" customFormat="1" ht="18" customHeight="1" x14ac:dyDescent="0.25">
      <c r="A800" s="1305" t="s">
        <v>123</v>
      </c>
      <c r="B800" s="1305" t="s">
        <v>1317</v>
      </c>
      <c r="C800" s="125" t="s">
        <v>129</v>
      </c>
      <c r="D800" s="113"/>
      <c r="E800" s="113"/>
      <c r="F800" s="113"/>
      <c r="G800" s="144" t="s">
        <v>130</v>
      </c>
      <c r="H800" s="101"/>
      <c r="I800" s="101">
        <v>432000</v>
      </c>
      <c r="J800" s="101">
        <v>432000</v>
      </c>
      <c r="K800" s="102">
        <v>432000</v>
      </c>
      <c r="L800" s="6"/>
    </row>
    <row r="801" spans="1:12" s="48" customFormat="1" ht="18" customHeight="1" x14ac:dyDescent="0.25">
      <c r="A801" s="1305" t="s">
        <v>123</v>
      </c>
      <c r="B801" s="1305" t="s">
        <v>1317</v>
      </c>
      <c r="C801" s="125" t="s">
        <v>129</v>
      </c>
      <c r="D801" s="113"/>
      <c r="E801" s="113"/>
      <c r="F801" s="113"/>
      <c r="G801" s="144" t="s">
        <v>130</v>
      </c>
      <c r="H801" s="101"/>
      <c r="I801" s="101">
        <v>72000</v>
      </c>
      <c r="J801" s="101">
        <v>72000</v>
      </c>
      <c r="K801" s="102">
        <v>72000</v>
      </c>
      <c r="L801" s="6"/>
    </row>
    <row r="802" spans="1:12" s="48" customFormat="1" ht="18" customHeight="1" x14ac:dyDescent="0.25">
      <c r="A802" s="1305" t="s">
        <v>123</v>
      </c>
      <c r="B802" s="1305" t="s">
        <v>1317</v>
      </c>
      <c r="C802" s="125" t="s">
        <v>129</v>
      </c>
      <c r="D802" s="113"/>
      <c r="E802" s="113"/>
      <c r="F802" s="113"/>
      <c r="G802" s="1331" t="s">
        <v>130</v>
      </c>
      <c r="H802" s="101"/>
      <c r="I802" s="101">
        <v>48000</v>
      </c>
      <c r="J802" s="101">
        <v>48000</v>
      </c>
      <c r="K802" s="102">
        <v>48000</v>
      </c>
      <c r="L802" s="6"/>
    </row>
    <row r="803" spans="1:12" s="48" customFormat="1" ht="18" customHeight="1" x14ac:dyDescent="0.25">
      <c r="A803" s="1305" t="s">
        <v>123</v>
      </c>
      <c r="B803" s="1305" t="s">
        <v>1317</v>
      </c>
      <c r="C803" s="125" t="s">
        <v>129</v>
      </c>
      <c r="D803" s="113"/>
      <c r="E803" s="113"/>
      <c r="F803" s="113"/>
      <c r="G803" s="1331" t="s">
        <v>130</v>
      </c>
      <c r="H803" s="101"/>
      <c r="I803" s="101">
        <v>96000</v>
      </c>
      <c r="J803" s="101">
        <v>96000</v>
      </c>
      <c r="K803" s="102">
        <v>96000</v>
      </c>
      <c r="L803" s="6"/>
    </row>
    <row r="804" spans="1:12" s="48" customFormat="1" ht="18" customHeight="1" x14ac:dyDescent="0.25">
      <c r="A804" s="1305" t="s">
        <v>123</v>
      </c>
      <c r="B804" s="1305" t="s">
        <v>1317</v>
      </c>
      <c r="C804" s="125" t="s">
        <v>129</v>
      </c>
      <c r="D804" s="113"/>
      <c r="E804" s="113"/>
      <c r="F804" s="113"/>
      <c r="G804" s="1331" t="s">
        <v>130</v>
      </c>
      <c r="H804" s="101"/>
      <c r="I804" s="101">
        <v>336000</v>
      </c>
      <c r="J804" s="101">
        <v>336000</v>
      </c>
      <c r="K804" s="102">
        <v>336000</v>
      </c>
      <c r="L804" s="6"/>
    </row>
    <row r="805" spans="1:12" s="48" customFormat="1" ht="18" customHeight="1" x14ac:dyDescent="0.25">
      <c r="A805" s="1305" t="s">
        <v>123</v>
      </c>
      <c r="B805" s="1305" t="s">
        <v>1317</v>
      </c>
      <c r="C805" s="125" t="s">
        <v>129</v>
      </c>
      <c r="D805" s="113"/>
      <c r="E805" s="113"/>
      <c r="F805" s="113"/>
      <c r="G805" s="1331" t="s">
        <v>130</v>
      </c>
      <c r="H805" s="101"/>
      <c r="I805" s="101">
        <v>144000</v>
      </c>
      <c r="J805" s="101">
        <v>144000</v>
      </c>
      <c r="K805" s="102">
        <v>144000</v>
      </c>
      <c r="L805" s="6"/>
    </row>
    <row r="806" spans="1:12" s="146" customFormat="1" ht="18.75" customHeight="1" x14ac:dyDescent="0.25">
      <c r="A806" s="1305" t="s">
        <v>123</v>
      </c>
      <c r="B806" s="1305" t="s">
        <v>1317</v>
      </c>
      <c r="C806" s="125" t="s">
        <v>129</v>
      </c>
      <c r="D806" s="113"/>
      <c r="E806" s="113"/>
      <c r="F806" s="113"/>
      <c r="G806" s="143" t="s">
        <v>130</v>
      </c>
      <c r="H806" s="101"/>
      <c r="I806" s="101">
        <v>312000</v>
      </c>
      <c r="J806" s="101">
        <v>312000</v>
      </c>
      <c r="K806" s="102">
        <v>312000</v>
      </c>
      <c r="L806" s="10"/>
    </row>
    <row r="807" spans="1:12" s="48" customFormat="1" ht="18" customHeight="1" x14ac:dyDescent="0.25">
      <c r="A807" s="1305" t="s">
        <v>123</v>
      </c>
      <c r="B807" s="1305" t="s">
        <v>1317</v>
      </c>
      <c r="C807" s="125" t="s">
        <v>129</v>
      </c>
      <c r="D807" s="113"/>
      <c r="E807" s="113"/>
      <c r="F807" s="113"/>
      <c r="G807" s="144" t="s">
        <v>130</v>
      </c>
      <c r="H807" s="101"/>
      <c r="I807" s="101">
        <v>1080000</v>
      </c>
      <c r="J807" s="101">
        <v>1080000</v>
      </c>
      <c r="K807" s="102">
        <v>1080000</v>
      </c>
      <c r="L807" s="6"/>
    </row>
    <row r="808" spans="1:12" s="48" customFormat="1" ht="18" customHeight="1" x14ac:dyDescent="0.25">
      <c r="A808" s="1305" t="s">
        <v>123</v>
      </c>
      <c r="B808" s="1305" t="s">
        <v>1317</v>
      </c>
      <c r="C808" s="125" t="s">
        <v>129</v>
      </c>
      <c r="D808" s="113"/>
      <c r="E808" s="113"/>
      <c r="F808" s="113"/>
      <c r="G808" s="143" t="s">
        <v>130</v>
      </c>
      <c r="H808" s="101"/>
      <c r="I808" s="101">
        <v>432000</v>
      </c>
      <c r="J808" s="101">
        <v>432000</v>
      </c>
      <c r="K808" s="102">
        <v>432000</v>
      </c>
      <c r="L808" s="6"/>
    </row>
    <row r="809" spans="1:12" s="48" customFormat="1" ht="18" customHeight="1" x14ac:dyDescent="0.25">
      <c r="A809" s="1305" t="s">
        <v>123</v>
      </c>
      <c r="B809" s="1305" t="s">
        <v>1317</v>
      </c>
      <c r="C809" s="125" t="s">
        <v>129</v>
      </c>
      <c r="D809" s="113"/>
      <c r="E809" s="113"/>
      <c r="F809" s="113"/>
      <c r="G809" s="144" t="s">
        <v>130</v>
      </c>
      <c r="H809" s="101"/>
      <c r="I809" s="101">
        <v>288000</v>
      </c>
      <c r="J809" s="101">
        <v>288000</v>
      </c>
      <c r="K809" s="102">
        <v>288000</v>
      </c>
      <c r="L809" s="6"/>
    </row>
    <row r="810" spans="1:12" s="48" customFormat="1" ht="18" customHeight="1" x14ac:dyDescent="0.25">
      <c r="A810" s="1305" t="s">
        <v>123</v>
      </c>
      <c r="B810" s="1305" t="s">
        <v>1317</v>
      </c>
      <c r="C810" s="125" t="s">
        <v>129</v>
      </c>
      <c r="D810" s="113"/>
      <c r="E810" s="113"/>
      <c r="F810" s="113"/>
      <c r="G810" s="144" t="s">
        <v>130</v>
      </c>
      <c r="H810" s="101"/>
      <c r="I810" s="101">
        <v>96000</v>
      </c>
      <c r="J810" s="101">
        <v>96000</v>
      </c>
      <c r="K810" s="102">
        <v>96000</v>
      </c>
      <c r="L810" s="6">
        <f>SUM(K792:K810)</f>
        <v>5736000</v>
      </c>
    </row>
    <row r="811" spans="1:12" s="48" customFormat="1" ht="18" customHeight="1" x14ac:dyDescent="0.25">
      <c r="A811" s="1305" t="s">
        <v>123</v>
      </c>
      <c r="B811" s="1305" t="s">
        <v>1317</v>
      </c>
      <c r="C811" s="125" t="s">
        <v>157</v>
      </c>
      <c r="D811" s="113"/>
      <c r="E811" s="113"/>
      <c r="F811" s="113"/>
      <c r="G811" s="716" t="s">
        <v>158</v>
      </c>
      <c r="H811" s="101"/>
      <c r="I811" s="101">
        <v>78364.53</v>
      </c>
      <c r="J811" s="101">
        <v>78364.53</v>
      </c>
      <c r="K811" s="102">
        <v>76573.070000000007</v>
      </c>
      <c r="L811" s="6"/>
    </row>
    <row r="812" spans="1:12" s="48" customFormat="1" ht="18" customHeight="1" x14ac:dyDescent="0.25">
      <c r="A812" s="1305" t="s">
        <v>123</v>
      </c>
      <c r="B812" s="1305" t="s">
        <v>1317</v>
      </c>
      <c r="C812" s="125" t="s">
        <v>157</v>
      </c>
      <c r="D812" s="113"/>
      <c r="E812" s="113"/>
      <c r="F812" s="113"/>
      <c r="G812" s="143" t="s">
        <v>158</v>
      </c>
      <c r="H812" s="101"/>
      <c r="I812" s="101">
        <v>107369.01</v>
      </c>
      <c r="J812" s="101">
        <v>107369.01</v>
      </c>
      <c r="K812" s="102">
        <v>103245.84</v>
      </c>
      <c r="L812" s="6"/>
    </row>
    <row r="813" spans="1:12" s="48" customFormat="1" ht="17.850000000000001" customHeight="1" x14ac:dyDescent="0.25">
      <c r="A813" s="1305" t="s">
        <v>123</v>
      </c>
      <c r="B813" s="1305" t="s">
        <v>1317</v>
      </c>
      <c r="C813" s="125" t="s">
        <v>157</v>
      </c>
      <c r="D813" s="113"/>
      <c r="E813" s="113"/>
      <c r="F813" s="113"/>
      <c r="G813" s="716" t="s">
        <v>158</v>
      </c>
      <c r="H813" s="101"/>
      <c r="I813" s="101">
        <v>20216.52</v>
      </c>
      <c r="J813" s="101">
        <v>20216.52</v>
      </c>
      <c r="K813" s="102">
        <v>19380.330000000002</v>
      </c>
      <c r="L813" s="6"/>
    </row>
    <row r="814" spans="1:12" s="313" customFormat="1" ht="17.850000000000001" customHeight="1" x14ac:dyDescent="0.25">
      <c r="A814" s="1305" t="s">
        <v>123</v>
      </c>
      <c r="B814" s="1305" t="s">
        <v>1317</v>
      </c>
      <c r="C814" s="125" t="s">
        <v>157</v>
      </c>
      <c r="D814" s="113"/>
      <c r="E814" s="113"/>
      <c r="F814" s="113"/>
      <c r="G814" s="716" t="s">
        <v>158</v>
      </c>
      <c r="H814" s="101"/>
      <c r="I814" s="101">
        <v>21425.040000000001</v>
      </c>
      <c r="J814" s="101">
        <v>21425.040000000001</v>
      </c>
      <c r="K814" s="102">
        <v>20467.62</v>
      </c>
      <c r="L814" s="193"/>
    </row>
    <row r="815" spans="1:12" s="313" customFormat="1" ht="17.850000000000001" customHeight="1" x14ac:dyDescent="0.25">
      <c r="A815" s="1305" t="s">
        <v>123</v>
      </c>
      <c r="B815" s="1305" t="s">
        <v>1317</v>
      </c>
      <c r="C815" s="125" t="s">
        <v>157</v>
      </c>
      <c r="D815" s="113"/>
      <c r="E815" s="113"/>
      <c r="F815" s="113"/>
      <c r="G815" s="143" t="s">
        <v>158</v>
      </c>
      <c r="H815" s="101"/>
      <c r="I815" s="101">
        <v>17134.2</v>
      </c>
      <c r="J815" s="101">
        <v>17134.2</v>
      </c>
      <c r="K815" s="102">
        <v>16339.32</v>
      </c>
      <c r="L815" s="193"/>
    </row>
    <row r="816" spans="1:12" s="146" customFormat="1" ht="17.850000000000001" customHeight="1" x14ac:dyDescent="0.25">
      <c r="A816" s="1305" t="s">
        <v>123</v>
      </c>
      <c r="B816" s="1305" t="s">
        <v>1317</v>
      </c>
      <c r="C816" s="125" t="s">
        <v>157</v>
      </c>
      <c r="D816" s="113"/>
      <c r="E816" s="113"/>
      <c r="F816" s="113"/>
      <c r="G816" s="143" t="s">
        <v>158</v>
      </c>
      <c r="H816" s="101"/>
      <c r="I816" s="101">
        <v>28782.54</v>
      </c>
      <c r="J816" s="101">
        <v>28782.54</v>
      </c>
      <c r="K816" s="102">
        <v>27961.200000000001</v>
      </c>
      <c r="L816" s="10"/>
    </row>
    <row r="817" spans="1:12" s="146" customFormat="1" ht="17.850000000000001" customHeight="1" x14ac:dyDescent="0.25">
      <c r="A817" s="1305" t="s">
        <v>123</v>
      </c>
      <c r="B817" s="1305" t="s">
        <v>1317</v>
      </c>
      <c r="C817" s="125" t="s">
        <v>157</v>
      </c>
      <c r="D817" s="113"/>
      <c r="E817" s="113"/>
      <c r="F817" s="113"/>
      <c r="G817" s="143" t="s">
        <v>158</v>
      </c>
      <c r="H817" s="101"/>
      <c r="I817" s="101">
        <v>55875.69</v>
      </c>
      <c r="J817" s="101">
        <v>55875.69</v>
      </c>
      <c r="K817" s="102">
        <v>54642.6</v>
      </c>
      <c r="L817" s="10"/>
    </row>
    <row r="818" spans="1:12" s="313" customFormat="1" ht="18" customHeight="1" x14ac:dyDescent="0.25">
      <c r="A818" s="1305" t="s">
        <v>123</v>
      </c>
      <c r="B818" s="1305" t="s">
        <v>1317</v>
      </c>
      <c r="C818" s="125" t="s">
        <v>157</v>
      </c>
      <c r="D818" s="113"/>
      <c r="E818" s="113"/>
      <c r="F818" s="113"/>
      <c r="G818" s="143" t="s">
        <v>158</v>
      </c>
      <c r="H818" s="101"/>
      <c r="I818" s="101">
        <v>350878.23</v>
      </c>
      <c r="J818" s="101">
        <v>350878.23</v>
      </c>
      <c r="K818" s="102">
        <v>341484.12</v>
      </c>
      <c r="L818" s="193"/>
    </row>
    <row r="819" spans="1:12" s="146" customFormat="1" ht="17.25" customHeight="1" x14ac:dyDescent="0.25">
      <c r="A819" s="1305" t="s">
        <v>123</v>
      </c>
      <c r="B819" s="1305" t="s">
        <v>1317</v>
      </c>
      <c r="C819" s="125" t="s">
        <v>157</v>
      </c>
      <c r="D819" s="113"/>
      <c r="E819" s="113"/>
      <c r="F819" s="113"/>
      <c r="G819" s="143" t="s">
        <v>158</v>
      </c>
      <c r="H819" s="101"/>
      <c r="I819" s="101">
        <v>100543.41</v>
      </c>
      <c r="J819" s="101">
        <v>100543.41</v>
      </c>
      <c r="K819" s="102">
        <v>97252.58</v>
      </c>
      <c r="L819" s="10"/>
    </row>
    <row r="820" spans="1:12" s="313" customFormat="1" ht="18" customHeight="1" x14ac:dyDescent="0.25">
      <c r="A820" s="1305" t="s">
        <v>123</v>
      </c>
      <c r="B820" s="1305" t="s">
        <v>1317</v>
      </c>
      <c r="C820" s="125" t="s">
        <v>157</v>
      </c>
      <c r="D820" s="113"/>
      <c r="E820" s="113"/>
      <c r="F820" s="113"/>
      <c r="G820" s="143" t="s">
        <v>158</v>
      </c>
      <c r="H820" s="101"/>
      <c r="I820" s="101">
        <v>29339.01</v>
      </c>
      <c r="J820" s="101">
        <v>29339.01</v>
      </c>
      <c r="K820" s="102">
        <v>28654.02</v>
      </c>
      <c r="L820" s="193"/>
    </row>
    <row r="821" spans="1:12" s="48" customFormat="1" ht="18" customHeight="1" x14ac:dyDescent="0.25">
      <c r="A821" s="1305" t="s">
        <v>123</v>
      </c>
      <c r="B821" s="1305" t="s">
        <v>1317</v>
      </c>
      <c r="C821" s="125" t="s">
        <v>157</v>
      </c>
      <c r="D821" s="113"/>
      <c r="E821" s="113"/>
      <c r="F821" s="113"/>
      <c r="G821" s="716" t="s">
        <v>158</v>
      </c>
      <c r="H821" s="101"/>
      <c r="I821" s="101">
        <v>25547.67</v>
      </c>
      <c r="J821" s="101">
        <v>25547.67</v>
      </c>
      <c r="K821" s="102">
        <v>25008.48</v>
      </c>
      <c r="L821" s="6"/>
    </row>
    <row r="822" spans="1:12" ht="18" customHeight="1" x14ac:dyDescent="0.25">
      <c r="A822" s="1305" t="s">
        <v>123</v>
      </c>
      <c r="B822" s="1305" t="s">
        <v>1317</v>
      </c>
      <c r="C822" s="125" t="s">
        <v>157</v>
      </c>
      <c r="D822" s="113"/>
      <c r="E822" s="113"/>
      <c r="F822" s="113"/>
      <c r="G822" s="716" t="s">
        <v>158</v>
      </c>
      <c r="H822" s="101"/>
      <c r="I822" s="101">
        <v>45396.45</v>
      </c>
      <c r="J822" s="101">
        <v>45396.45</v>
      </c>
      <c r="K822" s="102">
        <v>44153.91</v>
      </c>
    </row>
    <row r="823" spans="1:12" ht="18" customHeight="1" x14ac:dyDescent="0.25">
      <c r="A823" s="1305" t="s">
        <v>123</v>
      </c>
      <c r="B823" s="1305" t="s">
        <v>1317</v>
      </c>
      <c r="C823" s="125" t="s">
        <v>157</v>
      </c>
      <c r="D823" s="113"/>
      <c r="E823" s="113"/>
      <c r="F823" s="113"/>
      <c r="G823" s="716" t="s">
        <v>158</v>
      </c>
      <c r="H823" s="101"/>
      <c r="I823" s="101">
        <v>101966.85</v>
      </c>
      <c r="J823" s="101">
        <v>101966.85</v>
      </c>
      <c r="K823" s="102">
        <v>98256.78</v>
      </c>
    </row>
    <row r="824" spans="1:12" s="146" customFormat="1" ht="18" customHeight="1" x14ac:dyDescent="0.25">
      <c r="A824" s="1305" t="s">
        <v>123</v>
      </c>
      <c r="B824" s="1305" t="s">
        <v>1317</v>
      </c>
      <c r="C824" s="125" t="s">
        <v>157</v>
      </c>
      <c r="D824" s="113"/>
      <c r="E824" s="113"/>
      <c r="F824" s="113"/>
      <c r="G824" s="716" t="s">
        <v>158</v>
      </c>
      <c r="H824" s="101"/>
      <c r="I824" s="101">
        <v>48256.83</v>
      </c>
      <c r="J824" s="101">
        <v>48256.83</v>
      </c>
      <c r="K824" s="102">
        <v>46770.75</v>
      </c>
      <c r="L824" s="10"/>
    </row>
    <row r="825" spans="1:12" s="146" customFormat="1" ht="18" customHeight="1" x14ac:dyDescent="0.25">
      <c r="A825" s="1305" t="s">
        <v>123</v>
      </c>
      <c r="B825" s="1305" t="s">
        <v>1317</v>
      </c>
      <c r="C825" s="125" t="s">
        <v>157</v>
      </c>
      <c r="D825" s="113"/>
      <c r="E825" s="113"/>
      <c r="F825" s="113"/>
      <c r="G825" s="143" t="s">
        <v>158</v>
      </c>
      <c r="H825" s="101"/>
      <c r="I825" s="101">
        <v>87668.73</v>
      </c>
      <c r="J825" s="101">
        <v>87668.73</v>
      </c>
      <c r="K825" s="102">
        <v>84980.34</v>
      </c>
      <c r="L825" s="10"/>
    </row>
    <row r="826" spans="1:12" s="146" customFormat="1" ht="18" customHeight="1" x14ac:dyDescent="0.25">
      <c r="A826" s="1305" t="s">
        <v>123</v>
      </c>
      <c r="B826" s="1305" t="s">
        <v>1317</v>
      </c>
      <c r="C826" s="125" t="s">
        <v>157</v>
      </c>
      <c r="D826" s="113"/>
      <c r="E826" s="113"/>
      <c r="F826" s="113"/>
      <c r="G826" s="143" t="s">
        <v>158</v>
      </c>
      <c r="H826" s="101"/>
      <c r="I826" s="101">
        <v>182329.92</v>
      </c>
      <c r="J826" s="101">
        <v>182329.92</v>
      </c>
      <c r="K826" s="102">
        <v>175774.05</v>
      </c>
      <c r="L826" s="10"/>
    </row>
    <row r="827" spans="1:12" s="146" customFormat="1" ht="18" customHeight="1" x14ac:dyDescent="0.25">
      <c r="A827" s="1305" t="s">
        <v>123</v>
      </c>
      <c r="B827" s="1305" t="s">
        <v>1317</v>
      </c>
      <c r="C827" s="125" t="s">
        <v>157</v>
      </c>
      <c r="D827" s="113"/>
      <c r="E827" s="113"/>
      <c r="F827" s="113"/>
      <c r="G827" s="143" t="s">
        <v>158</v>
      </c>
      <c r="H827" s="101"/>
      <c r="I827" s="101">
        <v>118518.39</v>
      </c>
      <c r="J827" s="101">
        <v>118518.39</v>
      </c>
      <c r="K827" s="102">
        <v>114365.63</v>
      </c>
      <c r="L827" s="10"/>
    </row>
    <row r="828" spans="1:12" s="146" customFormat="1" ht="18" customHeight="1" x14ac:dyDescent="0.25">
      <c r="A828" s="1305" t="s">
        <v>123</v>
      </c>
      <c r="B828" s="1305" t="s">
        <v>1317</v>
      </c>
      <c r="C828" s="125" t="s">
        <v>157</v>
      </c>
      <c r="D828" s="113"/>
      <c r="E828" s="113"/>
      <c r="F828" s="113"/>
      <c r="G828" s="143" t="s">
        <v>158</v>
      </c>
      <c r="H828" s="101"/>
      <c r="I828" s="101">
        <v>96196.41</v>
      </c>
      <c r="J828" s="101">
        <v>96196.41</v>
      </c>
      <c r="K828" s="102">
        <v>92867.85</v>
      </c>
      <c r="L828" s="10"/>
    </row>
    <row r="829" spans="1:12" s="146" customFormat="1" ht="18" customHeight="1" x14ac:dyDescent="0.25">
      <c r="A829" s="1305" t="s">
        <v>123</v>
      </c>
      <c r="B829" s="1305" t="s">
        <v>1317</v>
      </c>
      <c r="C829" s="125" t="s">
        <v>157</v>
      </c>
      <c r="D829" s="113"/>
      <c r="E829" s="113"/>
      <c r="F829" s="113"/>
      <c r="G829" s="143" t="s">
        <v>158</v>
      </c>
      <c r="H829" s="101"/>
      <c r="I829" s="101">
        <v>36537.75</v>
      </c>
      <c r="J829" s="101">
        <v>36537.75</v>
      </c>
      <c r="K829" s="102">
        <v>35578.71</v>
      </c>
      <c r="L829" s="10">
        <f>SUM(K811:K829)</f>
        <v>1503757.2000000002</v>
      </c>
    </row>
    <row r="830" spans="1:12" s="146" customFormat="1" ht="18" customHeight="1" x14ac:dyDescent="0.25">
      <c r="A830" s="1305" t="s">
        <v>123</v>
      </c>
      <c r="B830" s="1305" t="s">
        <v>1317</v>
      </c>
      <c r="C830" s="125" t="s">
        <v>131</v>
      </c>
      <c r="D830" s="113"/>
      <c r="E830" s="113"/>
      <c r="F830" s="113"/>
      <c r="G830" s="716" t="s">
        <v>132</v>
      </c>
      <c r="H830" s="101"/>
      <c r="I830" s="101">
        <v>96000</v>
      </c>
      <c r="J830" s="101">
        <v>96000</v>
      </c>
      <c r="K830" s="102">
        <v>96000</v>
      </c>
      <c r="L830" s="10"/>
    </row>
    <row r="831" spans="1:12" s="146" customFormat="1" ht="18" customHeight="1" x14ac:dyDescent="0.25">
      <c r="A831" s="1305" t="s">
        <v>123</v>
      </c>
      <c r="B831" s="1305" t="s">
        <v>1317</v>
      </c>
      <c r="C831" s="125" t="s">
        <v>131</v>
      </c>
      <c r="D831" s="113"/>
      <c r="E831" s="113"/>
      <c r="F831" s="113"/>
      <c r="G831" s="143" t="s">
        <v>132</v>
      </c>
      <c r="H831" s="101"/>
      <c r="I831" s="101">
        <v>86400</v>
      </c>
      <c r="J831" s="101">
        <v>86400</v>
      </c>
      <c r="K831" s="102">
        <v>86400</v>
      </c>
      <c r="L831" s="10"/>
    </row>
    <row r="832" spans="1:12" s="146" customFormat="1" ht="18" customHeight="1" x14ac:dyDescent="0.25">
      <c r="A832" s="1305" t="s">
        <v>123</v>
      </c>
      <c r="B832" s="1305" t="s">
        <v>1317</v>
      </c>
      <c r="C832" s="125" t="s">
        <v>131</v>
      </c>
      <c r="D832" s="113"/>
      <c r="E832" s="113"/>
      <c r="F832" s="113"/>
      <c r="G832" s="143" t="s">
        <v>132</v>
      </c>
      <c r="H832" s="101"/>
      <c r="I832" s="101">
        <v>864000</v>
      </c>
      <c r="J832" s="101">
        <v>864000</v>
      </c>
      <c r="K832" s="102">
        <v>864000</v>
      </c>
      <c r="L832" s="10"/>
    </row>
    <row r="833" spans="1:12" s="146" customFormat="1" ht="18" customHeight="1" x14ac:dyDescent="0.25">
      <c r="A833" s="1305" t="s">
        <v>123</v>
      </c>
      <c r="B833" s="1305" t="s">
        <v>1317</v>
      </c>
      <c r="C833" s="125" t="s">
        <v>131</v>
      </c>
      <c r="D833" s="113"/>
      <c r="E833" s="113"/>
      <c r="F833" s="113"/>
      <c r="G833" s="143" t="s">
        <v>132</v>
      </c>
      <c r="H833" s="101"/>
      <c r="I833" s="101">
        <v>72000</v>
      </c>
      <c r="J833" s="101">
        <v>72000</v>
      </c>
      <c r="K833" s="102">
        <v>72000</v>
      </c>
      <c r="L833" s="10"/>
    </row>
    <row r="834" spans="1:12" s="146" customFormat="1" ht="18" customHeight="1" x14ac:dyDescent="0.25">
      <c r="A834" s="1305" t="s">
        <v>123</v>
      </c>
      <c r="B834" s="1305" t="s">
        <v>1317</v>
      </c>
      <c r="C834" s="125" t="s">
        <v>131</v>
      </c>
      <c r="D834" s="113"/>
      <c r="E834" s="113"/>
      <c r="F834" s="113"/>
      <c r="G834" s="143" t="s">
        <v>132</v>
      </c>
      <c r="H834" s="101"/>
      <c r="I834" s="101">
        <v>72000</v>
      </c>
      <c r="J834" s="101">
        <v>72000</v>
      </c>
      <c r="K834" s="102">
        <v>72000</v>
      </c>
      <c r="L834" s="10"/>
    </row>
    <row r="835" spans="1:12" s="146" customFormat="1" ht="18" customHeight="1" x14ac:dyDescent="0.25">
      <c r="A835" s="1305" t="s">
        <v>123</v>
      </c>
      <c r="B835" s="1305" t="s">
        <v>1317</v>
      </c>
      <c r="C835" s="125" t="s">
        <v>131</v>
      </c>
      <c r="D835" s="113"/>
      <c r="E835" s="113"/>
      <c r="F835" s="113"/>
      <c r="G835" s="716" t="s">
        <v>132</v>
      </c>
      <c r="H835" s="101"/>
      <c r="I835" s="101">
        <v>72000</v>
      </c>
      <c r="J835" s="101">
        <v>72000</v>
      </c>
      <c r="K835" s="102">
        <v>72000</v>
      </c>
      <c r="L835" s="10"/>
    </row>
    <row r="836" spans="1:12" s="146" customFormat="1" ht="18" customHeight="1" x14ac:dyDescent="0.25">
      <c r="A836" s="1305" t="s">
        <v>123</v>
      </c>
      <c r="B836" s="1305" t="s">
        <v>1317</v>
      </c>
      <c r="C836" s="125" t="s">
        <v>131</v>
      </c>
      <c r="D836" s="113"/>
      <c r="E836" s="113"/>
      <c r="F836" s="113"/>
      <c r="G836" s="716" t="s">
        <v>132</v>
      </c>
      <c r="H836" s="101"/>
      <c r="I836" s="101">
        <v>72000</v>
      </c>
      <c r="J836" s="101">
        <v>72000</v>
      </c>
      <c r="K836" s="102">
        <v>72000</v>
      </c>
      <c r="L836" s="10"/>
    </row>
    <row r="837" spans="1:12" s="146" customFormat="1" ht="18" customHeight="1" x14ac:dyDescent="0.25">
      <c r="A837" s="1305" t="s">
        <v>123</v>
      </c>
      <c r="B837" s="1305" t="s">
        <v>1317</v>
      </c>
      <c r="C837" s="125" t="s">
        <v>131</v>
      </c>
      <c r="D837" s="113"/>
      <c r="E837" s="113"/>
      <c r="F837" s="113"/>
      <c r="G837" s="716" t="s">
        <v>132</v>
      </c>
      <c r="H837" s="101"/>
      <c r="I837" s="101">
        <v>72000</v>
      </c>
      <c r="J837" s="101">
        <v>72000</v>
      </c>
      <c r="K837" s="102">
        <v>72000</v>
      </c>
      <c r="L837" s="10"/>
    </row>
    <row r="838" spans="1:12" s="146" customFormat="1" ht="18" customHeight="1" x14ac:dyDescent="0.25">
      <c r="A838" s="1305" t="s">
        <v>123</v>
      </c>
      <c r="B838" s="1305" t="s">
        <v>1317</v>
      </c>
      <c r="C838" s="125" t="s">
        <v>131</v>
      </c>
      <c r="D838" s="113"/>
      <c r="E838" s="113"/>
      <c r="F838" s="113"/>
      <c r="G838" s="716" t="s">
        <v>132</v>
      </c>
      <c r="H838" s="101"/>
      <c r="I838" s="101">
        <v>72000</v>
      </c>
      <c r="J838" s="101">
        <v>72000</v>
      </c>
      <c r="K838" s="102">
        <v>72000</v>
      </c>
      <c r="L838" s="10"/>
    </row>
    <row r="839" spans="1:12" s="146" customFormat="1" ht="18" customHeight="1" x14ac:dyDescent="0.25">
      <c r="A839" s="1305" t="s">
        <v>123</v>
      </c>
      <c r="B839" s="1305" t="s">
        <v>1317</v>
      </c>
      <c r="C839" s="125" t="s">
        <v>131</v>
      </c>
      <c r="D839" s="113"/>
      <c r="E839" s="113"/>
      <c r="F839" s="113"/>
      <c r="G839" s="143" t="s">
        <v>132</v>
      </c>
      <c r="H839" s="101"/>
      <c r="I839" s="101">
        <v>72000</v>
      </c>
      <c r="J839" s="101">
        <v>72000</v>
      </c>
      <c r="K839" s="102">
        <v>72000</v>
      </c>
      <c r="L839" s="10"/>
    </row>
    <row r="840" spans="1:12" ht="18" customHeight="1" x14ac:dyDescent="0.25">
      <c r="A840" s="1305" t="s">
        <v>123</v>
      </c>
      <c r="B840" s="1305" t="s">
        <v>1317</v>
      </c>
      <c r="C840" s="125" t="s">
        <v>131</v>
      </c>
      <c r="D840" s="113"/>
      <c r="E840" s="113"/>
      <c r="F840" s="113"/>
      <c r="G840" s="143" t="s">
        <v>132</v>
      </c>
      <c r="H840" s="101"/>
      <c r="I840" s="101">
        <v>72000</v>
      </c>
      <c r="J840" s="101">
        <v>72000</v>
      </c>
      <c r="K840" s="102">
        <v>72000</v>
      </c>
    </row>
    <row r="841" spans="1:12" ht="18" customHeight="1" x14ac:dyDescent="0.25">
      <c r="A841" s="1305" t="s">
        <v>123</v>
      </c>
      <c r="B841" s="1305" t="s">
        <v>1317</v>
      </c>
      <c r="C841" s="125" t="s">
        <v>131</v>
      </c>
      <c r="D841" s="113"/>
      <c r="E841" s="113"/>
      <c r="F841" s="113"/>
      <c r="G841" s="143" t="s">
        <v>132</v>
      </c>
      <c r="H841" s="101"/>
      <c r="I841" s="101">
        <v>120000</v>
      </c>
      <c r="J841" s="101">
        <v>120000</v>
      </c>
      <c r="K841" s="102">
        <v>120000</v>
      </c>
    </row>
    <row r="842" spans="1:12" ht="18" customHeight="1" x14ac:dyDescent="0.25">
      <c r="A842" s="1305" t="s">
        <v>123</v>
      </c>
      <c r="B842" s="1305" t="s">
        <v>1317</v>
      </c>
      <c r="C842" s="125" t="s">
        <v>131</v>
      </c>
      <c r="D842" s="113"/>
      <c r="E842" s="113"/>
      <c r="F842" s="113"/>
      <c r="G842" s="143" t="s">
        <v>132</v>
      </c>
      <c r="H842" s="101"/>
      <c r="I842" s="101">
        <v>120000</v>
      </c>
      <c r="J842" s="101">
        <v>120000</v>
      </c>
      <c r="K842" s="102">
        <v>120000</v>
      </c>
    </row>
    <row r="843" spans="1:12" ht="18" customHeight="1" x14ac:dyDescent="0.25">
      <c r="A843" s="1305" t="s">
        <v>123</v>
      </c>
      <c r="B843" s="1305" t="s">
        <v>1317</v>
      </c>
      <c r="C843" s="125" t="s">
        <v>131</v>
      </c>
      <c r="D843" s="113"/>
      <c r="E843" s="113"/>
      <c r="F843" s="113"/>
      <c r="G843" s="143" t="s">
        <v>132</v>
      </c>
      <c r="H843" s="101"/>
      <c r="I843" s="101">
        <v>72000</v>
      </c>
      <c r="J843" s="101">
        <v>72000</v>
      </c>
      <c r="K843" s="102">
        <v>72000</v>
      </c>
      <c r="L843" s="10">
        <f>SUM(K830:K843)</f>
        <v>1934400</v>
      </c>
    </row>
    <row r="844" spans="1:12" ht="18" customHeight="1" x14ac:dyDescent="0.25">
      <c r="A844" s="1305" t="s">
        <v>123</v>
      </c>
      <c r="B844" s="1305" t="s">
        <v>1317</v>
      </c>
      <c r="C844" s="125" t="s">
        <v>1545</v>
      </c>
      <c r="D844" s="113"/>
      <c r="E844" s="113"/>
      <c r="F844" s="113"/>
      <c r="G844" s="716" t="s">
        <v>154</v>
      </c>
      <c r="H844" s="101"/>
      <c r="I844" s="101">
        <v>513473.76</v>
      </c>
      <c r="J844" s="101">
        <v>513473.76</v>
      </c>
      <c r="K844" s="102">
        <v>499750.5</v>
      </c>
    </row>
    <row r="845" spans="1:12" ht="18" customHeight="1" x14ac:dyDescent="0.25">
      <c r="A845" s="1305" t="s">
        <v>123</v>
      </c>
      <c r="B845" s="1305" t="s">
        <v>1317</v>
      </c>
      <c r="C845" s="125" t="s">
        <v>1545</v>
      </c>
      <c r="D845" s="113"/>
      <c r="E845" s="113"/>
      <c r="F845" s="113"/>
      <c r="G845" s="143" t="s">
        <v>154</v>
      </c>
      <c r="H845" s="101"/>
      <c r="I845" s="101">
        <v>572634.72</v>
      </c>
      <c r="J845" s="101">
        <v>572634.72</v>
      </c>
      <c r="K845" s="102">
        <v>550644.47999999998</v>
      </c>
    </row>
    <row r="846" spans="1:12" ht="18" customHeight="1" x14ac:dyDescent="0.25">
      <c r="A846" s="1305" t="s">
        <v>123</v>
      </c>
      <c r="B846" s="1305" t="s">
        <v>1317</v>
      </c>
      <c r="C846" s="125" t="s">
        <v>1545</v>
      </c>
      <c r="D846" s="113"/>
      <c r="E846" s="113"/>
      <c r="F846" s="113"/>
      <c r="G846" s="716" t="s">
        <v>154</v>
      </c>
      <c r="H846" s="101"/>
      <c r="I846" s="101">
        <v>107821.44</v>
      </c>
      <c r="J846" s="101">
        <v>107821.44</v>
      </c>
      <c r="K846" s="102">
        <v>103361.76</v>
      </c>
    </row>
    <row r="847" spans="1:12" ht="18" customHeight="1" x14ac:dyDescent="0.25">
      <c r="A847" s="1305" t="s">
        <v>123</v>
      </c>
      <c r="B847" s="1305" t="s">
        <v>1317</v>
      </c>
      <c r="C847" s="125" t="s">
        <v>1545</v>
      </c>
      <c r="D847" s="113"/>
      <c r="E847" s="113"/>
      <c r="F847" s="113"/>
      <c r="G847" s="716" t="s">
        <v>154</v>
      </c>
      <c r="H847" s="101"/>
      <c r="I847" s="101">
        <v>114266.88</v>
      </c>
      <c r="J847" s="101">
        <v>114266.88</v>
      </c>
      <c r="K847" s="102">
        <v>109160.64</v>
      </c>
    </row>
    <row r="848" spans="1:12" ht="18" customHeight="1" x14ac:dyDescent="0.25">
      <c r="A848" s="1305" t="s">
        <v>123</v>
      </c>
      <c r="B848" s="1305" t="s">
        <v>1317</v>
      </c>
      <c r="C848" s="125" t="s">
        <v>1545</v>
      </c>
      <c r="D848" s="113"/>
      <c r="E848" s="113"/>
      <c r="F848" s="113"/>
      <c r="G848" s="143" t="s">
        <v>154</v>
      </c>
      <c r="H848" s="101"/>
      <c r="I848" s="101">
        <v>91382.399999999994</v>
      </c>
      <c r="J848" s="101">
        <v>91382.399999999994</v>
      </c>
      <c r="K848" s="102">
        <v>87143.039999999994</v>
      </c>
    </row>
    <row r="849" spans="1:12" s="146" customFormat="1" ht="18" x14ac:dyDescent="0.25">
      <c r="A849" s="1305" t="s">
        <v>123</v>
      </c>
      <c r="B849" s="1305" t="s">
        <v>1317</v>
      </c>
      <c r="C849" s="125" t="s">
        <v>1545</v>
      </c>
      <c r="D849" s="113"/>
      <c r="E849" s="113"/>
      <c r="F849" s="113"/>
      <c r="G849" s="143" t="s">
        <v>154</v>
      </c>
      <c r="H849" s="101"/>
      <c r="I849" s="101">
        <v>153506.88</v>
      </c>
      <c r="J849" s="101">
        <v>153506.88</v>
      </c>
      <c r="K849" s="102">
        <v>149126.39999999999</v>
      </c>
      <c r="L849" s="10"/>
    </row>
    <row r="850" spans="1:12" s="146" customFormat="1" ht="18" x14ac:dyDescent="0.25">
      <c r="A850" s="1305" t="s">
        <v>123</v>
      </c>
      <c r="B850" s="1305" t="s">
        <v>1317</v>
      </c>
      <c r="C850" s="125" t="s">
        <v>1545</v>
      </c>
      <c r="D850" s="113"/>
      <c r="E850" s="113"/>
      <c r="F850" s="113"/>
      <c r="G850" s="143" t="s">
        <v>154</v>
      </c>
      <c r="H850" s="101"/>
      <c r="I850" s="101">
        <v>304261.92</v>
      </c>
      <c r="J850" s="101">
        <v>304261.92</v>
      </c>
      <c r="K850" s="102">
        <v>295169.76</v>
      </c>
      <c r="L850" s="10"/>
    </row>
    <row r="851" spans="1:12" s="203" customFormat="1" ht="18" x14ac:dyDescent="0.25">
      <c r="A851" s="1305" t="s">
        <v>123</v>
      </c>
      <c r="B851" s="1305" t="s">
        <v>1317</v>
      </c>
      <c r="C851" s="125" t="s">
        <v>1545</v>
      </c>
      <c r="D851" s="113"/>
      <c r="E851" s="113"/>
      <c r="F851" s="113"/>
      <c r="G851" s="143" t="s">
        <v>154</v>
      </c>
      <c r="H851" s="101"/>
      <c r="I851" s="101">
        <v>1871350.56</v>
      </c>
      <c r="J851" s="101">
        <v>1871350.56</v>
      </c>
      <c r="K851" s="102">
        <v>1821248.64</v>
      </c>
      <c r="L851" s="10"/>
    </row>
    <row r="852" spans="1:12" s="146" customFormat="1" ht="18" x14ac:dyDescent="0.25">
      <c r="A852" s="1305" t="s">
        <v>123</v>
      </c>
      <c r="B852" s="1305" t="s">
        <v>1317</v>
      </c>
      <c r="C852" s="125" t="s">
        <v>1545</v>
      </c>
      <c r="D852" s="113"/>
      <c r="E852" s="113"/>
      <c r="F852" s="113"/>
      <c r="G852" s="143" t="s">
        <v>154</v>
      </c>
      <c r="H852" s="101"/>
      <c r="I852" s="101">
        <v>539125.92000000004</v>
      </c>
      <c r="J852" s="101">
        <v>539125.92000000004</v>
      </c>
      <c r="K852" s="102">
        <v>519121.08</v>
      </c>
      <c r="L852" s="10"/>
    </row>
    <row r="853" spans="1:12" s="203" customFormat="1" ht="18" x14ac:dyDescent="0.25">
      <c r="A853" s="1305" t="s">
        <v>123</v>
      </c>
      <c r="B853" s="1305" t="s">
        <v>1317</v>
      </c>
      <c r="C853" s="125" t="s">
        <v>1545</v>
      </c>
      <c r="D853" s="113"/>
      <c r="E853" s="113"/>
      <c r="F853" s="113"/>
      <c r="G853" s="143" t="s">
        <v>154</v>
      </c>
      <c r="H853" s="101"/>
      <c r="I853" s="101">
        <v>156474.72</v>
      </c>
      <c r="J853" s="101">
        <v>156474.72</v>
      </c>
      <c r="K853" s="102">
        <v>152821.44</v>
      </c>
      <c r="L853" s="10"/>
    </row>
    <row r="854" spans="1:12" s="146" customFormat="1" ht="18" x14ac:dyDescent="0.25">
      <c r="A854" s="1305" t="s">
        <v>123</v>
      </c>
      <c r="B854" s="1305" t="s">
        <v>1317</v>
      </c>
      <c r="C854" s="125" t="s">
        <v>1545</v>
      </c>
      <c r="D854" s="113"/>
      <c r="E854" s="113"/>
      <c r="F854" s="113"/>
      <c r="G854" s="716" t="s">
        <v>154</v>
      </c>
      <c r="H854" s="101"/>
      <c r="I854" s="101">
        <v>136254.24</v>
      </c>
      <c r="J854" s="101">
        <v>136254.24</v>
      </c>
      <c r="K854" s="102">
        <v>133378.56</v>
      </c>
      <c r="L854" s="10"/>
    </row>
    <row r="855" spans="1:12" s="146" customFormat="1" ht="18.75" customHeight="1" x14ac:dyDescent="0.25">
      <c r="A855" s="1305" t="s">
        <v>123</v>
      </c>
      <c r="B855" s="1305" t="s">
        <v>1317</v>
      </c>
      <c r="C855" s="125" t="s">
        <v>1545</v>
      </c>
      <c r="D855" s="113"/>
      <c r="E855" s="113"/>
      <c r="F855" s="113"/>
      <c r="G855" s="716" t="s">
        <v>154</v>
      </c>
      <c r="H855" s="101"/>
      <c r="I855" s="101">
        <v>242114.4</v>
      </c>
      <c r="J855" s="101">
        <v>242114.4</v>
      </c>
      <c r="K855" s="102">
        <v>235487.52</v>
      </c>
      <c r="L855" s="10"/>
    </row>
    <row r="856" spans="1:12" s="146" customFormat="1" ht="17.25" customHeight="1" x14ac:dyDescent="0.25">
      <c r="A856" s="1305" t="s">
        <v>123</v>
      </c>
      <c r="B856" s="1305" t="s">
        <v>1317</v>
      </c>
      <c r="C856" s="125" t="s">
        <v>1545</v>
      </c>
      <c r="D856" s="113"/>
      <c r="E856" s="113"/>
      <c r="F856" s="113"/>
      <c r="G856" s="716" t="s">
        <v>154</v>
      </c>
      <c r="H856" s="101"/>
      <c r="I856" s="101">
        <v>543823.19999999995</v>
      </c>
      <c r="J856" s="101">
        <v>543823.19999999995</v>
      </c>
      <c r="K856" s="102">
        <v>524036.16</v>
      </c>
      <c r="L856" s="10"/>
    </row>
    <row r="857" spans="1:12" s="146" customFormat="1" ht="18" customHeight="1" x14ac:dyDescent="0.25">
      <c r="A857" s="1305" t="s">
        <v>123</v>
      </c>
      <c r="B857" s="1305" t="s">
        <v>1317</v>
      </c>
      <c r="C857" s="125" t="s">
        <v>1545</v>
      </c>
      <c r="D857" s="113"/>
      <c r="E857" s="113"/>
      <c r="F857" s="113"/>
      <c r="G857" s="716" t="s">
        <v>154</v>
      </c>
      <c r="H857" s="101"/>
      <c r="I857" s="101">
        <v>257369.76</v>
      </c>
      <c r="J857" s="101">
        <v>257369.76</v>
      </c>
      <c r="K857" s="102">
        <v>249444</v>
      </c>
      <c r="L857" s="10"/>
    </row>
    <row r="858" spans="1:12" s="146" customFormat="1" ht="18" customHeight="1" x14ac:dyDescent="0.25">
      <c r="A858" s="1305" t="s">
        <v>123</v>
      </c>
      <c r="B858" s="1305" t="s">
        <v>1317</v>
      </c>
      <c r="C858" s="125" t="s">
        <v>1545</v>
      </c>
      <c r="D858" s="113"/>
      <c r="E858" s="113"/>
      <c r="F858" s="113"/>
      <c r="G858" s="143" t="s">
        <v>154</v>
      </c>
      <c r="H858" s="101"/>
      <c r="I858" s="101">
        <v>470460.96</v>
      </c>
      <c r="J858" s="101">
        <v>470460.96</v>
      </c>
      <c r="K858" s="102">
        <v>453669.12</v>
      </c>
      <c r="L858" s="10"/>
    </row>
    <row r="859" spans="1:12" s="146" customFormat="1" ht="18" customHeight="1" x14ac:dyDescent="0.25">
      <c r="A859" s="1305" t="s">
        <v>123</v>
      </c>
      <c r="B859" s="1305" t="s">
        <v>1317</v>
      </c>
      <c r="C859" s="125" t="s">
        <v>1545</v>
      </c>
      <c r="D859" s="113"/>
      <c r="E859" s="113"/>
      <c r="F859" s="113"/>
      <c r="G859" s="143" t="s">
        <v>154</v>
      </c>
      <c r="H859" s="101"/>
      <c r="I859" s="101">
        <v>972426.23999999999</v>
      </c>
      <c r="J859" s="101">
        <v>972426.23999999999</v>
      </c>
      <c r="K859" s="102">
        <v>937461.6</v>
      </c>
      <c r="L859" s="10"/>
    </row>
    <row r="860" spans="1:12" s="146" customFormat="1" ht="18" customHeight="1" x14ac:dyDescent="0.25">
      <c r="A860" s="1305" t="s">
        <v>123</v>
      </c>
      <c r="B860" s="1305" t="s">
        <v>1317</v>
      </c>
      <c r="C860" s="125" t="s">
        <v>1545</v>
      </c>
      <c r="D860" s="113"/>
      <c r="E860" s="113"/>
      <c r="F860" s="113"/>
      <c r="G860" s="143" t="s">
        <v>154</v>
      </c>
      <c r="H860" s="101"/>
      <c r="I860" s="101">
        <v>632098.07999999996</v>
      </c>
      <c r="J860" s="101">
        <v>632098.07999999996</v>
      </c>
      <c r="K860" s="102">
        <v>609950.04</v>
      </c>
      <c r="L860" s="10"/>
    </row>
    <row r="861" spans="1:12" s="146" customFormat="1" ht="18" customHeight="1" x14ac:dyDescent="0.25">
      <c r="A861" s="1305" t="s">
        <v>123</v>
      </c>
      <c r="B861" s="1305" t="s">
        <v>1317</v>
      </c>
      <c r="C861" s="125" t="s">
        <v>1545</v>
      </c>
      <c r="D861" s="113"/>
      <c r="E861" s="113"/>
      <c r="F861" s="113"/>
      <c r="G861" s="143" t="s">
        <v>154</v>
      </c>
      <c r="H861" s="101"/>
      <c r="I861" s="101">
        <v>513047.52</v>
      </c>
      <c r="J861" s="101">
        <v>513047.52</v>
      </c>
      <c r="K861" s="102">
        <v>495295.2</v>
      </c>
      <c r="L861" s="10"/>
    </row>
    <row r="862" spans="1:12" s="146" customFormat="1" ht="18" x14ac:dyDescent="0.25">
      <c r="A862" s="1305" t="s">
        <v>123</v>
      </c>
      <c r="B862" s="1305" t="s">
        <v>1317</v>
      </c>
      <c r="C862" s="125" t="s">
        <v>1545</v>
      </c>
      <c r="D862" s="113"/>
      <c r="E862" s="113"/>
      <c r="F862" s="113"/>
      <c r="G862" s="143" t="s">
        <v>154</v>
      </c>
      <c r="H862" s="101"/>
      <c r="I862" s="101">
        <v>194868</v>
      </c>
      <c r="J862" s="101">
        <v>194868</v>
      </c>
      <c r="K862" s="102">
        <v>189753.12</v>
      </c>
      <c r="L862" s="10">
        <f>SUM(K844:K862)</f>
        <v>8116023.0599999996</v>
      </c>
    </row>
    <row r="863" spans="1:12" s="146" customFormat="1" ht="18" customHeight="1" x14ac:dyDescent="0.25">
      <c r="A863" s="1305" t="s">
        <v>123</v>
      </c>
      <c r="B863" s="1305" t="s">
        <v>1317</v>
      </c>
      <c r="C863" s="125" t="s">
        <v>126</v>
      </c>
      <c r="D863" s="113"/>
      <c r="E863" s="113"/>
      <c r="F863" s="113"/>
      <c r="G863" s="716" t="s">
        <v>127</v>
      </c>
      <c r="H863" s="101"/>
      <c r="I863" s="101">
        <v>431436</v>
      </c>
      <c r="J863" s="101">
        <v>431436</v>
      </c>
      <c r="K863" s="102">
        <v>415128</v>
      </c>
      <c r="L863" s="10"/>
    </row>
    <row r="864" spans="1:12" s="146" customFormat="1" ht="18" x14ac:dyDescent="0.25">
      <c r="A864" s="1305" t="s">
        <v>123</v>
      </c>
      <c r="B864" s="1305" t="s">
        <v>1317</v>
      </c>
      <c r="C864" s="125" t="s">
        <v>126</v>
      </c>
      <c r="D864" s="113"/>
      <c r="E864" s="113"/>
      <c r="F864" s="113"/>
      <c r="G864" s="143" t="s">
        <v>127</v>
      </c>
      <c r="H864" s="101"/>
      <c r="I864" s="101">
        <v>2606064</v>
      </c>
      <c r="J864" s="101">
        <v>2606064</v>
      </c>
      <c r="K864" s="102">
        <v>2507424</v>
      </c>
      <c r="L864" s="10"/>
    </row>
    <row r="865" spans="1:12" s="146" customFormat="1" ht="18" customHeight="1" x14ac:dyDescent="0.25">
      <c r="A865" s="1305" t="s">
        <v>123</v>
      </c>
      <c r="B865" s="1305" t="s">
        <v>1317</v>
      </c>
      <c r="C865" s="125" t="s">
        <v>126</v>
      </c>
      <c r="D865" s="113"/>
      <c r="E865" s="113"/>
      <c r="F865" s="113"/>
      <c r="G865" s="716" t="s">
        <v>127</v>
      </c>
      <c r="H865" s="101"/>
      <c r="I865" s="101">
        <v>149628</v>
      </c>
      <c r="J865" s="101">
        <v>149628</v>
      </c>
      <c r="K865" s="102">
        <v>143928</v>
      </c>
      <c r="L865" s="10"/>
    </row>
    <row r="866" spans="1:12" s="146" customFormat="1" ht="18" customHeight="1" x14ac:dyDescent="0.25">
      <c r="A866" s="1305" t="s">
        <v>123</v>
      </c>
      <c r="B866" s="1305" t="s">
        <v>1317</v>
      </c>
      <c r="C866" s="125" t="s">
        <v>126</v>
      </c>
      <c r="D866" s="113"/>
      <c r="E866" s="113"/>
      <c r="F866" s="113"/>
      <c r="G866" s="143" t="s">
        <v>127</v>
      </c>
      <c r="H866" s="101"/>
      <c r="I866" s="101">
        <v>337008</v>
      </c>
      <c r="J866" s="101">
        <v>337008</v>
      </c>
      <c r="K866" s="102">
        <v>324048</v>
      </c>
      <c r="L866" s="10"/>
    </row>
    <row r="867" spans="1:12" s="146" customFormat="1" ht="18" customHeight="1" x14ac:dyDescent="0.25">
      <c r="A867" s="1305" t="s">
        <v>123</v>
      </c>
      <c r="B867" s="1305" t="s">
        <v>1317</v>
      </c>
      <c r="C867" s="125" t="s">
        <v>126</v>
      </c>
      <c r="D867" s="113"/>
      <c r="E867" s="113"/>
      <c r="F867" s="113"/>
      <c r="G867" s="143" t="s">
        <v>127</v>
      </c>
      <c r="H867" s="101"/>
      <c r="I867" s="101">
        <v>3423672</v>
      </c>
      <c r="J867" s="101">
        <v>3423672</v>
      </c>
      <c r="K867" s="102">
        <v>3295536</v>
      </c>
      <c r="L867" s="10"/>
    </row>
    <row r="868" spans="1:12" s="146" customFormat="1" ht="18" x14ac:dyDescent="0.25">
      <c r="A868" s="1305" t="s">
        <v>123</v>
      </c>
      <c r="B868" s="1305" t="s">
        <v>1317</v>
      </c>
      <c r="C868" s="125" t="s">
        <v>126</v>
      </c>
      <c r="D868" s="113"/>
      <c r="E868" s="113"/>
      <c r="F868" s="113"/>
      <c r="G868" s="143" t="s">
        <v>127</v>
      </c>
      <c r="H868" s="101"/>
      <c r="I868" s="101">
        <v>337008</v>
      </c>
      <c r="J868" s="101">
        <v>337008</v>
      </c>
      <c r="K868" s="102">
        <v>324048</v>
      </c>
      <c r="L868" s="10"/>
    </row>
    <row r="869" spans="1:12" s="146" customFormat="1" ht="18" customHeight="1" x14ac:dyDescent="0.25">
      <c r="A869" s="1305" t="s">
        <v>123</v>
      </c>
      <c r="B869" s="1305" t="s">
        <v>1317</v>
      </c>
      <c r="C869" s="125" t="s">
        <v>126</v>
      </c>
      <c r="D869" s="113"/>
      <c r="E869" s="113"/>
      <c r="F869" s="113"/>
      <c r="G869" s="143" t="s">
        <v>127</v>
      </c>
      <c r="H869" s="101"/>
      <c r="I869" s="101">
        <v>149628</v>
      </c>
      <c r="J869" s="101">
        <v>149628</v>
      </c>
      <c r="K869" s="102">
        <v>143928</v>
      </c>
      <c r="L869" s="10"/>
    </row>
    <row r="870" spans="1:12" s="146" customFormat="1" ht="18" x14ac:dyDescent="0.25">
      <c r="A870" s="1305" t="s">
        <v>123</v>
      </c>
      <c r="B870" s="1305" t="s">
        <v>1317</v>
      </c>
      <c r="C870" s="125" t="s">
        <v>126</v>
      </c>
      <c r="D870" s="113"/>
      <c r="E870" s="113"/>
      <c r="F870" s="113"/>
      <c r="G870" s="716" t="s">
        <v>127</v>
      </c>
      <c r="H870" s="101"/>
      <c r="I870" s="101">
        <v>178752</v>
      </c>
      <c r="J870" s="101">
        <v>178752</v>
      </c>
      <c r="K870" s="102">
        <v>171828</v>
      </c>
      <c r="L870" s="10"/>
    </row>
    <row r="871" spans="1:12" s="146" customFormat="1" ht="18" x14ac:dyDescent="0.25">
      <c r="A871" s="1305" t="s">
        <v>123</v>
      </c>
      <c r="B871" s="1305" t="s">
        <v>1317</v>
      </c>
      <c r="C871" s="125" t="s">
        <v>126</v>
      </c>
      <c r="D871" s="113"/>
      <c r="E871" s="113"/>
      <c r="F871" s="113"/>
      <c r="G871" s="716" t="s">
        <v>127</v>
      </c>
      <c r="H871" s="101"/>
      <c r="I871" s="101">
        <v>149628</v>
      </c>
      <c r="J871" s="101">
        <v>149628</v>
      </c>
      <c r="K871" s="102">
        <v>143928</v>
      </c>
      <c r="L871" s="10"/>
    </row>
    <row r="872" spans="1:12" s="146" customFormat="1" ht="18" x14ac:dyDescent="0.25">
      <c r="A872" s="1305" t="s">
        <v>123</v>
      </c>
      <c r="B872" s="1305" t="s">
        <v>1317</v>
      </c>
      <c r="C872" s="125" t="s">
        <v>126</v>
      </c>
      <c r="D872" s="113"/>
      <c r="E872" s="113"/>
      <c r="F872" s="113"/>
      <c r="G872" s="143" t="s">
        <v>127</v>
      </c>
      <c r="H872" s="101"/>
      <c r="I872" s="101">
        <v>1127232</v>
      </c>
      <c r="J872" s="101">
        <v>1127232</v>
      </c>
      <c r="K872" s="102">
        <v>1084800</v>
      </c>
      <c r="L872" s="10">
        <f>SUM(K863:K872)</f>
        <v>8554596</v>
      </c>
    </row>
    <row r="873" spans="1:12" s="146" customFormat="1" ht="18" customHeight="1" x14ac:dyDescent="0.25">
      <c r="A873" s="1305" t="s">
        <v>123</v>
      </c>
      <c r="B873" s="1305" t="s">
        <v>1317</v>
      </c>
      <c r="C873" s="125" t="s">
        <v>124</v>
      </c>
      <c r="D873" s="113"/>
      <c r="E873" s="113"/>
      <c r="F873" s="113"/>
      <c r="G873" s="716" t="s">
        <v>125</v>
      </c>
      <c r="H873" s="101"/>
      <c r="I873" s="101">
        <v>3847512</v>
      </c>
      <c r="J873" s="101">
        <v>3847512</v>
      </c>
      <c r="K873" s="102">
        <v>3743148</v>
      </c>
      <c r="L873" s="10"/>
    </row>
    <row r="874" spans="1:12" ht="18" customHeight="1" x14ac:dyDescent="0.25">
      <c r="A874" s="1305" t="s">
        <v>123</v>
      </c>
      <c r="B874" s="1305" t="s">
        <v>1317</v>
      </c>
      <c r="C874" s="125" t="s">
        <v>124</v>
      </c>
      <c r="D874" s="113"/>
      <c r="E874" s="113"/>
      <c r="F874" s="113"/>
      <c r="G874" s="143" t="s">
        <v>125</v>
      </c>
      <c r="H874" s="101"/>
      <c r="I874" s="101">
        <v>2165892</v>
      </c>
      <c r="J874" s="101">
        <v>2165892</v>
      </c>
      <c r="K874" s="102">
        <v>2081280</v>
      </c>
    </row>
    <row r="875" spans="1:12" ht="18" customHeight="1" x14ac:dyDescent="0.25">
      <c r="A875" s="1305" t="s">
        <v>123</v>
      </c>
      <c r="B875" s="1305" t="s">
        <v>1317</v>
      </c>
      <c r="C875" s="125" t="s">
        <v>124</v>
      </c>
      <c r="D875" s="113"/>
      <c r="E875" s="113"/>
      <c r="F875" s="113"/>
      <c r="G875" s="716" t="s">
        <v>125</v>
      </c>
      <c r="H875" s="101"/>
      <c r="I875" s="101">
        <v>748884</v>
      </c>
      <c r="J875" s="101">
        <v>748884</v>
      </c>
      <c r="K875" s="102">
        <v>717420</v>
      </c>
    </row>
    <row r="876" spans="1:12" ht="18" customHeight="1" x14ac:dyDescent="0.25">
      <c r="A876" s="1305" t="s">
        <v>123</v>
      </c>
      <c r="B876" s="1305" t="s">
        <v>1317</v>
      </c>
      <c r="C876" s="125" t="s">
        <v>124</v>
      </c>
      <c r="D876" s="113"/>
      <c r="E876" s="113"/>
      <c r="F876" s="113"/>
      <c r="G876" s="716" t="s">
        <v>125</v>
      </c>
      <c r="H876" s="101"/>
      <c r="I876" s="101">
        <v>952224</v>
      </c>
      <c r="J876" s="101">
        <v>952224</v>
      </c>
      <c r="K876" s="102">
        <v>909672</v>
      </c>
    </row>
    <row r="877" spans="1:12" ht="18" customHeight="1" x14ac:dyDescent="0.25">
      <c r="A877" s="1305" t="s">
        <v>123</v>
      </c>
      <c r="B877" s="1305" t="s">
        <v>1317</v>
      </c>
      <c r="C877" s="125" t="s">
        <v>124</v>
      </c>
      <c r="D877" s="113"/>
      <c r="E877" s="113"/>
      <c r="F877" s="113"/>
      <c r="G877" s="143" t="s">
        <v>125</v>
      </c>
      <c r="H877" s="101"/>
      <c r="I877" s="101">
        <v>761520</v>
      </c>
      <c r="J877" s="101">
        <v>761520</v>
      </c>
      <c r="K877" s="102">
        <v>726192</v>
      </c>
    </row>
    <row r="878" spans="1:12" ht="18" customHeight="1" x14ac:dyDescent="0.25">
      <c r="A878" s="1305" t="s">
        <v>123</v>
      </c>
      <c r="B878" s="1305" t="s">
        <v>1317</v>
      </c>
      <c r="C878" s="125" t="s">
        <v>124</v>
      </c>
      <c r="D878" s="113"/>
      <c r="E878" s="113"/>
      <c r="F878" s="113"/>
      <c r="G878" s="143" t="s">
        <v>125</v>
      </c>
      <c r="H878" s="101"/>
      <c r="I878" s="101">
        <v>1279224</v>
      </c>
      <c r="J878" s="101">
        <v>1279224</v>
      </c>
      <c r="K878" s="102">
        <v>1242720</v>
      </c>
    </row>
    <row r="879" spans="1:12" ht="18" customHeight="1" x14ac:dyDescent="0.25">
      <c r="A879" s="1305" t="s">
        <v>123</v>
      </c>
      <c r="B879" s="1305" t="s">
        <v>1317</v>
      </c>
      <c r="C879" s="125" t="s">
        <v>124</v>
      </c>
      <c r="D879" s="113"/>
      <c r="E879" s="113"/>
      <c r="F879" s="113"/>
      <c r="G879" s="143" t="s">
        <v>125</v>
      </c>
      <c r="H879" s="101"/>
      <c r="I879" s="101">
        <v>2198508</v>
      </c>
      <c r="J879" s="101">
        <v>2198508</v>
      </c>
      <c r="K879" s="102">
        <v>2135700</v>
      </c>
    </row>
    <row r="880" spans="1:12" ht="18" customHeight="1" x14ac:dyDescent="0.25">
      <c r="A880" s="1305" t="s">
        <v>123</v>
      </c>
      <c r="B880" s="1305" t="s">
        <v>1317</v>
      </c>
      <c r="C880" s="125" t="s">
        <v>124</v>
      </c>
      <c r="D880" s="113"/>
      <c r="E880" s="113"/>
      <c r="F880" s="113"/>
      <c r="G880" s="143" t="s">
        <v>125</v>
      </c>
      <c r="H880" s="101"/>
      <c r="I880" s="101">
        <v>12170916</v>
      </c>
      <c r="J880" s="101">
        <v>12170916</v>
      </c>
      <c r="K880" s="102">
        <v>11881536</v>
      </c>
    </row>
    <row r="881" spans="1:12" ht="18" customHeight="1" x14ac:dyDescent="0.25">
      <c r="A881" s="1305" t="s">
        <v>123</v>
      </c>
      <c r="B881" s="1305" t="s">
        <v>1317</v>
      </c>
      <c r="C881" s="125" t="s">
        <v>124</v>
      </c>
      <c r="D881" s="113"/>
      <c r="E881" s="113"/>
      <c r="F881" s="113"/>
      <c r="G881" s="143" t="s">
        <v>125</v>
      </c>
      <c r="H881" s="101"/>
      <c r="I881" s="101">
        <v>4155708</v>
      </c>
      <c r="J881" s="101">
        <v>4155708</v>
      </c>
      <c r="K881" s="102">
        <v>4001436</v>
      </c>
    </row>
    <row r="882" spans="1:12" ht="18" customHeight="1" x14ac:dyDescent="0.25">
      <c r="A882" s="1305" t="s">
        <v>123</v>
      </c>
      <c r="B882" s="1305" t="s">
        <v>1317</v>
      </c>
      <c r="C882" s="125" t="s">
        <v>124</v>
      </c>
      <c r="D882" s="113"/>
      <c r="E882" s="113"/>
      <c r="F882" s="113"/>
      <c r="G882" s="143" t="s">
        <v>125</v>
      </c>
      <c r="H882" s="101"/>
      <c r="I882" s="101">
        <v>1154328</v>
      </c>
      <c r="J882" s="101">
        <v>1154328</v>
      </c>
      <c r="K882" s="102">
        <v>1129584</v>
      </c>
    </row>
    <row r="883" spans="1:12" s="146" customFormat="1" ht="18" customHeight="1" x14ac:dyDescent="0.25">
      <c r="A883" s="1305" t="s">
        <v>123</v>
      </c>
      <c r="B883" s="1305" t="s">
        <v>1317</v>
      </c>
      <c r="C883" s="125" t="s">
        <v>124</v>
      </c>
      <c r="D883" s="113"/>
      <c r="E883" s="113"/>
      <c r="F883" s="113"/>
      <c r="G883" s="716" t="s">
        <v>125</v>
      </c>
      <c r="H883" s="101"/>
      <c r="I883" s="101">
        <v>1135452</v>
      </c>
      <c r="J883" s="101">
        <v>1135452</v>
      </c>
      <c r="K883" s="102">
        <v>1111488</v>
      </c>
      <c r="L883" s="10"/>
    </row>
    <row r="884" spans="1:12" s="146" customFormat="1" ht="18" customHeight="1" x14ac:dyDescent="0.25">
      <c r="A884" s="1305" t="s">
        <v>123</v>
      </c>
      <c r="B884" s="1305" t="s">
        <v>1317</v>
      </c>
      <c r="C884" s="125" t="s">
        <v>124</v>
      </c>
      <c r="D884" s="113"/>
      <c r="E884" s="113"/>
      <c r="F884" s="113"/>
      <c r="G884" s="716" t="s">
        <v>125</v>
      </c>
      <c r="H884" s="101"/>
      <c r="I884" s="101">
        <v>2017620</v>
      </c>
      <c r="J884" s="101">
        <v>2017620</v>
      </c>
      <c r="K884" s="102">
        <v>1962396</v>
      </c>
      <c r="L884" s="10"/>
    </row>
    <row r="885" spans="1:12" s="146" customFormat="1" ht="18" customHeight="1" x14ac:dyDescent="0.25">
      <c r="A885" s="1305" t="s">
        <v>123</v>
      </c>
      <c r="B885" s="1305" t="s">
        <v>1317</v>
      </c>
      <c r="C885" s="125" t="s">
        <v>124</v>
      </c>
      <c r="D885" s="113"/>
      <c r="E885" s="113"/>
      <c r="F885" s="113"/>
      <c r="G885" s="716" t="s">
        <v>125</v>
      </c>
      <c r="H885" s="101"/>
      <c r="I885" s="101">
        <v>4353108</v>
      </c>
      <c r="J885" s="101">
        <v>4353108</v>
      </c>
      <c r="K885" s="102">
        <v>4195140</v>
      </c>
      <c r="L885" s="10"/>
    </row>
    <row r="886" spans="1:12" s="146" customFormat="1" ht="18" customHeight="1" x14ac:dyDescent="0.25">
      <c r="A886" s="1305" t="s">
        <v>123</v>
      </c>
      <c r="B886" s="1305" t="s">
        <v>1317</v>
      </c>
      <c r="C886" s="125" t="s">
        <v>124</v>
      </c>
      <c r="D886" s="113"/>
      <c r="E886" s="113"/>
      <c r="F886" s="113"/>
      <c r="G886" s="716" t="s">
        <v>125</v>
      </c>
      <c r="H886" s="101"/>
      <c r="I886" s="101">
        <v>1995120</v>
      </c>
      <c r="J886" s="101">
        <v>1995120</v>
      </c>
      <c r="K886" s="102">
        <v>1929336</v>
      </c>
      <c r="L886" s="10"/>
    </row>
    <row r="887" spans="1:12" s="146" customFormat="1" ht="18" customHeight="1" x14ac:dyDescent="0.25">
      <c r="A887" s="1305" t="s">
        <v>123</v>
      </c>
      <c r="B887" s="1305" t="s">
        <v>1317</v>
      </c>
      <c r="C887" s="125" t="s">
        <v>124</v>
      </c>
      <c r="D887" s="113"/>
      <c r="E887" s="113"/>
      <c r="F887" s="113"/>
      <c r="G887" s="143" t="s">
        <v>125</v>
      </c>
      <c r="H887" s="101"/>
      <c r="I887" s="101">
        <v>3920508</v>
      </c>
      <c r="J887" s="101">
        <v>3920508</v>
      </c>
      <c r="K887" s="102">
        <v>3780576</v>
      </c>
      <c r="L887" s="10"/>
    </row>
    <row r="888" spans="1:12" s="1172" customFormat="1" ht="21.75" customHeight="1" x14ac:dyDescent="0.25">
      <c r="A888" s="1305" t="s">
        <v>123</v>
      </c>
      <c r="B888" s="1305" t="s">
        <v>1317</v>
      </c>
      <c r="C888" s="125" t="s">
        <v>124</v>
      </c>
      <c r="D888" s="113"/>
      <c r="E888" s="113"/>
      <c r="F888" s="113"/>
      <c r="G888" s="1341" t="s">
        <v>125</v>
      </c>
      <c r="H888" s="1160"/>
      <c r="I888" s="1160">
        <v>6976320</v>
      </c>
      <c r="J888" s="1160">
        <v>6976320</v>
      </c>
      <c r="K888" s="1161">
        <v>6720228</v>
      </c>
      <c r="L888" s="207"/>
    </row>
    <row r="889" spans="1:12" s="146" customFormat="1" ht="18" customHeight="1" x14ac:dyDescent="0.25">
      <c r="A889" s="1305" t="s">
        <v>123</v>
      </c>
      <c r="B889" s="1305" t="s">
        <v>1317</v>
      </c>
      <c r="C889" s="125" t="s">
        <v>124</v>
      </c>
      <c r="D889" s="113"/>
      <c r="E889" s="113"/>
      <c r="F889" s="113"/>
      <c r="G889" s="143" t="s">
        <v>125</v>
      </c>
      <c r="H889" s="101"/>
      <c r="I889" s="101">
        <v>5267484</v>
      </c>
      <c r="J889" s="101">
        <v>5267484</v>
      </c>
      <c r="K889" s="102">
        <v>5082684</v>
      </c>
      <c r="L889" s="10"/>
    </row>
    <row r="890" spans="1:12" s="146" customFormat="1" ht="18" customHeight="1" x14ac:dyDescent="0.25">
      <c r="A890" s="1305" t="s">
        <v>123</v>
      </c>
      <c r="B890" s="1305" t="s">
        <v>1317</v>
      </c>
      <c r="C890" s="125" t="s">
        <v>124</v>
      </c>
      <c r="D890" s="113"/>
      <c r="E890" s="113"/>
      <c r="F890" s="113"/>
      <c r="G890" s="143" t="s">
        <v>125</v>
      </c>
      <c r="H890" s="101"/>
      <c r="I890" s="101">
        <v>4275396</v>
      </c>
      <c r="J890" s="101">
        <v>4275396</v>
      </c>
      <c r="K890" s="102">
        <v>4127460</v>
      </c>
      <c r="L890" s="10"/>
    </row>
    <row r="891" spans="1:12" s="146" customFormat="1" ht="18" customHeight="1" x14ac:dyDescent="0.25">
      <c r="A891" s="1305" t="s">
        <v>123</v>
      </c>
      <c r="B891" s="1305" t="s">
        <v>1317</v>
      </c>
      <c r="C891" s="125" t="s">
        <v>124</v>
      </c>
      <c r="D891" s="113"/>
      <c r="E891" s="113"/>
      <c r="F891" s="113"/>
      <c r="G891" s="143" t="s">
        <v>125</v>
      </c>
      <c r="H891" s="101"/>
      <c r="I891" s="101">
        <v>1623900</v>
      </c>
      <c r="J891" s="101">
        <v>1623900</v>
      </c>
      <c r="K891" s="102">
        <v>1581276</v>
      </c>
      <c r="L891" s="10">
        <f>SUM(K873:K891)</f>
        <v>59059272</v>
      </c>
    </row>
    <row r="892" spans="1:12" s="146" customFormat="1" ht="18" x14ac:dyDescent="0.25">
      <c r="A892" s="1305" t="s">
        <v>123</v>
      </c>
      <c r="B892" s="1305" t="s">
        <v>1317</v>
      </c>
      <c r="C892" s="125" t="s">
        <v>133</v>
      </c>
      <c r="D892" s="113"/>
      <c r="E892" s="113"/>
      <c r="F892" s="113"/>
      <c r="G892" s="143" t="s">
        <v>134</v>
      </c>
      <c r="H892" s="101"/>
      <c r="I892" s="101">
        <v>864000</v>
      </c>
      <c r="J892" s="101">
        <v>864000</v>
      </c>
      <c r="K892" s="102">
        <v>864000</v>
      </c>
      <c r="L892" s="10"/>
    </row>
    <row r="893" spans="1:12" s="146" customFormat="1" ht="18" customHeight="1" x14ac:dyDescent="0.25">
      <c r="A893" s="1305" t="s">
        <v>123</v>
      </c>
      <c r="B893" s="1305" t="s">
        <v>1317</v>
      </c>
      <c r="C893" s="125" t="s">
        <v>133</v>
      </c>
      <c r="D893" s="113"/>
      <c r="E893" s="113"/>
      <c r="F893" s="113"/>
      <c r="G893" s="143" t="s">
        <v>134</v>
      </c>
      <c r="H893" s="101"/>
      <c r="I893" s="101">
        <v>72000</v>
      </c>
      <c r="J893" s="101">
        <v>72000</v>
      </c>
      <c r="K893" s="102">
        <v>72000</v>
      </c>
      <c r="L893" s="10"/>
    </row>
    <row r="894" spans="1:12" s="146" customFormat="1" ht="18" customHeight="1" x14ac:dyDescent="0.25">
      <c r="A894" s="1305" t="s">
        <v>123</v>
      </c>
      <c r="B894" s="1305" t="s">
        <v>1317</v>
      </c>
      <c r="C894" s="125" t="s">
        <v>133</v>
      </c>
      <c r="D894" s="113"/>
      <c r="E894" s="113"/>
      <c r="F894" s="113"/>
      <c r="G894" s="143" t="s">
        <v>134</v>
      </c>
      <c r="H894" s="101"/>
      <c r="I894" s="101">
        <v>72000</v>
      </c>
      <c r="J894" s="101">
        <v>72000</v>
      </c>
      <c r="K894" s="102">
        <v>72000</v>
      </c>
      <c r="L894" s="10"/>
    </row>
    <row r="895" spans="1:12" s="146" customFormat="1" ht="18" customHeight="1" x14ac:dyDescent="0.25">
      <c r="A895" s="1305" t="s">
        <v>123</v>
      </c>
      <c r="B895" s="1305" t="s">
        <v>1317</v>
      </c>
      <c r="C895" s="125" t="s">
        <v>133</v>
      </c>
      <c r="D895" s="113"/>
      <c r="E895" s="113"/>
      <c r="F895" s="113"/>
      <c r="G895" s="716" t="s">
        <v>134</v>
      </c>
      <c r="H895" s="101"/>
      <c r="I895" s="101">
        <v>72000</v>
      </c>
      <c r="J895" s="101">
        <v>72000</v>
      </c>
      <c r="K895" s="102">
        <v>72000</v>
      </c>
      <c r="L895" s="10"/>
    </row>
    <row r="896" spans="1:12" s="146" customFormat="1" ht="18" customHeight="1" x14ac:dyDescent="0.25">
      <c r="A896" s="1305" t="s">
        <v>123</v>
      </c>
      <c r="B896" s="1305" t="s">
        <v>1317</v>
      </c>
      <c r="C896" s="125" t="s">
        <v>133</v>
      </c>
      <c r="D896" s="113"/>
      <c r="E896" s="113"/>
      <c r="F896" s="113"/>
      <c r="G896" s="716" t="s">
        <v>134</v>
      </c>
      <c r="H896" s="101"/>
      <c r="I896" s="101">
        <v>72000</v>
      </c>
      <c r="J896" s="101">
        <v>72000</v>
      </c>
      <c r="K896" s="102">
        <v>72000</v>
      </c>
      <c r="L896" s="10"/>
    </row>
    <row r="897" spans="1:12" s="146" customFormat="1" ht="18" x14ac:dyDescent="0.25">
      <c r="A897" s="1305" t="s">
        <v>123</v>
      </c>
      <c r="B897" s="1305" t="s">
        <v>1317</v>
      </c>
      <c r="C897" s="125" t="s">
        <v>133</v>
      </c>
      <c r="D897" s="113"/>
      <c r="E897" s="113"/>
      <c r="F897" s="113"/>
      <c r="G897" s="716" t="s">
        <v>134</v>
      </c>
      <c r="H897" s="101"/>
      <c r="I897" s="101">
        <v>72000</v>
      </c>
      <c r="J897" s="101">
        <v>72000</v>
      </c>
      <c r="K897" s="102">
        <v>72000</v>
      </c>
      <c r="L897" s="10"/>
    </row>
    <row r="898" spans="1:12" s="146" customFormat="1" ht="18" customHeight="1" x14ac:dyDescent="0.25">
      <c r="A898" s="1305" t="s">
        <v>123</v>
      </c>
      <c r="B898" s="1305" t="s">
        <v>1317</v>
      </c>
      <c r="C898" s="125" t="s">
        <v>133</v>
      </c>
      <c r="D898" s="113"/>
      <c r="E898" s="113"/>
      <c r="F898" s="113"/>
      <c r="G898" s="716" t="s">
        <v>134</v>
      </c>
      <c r="H898" s="101"/>
      <c r="I898" s="101">
        <v>72000</v>
      </c>
      <c r="J898" s="101">
        <v>72000</v>
      </c>
      <c r="K898" s="102">
        <v>72000</v>
      </c>
      <c r="L898" s="10"/>
    </row>
    <row r="899" spans="1:12" s="146" customFormat="1" ht="18" x14ac:dyDescent="0.25">
      <c r="A899" s="1305" t="s">
        <v>123</v>
      </c>
      <c r="B899" s="1305" t="s">
        <v>1317</v>
      </c>
      <c r="C899" s="125" t="s">
        <v>133</v>
      </c>
      <c r="D899" s="113"/>
      <c r="E899" s="113"/>
      <c r="F899" s="113"/>
      <c r="G899" s="143" t="s">
        <v>134</v>
      </c>
      <c r="H899" s="101"/>
      <c r="I899" s="101">
        <v>72000</v>
      </c>
      <c r="J899" s="101">
        <v>72000</v>
      </c>
      <c r="K899" s="102">
        <v>72000</v>
      </c>
      <c r="L899" s="10"/>
    </row>
    <row r="900" spans="1:12" s="146" customFormat="1" ht="18" x14ac:dyDescent="0.25">
      <c r="A900" s="1305" t="s">
        <v>123</v>
      </c>
      <c r="B900" s="1305" t="s">
        <v>1317</v>
      </c>
      <c r="C900" s="125" t="s">
        <v>133</v>
      </c>
      <c r="D900" s="113"/>
      <c r="E900" s="113"/>
      <c r="F900" s="113"/>
      <c r="G900" s="143" t="s">
        <v>134</v>
      </c>
      <c r="H900" s="101"/>
      <c r="I900" s="101">
        <v>72000</v>
      </c>
      <c r="J900" s="101">
        <v>72000</v>
      </c>
      <c r="K900" s="102">
        <v>72000</v>
      </c>
      <c r="L900" s="10"/>
    </row>
    <row r="901" spans="1:12" s="146" customFormat="1" ht="18" customHeight="1" x14ac:dyDescent="0.25">
      <c r="A901" s="1305" t="s">
        <v>123</v>
      </c>
      <c r="B901" s="1305" t="s">
        <v>1317</v>
      </c>
      <c r="C901" s="125" t="s">
        <v>133</v>
      </c>
      <c r="D901" s="113"/>
      <c r="E901" s="113"/>
      <c r="F901" s="113"/>
      <c r="G901" s="143" t="s">
        <v>134</v>
      </c>
      <c r="H901" s="101"/>
      <c r="I901" s="101">
        <v>120000</v>
      </c>
      <c r="J901" s="101">
        <v>120000</v>
      </c>
      <c r="K901" s="102">
        <v>120000</v>
      </c>
      <c r="L901" s="10"/>
    </row>
    <row r="902" spans="1:12" s="146" customFormat="1" ht="18" customHeight="1" x14ac:dyDescent="0.25">
      <c r="A902" s="1305" t="s">
        <v>123</v>
      </c>
      <c r="B902" s="1305" t="s">
        <v>1317</v>
      </c>
      <c r="C902" s="125" t="s">
        <v>133</v>
      </c>
      <c r="D902" s="113"/>
      <c r="E902" s="113"/>
      <c r="F902" s="113"/>
      <c r="G902" s="143" t="s">
        <v>134</v>
      </c>
      <c r="H902" s="101"/>
      <c r="I902" s="101">
        <v>120000</v>
      </c>
      <c r="J902" s="101">
        <v>120000</v>
      </c>
      <c r="K902" s="102">
        <v>120000</v>
      </c>
      <c r="L902" s="10"/>
    </row>
    <row r="903" spans="1:12" s="146" customFormat="1" ht="18" customHeight="1" x14ac:dyDescent="0.25">
      <c r="A903" s="1305" t="s">
        <v>123</v>
      </c>
      <c r="B903" s="1305" t="s">
        <v>1317</v>
      </c>
      <c r="C903" s="125" t="s">
        <v>133</v>
      </c>
      <c r="D903" s="113"/>
      <c r="E903" s="113"/>
      <c r="F903" s="113"/>
      <c r="G903" s="143" t="s">
        <v>134</v>
      </c>
      <c r="H903" s="101"/>
      <c r="I903" s="101">
        <v>72000</v>
      </c>
      <c r="J903" s="101">
        <v>72000</v>
      </c>
      <c r="K903" s="102">
        <v>72000</v>
      </c>
      <c r="L903" s="10">
        <f>SUM(K892:K903)</f>
        <v>1752000</v>
      </c>
    </row>
    <row r="904" spans="1:12" s="146" customFormat="1" ht="18" customHeight="1" x14ac:dyDescent="0.25">
      <c r="A904" s="1305" t="s">
        <v>123</v>
      </c>
      <c r="B904" s="1305" t="s">
        <v>1317</v>
      </c>
      <c r="C904" s="125" t="s">
        <v>141</v>
      </c>
      <c r="D904" s="113"/>
      <c r="E904" s="113"/>
      <c r="F904" s="113"/>
      <c r="G904" s="716" t="s">
        <v>142</v>
      </c>
      <c r="H904" s="101"/>
      <c r="I904" s="101">
        <v>356579</v>
      </c>
      <c r="J904" s="101">
        <v>356579</v>
      </c>
      <c r="K904" s="102">
        <v>347494</v>
      </c>
      <c r="L904" s="10"/>
    </row>
    <row r="905" spans="1:12" s="146" customFormat="1" ht="18" customHeight="1" x14ac:dyDescent="0.25">
      <c r="A905" s="1305" t="s">
        <v>123</v>
      </c>
      <c r="B905" s="1305" t="s">
        <v>1317</v>
      </c>
      <c r="C905" s="125" t="s">
        <v>141</v>
      </c>
      <c r="D905" s="113"/>
      <c r="E905" s="113"/>
      <c r="F905" s="113"/>
      <c r="G905" s="143" t="s">
        <v>142</v>
      </c>
      <c r="H905" s="101"/>
      <c r="I905" s="101">
        <v>397663</v>
      </c>
      <c r="J905" s="101">
        <v>397663</v>
      </c>
      <c r="K905" s="102">
        <v>382392</v>
      </c>
      <c r="L905" s="10"/>
    </row>
    <row r="906" spans="1:12" s="229" customFormat="1" ht="18" customHeight="1" x14ac:dyDescent="0.25">
      <c r="A906" s="1305" t="s">
        <v>123</v>
      </c>
      <c r="B906" s="1305" t="s">
        <v>1317</v>
      </c>
      <c r="C906" s="125" t="s">
        <v>141</v>
      </c>
      <c r="D906" s="113"/>
      <c r="E906" s="113"/>
      <c r="F906" s="113"/>
      <c r="G906" s="716" t="s">
        <v>142</v>
      </c>
      <c r="H906" s="101"/>
      <c r="I906" s="101">
        <v>74876</v>
      </c>
      <c r="J906" s="101">
        <v>74876</v>
      </c>
      <c r="K906" s="102">
        <v>71779</v>
      </c>
      <c r="L906" s="207"/>
    </row>
    <row r="907" spans="1:12" s="229" customFormat="1" ht="18" customHeight="1" x14ac:dyDescent="0.25">
      <c r="A907" s="1305" t="s">
        <v>123</v>
      </c>
      <c r="B907" s="1305" t="s">
        <v>1317</v>
      </c>
      <c r="C907" s="125" t="s">
        <v>141</v>
      </c>
      <c r="D907" s="113"/>
      <c r="E907" s="113"/>
      <c r="F907" s="113"/>
      <c r="G907" s="716" t="s">
        <v>142</v>
      </c>
      <c r="H907" s="101"/>
      <c r="I907" s="101">
        <v>79352</v>
      </c>
      <c r="J907" s="101">
        <v>79352</v>
      </c>
      <c r="K907" s="102">
        <v>75806</v>
      </c>
      <c r="L907" s="207"/>
    </row>
    <row r="908" spans="1:12" s="229" customFormat="1" ht="18" customHeight="1" x14ac:dyDescent="0.25">
      <c r="A908" s="1305" t="s">
        <v>123</v>
      </c>
      <c r="B908" s="1305" t="s">
        <v>1317</v>
      </c>
      <c r="C908" s="125" t="s">
        <v>141</v>
      </c>
      <c r="D908" s="113"/>
      <c r="E908" s="113"/>
      <c r="F908" s="113"/>
      <c r="G908" s="143" t="s">
        <v>142</v>
      </c>
      <c r="H908" s="101"/>
      <c r="I908" s="101">
        <v>63460</v>
      </c>
      <c r="J908" s="101">
        <v>63460</v>
      </c>
      <c r="K908" s="102">
        <v>60516</v>
      </c>
      <c r="L908" s="207"/>
    </row>
    <row r="909" spans="1:12" s="229" customFormat="1" ht="18" customHeight="1" x14ac:dyDescent="0.25">
      <c r="A909" s="1305" t="s">
        <v>123</v>
      </c>
      <c r="B909" s="1305" t="s">
        <v>1317</v>
      </c>
      <c r="C909" s="125" t="s">
        <v>141</v>
      </c>
      <c r="D909" s="113"/>
      <c r="E909" s="113"/>
      <c r="F909" s="113"/>
      <c r="G909" s="143" t="s">
        <v>142</v>
      </c>
      <c r="H909" s="101"/>
      <c r="I909" s="101">
        <v>106602</v>
      </c>
      <c r="J909" s="101">
        <v>106602</v>
      </c>
      <c r="K909" s="102">
        <v>103560</v>
      </c>
      <c r="L909" s="207"/>
    </row>
    <row r="910" spans="1:12" s="229" customFormat="1" ht="18" customHeight="1" x14ac:dyDescent="0.25">
      <c r="A910" s="1305" t="s">
        <v>123</v>
      </c>
      <c r="B910" s="1305" t="s">
        <v>1317</v>
      </c>
      <c r="C910" s="125" t="s">
        <v>141</v>
      </c>
      <c r="D910" s="113"/>
      <c r="E910" s="113"/>
      <c r="F910" s="113"/>
      <c r="G910" s="143" t="s">
        <v>142</v>
      </c>
      <c r="H910" s="101"/>
      <c r="I910" s="101">
        <v>211293</v>
      </c>
      <c r="J910" s="101">
        <v>211293</v>
      </c>
      <c r="K910" s="102">
        <v>204979</v>
      </c>
      <c r="L910" s="207"/>
    </row>
    <row r="911" spans="1:12" s="229" customFormat="1" ht="18" customHeight="1" x14ac:dyDescent="0.25">
      <c r="A911" s="1305" t="s">
        <v>123</v>
      </c>
      <c r="B911" s="1305" t="s">
        <v>1317</v>
      </c>
      <c r="C911" s="125" t="s">
        <v>141</v>
      </c>
      <c r="D911" s="113"/>
      <c r="E911" s="113"/>
      <c r="F911" s="113"/>
      <c r="G911" s="143" t="s">
        <v>142</v>
      </c>
      <c r="H911" s="101"/>
      <c r="I911" s="101">
        <v>1299549</v>
      </c>
      <c r="J911" s="101">
        <v>1299549</v>
      </c>
      <c r="K911" s="102">
        <v>1264756</v>
      </c>
      <c r="L911" s="207"/>
    </row>
    <row r="912" spans="1:12" s="229" customFormat="1" ht="18" customHeight="1" x14ac:dyDescent="0.25">
      <c r="A912" s="1305" t="s">
        <v>123</v>
      </c>
      <c r="B912" s="1305" t="s">
        <v>1317</v>
      </c>
      <c r="C912" s="125" t="s">
        <v>141</v>
      </c>
      <c r="D912" s="113"/>
      <c r="E912" s="113"/>
      <c r="F912" s="113"/>
      <c r="G912" s="143" t="s">
        <v>142</v>
      </c>
      <c r="H912" s="101"/>
      <c r="I912" s="101">
        <v>374393</v>
      </c>
      <c r="J912" s="101">
        <v>374393</v>
      </c>
      <c r="K912" s="102">
        <v>360562</v>
      </c>
      <c r="L912" s="207"/>
    </row>
    <row r="913" spans="1:12" s="229" customFormat="1" ht="18" customHeight="1" x14ac:dyDescent="0.25">
      <c r="A913" s="1305" t="s">
        <v>123</v>
      </c>
      <c r="B913" s="1305" t="s">
        <v>1317</v>
      </c>
      <c r="C913" s="125" t="s">
        <v>141</v>
      </c>
      <c r="D913" s="113"/>
      <c r="E913" s="113"/>
      <c r="F913" s="113"/>
      <c r="G913" s="143" t="s">
        <v>142</v>
      </c>
      <c r="H913" s="101"/>
      <c r="I913" s="101">
        <v>108663</v>
      </c>
      <c r="J913" s="101">
        <v>108663</v>
      </c>
      <c r="K913" s="102">
        <v>106126</v>
      </c>
      <c r="L913" s="207"/>
    </row>
    <row r="914" spans="1:12" s="229" customFormat="1" ht="18" customHeight="1" x14ac:dyDescent="0.25">
      <c r="A914" s="1305" t="s">
        <v>123</v>
      </c>
      <c r="B914" s="1305" t="s">
        <v>1317</v>
      </c>
      <c r="C914" s="125" t="s">
        <v>141</v>
      </c>
      <c r="D914" s="113"/>
      <c r="E914" s="113"/>
      <c r="F914" s="113"/>
      <c r="G914" s="716" t="s">
        <v>142</v>
      </c>
      <c r="H914" s="101"/>
      <c r="I914" s="101">
        <v>94621</v>
      </c>
      <c r="J914" s="101">
        <v>94621</v>
      </c>
      <c r="K914" s="102">
        <v>92624</v>
      </c>
      <c r="L914" s="207"/>
    </row>
    <row r="915" spans="1:12" s="229" customFormat="1" ht="18" customHeight="1" x14ac:dyDescent="0.25">
      <c r="A915" s="1305" t="s">
        <v>123</v>
      </c>
      <c r="B915" s="1305" t="s">
        <v>1317</v>
      </c>
      <c r="C915" s="125" t="s">
        <v>141</v>
      </c>
      <c r="D915" s="113"/>
      <c r="E915" s="113"/>
      <c r="F915" s="113"/>
      <c r="G915" s="716" t="s">
        <v>142</v>
      </c>
      <c r="H915" s="101"/>
      <c r="I915" s="101">
        <v>168135</v>
      </c>
      <c r="J915" s="101">
        <v>168135</v>
      </c>
      <c r="K915" s="102">
        <v>163533</v>
      </c>
      <c r="L915" s="207"/>
    </row>
    <row r="916" spans="1:12" s="229" customFormat="1" ht="18.75" customHeight="1" x14ac:dyDescent="0.25">
      <c r="A916" s="1305" t="s">
        <v>123</v>
      </c>
      <c r="B916" s="1305" t="s">
        <v>1317</v>
      </c>
      <c r="C916" s="125" t="s">
        <v>141</v>
      </c>
      <c r="D916" s="113"/>
      <c r="E916" s="113"/>
      <c r="F916" s="113"/>
      <c r="G916" s="716" t="s">
        <v>142</v>
      </c>
      <c r="H916" s="101"/>
      <c r="I916" s="101">
        <v>377655</v>
      </c>
      <c r="J916" s="101">
        <v>377655</v>
      </c>
      <c r="K916" s="102">
        <v>363914</v>
      </c>
      <c r="L916" s="207"/>
    </row>
    <row r="917" spans="1:12" s="146" customFormat="1" ht="18" customHeight="1" x14ac:dyDescent="0.25">
      <c r="A917" s="1305" t="s">
        <v>123</v>
      </c>
      <c r="B917" s="1305" t="s">
        <v>1317</v>
      </c>
      <c r="C917" s="125" t="s">
        <v>141</v>
      </c>
      <c r="D917" s="113"/>
      <c r="E917" s="113"/>
      <c r="F917" s="113"/>
      <c r="G917" s="716" t="s">
        <v>142</v>
      </c>
      <c r="H917" s="101"/>
      <c r="I917" s="101">
        <v>178729</v>
      </c>
      <c r="J917" s="101">
        <v>178729</v>
      </c>
      <c r="K917" s="102">
        <v>174131</v>
      </c>
      <c r="L917" s="10"/>
    </row>
    <row r="918" spans="1:12" s="146" customFormat="1" ht="18" customHeight="1" x14ac:dyDescent="0.25">
      <c r="A918" s="1305" t="s">
        <v>123</v>
      </c>
      <c r="B918" s="1305" t="s">
        <v>1317</v>
      </c>
      <c r="C918" s="125" t="s">
        <v>141</v>
      </c>
      <c r="D918" s="113"/>
      <c r="E918" s="113"/>
      <c r="F918" s="113"/>
      <c r="G918" s="143" t="s">
        <v>142</v>
      </c>
      <c r="H918" s="101"/>
      <c r="I918" s="101">
        <v>326709</v>
      </c>
      <c r="J918" s="101">
        <v>326709</v>
      </c>
      <c r="K918" s="102">
        <v>315048</v>
      </c>
      <c r="L918" s="10"/>
    </row>
    <row r="919" spans="1:12" s="146" customFormat="1" ht="18" customHeight="1" x14ac:dyDescent="0.25">
      <c r="A919" s="1305" t="s">
        <v>123</v>
      </c>
      <c r="B919" s="1305" t="s">
        <v>1317</v>
      </c>
      <c r="C919" s="125" t="s">
        <v>141</v>
      </c>
      <c r="D919" s="113"/>
      <c r="E919" s="113"/>
      <c r="F919" s="113"/>
      <c r="G919" s="143" t="s">
        <v>142</v>
      </c>
      <c r="H919" s="101"/>
      <c r="I919" s="101">
        <v>675296</v>
      </c>
      <c r="J919" s="101">
        <v>675296</v>
      </c>
      <c r="K919" s="102">
        <v>652048</v>
      </c>
      <c r="L919" s="10"/>
    </row>
    <row r="920" spans="1:12" s="146" customFormat="1" ht="18" x14ac:dyDescent="0.25">
      <c r="A920" s="1305" t="s">
        <v>123</v>
      </c>
      <c r="B920" s="1305" t="s">
        <v>1317</v>
      </c>
      <c r="C920" s="125" t="s">
        <v>141</v>
      </c>
      <c r="D920" s="113"/>
      <c r="E920" s="113"/>
      <c r="F920" s="113"/>
      <c r="G920" s="143" t="s">
        <v>142</v>
      </c>
      <c r="H920" s="101"/>
      <c r="I920" s="101">
        <v>438957</v>
      </c>
      <c r="J920" s="101">
        <v>438957</v>
      </c>
      <c r="K920" s="102">
        <v>423557</v>
      </c>
      <c r="L920" s="10"/>
    </row>
    <row r="921" spans="1:12" s="146" customFormat="1" ht="18" customHeight="1" x14ac:dyDescent="0.25">
      <c r="A921" s="1305" t="s">
        <v>123</v>
      </c>
      <c r="B921" s="1305" t="s">
        <v>1317</v>
      </c>
      <c r="C921" s="125" t="s">
        <v>141</v>
      </c>
      <c r="D921" s="113"/>
      <c r="E921" s="113"/>
      <c r="F921" s="113"/>
      <c r="G921" s="143" t="s">
        <v>142</v>
      </c>
      <c r="H921" s="101"/>
      <c r="I921" s="101">
        <v>356283</v>
      </c>
      <c r="J921" s="101">
        <v>356283</v>
      </c>
      <c r="K921" s="102">
        <v>343955</v>
      </c>
      <c r="L921" s="10"/>
    </row>
    <row r="922" spans="1:12" s="146" customFormat="1" ht="18" customHeight="1" x14ac:dyDescent="0.25">
      <c r="A922" s="1305" t="s">
        <v>123</v>
      </c>
      <c r="B922" s="1305" t="s">
        <v>1317</v>
      </c>
      <c r="C922" s="125" t="s">
        <v>141</v>
      </c>
      <c r="D922" s="113"/>
      <c r="E922" s="113"/>
      <c r="F922" s="113"/>
      <c r="G922" s="143" t="s">
        <v>142</v>
      </c>
      <c r="H922" s="101"/>
      <c r="I922" s="101">
        <v>135325</v>
      </c>
      <c r="J922" s="101">
        <v>135325</v>
      </c>
      <c r="K922" s="102">
        <v>131773</v>
      </c>
      <c r="L922" s="10">
        <f>SUM(K904:K922)</f>
        <v>5638553</v>
      </c>
    </row>
    <row r="923" spans="1:12" s="146" customFormat="1" ht="18" customHeight="1" x14ac:dyDescent="0.25">
      <c r="A923" s="1305"/>
      <c r="B923" s="1305"/>
      <c r="C923" s="125"/>
      <c r="D923" s="113"/>
      <c r="E923" s="113"/>
      <c r="F923" s="113"/>
      <c r="G923" s="143"/>
      <c r="H923" s="101"/>
      <c r="I923" s="101"/>
      <c r="J923" s="101"/>
      <c r="K923" s="102"/>
      <c r="L923" s="10"/>
    </row>
    <row r="924" spans="1:12" s="146" customFormat="1" ht="18" customHeight="1" x14ac:dyDescent="0.25">
      <c r="A924" s="1305"/>
      <c r="B924" s="1305"/>
      <c r="C924" s="125"/>
      <c r="D924" s="113"/>
      <c r="E924" s="113"/>
      <c r="F924" s="113"/>
      <c r="G924" s="143"/>
      <c r="H924" s="101"/>
      <c r="I924" s="101"/>
      <c r="J924" s="101"/>
      <c r="K924" s="102"/>
      <c r="L924" s="10"/>
    </row>
    <row r="925" spans="1:12" s="146" customFormat="1" ht="18" x14ac:dyDescent="0.25">
      <c r="A925" s="1305" t="s">
        <v>123</v>
      </c>
      <c r="B925" s="1305" t="s">
        <v>2025</v>
      </c>
      <c r="C925" s="125" t="s">
        <v>143</v>
      </c>
      <c r="D925" s="113"/>
      <c r="E925" s="113"/>
      <c r="F925" s="113"/>
      <c r="G925" s="143" t="s">
        <v>144</v>
      </c>
      <c r="H925" s="101"/>
      <c r="I925" s="101">
        <v>10000</v>
      </c>
      <c r="J925" s="101">
        <v>10000</v>
      </c>
      <c r="K925" s="102">
        <v>10000</v>
      </c>
      <c r="L925" s="10"/>
    </row>
    <row r="926" spans="1:12" s="146" customFormat="1" ht="18" customHeight="1" x14ac:dyDescent="0.25">
      <c r="A926" s="1305" t="s">
        <v>123</v>
      </c>
      <c r="B926" s="1305" t="s">
        <v>2025</v>
      </c>
      <c r="C926" s="125" t="s">
        <v>143</v>
      </c>
      <c r="D926" s="113"/>
      <c r="E926" s="113"/>
      <c r="F926" s="113"/>
      <c r="G926" s="143" t="s">
        <v>144</v>
      </c>
      <c r="H926" s="101"/>
      <c r="I926" s="101">
        <v>10000</v>
      </c>
      <c r="J926" s="101">
        <v>10000</v>
      </c>
      <c r="K926" s="102">
        <v>10000</v>
      </c>
      <c r="L926" s="10"/>
    </row>
    <row r="927" spans="1:12" s="146" customFormat="1" ht="18" x14ac:dyDescent="0.25">
      <c r="A927" s="1305" t="s">
        <v>123</v>
      </c>
      <c r="B927" s="1305" t="s">
        <v>2025</v>
      </c>
      <c r="C927" s="125" t="s">
        <v>143</v>
      </c>
      <c r="D927" s="113"/>
      <c r="E927" s="113"/>
      <c r="F927" s="113"/>
      <c r="G927" s="143" t="s">
        <v>144</v>
      </c>
      <c r="H927" s="101"/>
      <c r="I927" s="101">
        <v>5000</v>
      </c>
      <c r="J927" s="101">
        <v>5000</v>
      </c>
      <c r="K927" s="102">
        <v>5000</v>
      </c>
      <c r="L927" s="10"/>
    </row>
    <row r="928" spans="1:12" s="146" customFormat="1" ht="18" x14ac:dyDescent="0.25">
      <c r="A928" s="1305" t="s">
        <v>123</v>
      </c>
      <c r="B928" s="1305" t="s">
        <v>2025</v>
      </c>
      <c r="C928" s="125" t="s">
        <v>143</v>
      </c>
      <c r="D928" s="113"/>
      <c r="E928" s="113"/>
      <c r="F928" s="113"/>
      <c r="G928" s="143" t="s">
        <v>144</v>
      </c>
      <c r="H928" s="101"/>
      <c r="I928" s="101">
        <v>180000</v>
      </c>
      <c r="J928" s="101">
        <v>180000</v>
      </c>
      <c r="K928" s="102">
        <v>180000</v>
      </c>
      <c r="L928" s="10"/>
    </row>
    <row r="929" spans="1:12" s="146" customFormat="1" ht="18" customHeight="1" x14ac:dyDescent="0.25">
      <c r="A929" s="1305" t="s">
        <v>123</v>
      </c>
      <c r="B929" s="1305" t="s">
        <v>2025</v>
      </c>
      <c r="C929" s="125" t="s">
        <v>143</v>
      </c>
      <c r="D929" s="113"/>
      <c r="E929" s="113"/>
      <c r="F929" s="113"/>
      <c r="G929" s="143" t="s">
        <v>144</v>
      </c>
      <c r="H929" s="101"/>
      <c r="I929" s="101">
        <v>55000</v>
      </c>
      <c r="J929" s="101">
        <v>55000</v>
      </c>
      <c r="K929" s="102">
        <v>55000</v>
      </c>
      <c r="L929" s="10">
        <f>SUM(K925:K929)</f>
        <v>260000</v>
      </c>
    </row>
    <row r="930" spans="1:12" s="146" customFormat="1" ht="18" customHeight="1" x14ac:dyDescent="0.25">
      <c r="A930" s="1305" t="s">
        <v>123</v>
      </c>
      <c r="B930" s="1305" t="s">
        <v>2025</v>
      </c>
      <c r="C930" s="125" t="s">
        <v>137</v>
      </c>
      <c r="D930" s="113"/>
      <c r="E930" s="113"/>
      <c r="F930" s="113"/>
      <c r="G930" s="143" t="s">
        <v>138</v>
      </c>
      <c r="H930" s="101"/>
      <c r="I930" s="101">
        <v>12000</v>
      </c>
      <c r="J930" s="101">
        <v>12000</v>
      </c>
      <c r="K930" s="102">
        <v>12000</v>
      </c>
      <c r="L930" s="10"/>
    </row>
    <row r="931" spans="1:12" s="146" customFormat="1" ht="18" customHeight="1" x14ac:dyDescent="0.25">
      <c r="A931" s="1305" t="s">
        <v>123</v>
      </c>
      <c r="B931" s="1305" t="s">
        <v>2025</v>
      </c>
      <c r="C931" s="125" t="s">
        <v>137</v>
      </c>
      <c r="D931" s="113"/>
      <c r="E931" s="113"/>
      <c r="F931" s="113"/>
      <c r="G931" s="143" t="s">
        <v>138</v>
      </c>
      <c r="H931" s="101"/>
      <c r="I931" s="101">
        <v>12000</v>
      </c>
      <c r="J931" s="101">
        <v>12000</v>
      </c>
      <c r="K931" s="102">
        <v>12000</v>
      </c>
      <c r="L931" s="10"/>
    </row>
    <row r="932" spans="1:12" s="146" customFormat="1" ht="18" customHeight="1" x14ac:dyDescent="0.25">
      <c r="A932" s="1305" t="s">
        <v>123</v>
      </c>
      <c r="B932" s="1305" t="s">
        <v>2025</v>
      </c>
      <c r="C932" s="125" t="s">
        <v>137</v>
      </c>
      <c r="D932" s="113"/>
      <c r="E932" s="113"/>
      <c r="F932" s="113"/>
      <c r="G932" s="143" t="s">
        <v>138</v>
      </c>
      <c r="H932" s="105"/>
      <c r="I932" s="105">
        <v>6000</v>
      </c>
      <c r="J932" s="105">
        <v>6000</v>
      </c>
      <c r="K932" s="106">
        <v>6000</v>
      </c>
      <c r="L932" s="10"/>
    </row>
    <row r="933" spans="1:12" s="194" customFormat="1" ht="18" x14ac:dyDescent="0.25">
      <c r="A933" s="1305" t="s">
        <v>123</v>
      </c>
      <c r="B933" s="1305" t="s">
        <v>2025</v>
      </c>
      <c r="C933" s="125" t="s">
        <v>137</v>
      </c>
      <c r="D933" s="113"/>
      <c r="E933" s="113"/>
      <c r="F933" s="113"/>
      <c r="G933" s="143" t="s">
        <v>138</v>
      </c>
      <c r="H933" s="101"/>
      <c r="I933" s="101">
        <v>216000</v>
      </c>
      <c r="J933" s="101">
        <v>216000</v>
      </c>
      <c r="K933" s="102">
        <v>216000</v>
      </c>
      <c r="L933" s="10"/>
    </row>
    <row r="934" spans="1:12" s="194" customFormat="1" ht="18" x14ac:dyDescent="0.25">
      <c r="A934" s="1305" t="s">
        <v>123</v>
      </c>
      <c r="B934" s="1305" t="s">
        <v>2025</v>
      </c>
      <c r="C934" s="125" t="s">
        <v>137</v>
      </c>
      <c r="D934" s="113"/>
      <c r="E934" s="113"/>
      <c r="F934" s="113"/>
      <c r="G934" s="143" t="s">
        <v>138</v>
      </c>
      <c r="H934" s="101"/>
      <c r="I934" s="101">
        <v>66000</v>
      </c>
      <c r="J934" s="101">
        <v>66000</v>
      </c>
      <c r="K934" s="102">
        <v>66000</v>
      </c>
      <c r="L934" s="10">
        <f>SUM(K930:K934)</f>
        <v>312000</v>
      </c>
    </row>
    <row r="935" spans="1:12" s="229" customFormat="1" ht="18" customHeight="1" x14ac:dyDescent="0.25">
      <c r="A935" s="1305" t="s">
        <v>123</v>
      </c>
      <c r="B935" s="1305" t="s">
        <v>2025</v>
      </c>
      <c r="C935" s="125" t="s">
        <v>1546</v>
      </c>
      <c r="D935" s="113"/>
      <c r="E935" s="113"/>
      <c r="F935" s="113"/>
      <c r="G935" s="143" t="s">
        <v>160</v>
      </c>
      <c r="H935" s="101"/>
      <c r="I935" s="101">
        <v>2400</v>
      </c>
      <c r="J935" s="101">
        <v>2400</v>
      </c>
      <c r="K935" s="102">
        <v>2400</v>
      </c>
      <c r="L935" s="207"/>
    </row>
    <row r="936" spans="1:12" s="229" customFormat="1" ht="18" customHeight="1" x14ac:dyDescent="0.25">
      <c r="A936" s="1305" t="s">
        <v>123</v>
      </c>
      <c r="B936" s="1305" t="s">
        <v>2025</v>
      </c>
      <c r="C936" s="125" t="s">
        <v>1546</v>
      </c>
      <c r="D936" s="113"/>
      <c r="E936" s="113"/>
      <c r="F936" s="113"/>
      <c r="G936" s="143" t="s">
        <v>160</v>
      </c>
      <c r="H936" s="101"/>
      <c r="I936" s="101">
        <v>2400</v>
      </c>
      <c r="J936" s="101">
        <v>2400</v>
      </c>
      <c r="K936" s="102">
        <v>2400</v>
      </c>
      <c r="L936" s="207"/>
    </row>
    <row r="937" spans="1:12" s="229" customFormat="1" ht="18" customHeight="1" x14ac:dyDescent="0.25">
      <c r="A937" s="1305" t="s">
        <v>123</v>
      </c>
      <c r="B937" s="1305" t="s">
        <v>2025</v>
      </c>
      <c r="C937" s="125" t="s">
        <v>1546</v>
      </c>
      <c r="D937" s="113"/>
      <c r="E937" s="113"/>
      <c r="F937" s="113"/>
      <c r="G937" s="143" t="s">
        <v>160</v>
      </c>
      <c r="H937" s="101"/>
      <c r="I937" s="101">
        <v>1200</v>
      </c>
      <c r="J937" s="101">
        <v>1200</v>
      </c>
      <c r="K937" s="102">
        <v>1200</v>
      </c>
      <c r="L937" s="207"/>
    </row>
    <row r="938" spans="1:12" s="229" customFormat="1" ht="18" customHeight="1" x14ac:dyDescent="0.25">
      <c r="A938" s="1305" t="s">
        <v>123</v>
      </c>
      <c r="B938" s="1305" t="s">
        <v>2025</v>
      </c>
      <c r="C938" s="125" t="s">
        <v>1546</v>
      </c>
      <c r="D938" s="113"/>
      <c r="E938" s="113"/>
      <c r="F938" s="113"/>
      <c r="G938" s="143" t="s">
        <v>160</v>
      </c>
      <c r="H938" s="101"/>
      <c r="I938" s="101">
        <v>43200</v>
      </c>
      <c r="J938" s="101">
        <v>43200</v>
      </c>
      <c r="K938" s="102">
        <v>43200</v>
      </c>
      <c r="L938" s="207"/>
    </row>
    <row r="939" spans="1:12" s="229" customFormat="1" ht="18" customHeight="1" x14ac:dyDescent="0.25">
      <c r="A939" s="1305" t="s">
        <v>123</v>
      </c>
      <c r="B939" s="1305" t="s">
        <v>2025</v>
      </c>
      <c r="C939" s="125" t="s">
        <v>1546</v>
      </c>
      <c r="D939" s="113"/>
      <c r="E939" s="113"/>
      <c r="F939" s="113"/>
      <c r="G939" s="143" t="s">
        <v>160</v>
      </c>
      <c r="H939" s="101"/>
      <c r="I939" s="101">
        <v>13200</v>
      </c>
      <c r="J939" s="101">
        <v>13200</v>
      </c>
      <c r="K939" s="102">
        <v>13200</v>
      </c>
      <c r="L939" s="207">
        <f>SUM(K935:K939)</f>
        <v>62400</v>
      </c>
    </row>
    <row r="940" spans="1:12" s="229" customFormat="1" ht="18" customHeight="1" x14ac:dyDescent="0.25">
      <c r="A940" s="1305" t="s">
        <v>123</v>
      </c>
      <c r="B940" s="1305" t="s">
        <v>2025</v>
      </c>
      <c r="C940" s="125" t="s">
        <v>149</v>
      </c>
      <c r="D940" s="113"/>
      <c r="E940" s="113"/>
      <c r="F940" s="113"/>
      <c r="G940" s="143" t="s">
        <v>150</v>
      </c>
      <c r="H940" s="101"/>
      <c r="I940" s="101">
        <v>2836906.92</v>
      </c>
      <c r="J940" s="101">
        <v>2836906.92</v>
      </c>
      <c r="K940" s="102">
        <v>2721980.04</v>
      </c>
      <c r="L940" s="207"/>
    </row>
    <row r="941" spans="1:12" s="146" customFormat="1" ht="18" customHeight="1" x14ac:dyDescent="0.25">
      <c r="A941" s="1305" t="s">
        <v>123</v>
      </c>
      <c r="B941" s="1305" t="s">
        <v>2025</v>
      </c>
      <c r="C941" s="125" t="s">
        <v>211</v>
      </c>
      <c r="D941" s="113"/>
      <c r="E941" s="113"/>
      <c r="F941" s="113"/>
      <c r="G941" s="143" t="s">
        <v>212</v>
      </c>
      <c r="H941" s="101"/>
      <c r="I941" s="101">
        <v>61200</v>
      </c>
      <c r="J941" s="101">
        <v>61200</v>
      </c>
      <c r="K941" s="102">
        <v>61200</v>
      </c>
      <c r="L941" s="10"/>
    </row>
    <row r="942" spans="1:12" s="146" customFormat="1" ht="18" customHeight="1" x14ac:dyDescent="0.25">
      <c r="A942" s="1305" t="s">
        <v>123</v>
      </c>
      <c r="B942" s="1305" t="s">
        <v>2025</v>
      </c>
      <c r="C942" s="125" t="s">
        <v>1568</v>
      </c>
      <c r="D942" s="113"/>
      <c r="E942" s="113"/>
      <c r="F942" s="113"/>
      <c r="G942" s="143" t="s">
        <v>232</v>
      </c>
      <c r="H942" s="101"/>
      <c r="I942" s="101"/>
      <c r="J942" s="101"/>
      <c r="K942" s="102">
        <v>35000</v>
      </c>
      <c r="L942" s="10"/>
    </row>
    <row r="943" spans="1:12" s="146" customFormat="1" ht="18" customHeight="1" x14ac:dyDescent="0.25">
      <c r="A943" s="1305" t="s">
        <v>123</v>
      </c>
      <c r="B943" s="1305" t="s">
        <v>2025</v>
      </c>
      <c r="C943" s="125" t="s">
        <v>1568</v>
      </c>
      <c r="D943" s="113"/>
      <c r="E943" s="113"/>
      <c r="F943" s="113"/>
      <c r="G943" s="143" t="s">
        <v>232</v>
      </c>
      <c r="H943" s="101"/>
      <c r="I943" s="101"/>
      <c r="J943" s="101"/>
      <c r="K943" s="102">
        <v>5000</v>
      </c>
      <c r="L943" s="10">
        <f>SUM(K942:K943)</f>
        <v>40000</v>
      </c>
    </row>
    <row r="944" spans="1:12" s="146" customFormat="1" ht="18" customHeight="1" x14ac:dyDescent="0.25">
      <c r="A944" s="1305" t="s">
        <v>123</v>
      </c>
      <c r="B944" s="1305" t="s">
        <v>2025</v>
      </c>
      <c r="C944" s="125" t="s">
        <v>1541</v>
      </c>
      <c r="D944" s="113"/>
      <c r="E944" s="113"/>
      <c r="F944" s="113"/>
      <c r="G944" s="143" t="s">
        <v>140</v>
      </c>
      <c r="H944" s="101"/>
      <c r="I944" s="101">
        <v>37525</v>
      </c>
      <c r="J944" s="101">
        <v>37525</v>
      </c>
      <c r="K944" s="102">
        <v>35832</v>
      </c>
      <c r="L944" s="10"/>
    </row>
    <row r="945" spans="1:12" s="146" customFormat="1" ht="18" customHeight="1" x14ac:dyDescent="0.25">
      <c r="A945" s="1305" t="s">
        <v>123</v>
      </c>
      <c r="B945" s="1305" t="s">
        <v>2025</v>
      </c>
      <c r="C945" s="125" t="s">
        <v>1541</v>
      </c>
      <c r="D945" s="113"/>
      <c r="E945" s="113"/>
      <c r="F945" s="113"/>
      <c r="G945" s="143" t="s">
        <v>140</v>
      </c>
      <c r="H945" s="101"/>
      <c r="I945" s="101">
        <v>37599</v>
      </c>
      <c r="J945" s="101">
        <v>37599</v>
      </c>
      <c r="K945" s="102">
        <v>39359</v>
      </c>
      <c r="L945" s="10"/>
    </row>
    <row r="946" spans="1:12" s="146" customFormat="1" ht="18" x14ac:dyDescent="0.25">
      <c r="A946" s="1305" t="s">
        <v>123</v>
      </c>
      <c r="B946" s="1305" t="s">
        <v>2025</v>
      </c>
      <c r="C946" s="125" t="s">
        <v>1541</v>
      </c>
      <c r="D946" s="113"/>
      <c r="E946" s="113"/>
      <c r="F946" s="113"/>
      <c r="G946" s="143" t="s">
        <v>140</v>
      </c>
      <c r="H946" s="101"/>
      <c r="I946" s="101">
        <v>23260</v>
      </c>
      <c r="J946" s="101">
        <v>23260</v>
      </c>
      <c r="K946" s="102">
        <v>22011</v>
      </c>
      <c r="L946" s="10"/>
    </row>
    <row r="947" spans="1:12" s="146" customFormat="1" ht="18" customHeight="1" x14ac:dyDescent="0.25">
      <c r="A947" s="1305" t="s">
        <v>123</v>
      </c>
      <c r="B947" s="1305" t="s">
        <v>2025</v>
      </c>
      <c r="C947" s="125" t="s">
        <v>1541</v>
      </c>
      <c r="D947" s="113"/>
      <c r="E947" s="113"/>
      <c r="F947" s="113"/>
      <c r="G947" s="143" t="s">
        <v>140</v>
      </c>
      <c r="H947" s="101"/>
      <c r="I947" s="101">
        <v>1121371</v>
      </c>
      <c r="J947" s="101">
        <v>1121371</v>
      </c>
      <c r="K947" s="102">
        <v>1079071</v>
      </c>
      <c r="L947" s="10"/>
    </row>
    <row r="948" spans="1:12" s="146" customFormat="1" ht="18" customHeight="1" x14ac:dyDescent="0.25">
      <c r="A948" s="1305" t="s">
        <v>123</v>
      </c>
      <c r="B948" s="1305" t="s">
        <v>2025</v>
      </c>
      <c r="C948" s="125" t="s">
        <v>1541</v>
      </c>
      <c r="D948" s="113"/>
      <c r="E948" s="113"/>
      <c r="F948" s="113"/>
      <c r="G948" s="143" t="s">
        <v>140</v>
      </c>
      <c r="H948" s="101"/>
      <c r="I948" s="101">
        <v>261227</v>
      </c>
      <c r="J948" s="101">
        <v>261227</v>
      </c>
      <c r="K948" s="102">
        <v>251539</v>
      </c>
      <c r="L948" s="10">
        <f>SUM(K944:K948)</f>
        <v>1427812</v>
      </c>
    </row>
    <row r="949" spans="1:12" s="146" customFormat="1" ht="18" x14ac:dyDescent="0.25">
      <c r="A949" s="1305" t="s">
        <v>123</v>
      </c>
      <c r="B949" s="1305" t="s">
        <v>2025</v>
      </c>
      <c r="C949" s="125" t="s">
        <v>1567</v>
      </c>
      <c r="D949" s="113"/>
      <c r="E949" s="113"/>
      <c r="F949" s="113"/>
      <c r="G949" s="143"/>
      <c r="H949" s="101"/>
      <c r="I949" s="101"/>
      <c r="J949" s="101"/>
      <c r="K949" s="102">
        <v>1358962.07</v>
      </c>
      <c r="L949" s="10"/>
    </row>
    <row r="950" spans="1:12" s="146" customFormat="1" ht="18" customHeight="1" x14ac:dyDescent="0.25">
      <c r="A950" s="1305" t="s">
        <v>123</v>
      </c>
      <c r="B950" s="1305" t="s">
        <v>2025</v>
      </c>
      <c r="C950" s="125" t="s">
        <v>1543</v>
      </c>
      <c r="D950" s="113"/>
      <c r="E950" s="113"/>
      <c r="F950" s="113"/>
      <c r="G950" s="143" t="s">
        <v>146</v>
      </c>
      <c r="H950" s="101"/>
      <c r="I950" s="101">
        <v>10000</v>
      </c>
      <c r="J950" s="101">
        <v>10000</v>
      </c>
      <c r="K950" s="102">
        <v>10000</v>
      </c>
      <c r="L950" s="10"/>
    </row>
    <row r="951" spans="1:12" s="146" customFormat="1" ht="18" customHeight="1" x14ac:dyDescent="0.25">
      <c r="A951" s="1305" t="s">
        <v>123</v>
      </c>
      <c r="B951" s="1305" t="s">
        <v>2025</v>
      </c>
      <c r="C951" s="125" t="s">
        <v>1543</v>
      </c>
      <c r="D951" s="113"/>
      <c r="E951" s="113"/>
      <c r="F951" s="113"/>
      <c r="G951" s="143" t="s">
        <v>146</v>
      </c>
      <c r="H951" s="101"/>
      <c r="I951" s="101">
        <v>10000</v>
      </c>
      <c r="J951" s="101">
        <v>10000</v>
      </c>
      <c r="K951" s="102">
        <v>10000</v>
      </c>
      <c r="L951" s="10"/>
    </row>
    <row r="952" spans="1:12" ht="18" customHeight="1" x14ac:dyDescent="0.25">
      <c r="A952" s="1305" t="s">
        <v>123</v>
      </c>
      <c r="B952" s="1305" t="s">
        <v>2025</v>
      </c>
      <c r="C952" s="125" t="s">
        <v>1543</v>
      </c>
      <c r="D952" s="113"/>
      <c r="E952" s="113"/>
      <c r="F952" s="113"/>
      <c r="G952" s="143" t="s">
        <v>146</v>
      </c>
      <c r="H952" s="101"/>
      <c r="I952" s="101">
        <v>5000</v>
      </c>
      <c r="J952" s="101">
        <v>5000</v>
      </c>
      <c r="K952" s="102">
        <v>5000</v>
      </c>
    </row>
    <row r="953" spans="1:12" ht="18" customHeight="1" x14ac:dyDescent="0.25">
      <c r="A953" s="1305" t="s">
        <v>123</v>
      </c>
      <c r="B953" s="1305" t="s">
        <v>2025</v>
      </c>
      <c r="C953" s="125" t="s">
        <v>1543</v>
      </c>
      <c r="D953" s="113"/>
      <c r="E953" s="113"/>
      <c r="F953" s="113"/>
      <c r="G953" s="143" t="s">
        <v>146</v>
      </c>
      <c r="H953" s="101"/>
      <c r="I953" s="101">
        <v>180000</v>
      </c>
      <c r="J953" s="101">
        <v>180000</v>
      </c>
      <c r="K953" s="102">
        <v>180000</v>
      </c>
    </row>
    <row r="954" spans="1:12" ht="18" customHeight="1" x14ac:dyDescent="0.25">
      <c r="A954" s="1305" t="s">
        <v>123</v>
      </c>
      <c r="B954" s="1305" t="s">
        <v>2025</v>
      </c>
      <c r="C954" s="125" t="s">
        <v>1543</v>
      </c>
      <c r="D954" s="113"/>
      <c r="E954" s="113"/>
      <c r="F954" s="113"/>
      <c r="G954" s="143" t="s">
        <v>146</v>
      </c>
      <c r="H954" s="101"/>
      <c r="I954" s="101">
        <v>55000</v>
      </c>
      <c r="J954" s="101">
        <v>55000</v>
      </c>
      <c r="K954" s="102">
        <v>55000</v>
      </c>
      <c r="L954" s="10">
        <f>SUM(K950:K954)</f>
        <v>260000</v>
      </c>
    </row>
    <row r="955" spans="1:12" ht="18" customHeight="1" x14ac:dyDescent="0.25">
      <c r="A955" s="1305" t="s">
        <v>123</v>
      </c>
      <c r="B955" s="1305" t="s">
        <v>2025</v>
      </c>
      <c r="C955" s="125" t="s">
        <v>135</v>
      </c>
      <c r="D955" s="113"/>
      <c r="E955" s="113"/>
      <c r="F955" s="113"/>
      <c r="G955" s="143" t="s">
        <v>136</v>
      </c>
      <c r="H955" s="105"/>
      <c r="I955" s="1246">
        <v>700000</v>
      </c>
      <c r="J955" s="1246">
        <v>700000</v>
      </c>
      <c r="K955" s="106">
        <v>700000</v>
      </c>
    </row>
    <row r="956" spans="1:12" s="212" customFormat="1" ht="18" customHeight="1" x14ac:dyDescent="0.25">
      <c r="A956" s="1305" t="s">
        <v>123</v>
      </c>
      <c r="B956" s="1305" t="s">
        <v>2025</v>
      </c>
      <c r="C956" s="125" t="s">
        <v>135</v>
      </c>
      <c r="D956" s="113"/>
      <c r="E956" s="113"/>
      <c r="F956" s="113"/>
      <c r="G956" s="143" t="s">
        <v>136</v>
      </c>
      <c r="H956" s="102"/>
      <c r="I956" s="102">
        <v>152767.28</v>
      </c>
      <c r="J956" s="102">
        <v>152767.28</v>
      </c>
      <c r="K956" s="102">
        <v>152767.28</v>
      </c>
      <c r="L956" s="207">
        <f>SUM(K955:K956)</f>
        <v>852767.28</v>
      </c>
    </row>
    <row r="957" spans="1:12" s="212" customFormat="1" ht="18" customHeight="1" x14ac:dyDescent="0.25">
      <c r="A957" s="1305" t="s">
        <v>123</v>
      </c>
      <c r="B957" s="1305" t="s">
        <v>2025</v>
      </c>
      <c r="C957" s="125" t="s">
        <v>155</v>
      </c>
      <c r="D957" s="113"/>
      <c r="E957" s="113"/>
      <c r="F957" s="113"/>
      <c r="G957" s="143" t="s">
        <v>156</v>
      </c>
      <c r="H957" s="101"/>
      <c r="I957" s="101">
        <v>2400</v>
      </c>
      <c r="J957" s="101">
        <v>2400</v>
      </c>
      <c r="K957" s="102">
        <v>2400</v>
      </c>
      <c r="L957" s="207"/>
    </row>
    <row r="958" spans="1:12" s="212" customFormat="1" ht="18" customHeight="1" x14ac:dyDescent="0.25">
      <c r="A958" s="1305" t="s">
        <v>123</v>
      </c>
      <c r="B958" s="1305" t="s">
        <v>2025</v>
      </c>
      <c r="C958" s="125" t="s">
        <v>155</v>
      </c>
      <c r="D958" s="113"/>
      <c r="E958" s="113"/>
      <c r="F958" s="113"/>
      <c r="G958" s="143" t="s">
        <v>156</v>
      </c>
      <c r="H958" s="101"/>
      <c r="I958" s="101">
        <v>2400</v>
      </c>
      <c r="J958" s="101">
        <v>2400</v>
      </c>
      <c r="K958" s="102">
        <v>2400</v>
      </c>
      <c r="L958" s="207"/>
    </row>
    <row r="959" spans="1:12" s="212" customFormat="1" ht="18" customHeight="1" x14ac:dyDescent="0.25">
      <c r="A959" s="1305" t="s">
        <v>123</v>
      </c>
      <c r="B959" s="1305" t="s">
        <v>2025</v>
      </c>
      <c r="C959" s="125" t="s">
        <v>155</v>
      </c>
      <c r="D959" s="113"/>
      <c r="E959" s="113"/>
      <c r="F959" s="113"/>
      <c r="G959" s="143" t="s">
        <v>156</v>
      </c>
      <c r="H959" s="101"/>
      <c r="I959" s="101">
        <v>1200</v>
      </c>
      <c r="J959" s="101">
        <v>1200</v>
      </c>
      <c r="K959" s="102">
        <v>1200</v>
      </c>
      <c r="L959" s="207"/>
    </row>
    <row r="960" spans="1:12" s="212" customFormat="1" ht="18" customHeight="1" x14ac:dyDescent="0.25">
      <c r="A960" s="1305" t="s">
        <v>123</v>
      </c>
      <c r="B960" s="1305" t="s">
        <v>2025</v>
      </c>
      <c r="C960" s="125" t="s">
        <v>155</v>
      </c>
      <c r="D960" s="113"/>
      <c r="E960" s="113"/>
      <c r="F960" s="113"/>
      <c r="G960" s="143" t="s">
        <v>156</v>
      </c>
      <c r="H960" s="101"/>
      <c r="I960" s="101">
        <v>43200</v>
      </c>
      <c r="J960" s="101">
        <v>43200</v>
      </c>
      <c r="K960" s="102">
        <v>43200</v>
      </c>
      <c r="L960" s="207"/>
    </row>
    <row r="961" spans="1:12" s="212" customFormat="1" ht="18" customHeight="1" x14ac:dyDescent="0.25">
      <c r="A961" s="1305" t="s">
        <v>123</v>
      </c>
      <c r="B961" s="1305" t="s">
        <v>2025</v>
      </c>
      <c r="C961" s="125" t="s">
        <v>155</v>
      </c>
      <c r="D961" s="113"/>
      <c r="E961" s="113"/>
      <c r="F961" s="113"/>
      <c r="G961" s="143" t="s">
        <v>156</v>
      </c>
      <c r="H961" s="101"/>
      <c r="I961" s="101">
        <v>13200</v>
      </c>
      <c r="J961" s="101">
        <v>13200</v>
      </c>
      <c r="K961" s="102">
        <v>13200</v>
      </c>
      <c r="L961" s="207">
        <f>SUM(K957:K961)</f>
        <v>62400</v>
      </c>
    </row>
    <row r="962" spans="1:12" s="212" customFormat="1" ht="18" customHeight="1" x14ac:dyDescent="0.25">
      <c r="A962" s="1305" t="s">
        <v>123</v>
      </c>
      <c r="B962" s="1305" t="s">
        <v>2025</v>
      </c>
      <c r="C962" s="125" t="s">
        <v>129</v>
      </c>
      <c r="D962" s="113"/>
      <c r="E962" s="113"/>
      <c r="F962" s="113"/>
      <c r="G962" s="144" t="s">
        <v>130</v>
      </c>
      <c r="H962" s="101"/>
      <c r="I962" s="101">
        <v>48000</v>
      </c>
      <c r="J962" s="101">
        <v>48000</v>
      </c>
      <c r="K962" s="102">
        <v>48000</v>
      </c>
      <c r="L962" s="207"/>
    </row>
    <row r="963" spans="1:12" s="1172" customFormat="1" ht="18" customHeight="1" x14ac:dyDescent="0.25">
      <c r="A963" s="1305" t="s">
        <v>123</v>
      </c>
      <c r="B963" s="1305" t="s">
        <v>2025</v>
      </c>
      <c r="C963" s="125" t="s">
        <v>129</v>
      </c>
      <c r="D963" s="113"/>
      <c r="E963" s="113"/>
      <c r="F963" s="113"/>
      <c r="G963" s="144" t="s">
        <v>130</v>
      </c>
      <c r="H963" s="101"/>
      <c r="I963" s="101">
        <v>48000</v>
      </c>
      <c r="J963" s="101">
        <v>48000</v>
      </c>
      <c r="K963" s="102">
        <v>48000</v>
      </c>
      <c r="L963" s="207"/>
    </row>
    <row r="964" spans="1:12" s="212" customFormat="1" ht="18" customHeight="1" x14ac:dyDescent="0.25">
      <c r="A964" s="1305" t="s">
        <v>123</v>
      </c>
      <c r="B964" s="1305" t="s">
        <v>2025</v>
      </c>
      <c r="C964" s="125" t="s">
        <v>129</v>
      </c>
      <c r="D964" s="113"/>
      <c r="E964" s="113"/>
      <c r="F964" s="113"/>
      <c r="G964" s="144" t="s">
        <v>130</v>
      </c>
      <c r="H964" s="101"/>
      <c r="I964" s="101">
        <v>24000</v>
      </c>
      <c r="J964" s="101">
        <v>24000</v>
      </c>
      <c r="K964" s="102">
        <v>24000</v>
      </c>
      <c r="L964" s="207"/>
    </row>
    <row r="965" spans="1:12" s="212" customFormat="1" ht="18" customHeight="1" x14ac:dyDescent="0.25">
      <c r="A965" s="1305" t="s">
        <v>123</v>
      </c>
      <c r="B965" s="1305" t="s">
        <v>2025</v>
      </c>
      <c r="C965" s="125" t="s">
        <v>129</v>
      </c>
      <c r="D965" s="113"/>
      <c r="E965" s="113"/>
      <c r="F965" s="113"/>
      <c r="G965" s="144" t="s">
        <v>130</v>
      </c>
      <c r="H965" s="101"/>
      <c r="I965" s="101">
        <v>864000</v>
      </c>
      <c r="J965" s="101">
        <v>864000</v>
      </c>
      <c r="K965" s="102">
        <v>864000</v>
      </c>
      <c r="L965" s="207"/>
    </row>
    <row r="966" spans="1:12" s="212" customFormat="1" ht="18" customHeight="1" x14ac:dyDescent="0.25">
      <c r="A966" s="1305" t="s">
        <v>123</v>
      </c>
      <c r="B966" s="1305" t="s">
        <v>2025</v>
      </c>
      <c r="C966" s="125" t="s">
        <v>129</v>
      </c>
      <c r="D966" s="113"/>
      <c r="E966" s="113"/>
      <c r="F966" s="113"/>
      <c r="G966" s="144" t="s">
        <v>130</v>
      </c>
      <c r="H966" s="105"/>
      <c r="I966" s="105">
        <v>264000</v>
      </c>
      <c r="J966" s="105">
        <v>264000</v>
      </c>
      <c r="K966" s="106">
        <v>264000</v>
      </c>
      <c r="L966" s="207">
        <f>SUM(K962:K966)</f>
        <v>1248000</v>
      </c>
    </row>
    <row r="967" spans="1:12" s="208" customFormat="1" ht="18" customHeight="1" x14ac:dyDescent="0.25">
      <c r="A967" s="1305" t="s">
        <v>123</v>
      </c>
      <c r="B967" s="1305" t="s">
        <v>2025</v>
      </c>
      <c r="C967" s="125" t="s">
        <v>157</v>
      </c>
      <c r="D967" s="113"/>
      <c r="E967" s="113"/>
      <c r="F967" s="113"/>
      <c r="G967" s="143" t="s">
        <v>158</v>
      </c>
      <c r="H967" s="250"/>
      <c r="I967" s="250">
        <v>10131.75</v>
      </c>
      <c r="J967" s="250">
        <v>10131.75</v>
      </c>
      <c r="K967" s="233">
        <v>9674.64</v>
      </c>
      <c r="L967" s="207"/>
    </row>
    <row r="968" spans="1:12" s="208" customFormat="1" ht="18" customHeight="1" x14ac:dyDescent="0.25">
      <c r="A968" s="1305" t="s">
        <v>123</v>
      </c>
      <c r="B968" s="1305" t="s">
        <v>2025</v>
      </c>
      <c r="C968" s="125" t="s">
        <v>157</v>
      </c>
      <c r="D968" s="113"/>
      <c r="E968" s="113"/>
      <c r="F968" s="113"/>
      <c r="G968" s="143" t="s">
        <v>158</v>
      </c>
      <c r="H968" s="250"/>
      <c r="I968" s="250">
        <v>11101.32</v>
      </c>
      <c r="J968" s="250">
        <v>11101.32</v>
      </c>
      <c r="K968" s="233">
        <v>10626.93</v>
      </c>
      <c r="L968" s="207"/>
    </row>
    <row r="969" spans="1:12" s="146" customFormat="1" ht="18" customHeight="1" x14ac:dyDescent="0.25">
      <c r="A969" s="1305" t="s">
        <v>123</v>
      </c>
      <c r="B969" s="1305" t="s">
        <v>2025</v>
      </c>
      <c r="C969" s="125" t="s">
        <v>157</v>
      </c>
      <c r="D969" s="113"/>
      <c r="E969" s="113"/>
      <c r="F969" s="113"/>
      <c r="G969" s="143" t="s">
        <v>158</v>
      </c>
      <c r="H969" s="101"/>
      <c r="I969" s="101">
        <v>6280.2</v>
      </c>
      <c r="J969" s="101">
        <v>6280.2</v>
      </c>
      <c r="K969" s="102">
        <v>5942.97</v>
      </c>
      <c r="L969" s="10"/>
    </row>
    <row r="970" spans="1:12" s="146" customFormat="1" ht="18" customHeight="1" x14ac:dyDescent="0.25">
      <c r="A970" s="1305" t="s">
        <v>123</v>
      </c>
      <c r="B970" s="1305" t="s">
        <v>2025</v>
      </c>
      <c r="C970" s="125" t="s">
        <v>157</v>
      </c>
      <c r="D970" s="113"/>
      <c r="E970" s="113"/>
      <c r="F970" s="113"/>
      <c r="G970" s="143" t="s">
        <v>158</v>
      </c>
      <c r="H970" s="101"/>
      <c r="I970" s="101">
        <v>299322.81</v>
      </c>
      <c r="J970" s="101">
        <v>299322.81</v>
      </c>
      <c r="K970" s="102">
        <v>288436.40999999997</v>
      </c>
      <c r="L970" s="10"/>
    </row>
    <row r="971" spans="1:12" s="146" customFormat="1" ht="18" x14ac:dyDescent="0.25">
      <c r="A971" s="1305" t="s">
        <v>123</v>
      </c>
      <c r="B971" s="1305" t="s">
        <v>2025</v>
      </c>
      <c r="C971" s="125" t="s">
        <v>157</v>
      </c>
      <c r="D971" s="113"/>
      <c r="E971" s="113"/>
      <c r="F971" s="113"/>
      <c r="G971" s="143" t="s">
        <v>158</v>
      </c>
      <c r="H971" s="101"/>
      <c r="I971" s="101">
        <v>70531.289999999994</v>
      </c>
      <c r="J971" s="101">
        <v>70531.289999999994</v>
      </c>
      <c r="K971" s="102">
        <v>67915.53</v>
      </c>
      <c r="L971" s="10">
        <f>SUM(K967:K971)</f>
        <v>382596.48</v>
      </c>
    </row>
    <row r="972" spans="1:12" s="146" customFormat="1" ht="18" customHeight="1" x14ac:dyDescent="0.25">
      <c r="A972" s="1305" t="s">
        <v>123</v>
      </c>
      <c r="B972" s="1305" t="s">
        <v>2025</v>
      </c>
      <c r="C972" s="125" t="s">
        <v>131</v>
      </c>
      <c r="D972" s="113"/>
      <c r="E972" s="113"/>
      <c r="F972" s="113"/>
      <c r="G972" s="143" t="s">
        <v>132</v>
      </c>
      <c r="H972" s="101"/>
      <c r="I972" s="101">
        <v>85200</v>
      </c>
      <c r="J972" s="101">
        <v>85200</v>
      </c>
      <c r="K972" s="102">
        <v>85200</v>
      </c>
      <c r="L972" s="10"/>
    </row>
    <row r="973" spans="1:12" s="146" customFormat="1" ht="18" customHeight="1" x14ac:dyDescent="0.25">
      <c r="A973" s="1305" t="s">
        <v>123</v>
      </c>
      <c r="B973" s="1305" t="s">
        <v>2025</v>
      </c>
      <c r="C973" s="125" t="s">
        <v>131</v>
      </c>
      <c r="D973" s="113"/>
      <c r="E973" s="113"/>
      <c r="F973" s="113"/>
      <c r="G973" s="143" t="s">
        <v>132</v>
      </c>
      <c r="H973" s="101"/>
      <c r="I973" s="101">
        <v>72000</v>
      </c>
      <c r="J973" s="101">
        <v>72000</v>
      </c>
      <c r="K973" s="102">
        <v>72000</v>
      </c>
      <c r="L973" s="10">
        <f>SUM(K972:K973)</f>
        <v>157200</v>
      </c>
    </row>
    <row r="974" spans="1:12" s="146" customFormat="1" ht="18" customHeight="1" x14ac:dyDescent="0.25">
      <c r="A974" s="1305" t="s">
        <v>123</v>
      </c>
      <c r="B974" s="1305" t="s">
        <v>2025</v>
      </c>
      <c r="C974" s="125" t="s">
        <v>1545</v>
      </c>
      <c r="D974" s="113"/>
      <c r="E974" s="113"/>
      <c r="F974" s="113"/>
      <c r="G974" s="143" t="s">
        <v>154</v>
      </c>
      <c r="H974" s="101"/>
      <c r="I974" s="101">
        <v>54036</v>
      </c>
      <c r="J974" s="101">
        <v>54036</v>
      </c>
      <c r="K974" s="102">
        <v>51598.080000000002</v>
      </c>
      <c r="L974" s="10"/>
    </row>
    <row r="975" spans="1:12" s="146" customFormat="1" ht="18" customHeight="1" x14ac:dyDescent="0.25">
      <c r="A975" s="1305" t="s">
        <v>123</v>
      </c>
      <c r="B975" s="1305" t="s">
        <v>2025</v>
      </c>
      <c r="C975" s="125" t="s">
        <v>1545</v>
      </c>
      <c r="D975" s="113"/>
      <c r="E975" s="113"/>
      <c r="F975" s="113"/>
      <c r="G975" s="143" t="s">
        <v>154</v>
      </c>
      <c r="H975" s="101"/>
      <c r="I975" s="101">
        <v>59207.040000000001</v>
      </c>
      <c r="J975" s="101">
        <v>59207.040000000001</v>
      </c>
      <c r="K975" s="102">
        <v>56676.959999999999</v>
      </c>
      <c r="L975" s="10"/>
    </row>
    <row r="976" spans="1:12" s="146" customFormat="1" ht="18" x14ac:dyDescent="0.25">
      <c r="A976" s="1305" t="s">
        <v>123</v>
      </c>
      <c r="B976" s="1305" t="s">
        <v>2025</v>
      </c>
      <c r="C976" s="125" t="s">
        <v>1545</v>
      </c>
      <c r="D976" s="113"/>
      <c r="E976" s="113"/>
      <c r="F976" s="113"/>
      <c r="G976" s="143" t="s">
        <v>154</v>
      </c>
      <c r="H976" s="101"/>
      <c r="I976" s="101">
        <v>29897.279999999999</v>
      </c>
      <c r="J976" s="101">
        <v>29897.279999999999</v>
      </c>
      <c r="K976" s="102">
        <v>29897.279999999999</v>
      </c>
      <c r="L976" s="10"/>
    </row>
    <row r="977" spans="1:12" s="146" customFormat="1" ht="18" customHeight="1" x14ac:dyDescent="0.25">
      <c r="A977" s="1305" t="s">
        <v>123</v>
      </c>
      <c r="B977" s="1305" t="s">
        <v>2025</v>
      </c>
      <c r="C977" s="125" t="s">
        <v>1545</v>
      </c>
      <c r="D977" s="113"/>
      <c r="E977" s="113"/>
      <c r="F977" s="113"/>
      <c r="G977" s="143" t="s">
        <v>154</v>
      </c>
      <c r="H977" s="101"/>
      <c r="I977" s="101">
        <v>1105853.76</v>
      </c>
      <c r="J977" s="101">
        <v>1105853.76</v>
      </c>
      <c r="K977" s="102">
        <v>1553862.24</v>
      </c>
      <c r="L977" s="10"/>
    </row>
    <row r="978" spans="1:12" s="146" customFormat="1" ht="18" x14ac:dyDescent="0.25">
      <c r="A978" s="1305" t="s">
        <v>123</v>
      </c>
      <c r="B978" s="1305" t="s">
        <v>2025</v>
      </c>
      <c r="C978" s="125" t="s">
        <v>1545</v>
      </c>
      <c r="D978" s="113"/>
      <c r="E978" s="113"/>
      <c r="F978" s="113"/>
      <c r="G978" s="143" t="s">
        <v>154</v>
      </c>
      <c r="H978" s="101"/>
      <c r="I978" s="101">
        <v>376166.88</v>
      </c>
      <c r="J978" s="101">
        <v>376166.88</v>
      </c>
      <c r="K978" s="102">
        <v>362216.16</v>
      </c>
      <c r="L978" s="10">
        <f>SUM(K974:K978)</f>
        <v>2054250.72</v>
      </c>
    </row>
    <row r="979" spans="1:12" s="146" customFormat="1" ht="18" x14ac:dyDescent="0.25">
      <c r="A979" s="1305" t="s">
        <v>123</v>
      </c>
      <c r="B979" s="1305" t="s">
        <v>2025</v>
      </c>
      <c r="C979" s="1310" t="s">
        <v>126</v>
      </c>
      <c r="D979" s="1305"/>
      <c r="E979" s="1305"/>
      <c r="F979" s="1305"/>
      <c r="G979" s="143" t="s">
        <v>132</v>
      </c>
      <c r="H979" s="101"/>
      <c r="I979" s="101">
        <v>149628</v>
      </c>
      <c r="J979" s="101">
        <v>149628</v>
      </c>
      <c r="K979" s="102">
        <v>143928</v>
      </c>
      <c r="L979" s="10"/>
    </row>
    <row r="980" spans="1:12" s="146" customFormat="1" ht="18" customHeight="1" x14ac:dyDescent="0.25">
      <c r="A980" s="1305" t="s">
        <v>123</v>
      </c>
      <c r="B980" s="1305" t="s">
        <v>2025</v>
      </c>
      <c r="C980" s="125" t="s">
        <v>126</v>
      </c>
      <c r="D980" s="113"/>
      <c r="E980" s="113"/>
      <c r="F980" s="113"/>
      <c r="G980" s="143" t="s">
        <v>127</v>
      </c>
      <c r="H980" s="101"/>
      <c r="I980" s="101">
        <v>352272</v>
      </c>
      <c r="J980" s="101">
        <v>352272</v>
      </c>
      <c r="K980" s="102">
        <v>339000</v>
      </c>
      <c r="L980" s="10"/>
    </row>
    <row r="981" spans="1:12" s="146" customFormat="1" ht="18" x14ac:dyDescent="0.25">
      <c r="A981" s="1305" t="s">
        <v>123</v>
      </c>
      <c r="B981" s="1305" t="s">
        <v>2025</v>
      </c>
      <c r="C981" s="125" t="s">
        <v>126</v>
      </c>
      <c r="D981" s="113"/>
      <c r="E981" s="113"/>
      <c r="F981" s="113"/>
      <c r="G981" s="143" t="s">
        <v>127</v>
      </c>
      <c r="H981" s="102"/>
      <c r="I981" s="102">
        <v>785748</v>
      </c>
      <c r="J981" s="102">
        <v>785748</v>
      </c>
      <c r="K981" s="102">
        <v>750636</v>
      </c>
      <c r="L981" s="10">
        <f>SUM(K979:K981)</f>
        <v>1233564</v>
      </c>
    </row>
    <row r="982" spans="1:12" s="146" customFormat="1" ht="18" customHeight="1" x14ac:dyDescent="0.25">
      <c r="A982" s="1305" t="s">
        <v>123</v>
      </c>
      <c r="B982" s="1305" t="s">
        <v>2025</v>
      </c>
      <c r="C982" s="125" t="s">
        <v>124</v>
      </c>
      <c r="D982" s="113"/>
      <c r="E982" s="113"/>
      <c r="F982" s="113"/>
      <c r="G982" s="143" t="s">
        <v>125</v>
      </c>
      <c r="H982" s="101"/>
      <c r="I982" s="101">
        <v>300672</v>
      </c>
      <c r="J982" s="101">
        <v>300672</v>
      </c>
      <c r="K982" s="102">
        <v>286056</v>
      </c>
      <c r="L982" s="10"/>
    </row>
    <row r="983" spans="1:12" s="146" customFormat="1" ht="18" customHeight="1" x14ac:dyDescent="0.25">
      <c r="A983" s="1305" t="s">
        <v>123</v>
      </c>
      <c r="B983" s="1305" t="s">
        <v>2025</v>
      </c>
      <c r="C983" s="125" t="s">
        <v>124</v>
      </c>
      <c r="D983" s="113"/>
      <c r="E983" s="113"/>
      <c r="F983" s="113"/>
      <c r="G983" s="143" t="s">
        <v>125</v>
      </c>
      <c r="H983" s="101"/>
      <c r="I983" s="101">
        <v>493392</v>
      </c>
      <c r="J983" s="101">
        <v>493392</v>
      </c>
      <c r="K983" s="102">
        <v>472308</v>
      </c>
      <c r="L983" s="10"/>
    </row>
    <row r="984" spans="1:12" s="146" customFormat="1" ht="18" customHeight="1" x14ac:dyDescent="0.25">
      <c r="A984" s="1305" t="s">
        <v>123</v>
      </c>
      <c r="B984" s="1305" t="s">
        <v>2025</v>
      </c>
      <c r="C984" s="125" t="s">
        <v>124</v>
      </c>
      <c r="D984" s="113"/>
      <c r="E984" s="113"/>
      <c r="F984" s="113"/>
      <c r="G984" s="143" t="s">
        <v>125</v>
      </c>
      <c r="H984" s="101"/>
      <c r="I984" s="101">
        <v>279120</v>
      </c>
      <c r="J984" s="101">
        <v>279120</v>
      </c>
      <c r="K984" s="102">
        <v>264132</v>
      </c>
      <c r="L984" s="10"/>
    </row>
    <row r="985" spans="1:12" s="146" customFormat="1" ht="18" customHeight="1" x14ac:dyDescent="0.25">
      <c r="A985" s="1305" t="s">
        <v>123</v>
      </c>
      <c r="B985" s="1305" t="s">
        <v>2025</v>
      </c>
      <c r="C985" s="125" t="s">
        <v>124</v>
      </c>
      <c r="D985" s="113"/>
      <c r="E985" s="113"/>
      <c r="F985" s="113"/>
      <c r="G985" s="143" t="s">
        <v>125</v>
      </c>
      <c r="H985" s="105"/>
      <c r="I985" s="105">
        <v>13104180</v>
      </c>
      <c r="J985" s="105">
        <v>13104180</v>
      </c>
      <c r="K985" s="106">
        <v>12609852</v>
      </c>
      <c r="L985" s="10"/>
    </row>
    <row r="986" spans="1:12" s="229" customFormat="1" ht="18" customHeight="1" x14ac:dyDescent="0.25">
      <c r="A986" s="1305" t="s">
        <v>123</v>
      </c>
      <c r="B986" s="1305" t="s">
        <v>2025</v>
      </c>
      <c r="C986" s="125" t="s">
        <v>124</v>
      </c>
      <c r="D986" s="113"/>
      <c r="E986" s="113"/>
      <c r="F986" s="113"/>
      <c r="G986" s="143" t="s">
        <v>125</v>
      </c>
      <c r="H986" s="101"/>
      <c r="I986" s="101">
        <v>2348976</v>
      </c>
      <c r="J986" s="101">
        <v>2348976</v>
      </c>
      <c r="K986" s="102">
        <v>2267832</v>
      </c>
      <c r="L986" s="207">
        <f>SUM(K982:K986)</f>
        <v>15900180</v>
      </c>
    </row>
    <row r="987" spans="1:12" s="229" customFormat="1" ht="18" customHeight="1" x14ac:dyDescent="0.25">
      <c r="A987" s="1305" t="s">
        <v>123</v>
      </c>
      <c r="B987" s="1305" t="s">
        <v>2025</v>
      </c>
      <c r="C987" s="125" t="s">
        <v>210</v>
      </c>
      <c r="D987" s="153"/>
      <c r="E987" s="153"/>
      <c r="F987" s="153"/>
      <c r="G987" s="143" t="s">
        <v>464</v>
      </c>
      <c r="H987" s="101"/>
      <c r="I987" s="101">
        <v>612000</v>
      </c>
      <c r="J987" s="101">
        <v>612000</v>
      </c>
      <c r="K987" s="102">
        <v>612000</v>
      </c>
      <c r="L987" s="207"/>
    </row>
    <row r="988" spans="1:12" s="229" customFormat="1" ht="18" customHeight="1" x14ac:dyDescent="0.25">
      <c r="A988" s="1305" t="s">
        <v>123</v>
      </c>
      <c r="B988" s="1305" t="s">
        <v>2025</v>
      </c>
      <c r="C988" s="125" t="s">
        <v>210</v>
      </c>
      <c r="D988" s="113"/>
      <c r="E988" s="113"/>
      <c r="F988" s="113"/>
      <c r="G988" s="143" t="s">
        <v>464</v>
      </c>
      <c r="H988" s="101"/>
      <c r="I988" s="1156">
        <v>72000</v>
      </c>
      <c r="J988" s="1156">
        <v>72000</v>
      </c>
      <c r="K988" s="102">
        <v>54000</v>
      </c>
      <c r="L988" s="207">
        <f>SUM(K987:K988)</f>
        <v>666000</v>
      </c>
    </row>
    <row r="989" spans="1:12" s="229" customFormat="1" ht="18" customHeight="1" x14ac:dyDescent="0.25">
      <c r="A989" s="1305" t="s">
        <v>123</v>
      </c>
      <c r="B989" s="1305" t="s">
        <v>2025</v>
      </c>
      <c r="C989" s="125" t="s">
        <v>133</v>
      </c>
      <c r="D989" s="113"/>
      <c r="E989" s="113"/>
      <c r="F989" s="113"/>
      <c r="G989" s="143" t="s">
        <v>134</v>
      </c>
      <c r="H989" s="101"/>
      <c r="I989" s="101">
        <v>85200</v>
      </c>
      <c r="J989" s="101">
        <v>85200</v>
      </c>
      <c r="K989" s="102">
        <v>85200</v>
      </c>
      <c r="L989" s="207"/>
    </row>
    <row r="990" spans="1:12" s="229" customFormat="1" ht="18" customHeight="1" x14ac:dyDescent="0.25">
      <c r="A990" s="1305" t="s">
        <v>123</v>
      </c>
      <c r="B990" s="1305" t="s">
        <v>2025</v>
      </c>
      <c r="C990" s="125" t="s">
        <v>133</v>
      </c>
      <c r="D990" s="113"/>
      <c r="E990" s="113"/>
      <c r="F990" s="113"/>
      <c r="G990" s="143" t="s">
        <v>134</v>
      </c>
      <c r="H990" s="101"/>
      <c r="I990" s="101">
        <v>72000</v>
      </c>
      <c r="J990" s="101">
        <v>72000</v>
      </c>
      <c r="K990" s="102">
        <v>72000</v>
      </c>
      <c r="L990" s="207">
        <f>SUM(K989:K990)</f>
        <v>157200</v>
      </c>
    </row>
    <row r="991" spans="1:12" s="229" customFormat="1" ht="18" customHeight="1" x14ac:dyDescent="0.25">
      <c r="A991" s="1305" t="s">
        <v>123</v>
      </c>
      <c r="B991" s="1305" t="s">
        <v>2025</v>
      </c>
      <c r="C991" s="125" t="s">
        <v>141</v>
      </c>
      <c r="D991" s="113"/>
      <c r="E991" s="113"/>
      <c r="F991" s="113"/>
      <c r="G991" s="143" t="s">
        <v>142</v>
      </c>
      <c r="H991" s="101"/>
      <c r="I991" s="101">
        <v>37525</v>
      </c>
      <c r="J991" s="101">
        <v>37525</v>
      </c>
      <c r="K991" s="102">
        <v>35832</v>
      </c>
      <c r="L991" s="207"/>
    </row>
    <row r="992" spans="1:12" s="229" customFormat="1" ht="18" customHeight="1" x14ac:dyDescent="0.25">
      <c r="A992" s="1305" t="s">
        <v>123</v>
      </c>
      <c r="B992" s="1305" t="s">
        <v>2025</v>
      </c>
      <c r="C992" s="125" t="s">
        <v>141</v>
      </c>
      <c r="D992" s="113"/>
      <c r="E992" s="113"/>
      <c r="F992" s="113"/>
      <c r="G992" s="143" t="s">
        <v>142</v>
      </c>
      <c r="H992" s="101"/>
      <c r="I992" s="101">
        <v>37599</v>
      </c>
      <c r="J992" s="101">
        <v>37599</v>
      </c>
      <c r="K992" s="102">
        <v>39359</v>
      </c>
      <c r="L992" s="207"/>
    </row>
    <row r="993" spans="1:12" s="229" customFormat="1" ht="18" customHeight="1" x14ac:dyDescent="0.25">
      <c r="A993" s="1305" t="s">
        <v>123</v>
      </c>
      <c r="B993" s="1305" t="s">
        <v>2025</v>
      </c>
      <c r="C993" s="125" t="s">
        <v>141</v>
      </c>
      <c r="D993" s="113"/>
      <c r="E993" s="113"/>
      <c r="F993" s="113"/>
      <c r="G993" s="143" t="s">
        <v>142</v>
      </c>
      <c r="H993" s="101"/>
      <c r="I993" s="105">
        <v>23260</v>
      </c>
      <c r="J993" s="105">
        <v>23260</v>
      </c>
      <c r="K993" s="106">
        <v>22011</v>
      </c>
      <c r="L993" s="207"/>
    </row>
    <row r="994" spans="1:12" s="146" customFormat="1" ht="18" customHeight="1" x14ac:dyDescent="0.25">
      <c r="A994" s="1305" t="s">
        <v>123</v>
      </c>
      <c r="B994" s="1305" t="s">
        <v>2025</v>
      </c>
      <c r="C994" s="125" t="s">
        <v>141</v>
      </c>
      <c r="D994" s="113"/>
      <c r="E994" s="113"/>
      <c r="F994" s="113"/>
      <c r="G994" s="143" t="s">
        <v>142</v>
      </c>
      <c r="H994" s="101"/>
      <c r="I994" s="101">
        <v>1121371</v>
      </c>
      <c r="J994" s="101">
        <v>1121371</v>
      </c>
      <c r="K994" s="102">
        <v>1079071</v>
      </c>
      <c r="L994" s="10"/>
    </row>
    <row r="995" spans="1:12" s="146" customFormat="1" ht="18" customHeight="1" x14ac:dyDescent="0.25">
      <c r="A995" s="1305" t="s">
        <v>123</v>
      </c>
      <c r="B995" s="1305" t="s">
        <v>2025</v>
      </c>
      <c r="C995" s="125" t="s">
        <v>141</v>
      </c>
      <c r="D995" s="113"/>
      <c r="E995" s="113"/>
      <c r="F995" s="113"/>
      <c r="G995" s="143" t="s">
        <v>142</v>
      </c>
      <c r="H995" s="101"/>
      <c r="I995" s="101">
        <v>261227</v>
      </c>
      <c r="J995" s="101">
        <v>261227</v>
      </c>
      <c r="K995" s="102">
        <v>251539</v>
      </c>
      <c r="L995" s="10">
        <f>SUM(K991:K995)</f>
        <v>1427812</v>
      </c>
    </row>
    <row r="996" spans="1:12" s="229" customFormat="1" ht="36" customHeight="1" x14ac:dyDescent="0.25">
      <c r="A996" s="1107"/>
      <c r="B996" s="1106"/>
      <c r="C996" s="1117"/>
      <c r="D996" s="1117"/>
      <c r="E996" s="125"/>
      <c r="F996" s="125"/>
      <c r="G996" s="221"/>
      <c r="H996" s="141"/>
      <c r="I996" s="141"/>
      <c r="J996" s="141"/>
      <c r="K996" s="122"/>
      <c r="L996" s="207"/>
    </row>
    <row r="997" spans="1:12" ht="16.5" thickBot="1" x14ac:dyDescent="0.3">
      <c r="A997" s="256"/>
      <c r="B997" s="256"/>
      <c r="C997" s="255"/>
      <c r="D997" s="256"/>
      <c r="E997" s="256"/>
      <c r="F997" s="256"/>
      <c r="G997" s="256"/>
      <c r="H997" s="266"/>
      <c r="I997" s="266"/>
      <c r="J997" s="266"/>
      <c r="K997" s="267"/>
    </row>
    <row r="998" spans="1:12" s="48" customFormat="1" ht="21.75" customHeight="1" thickBot="1" x14ac:dyDescent="0.3">
      <c r="A998" s="1655" t="s">
        <v>115</v>
      </c>
      <c r="B998" s="1655"/>
      <c r="C998" s="1655"/>
      <c r="D998" s="1655"/>
      <c r="E998" s="1655"/>
      <c r="F998" s="1655"/>
      <c r="G998" s="1151"/>
      <c r="H998" s="1708" t="s">
        <v>1537</v>
      </c>
      <c r="I998" s="1710" t="s">
        <v>1538</v>
      </c>
      <c r="J998" s="1710" t="s">
        <v>1539</v>
      </c>
      <c r="K998" s="1710" t="s">
        <v>1540</v>
      </c>
      <c r="L998" s="47"/>
    </row>
    <row r="999" spans="1:12" s="1153" customFormat="1" ht="31.5" customHeight="1" thickBot="1" x14ac:dyDescent="0.3">
      <c r="A999" s="1655"/>
      <c r="B999" s="1655"/>
      <c r="C999" s="1655"/>
      <c r="D999" s="1655"/>
      <c r="E999" s="1655"/>
      <c r="F999" s="1655"/>
      <c r="G999" s="1129" t="s">
        <v>116</v>
      </c>
      <c r="H999" s="1709"/>
      <c r="I999" s="1710"/>
      <c r="J999" s="1710"/>
      <c r="K999" s="1710"/>
      <c r="L999" s="1152"/>
    </row>
    <row r="1000" spans="1:12" ht="18" x14ac:dyDescent="0.25">
      <c r="A1000" s="268" t="s">
        <v>575</v>
      </c>
      <c r="B1000" s="606"/>
      <c r="C1000" s="36" t="s">
        <v>1453</v>
      </c>
      <c r="D1000" s="75"/>
      <c r="E1000" s="75"/>
      <c r="F1000" s="269"/>
      <c r="G1000" s="253"/>
      <c r="H1000" s="250"/>
      <c r="I1000" s="250"/>
      <c r="J1000" s="250"/>
      <c r="K1000" s="233"/>
    </row>
    <row r="1001" spans="1:12" ht="18" x14ac:dyDescent="0.25">
      <c r="A1001" s="251"/>
      <c r="B1001" s="75"/>
      <c r="C1001" s="36" t="s">
        <v>577</v>
      </c>
      <c r="D1001" s="75"/>
      <c r="E1001" s="75"/>
      <c r="F1001" s="269"/>
      <c r="G1001" s="253"/>
      <c r="H1001" s="101"/>
      <c r="I1001" s="101"/>
      <c r="J1001" s="101"/>
      <c r="K1001" s="102"/>
    </row>
    <row r="1002" spans="1:12" s="146" customFormat="1" ht="18" x14ac:dyDescent="0.25">
      <c r="A1002" s="270"/>
      <c r="B1002" s="557"/>
      <c r="C1002" s="38" t="s">
        <v>578</v>
      </c>
      <c r="D1002" s="271"/>
      <c r="E1002" s="271"/>
      <c r="F1002" s="272"/>
      <c r="G1002" s="273"/>
      <c r="H1002" s="101"/>
      <c r="I1002" s="101"/>
      <c r="J1002" s="101"/>
      <c r="K1002" s="102"/>
      <c r="L1002" s="10"/>
    </row>
    <row r="1003" spans="1:12" s="146" customFormat="1" ht="18" x14ac:dyDescent="0.25">
      <c r="A1003" s="270"/>
      <c r="B1003" s="557"/>
      <c r="C1003" s="36" t="s">
        <v>579</v>
      </c>
      <c r="D1003" s="271"/>
      <c r="E1003" s="271"/>
      <c r="F1003" s="272"/>
      <c r="G1003" s="273"/>
      <c r="H1003" s="101"/>
      <c r="I1003" s="101"/>
      <c r="J1003" s="101"/>
      <c r="K1003" s="102"/>
      <c r="L1003" s="10"/>
    </row>
    <row r="1004" spans="1:12" s="146" customFormat="1" ht="36.75" customHeight="1" x14ac:dyDescent="0.25">
      <c r="A1004" s="270"/>
      <c r="B1004" s="557"/>
      <c r="C1004" s="1617" t="s">
        <v>580</v>
      </c>
      <c r="D1004" s="1617"/>
      <c r="E1004" s="271"/>
      <c r="F1004" s="272"/>
      <c r="G1004" s="273"/>
      <c r="H1004" s="101"/>
      <c r="I1004" s="101"/>
      <c r="J1004" s="101"/>
      <c r="K1004" s="102">
        <v>500000</v>
      </c>
      <c r="L1004" s="10"/>
    </row>
    <row r="1005" spans="1:12" s="146" customFormat="1" ht="18" x14ac:dyDescent="0.25">
      <c r="A1005" s="270"/>
      <c r="B1005" s="557"/>
      <c r="C1005" s="38" t="s">
        <v>581</v>
      </c>
      <c r="D1005" s="271"/>
      <c r="E1005" s="271"/>
      <c r="F1005" s="272"/>
      <c r="G1005" s="273"/>
      <c r="H1005" s="101"/>
      <c r="I1005" s="101"/>
      <c r="J1005" s="101"/>
      <c r="K1005" s="102">
        <v>1290000</v>
      </c>
      <c r="L1005" s="10"/>
    </row>
    <row r="1006" spans="1:12" s="146" customFormat="1" ht="35.25" customHeight="1" x14ac:dyDescent="0.25">
      <c r="A1006" s="270"/>
      <c r="B1006" s="557"/>
      <c r="C1006" s="1617" t="s">
        <v>582</v>
      </c>
      <c r="D1006" s="1617"/>
      <c r="E1006" s="271"/>
      <c r="F1006" s="272"/>
      <c r="G1006" s="273"/>
      <c r="H1006" s="101"/>
      <c r="I1006" s="101"/>
      <c r="J1006" s="101"/>
      <c r="K1006" s="102">
        <v>2000000</v>
      </c>
      <c r="L1006" s="10"/>
    </row>
    <row r="1007" spans="1:12" s="282" customFormat="1" ht="16.5" customHeight="1" x14ac:dyDescent="0.25">
      <c r="A1007" s="274"/>
      <c r="B1007" s="607"/>
      <c r="C1007" s="275" t="s">
        <v>583</v>
      </c>
      <c r="E1007" s="275"/>
      <c r="F1007" s="276"/>
      <c r="G1007" s="277"/>
      <c r="H1007" s="119">
        <f>SUM(H1004:H1006)</f>
        <v>0</v>
      </c>
      <c r="I1007" s="119">
        <f>SUM(I1004:I1006)</f>
        <v>0</v>
      </c>
      <c r="J1007" s="119">
        <f>SUM(J1004:J1006)</f>
        <v>0</v>
      </c>
      <c r="K1007" s="150">
        <f>SUM(K1004:K1006)</f>
        <v>3790000</v>
      </c>
      <c r="L1007" s="280"/>
    </row>
    <row r="1008" spans="1:12" s="146" customFormat="1" ht="18" x14ac:dyDescent="0.25">
      <c r="A1008" s="270"/>
      <c r="B1008" s="557"/>
      <c r="C1008" s="36" t="s">
        <v>584</v>
      </c>
      <c r="D1008" s="271"/>
      <c r="E1008" s="271"/>
      <c r="F1008" s="272"/>
      <c r="G1008" s="273"/>
      <c r="H1008" s="101"/>
      <c r="I1008" s="101"/>
      <c r="J1008" s="101"/>
      <c r="K1008" s="102"/>
      <c r="L1008" s="10"/>
    </row>
    <row r="1009" spans="1:12" s="146" customFormat="1" ht="57" customHeight="1" x14ac:dyDescent="0.25">
      <c r="A1009" s="270"/>
      <c r="B1009" s="557"/>
      <c r="C1009" s="1628" t="s">
        <v>585</v>
      </c>
      <c r="D1009" s="1628"/>
      <c r="E1009" s="271"/>
      <c r="F1009" s="272"/>
      <c r="G1009" s="273"/>
      <c r="H1009" s="101"/>
      <c r="I1009" s="101"/>
      <c r="J1009" s="101"/>
      <c r="K1009" s="102">
        <v>800000</v>
      </c>
      <c r="L1009" s="10"/>
    </row>
    <row r="1010" spans="1:12" s="146" customFormat="1" ht="15.75" customHeight="1" x14ac:dyDescent="0.25">
      <c r="A1010" s="270"/>
      <c r="B1010" s="557"/>
      <c r="C1010" s="1126" t="s">
        <v>586</v>
      </c>
      <c r="D1010" s="653"/>
      <c r="E1010" s="271"/>
      <c r="F1010" s="272"/>
      <c r="G1010" s="273"/>
      <c r="H1010" s="101"/>
      <c r="I1010" s="101"/>
      <c r="J1010" s="101"/>
      <c r="K1010" s="102">
        <v>100000</v>
      </c>
      <c r="L1010" s="10"/>
    </row>
    <row r="1011" spans="1:12" s="146" customFormat="1" ht="35.25" customHeight="1" x14ac:dyDescent="0.25">
      <c r="A1011" s="270"/>
      <c r="B1011" s="557"/>
      <c r="C1011" s="1617" t="s">
        <v>587</v>
      </c>
      <c r="D1011" s="1617"/>
      <c r="E1011" s="271"/>
      <c r="F1011" s="272"/>
      <c r="G1011" s="273"/>
      <c r="H1011" s="101"/>
      <c r="I1011" s="101"/>
      <c r="J1011" s="101"/>
      <c r="K1011" s="102">
        <v>100000</v>
      </c>
      <c r="L1011" s="10"/>
    </row>
    <row r="1012" spans="1:12" s="146" customFormat="1" ht="108.75" customHeight="1" x14ac:dyDescent="0.25">
      <c r="A1012" s="270"/>
      <c r="B1012" s="557"/>
      <c r="C1012" s="1628" t="s">
        <v>588</v>
      </c>
      <c r="D1012" s="1628"/>
      <c r="E1012" s="271"/>
      <c r="F1012" s="272"/>
      <c r="G1012" s="273"/>
      <c r="H1012" s="101"/>
      <c r="I1012" s="101"/>
      <c r="J1012" s="101"/>
      <c r="K1012" s="102">
        <v>100000</v>
      </c>
      <c r="L1012" s="10"/>
    </row>
    <row r="1013" spans="1:12" s="146" customFormat="1" ht="18" x14ac:dyDescent="0.25">
      <c r="A1013" s="270"/>
      <c r="B1013" s="557"/>
      <c r="C1013" s="38" t="s">
        <v>589</v>
      </c>
      <c r="D1013" s="271"/>
      <c r="E1013" s="271"/>
      <c r="F1013" s="272"/>
      <c r="G1013" s="273"/>
      <c r="H1013" s="101"/>
      <c r="I1013" s="101"/>
      <c r="J1013" s="101"/>
      <c r="K1013" s="102">
        <v>450000</v>
      </c>
      <c r="L1013" s="10"/>
    </row>
    <row r="1014" spans="1:12" s="146" customFormat="1" ht="37.5" customHeight="1" x14ac:dyDescent="0.25">
      <c r="A1014" s="270"/>
      <c r="B1014" s="557"/>
      <c r="C1014" s="1628" t="s">
        <v>590</v>
      </c>
      <c r="D1014" s="1628"/>
      <c r="E1014" s="271"/>
      <c r="F1014" s="272"/>
      <c r="G1014" s="273"/>
      <c r="H1014" s="101"/>
      <c r="I1014" s="101"/>
      <c r="J1014" s="101"/>
      <c r="K1014" s="102">
        <v>2000000</v>
      </c>
      <c r="L1014" s="10"/>
    </row>
    <row r="1015" spans="1:12" s="146" customFormat="1" ht="74.25" customHeight="1" x14ac:dyDescent="0.25">
      <c r="A1015" s="270"/>
      <c r="B1015" s="557"/>
      <c r="C1015" s="1628" t="s">
        <v>591</v>
      </c>
      <c r="D1015" s="1628"/>
      <c r="E1015" s="271"/>
      <c r="F1015" s="272"/>
      <c r="G1015" s="273"/>
      <c r="H1015" s="101"/>
      <c r="I1015" s="101"/>
      <c r="J1015" s="101"/>
      <c r="K1015" s="102">
        <v>600000</v>
      </c>
      <c r="L1015" s="10"/>
    </row>
    <row r="1016" spans="1:12" s="146" customFormat="1" ht="17.45" customHeight="1" x14ac:dyDescent="0.25">
      <c r="A1016" s="270"/>
      <c r="B1016" s="557"/>
      <c r="C1016" s="1138" t="s">
        <v>204</v>
      </c>
      <c r="D1016" s="1117"/>
      <c r="E1016" s="271"/>
      <c r="F1016" s="272"/>
      <c r="G1016" s="273"/>
      <c r="H1016" s="101"/>
      <c r="I1016" s="101"/>
      <c r="J1016" s="101"/>
      <c r="K1016" s="102">
        <v>135000</v>
      </c>
      <c r="L1016" s="10"/>
    </row>
    <row r="1017" spans="1:12" s="146" customFormat="1" ht="17.45" customHeight="1" x14ac:dyDescent="0.25">
      <c r="A1017" s="270"/>
      <c r="B1017" s="557"/>
      <c r="C1017" s="1138" t="s">
        <v>203</v>
      </c>
      <c r="D1017" s="1117"/>
      <c r="E1017" s="271"/>
      <c r="F1017" s="272"/>
      <c r="G1017" s="273"/>
      <c r="H1017" s="101"/>
      <c r="I1017" s="101"/>
      <c r="J1017" s="101"/>
      <c r="K1017" s="102">
        <v>115000</v>
      </c>
      <c r="L1017" s="10"/>
    </row>
    <row r="1018" spans="1:12" s="146" customFormat="1" ht="17.45" customHeight="1" x14ac:dyDescent="0.25">
      <c r="A1018" s="270"/>
      <c r="B1018" s="557"/>
      <c r="C1018" s="1138" t="s">
        <v>1721</v>
      </c>
      <c r="D1018" s="1117"/>
      <c r="E1018" s="271"/>
      <c r="F1018" s="272"/>
      <c r="G1018" s="273"/>
      <c r="H1018" s="101"/>
      <c r="I1018" s="101"/>
      <c r="J1018" s="101"/>
      <c r="K1018" s="102">
        <v>3000000</v>
      </c>
      <c r="L1018" s="10"/>
    </row>
    <row r="1019" spans="1:12" s="146" customFormat="1" ht="17.45" customHeight="1" x14ac:dyDescent="0.25">
      <c r="A1019" s="270"/>
      <c r="B1019" s="557"/>
      <c r="C1019" s="1138" t="s">
        <v>1722</v>
      </c>
      <c r="D1019" s="1117"/>
      <c r="E1019" s="271"/>
      <c r="F1019" s="272"/>
      <c r="G1019" s="273"/>
      <c r="H1019" s="101"/>
      <c r="I1019" s="101"/>
      <c r="J1019" s="101"/>
      <c r="K1019" s="102">
        <v>330000</v>
      </c>
      <c r="L1019" s="10"/>
    </row>
    <row r="1020" spans="1:12" s="146" customFormat="1" ht="17.45" customHeight="1" x14ac:dyDescent="0.25">
      <c r="A1020" s="270"/>
      <c r="B1020" s="557"/>
      <c r="C1020" s="1138" t="s">
        <v>1723</v>
      </c>
      <c r="D1020" s="1117"/>
      <c r="E1020" s="271"/>
      <c r="F1020" s="272"/>
      <c r="G1020" s="273"/>
      <c r="H1020" s="101"/>
      <c r="I1020" s="101"/>
      <c r="J1020" s="101"/>
      <c r="K1020" s="102">
        <v>1882000</v>
      </c>
      <c r="L1020" s="10"/>
    </row>
    <row r="1021" spans="1:12" s="146" customFormat="1" ht="17.45" customHeight="1" x14ac:dyDescent="0.25">
      <c r="A1021" s="270"/>
      <c r="B1021" s="557"/>
      <c r="C1021" s="1138" t="s">
        <v>1724</v>
      </c>
      <c r="D1021" s="1117"/>
      <c r="E1021" s="271"/>
      <c r="F1021" s="272"/>
      <c r="G1021" s="273"/>
      <c r="H1021" s="101"/>
      <c r="I1021" s="101"/>
      <c r="J1021" s="101"/>
      <c r="K1021" s="102">
        <v>274000</v>
      </c>
      <c r="L1021" s="10"/>
    </row>
    <row r="1022" spans="1:12" s="146" customFormat="1" ht="55.5" customHeight="1" x14ac:dyDescent="0.25">
      <c r="A1022" s="270"/>
      <c r="B1022" s="557"/>
      <c r="C1022" s="1628" t="s">
        <v>1725</v>
      </c>
      <c r="D1022" s="1628"/>
      <c r="E1022" s="271"/>
      <c r="F1022" s="272"/>
      <c r="G1022" s="273"/>
      <c r="H1022" s="101"/>
      <c r="I1022" s="101"/>
      <c r="J1022" s="101"/>
      <c r="K1022" s="102"/>
      <c r="L1022" s="10"/>
    </row>
    <row r="1023" spans="1:12" s="146" customFormat="1" ht="38.25" customHeight="1" x14ac:dyDescent="0.25">
      <c r="A1023" s="270"/>
      <c r="B1023" s="557"/>
      <c r="C1023" s="1628" t="s">
        <v>1726</v>
      </c>
      <c r="D1023" s="1628"/>
      <c r="E1023" s="271"/>
      <c r="F1023" s="272"/>
      <c r="G1023" s="273"/>
      <c r="H1023" s="101"/>
      <c r="I1023" s="101"/>
      <c r="J1023" s="101"/>
      <c r="K1023" s="102"/>
      <c r="L1023" s="10"/>
    </row>
    <row r="1024" spans="1:12" s="146" customFormat="1" ht="17.45" customHeight="1" x14ac:dyDescent="0.25">
      <c r="A1024" s="270"/>
      <c r="B1024" s="557"/>
      <c r="C1024" s="38" t="s">
        <v>592</v>
      </c>
      <c r="D1024" s="271"/>
      <c r="E1024" s="271"/>
      <c r="F1024" s="272"/>
      <c r="G1024" s="273"/>
      <c r="H1024" s="101"/>
      <c r="I1024" s="101"/>
      <c r="J1024" s="101"/>
      <c r="K1024" s="102"/>
      <c r="L1024" s="10"/>
    </row>
    <row r="1025" spans="1:12" s="146" customFormat="1" ht="17.45" customHeight="1" x14ac:dyDescent="0.25">
      <c r="A1025" s="270"/>
      <c r="B1025" s="557"/>
      <c r="C1025" s="38" t="s">
        <v>241</v>
      </c>
      <c r="D1025" s="271"/>
      <c r="E1025" s="271"/>
      <c r="F1025" s="272"/>
      <c r="G1025" s="273"/>
      <c r="H1025" s="101"/>
      <c r="I1025" s="101"/>
      <c r="J1025" s="101"/>
      <c r="K1025" s="102"/>
      <c r="L1025" s="10"/>
    </row>
    <row r="1026" spans="1:12" s="146" customFormat="1" ht="17.45" customHeight="1" x14ac:dyDescent="0.25">
      <c r="A1026" s="270"/>
      <c r="B1026" s="557"/>
      <c r="C1026" s="38" t="s">
        <v>593</v>
      </c>
      <c r="D1026" s="271"/>
      <c r="E1026" s="271"/>
      <c r="F1026" s="272"/>
      <c r="G1026" s="273"/>
      <c r="H1026" s="101"/>
      <c r="I1026" s="101"/>
      <c r="J1026" s="101"/>
      <c r="K1026" s="102"/>
      <c r="L1026" s="10"/>
    </row>
    <row r="1027" spans="1:12" s="146" customFormat="1" ht="17.45" customHeight="1" x14ac:dyDescent="0.25">
      <c r="A1027" s="270"/>
      <c r="B1027" s="557"/>
      <c r="C1027" s="38" t="s">
        <v>594</v>
      </c>
      <c r="D1027" s="271"/>
      <c r="E1027" s="271"/>
      <c r="F1027" s="272"/>
      <c r="G1027" s="273"/>
      <c r="H1027" s="101"/>
      <c r="I1027" s="101"/>
      <c r="J1027" s="101"/>
      <c r="K1027" s="102"/>
      <c r="L1027" s="10"/>
    </row>
    <row r="1028" spans="1:12" s="146" customFormat="1" ht="17.45" customHeight="1" x14ac:dyDescent="0.25">
      <c r="A1028" s="270"/>
      <c r="B1028" s="557"/>
      <c r="C1028" s="38" t="s">
        <v>595</v>
      </c>
      <c r="D1028" s="271"/>
      <c r="E1028" s="271"/>
      <c r="F1028" s="272"/>
      <c r="G1028" s="273"/>
      <c r="H1028" s="101"/>
      <c r="I1028" s="101"/>
      <c r="J1028" s="101"/>
      <c r="K1028" s="102"/>
      <c r="L1028" s="10"/>
    </row>
    <row r="1029" spans="1:12" s="146" customFormat="1" ht="17.45" customHeight="1" x14ac:dyDescent="0.25">
      <c r="A1029" s="270"/>
      <c r="B1029" s="557"/>
      <c r="C1029" s="38" t="s">
        <v>596</v>
      </c>
      <c r="D1029" s="271"/>
      <c r="E1029" s="271"/>
      <c r="F1029" s="272"/>
      <c r="G1029" s="273"/>
      <c r="H1029" s="101"/>
      <c r="I1029" s="101"/>
      <c r="J1029" s="101"/>
      <c r="K1029" s="102"/>
      <c r="L1029" s="10"/>
    </row>
    <row r="1030" spans="1:12" s="282" customFormat="1" ht="17.45" customHeight="1" x14ac:dyDescent="0.25">
      <c r="A1030" s="274"/>
      <c r="B1030" s="607"/>
      <c r="C1030" s="275" t="s">
        <v>583</v>
      </c>
      <c r="E1030" s="275"/>
      <c r="F1030" s="276"/>
      <c r="G1030" s="277"/>
      <c r="H1030" s="119">
        <f>SUM(H1009:H1029)</f>
        <v>0</v>
      </c>
      <c r="I1030" s="119">
        <f>SUM(I1009:I1029)</f>
        <v>0</v>
      </c>
      <c r="J1030" s="119">
        <f>SUM(J1009:J1029)</f>
        <v>0</v>
      </c>
      <c r="K1030" s="150">
        <f>SUM(K1009:K1029)</f>
        <v>9886000</v>
      </c>
      <c r="L1030" s="280"/>
    </row>
    <row r="1031" spans="1:12" s="146" customFormat="1" ht="18" x14ac:dyDescent="0.25">
      <c r="A1031" s="270"/>
      <c r="B1031" s="557"/>
      <c r="C1031" s="36" t="s">
        <v>597</v>
      </c>
      <c r="D1031" s="271"/>
      <c r="E1031" s="271"/>
      <c r="F1031" s="272"/>
      <c r="G1031" s="273"/>
      <c r="H1031" s="101"/>
      <c r="I1031" s="101"/>
      <c r="J1031" s="101"/>
      <c r="K1031" s="102"/>
      <c r="L1031" s="10"/>
    </row>
    <row r="1032" spans="1:12" s="146" customFormat="1" ht="18" x14ac:dyDescent="0.25">
      <c r="A1032" s="270"/>
      <c r="B1032" s="557"/>
      <c r="C1032" s="1126" t="s">
        <v>598</v>
      </c>
      <c r="D1032" s="283"/>
      <c r="E1032" s="271"/>
      <c r="F1032" s="272"/>
      <c r="G1032" s="273"/>
      <c r="H1032" s="101"/>
      <c r="I1032" s="101">
        <v>37522199.079999998</v>
      </c>
      <c r="J1032" s="101">
        <v>37522199.079999998</v>
      </c>
      <c r="K1032" s="102">
        <v>11311184.720000001</v>
      </c>
      <c r="L1032" s="10"/>
    </row>
    <row r="1033" spans="1:12" s="146" customFormat="1" ht="54" customHeight="1" x14ac:dyDescent="0.25">
      <c r="A1033" s="270"/>
      <c r="B1033" s="557"/>
      <c r="C1033" s="1617" t="s">
        <v>599</v>
      </c>
      <c r="D1033" s="1617"/>
      <c r="E1033" s="271"/>
      <c r="F1033" s="272"/>
      <c r="G1033" s="273"/>
      <c r="H1033" s="101"/>
      <c r="I1033" s="101"/>
      <c r="J1033" s="101"/>
      <c r="K1033" s="102">
        <v>1000000</v>
      </c>
      <c r="L1033" s="10"/>
    </row>
    <row r="1034" spans="1:12" s="313" customFormat="1" ht="75" customHeight="1" x14ac:dyDescent="0.25">
      <c r="A1034" s="1195"/>
      <c r="B1034" s="1297"/>
      <c r="C1034" s="1628" t="s">
        <v>600</v>
      </c>
      <c r="D1034" s="1628"/>
      <c r="E1034" s="225"/>
      <c r="F1034" s="226"/>
      <c r="G1034" s="333"/>
      <c r="H1034" s="101"/>
      <c r="I1034" s="101"/>
      <c r="J1034" s="101"/>
      <c r="K1034" s="102"/>
      <c r="L1034" s="193"/>
    </row>
    <row r="1035" spans="1:12" s="146" customFormat="1" ht="18" x14ac:dyDescent="0.25">
      <c r="A1035" s="270"/>
      <c r="B1035" s="557"/>
      <c r="C1035" s="1126" t="s">
        <v>601</v>
      </c>
      <c r="D1035" s="283"/>
      <c r="E1035" s="271"/>
      <c r="F1035" s="272"/>
      <c r="G1035" s="273"/>
      <c r="H1035" s="101"/>
      <c r="I1035" s="101"/>
      <c r="J1035" s="101"/>
      <c r="K1035" s="102"/>
      <c r="L1035" s="10"/>
    </row>
    <row r="1036" spans="1:12" s="146" customFormat="1" ht="18.75" thickBot="1" x14ac:dyDescent="0.3">
      <c r="A1036" s="1196"/>
      <c r="B1036" s="1298"/>
      <c r="C1036" s="1197" t="s">
        <v>602</v>
      </c>
      <c r="D1036" s="1198"/>
      <c r="E1036" s="374"/>
      <c r="F1036" s="1199"/>
      <c r="G1036" s="386"/>
      <c r="H1036" s="219"/>
      <c r="I1036" s="219"/>
      <c r="J1036" s="219"/>
      <c r="K1036" s="220">
        <v>1290000</v>
      </c>
      <c r="L1036" s="10"/>
    </row>
    <row r="1037" spans="1:12" s="146" customFormat="1" ht="18" x14ac:dyDescent="0.25">
      <c r="A1037" s="557"/>
      <c r="B1037" s="557"/>
      <c r="C1037" s="1126"/>
      <c r="D1037" s="283"/>
      <c r="E1037" s="271"/>
      <c r="F1037" s="271"/>
      <c r="G1037" s="271"/>
      <c r="H1037" s="141"/>
      <c r="I1037" s="141"/>
      <c r="J1037" s="141"/>
      <c r="K1037" s="122"/>
      <c r="L1037" s="10"/>
    </row>
    <row r="1038" spans="1:12" s="146" customFormat="1" ht="18" x14ac:dyDescent="0.25">
      <c r="A1038" s="557"/>
      <c r="B1038" s="557"/>
      <c r="C1038" s="1126"/>
      <c r="D1038" s="283"/>
      <c r="E1038" s="271"/>
      <c r="F1038" s="271"/>
      <c r="G1038" s="271"/>
      <c r="H1038" s="141"/>
      <c r="I1038" s="141"/>
      <c r="J1038" s="141"/>
      <c r="K1038" s="122"/>
      <c r="L1038" s="10"/>
    </row>
    <row r="1039" spans="1:12" s="146" customFormat="1" ht="18" x14ac:dyDescent="0.25">
      <c r="A1039" s="557"/>
      <c r="B1039" s="557"/>
      <c r="C1039" s="1126"/>
      <c r="D1039" s="283"/>
      <c r="E1039" s="271"/>
      <c r="F1039" s="271"/>
      <c r="G1039" s="271"/>
      <c r="H1039" s="141"/>
      <c r="I1039" s="141"/>
      <c r="J1039" s="141"/>
      <c r="K1039" s="122"/>
      <c r="L1039" s="10"/>
    </row>
    <row r="1040" spans="1:12" s="146" customFormat="1" ht="18" x14ac:dyDescent="0.25">
      <c r="A1040" s="557"/>
      <c r="B1040" s="557"/>
      <c r="C1040" s="1126"/>
      <c r="D1040" s="283"/>
      <c r="E1040" s="271"/>
      <c r="F1040" s="271"/>
      <c r="G1040" s="271"/>
      <c r="H1040" s="141"/>
      <c r="I1040" s="141"/>
      <c r="J1040" s="141"/>
      <c r="K1040" s="122"/>
      <c r="L1040" s="10"/>
    </row>
    <row r="1041" spans="1:13" s="146" customFormat="1" ht="18" x14ac:dyDescent="0.25">
      <c r="A1041" s="557"/>
      <c r="B1041" s="557"/>
      <c r="C1041" s="1126"/>
      <c r="D1041" s="283"/>
      <c r="E1041" s="271"/>
      <c r="F1041" s="271"/>
      <c r="G1041" s="271"/>
      <c r="H1041" s="141"/>
      <c r="I1041" s="141"/>
      <c r="J1041" s="141"/>
      <c r="K1041" s="122"/>
      <c r="L1041" s="10"/>
    </row>
    <row r="1042" spans="1:13" s="146" customFormat="1" ht="18" x14ac:dyDescent="0.25">
      <c r="A1042" s="557"/>
      <c r="B1042" s="557"/>
      <c r="C1042" s="1126"/>
      <c r="D1042" s="283"/>
      <c r="E1042" s="271"/>
      <c r="F1042" s="271"/>
      <c r="G1042" s="271"/>
      <c r="H1042" s="141"/>
      <c r="I1042" s="141"/>
      <c r="J1042" s="141"/>
      <c r="K1042" s="122"/>
      <c r="L1042" s="10"/>
    </row>
    <row r="1043" spans="1:13" s="146" customFormat="1" ht="18" x14ac:dyDescent="0.25">
      <c r="A1043" s="557"/>
      <c r="B1043" s="557"/>
      <c r="C1043" s="1126"/>
      <c r="D1043" s="283"/>
      <c r="E1043" s="271"/>
      <c r="F1043" s="271"/>
      <c r="G1043" s="271"/>
      <c r="H1043" s="141"/>
      <c r="I1043" s="141"/>
      <c r="J1043" s="141"/>
      <c r="K1043" s="122"/>
      <c r="L1043" s="10"/>
    </row>
    <row r="1044" spans="1:13" s="10" customFormat="1" ht="18" customHeight="1" x14ac:dyDescent="0.25">
      <c r="A1044" s="8" t="s">
        <v>112</v>
      </c>
      <c r="B1044" s="8"/>
      <c r="C1044" s="9"/>
      <c r="D1044" s="8"/>
      <c r="E1044" s="8"/>
      <c r="F1044" s="8"/>
      <c r="G1044" s="8"/>
      <c r="H1044" s="4"/>
      <c r="I1044" s="4"/>
      <c r="J1044" s="4"/>
      <c r="K1044" s="5"/>
      <c r="M1044"/>
    </row>
    <row r="1045" spans="1:13" ht="18" customHeight="1" x14ac:dyDescent="0.25">
      <c r="A1045" s="8" t="s">
        <v>651</v>
      </c>
    </row>
    <row r="1046" spans="1:13" ht="18" customHeight="1" x14ac:dyDescent="0.25">
      <c r="A1046" s="1636" t="s">
        <v>113</v>
      </c>
      <c r="B1046" s="1636"/>
      <c r="C1046" s="1636"/>
      <c r="D1046" s="1636"/>
      <c r="E1046" s="1636"/>
      <c r="F1046" s="1636"/>
      <c r="G1046" s="1636"/>
      <c r="H1046" s="1636"/>
      <c r="I1046" s="1636"/>
      <c r="J1046" s="1636"/>
      <c r="K1046" s="1101"/>
    </row>
    <row r="1047" spans="1:13" s="7" customFormat="1" ht="18" customHeight="1" x14ac:dyDescent="0.25">
      <c r="A1047" s="1624" t="s">
        <v>114</v>
      </c>
      <c r="B1047" s="1624"/>
      <c r="C1047" s="1624"/>
      <c r="D1047" s="1624"/>
      <c r="E1047" s="1624"/>
      <c r="F1047" s="1624"/>
      <c r="G1047" s="1624"/>
      <c r="H1047" s="1624"/>
      <c r="I1047" s="1624"/>
      <c r="J1047" s="1624"/>
      <c r="K1047" s="159"/>
      <c r="L1047" s="6"/>
    </row>
    <row r="1048" spans="1:13" x14ac:dyDescent="0.25">
      <c r="A1048" s="75"/>
      <c r="B1048" s="75"/>
      <c r="C1048" s="252"/>
      <c r="D1048" s="75"/>
      <c r="E1048" s="75"/>
      <c r="F1048" s="75"/>
      <c r="G1048" s="75"/>
      <c r="H1048" s="141"/>
      <c r="I1048" s="141"/>
      <c r="J1048" s="141"/>
      <c r="K1048" s="122"/>
    </row>
    <row r="1049" spans="1:13" ht="16.5" thickBot="1" x14ac:dyDescent="0.3">
      <c r="A1049" s="256"/>
      <c r="B1049" s="256"/>
      <c r="C1049" s="255"/>
      <c r="D1049" s="256"/>
      <c r="E1049" s="256"/>
      <c r="F1049" s="256"/>
      <c r="G1049" s="256"/>
      <c r="H1049" s="266"/>
      <c r="I1049" s="266"/>
      <c r="J1049" s="266"/>
      <c r="K1049" s="267"/>
    </row>
    <row r="1050" spans="1:13" s="48" customFormat="1" ht="21.75" customHeight="1" thickBot="1" x14ac:dyDescent="0.3">
      <c r="A1050" s="1655" t="s">
        <v>115</v>
      </c>
      <c r="B1050" s="1655"/>
      <c r="C1050" s="1655"/>
      <c r="D1050" s="1655"/>
      <c r="E1050" s="1655"/>
      <c r="F1050" s="1655"/>
      <c r="G1050" s="1151"/>
      <c r="H1050" s="1708" t="s">
        <v>1537</v>
      </c>
      <c r="I1050" s="1710" t="s">
        <v>1538</v>
      </c>
      <c r="J1050" s="1710" t="s">
        <v>1539</v>
      </c>
      <c r="K1050" s="1710" t="s">
        <v>1540</v>
      </c>
      <c r="L1050" s="47"/>
    </row>
    <row r="1051" spans="1:13" s="1153" customFormat="1" ht="31.5" customHeight="1" thickBot="1" x14ac:dyDescent="0.3">
      <c r="A1051" s="1655"/>
      <c r="B1051" s="1655"/>
      <c r="C1051" s="1655"/>
      <c r="D1051" s="1655"/>
      <c r="E1051" s="1655"/>
      <c r="F1051" s="1655"/>
      <c r="G1051" s="1129" t="s">
        <v>116</v>
      </c>
      <c r="H1051" s="1709"/>
      <c r="I1051" s="1710"/>
      <c r="J1051" s="1710"/>
      <c r="K1051" s="1710"/>
      <c r="L1051" s="1152"/>
    </row>
    <row r="1052" spans="1:13" s="313" customFormat="1" ht="54.75" customHeight="1" x14ac:dyDescent="0.25">
      <c r="A1052" s="1195"/>
      <c r="B1052" s="1297"/>
      <c r="C1052" s="1628" t="s">
        <v>1727</v>
      </c>
      <c r="D1052" s="1628"/>
      <c r="E1052" s="225"/>
      <c r="F1052" s="226"/>
      <c r="G1052" s="333"/>
      <c r="H1052" s="101"/>
      <c r="I1052" s="101"/>
      <c r="J1052" s="101"/>
      <c r="K1052" s="102">
        <v>5426764.3600000003</v>
      </c>
      <c r="L1052" s="193"/>
    </row>
    <row r="1053" spans="1:13" s="146" customFormat="1" ht="36.75" customHeight="1" x14ac:dyDescent="0.25">
      <c r="A1053" s="270"/>
      <c r="B1053" s="557"/>
      <c r="C1053" s="1617" t="s">
        <v>603</v>
      </c>
      <c r="D1053" s="1617"/>
      <c r="E1053" s="271"/>
      <c r="F1053" s="272"/>
      <c r="G1053" s="273"/>
      <c r="H1053" s="101"/>
      <c r="I1053" s="101"/>
      <c r="J1053" s="101"/>
      <c r="K1053" s="102"/>
      <c r="L1053" s="10"/>
    </row>
    <row r="1054" spans="1:13" s="313" customFormat="1" ht="23.25" customHeight="1" x14ac:dyDescent="0.25">
      <c r="A1054" s="1195"/>
      <c r="B1054" s="1297"/>
      <c r="C1054" s="1138" t="s">
        <v>604</v>
      </c>
      <c r="D1054" s="1113"/>
      <c r="E1054" s="225"/>
      <c r="F1054" s="226"/>
      <c r="G1054" s="333"/>
      <c r="H1054" s="101"/>
      <c r="I1054" s="101"/>
      <c r="J1054" s="101"/>
      <c r="K1054" s="102">
        <v>1000000</v>
      </c>
      <c r="L1054" s="193"/>
    </row>
    <row r="1055" spans="1:13" s="146" customFormat="1" ht="35.25" customHeight="1" x14ac:dyDescent="0.25">
      <c r="A1055" s="270"/>
      <c r="B1055" s="557"/>
      <c r="C1055" s="1628" t="s">
        <v>605</v>
      </c>
      <c r="D1055" s="1628"/>
      <c r="E1055" s="271"/>
      <c r="F1055" s="272"/>
      <c r="G1055" s="273"/>
      <c r="H1055" s="101"/>
      <c r="I1055" s="101"/>
      <c r="J1055" s="101"/>
      <c r="K1055" s="102">
        <v>1500000</v>
      </c>
      <c r="L1055" s="10"/>
    </row>
    <row r="1056" spans="1:13" s="146" customFormat="1" ht="36.75" customHeight="1" x14ac:dyDescent="0.25">
      <c r="A1056" s="270"/>
      <c r="B1056" s="557"/>
      <c r="C1056" s="1628" t="s">
        <v>606</v>
      </c>
      <c r="D1056" s="1628"/>
      <c r="E1056" s="271"/>
      <c r="F1056" s="272"/>
      <c r="G1056" s="273"/>
      <c r="H1056" s="101"/>
      <c r="I1056" s="101"/>
      <c r="J1056" s="101"/>
      <c r="K1056" s="102">
        <v>1500000</v>
      </c>
      <c r="L1056" s="10"/>
    </row>
    <row r="1057" spans="1:12" s="146" customFormat="1" ht="18" x14ac:dyDescent="0.25">
      <c r="A1057" s="1200"/>
      <c r="B1057" s="1299"/>
      <c r="C1057" s="1126" t="s">
        <v>1728</v>
      </c>
      <c r="D1057" s="1109"/>
      <c r="E1057" s="38"/>
      <c r="F1057" s="941"/>
      <c r="G1057" s="1201"/>
      <c r="H1057" s="102"/>
      <c r="I1057" s="102"/>
      <c r="J1057" s="102"/>
      <c r="K1057" s="102">
        <v>1000000</v>
      </c>
      <c r="L1057" s="10"/>
    </row>
    <row r="1058" spans="1:12" s="146" customFormat="1" ht="37.5" customHeight="1" x14ac:dyDescent="0.25">
      <c r="A1058" s="270"/>
      <c r="B1058" s="557"/>
      <c r="C1058" s="1628" t="s">
        <v>608</v>
      </c>
      <c r="D1058" s="1628"/>
      <c r="E1058" s="271"/>
      <c r="F1058" s="272"/>
      <c r="G1058" s="1202"/>
      <c r="H1058" s="105"/>
      <c r="I1058" s="105"/>
      <c r="J1058" s="105"/>
      <c r="K1058" s="106"/>
      <c r="L1058" s="10"/>
    </row>
    <row r="1059" spans="1:12" s="282" customFormat="1" ht="18" x14ac:dyDescent="0.25">
      <c r="A1059" s="274"/>
      <c r="B1059" s="607"/>
      <c r="C1059" s="275" t="s">
        <v>583</v>
      </c>
      <c r="D1059" s="1203"/>
      <c r="E1059" s="275"/>
      <c r="F1059" s="276"/>
      <c r="G1059" s="277"/>
      <c r="H1059" s="109">
        <f>SUM(H1032:H1058)</f>
        <v>0</v>
      </c>
      <c r="I1059" s="109">
        <f>SUM(I1032:I1058)</f>
        <v>37522199.079999998</v>
      </c>
      <c r="J1059" s="109">
        <f>SUM(J1032:J1058)</f>
        <v>37522199.079999998</v>
      </c>
      <c r="K1059" s="109">
        <f>SUM(K1032:K1058)</f>
        <v>24027949.080000002</v>
      </c>
      <c r="L1059" s="280"/>
    </row>
    <row r="1060" spans="1:12" s="282" customFormat="1" ht="18.75" thickBot="1" x14ac:dyDescent="0.3">
      <c r="A1060" s="274"/>
      <c r="B1060" s="607"/>
      <c r="C1060" s="275" t="s">
        <v>609</v>
      </c>
      <c r="D1060" s="1203"/>
      <c r="E1060" s="275"/>
      <c r="F1060" s="276"/>
      <c r="G1060" s="277"/>
      <c r="H1060" s="1158">
        <f>H1059+H1030+H1007</f>
        <v>0</v>
      </c>
      <c r="I1060" s="1158">
        <f>I1059+I1030+I1007</f>
        <v>37522199.079999998</v>
      </c>
      <c r="J1060" s="1158">
        <f>J1059+J1030+J1007</f>
        <v>37522199.079999998</v>
      </c>
      <c r="K1060" s="1157">
        <f>K1059+K1030+K1007</f>
        <v>37703949.079999998</v>
      </c>
      <c r="L1060" s="280"/>
    </row>
    <row r="1061" spans="1:12" s="146" customFormat="1" ht="18" x14ac:dyDescent="0.25">
      <c r="A1061" s="270"/>
      <c r="B1061" s="557"/>
      <c r="C1061" s="38"/>
      <c r="D1061" s="271"/>
      <c r="E1061" s="271"/>
      <c r="F1061" s="271"/>
      <c r="G1061" s="288"/>
      <c r="H1061" s="209"/>
      <c r="I1061" s="209"/>
      <c r="J1061" s="209"/>
      <c r="K1061" s="210"/>
      <c r="L1061" s="10"/>
    </row>
    <row r="1062" spans="1:12" ht="18" x14ac:dyDescent="0.25">
      <c r="A1062" s="270"/>
      <c r="B1062" s="557"/>
      <c r="C1062" s="38" t="s">
        <v>611</v>
      </c>
      <c r="D1062" s="75"/>
      <c r="E1062" s="75"/>
      <c r="F1062" s="269"/>
      <c r="G1062" s="253"/>
      <c r="H1062" s="101"/>
      <c r="I1062" s="101">
        <v>215000</v>
      </c>
      <c r="J1062" s="101">
        <v>215000</v>
      </c>
      <c r="K1062" s="102">
        <v>215000</v>
      </c>
    </row>
    <row r="1063" spans="1:12" ht="18" x14ac:dyDescent="0.25">
      <c r="A1063" s="270"/>
      <c r="B1063" s="557"/>
      <c r="C1063" s="38" t="s">
        <v>1729</v>
      </c>
      <c r="D1063" s="75"/>
      <c r="E1063" s="75"/>
      <c r="F1063" s="269"/>
      <c r="G1063" s="253"/>
      <c r="H1063" s="101"/>
      <c r="I1063" s="101"/>
      <c r="J1063" s="101"/>
      <c r="K1063" s="102">
        <v>750000</v>
      </c>
    </row>
    <row r="1064" spans="1:12" ht="18" x14ac:dyDescent="0.25">
      <c r="A1064" s="270"/>
      <c r="B1064" s="557"/>
      <c r="C1064" s="38" t="s">
        <v>1730</v>
      </c>
      <c r="D1064" s="75"/>
      <c r="E1064" s="75"/>
      <c r="F1064" s="269"/>
      <c r="G1064" s="253"/>
      <c r="H1064" s="101"/>
      <c r="I1064" s="101"/>
      <c r="J1064" s="101"/>
      <c r="K1064" s="102">
        <v>650000</v>
      </c>
    </row>
    <row r="1065" spans="1:12" ht="18" x14ac:dyDescent="0.25">
      <c r="A1065" s="270"/>
      <c r="B1065" s="557"/>
      <c r="C1065" s="38" t="s">
        <v>1731</v>
      </c>
      <c r="D1065" s="75"/>
      <c r="E1065" s="75"/>
      <c r="F1065" s="269"/>
      <c r="G1065" s="253"/>
      <c r="H1065" s="101"/>
      <c r="I1065" s="101"/>
      <c r="J1065" s="101"/>
      <c r="K1065" s="102">
        <v>150000</v>
      </c>
    </row>
    <row r="1066" spans="1:12" ht="18" x14ac:dyDescent="0.25">
      <c r="A1066" s="270"/>
      <c r="B1066" s="557"/>
      <c r="C1066" s="38" t="s">
        <v>1732</v>
      </c>
      <c r="D1066" s="75"/>
      <c r="E1066" s="75"/>
      <c r="F1066" s="269"/>
      <c r="G1066" s="253"/>
      <c r="H1066" s="101"/>
      <c r="I1066" s="101"/>
      <c r="J1066" s="101"/>
      <c r="K1066" s="102">
        <v>20000000</v>
      </c>
    </row>
    <row r="1067" spans="1:12" s="191" customFormat="1" ht="18" x14ac:dyDescent="0.25">
      <c r="A1067" s="270"/>
      <c r="B1067" s="557"/>
      <c r="C1067" s="36" t="s">
        <v>583</v>
      </c>
      <c r="D1067" s="75"/>
      <c r="E1067" s="75"/>
      <c r="F1067" s="269"/>
      <c r="G1067" s="253"/>
      <c r="H1067" s="150">
        <f>SUM(H1062:H1065)</f>
        <v>0</v>
      </c>
      <c r="I1067" s="150">
        <f>SUM(I1062:I1065)</f>
        <v>215000</v>
      </c>
      <c r="J1067" s="150">
        <f>SUM(J1062:J1065)</f>
        <v>215000</v>
      </c>
      <c r="K1067" s="150">
        <f>SUM(K1062:K1066)</f>
        <v>21765000</v>
      </c>
      <c r="L1067" s="10"/>
    </row>
    <row r="1068" spans="1:12" s="146" customFormat="1" ht="18.75" thickBot="1" x14ac:dyDescent="0.3">
      <c r="A1068" s="254"/>
      <c r="B1068" s="271"/>
      <c r="C1068" s="1673" t="s">
        <v>612</v>
      </c>
      <c r="D1068" s="1673"/>
      <c r="E1068" s="1673"/>
      <c r="F1068" s="1674"/>
      <c r="G1068" s="292"/>
      <c r="H1068" s="1204">
        <f>H1067+H1060</f>
        <v>0</v>
      </c>
      <c r="I1068" s="1204">
        <f>I1067+I1060</f>
        <v>37737199.079999998</v>
      </c>
      <c r="J1068" s="1204">
        <f>J1067+J1060</f>
        <v>37737199.079999998</v>
      </c>
      <c r="K1068" s="1204">
        <f>K1067+K1060</f>
        <v>59468949.079999998</v>
      </c>
      <c r="L1068" s="10"/>
    </row>
    <row r="1069" spans="1:12" s="146" customFormat="1" ht="16.5" customHeight="1" x14ac:dyDescent="0.25">
      <c r="A1069" s="254"/>
      <c r="B1069" s="271"/>
      <c r="C1069" s="1139"/>
      <c r="D1069" s="1139"/>
      <c r="E1069" s="1139"/>
      <c r="F1069" s="1140"/>
      <c r="G1069" s="292"/>
      <c r="H1069" s="1205"/>
      <c r="I1069" s="1205"/>
      <c r="J1069" s="1205"/>
      <c r="K1069" s="1206"/>
      <c r="L1069" s="10"/>
    </row>
    <row r="1070" spans="1:12" s="146" customFormat="1" ht="18" x14ac:dyDescent="0.25">
      <c r="A1070" s="1170" t="s">
        <v>1453</v>
      </c>
      <c r="B1070" s="275"/>
      <c r="C1070" s="1139"/>
      <c r="D1070" s="1139"/>
      <c r="E1070" s="1139"/>
      <c r="F1070" s="1140"/>
      <c r="G1070" s="292"/>
      <c r="H1070" s="1205"/>
      <c r="I1070" s="1205"/>
      <c r="J1070" s="1205"/>
      <c r="K1070" s="1206"/>
      <c r="L1070" s="10"/>
    </row>
    <row r="1071" spans="1:12" s="146" customFormat="1" ht="18" x14ac:dyDescent="0.25">
      <c r="A1071" s="1170" t="s">
        <v>1733</v>
      </c>
      <c r="B1071" s="275"/>
      <c r="C1071" s="1139"/>
      <c r="D1071" s="1139"/>
      <c r="E1071" s="1139"/>
      <c r="F1071" s="1140"/>
      <c r="G1071" s="292"/>
      <c r="H1071" s="1205"/>
      <c r="I1071" s="1205"/>
      <c r="J1071" s="1205"/>
      <c r="K1071" s="1206"/>
      <c r="L1071" s="10"/>
    </row>
    <row r="1072" spans="1:12" s="146" customFormat="1" ht="17.25" customHeight="1" x14ac:dyDescent="0.25">
      <c r="A1072" s="254"/>
      <c r="B1072" s="271"/>
      <c r="C1072" s="1628" t="s">
        <v>1734</v>
      </c>
      <c r="D1072" s="1628"/>
      <c r="E1072" s="1628"/>
      <c r="F1072" s="1140"/>
      <c r="G1072" s="292"/>
      <c r="H1072" s="1205"/>
      <c r="I1072" s="1205"/>
      <c r="J1072" s="1205"/>
      <c r="K1072" s="1206"/>
      <c r="L1072" s="10"/>
    </row>
    <row r="1073" spans="1:12" s="146" customFormat="1" ht="18" x14ac:dyDescent="0.25">
      <c r="A1073" s="254"/>
      <c r="B1073" s="271"/>
      <c r="C1073" s="1617" t="s">
        <v>1735</v>
      </c>
      <c r="D1073" s="1617"/>
      <c r="E1073" s="1139"/>
      <c r="F1073" s="1140"/>
      <c r="G1073" s="292"/>
      <c r="H1073" s="1205"/>
      <c r="I1073" s="1205"/>
      <c r="J1073" s="1205"/>
      <c r="K1073" s="1206"/>
      <c r="L1073" s="10"/>
    </row>
    <row r="1074" spans="1:12" s="146" customFormat="1" ht="58.5" customHeight="1" x14ac:dyDescent="0.25">
      <c r="A1074" s="254"/>
      <c r="B1074" s="271"/>
      <c r="C1074" s="1628" t="s">
        <v>1736</v>
      </c>
      <c r="D1074" s="1628"/>
      <c r="E1074" s="1628"/>
      <c r="F1074" s="1140"/>
      <c r="G1074" s="292"/>
      <c r="H1074" s="1205"/>
      <c r="I1074" s="1205"/>
      <c r="J1074" s="1205"/>
      <c r="K1074" s="1206"/>
      <c r="L1074" s="10"/>
    </row>
    <row r="1075" spans="1:12" s="146" customFormat="1" ht="37.5" customHeight="1" x14ac:dyDescent="0.25">
      <c r="A1075" s="254"/>
      <c r="B1075" s="271"/>
      <c r="C1075" s="1617" t="s">
        <v>1737</v>
      </c>
      <c r="D1075" s="1617"/>
      <c r="E1075" s="1139"/>
      <c r="F1075" s="1140"/>
      <c r="G1075" s="292"/>
      <c r="H1075" s="1205"/>
      <c r="I1075" s="1205"/>
      <c r="J1075" s="1205"/>
      <c r="K1075" s="1206"/>
      <c r="L1075" s="10"/>
    </row>
    <row r="1076" spans="1:12" s="146" customFormat="1" ht="36" customHeight="1" x14ac:dyDescent="0.25">
      <c r="A1076" s="254"/>
      <c r="B1076" s="271"/>
      <c r="C1076" s="1617" t="s">
        <v>1738</v>
      </c>
      <c r="D1076" s="1617"/>
      <c r="E1076" s="1139"/>
      <c r="F1076" s="1140"/>
      <c r="G1076" s="292"/>
      <c r="H1076" s="1205"/>
      <c r="I1076" s="1205"/>
      <c r="J1076" s="1205"/>
      <c r="K1076" s="1206"/>
      <c r="L1076" s="10"/>
    </row>
    <row r="1077" spans="1:12" s="146" customFormat="1" ht="38.25" customHeight="1" x14ac:dyDescent="0.25">
      <c r="A1077" s="254"/>
      <c r="B1077" s="271"/>
      <c r="C1077" s="1617" t="s">
        <v>1739</v>
      </c>
      <c r="D1077" s="1617"/>
      <c r="E1077" s="1139"/>
      <c r="F1077" s="1140"/>
      <c r="G1077" s="292"/>
      <c r="H1077" s="1205"/>
      <c r="I1077" s="1205"/>
      <c r="J1077" s="1205"/>
      <c r="K1077" s="1206"/>
      <c r="L1077" s="10"/>
    </row>
    <row r="1078" spans="1:12" s="146" customFormat="1" ht="36" customHeight="1" x14ac:dyDescent="0.25">
      <c r="A1078" s="254"/>
      <c r="B1078" s="271"/>
      <c r="C1078" s="1617" t="s">
        <v>1740</v>
      </c>
      <c r="D1078" s="1617"/>
      <c r="E1078" s="1139"/>
      <c r="F1078" s="1140"/>
      <c r="G1078" s="292"/>
      <c r="H1078" s="1205"/>
      <c r="I1078" s="1205"/>
      <c r="J1078" s="1205"/>
      <c r="K1078" s="1206"/>
      <c r="L1078" s="10"/>
    </row>
    <row r="1079" spans="1:12" s="146" customFormat="1" ht="37.5" customHeight="1" x14ac:dyDescent="0.25">
      <c r="A1079" s="254"/>
      <c r="B1079" s="271"/>
      <c r="C1079" s="1617" t="s">
        <v>1741</v>
      </c>
      <c r="D1079" s="1617"/>
      <c r="E1079" s="1139"/>
      <c r="F1079" s="1140"/>
      <c r="G1079" s="292"/>
      <c r="H1079" s="1205"/>
      <c r="I1079" s="1205"/>
      <c r="J1079" s="1205"/>
      <c r="K1079" s="1206"/>
      <c r="L1079" s="10"/>
    </row>
    <row r="1080" spans="1:12" s="146" customFormat="1" ht="37.5" customHeight="1" x14ac:dyDescent="0.25">
      <c r="A1080" s="254"/>
      <c r="B1080" s="271"/>
      <c r="C1080" s="1617" t="s">
        <v>1742</v>
      </c>
      <c r="D1080" s="1617"/>
      <c r="E1080" s="1139"/>
      <c r="F1080" s="1140"/>
      <c r="G1080" s="292"/>
      <c r="H1080" s="1205"/>
      <c r="I1080" s="1205"/>
      <c r="J1080" s="1205"/>
      <c r="K1080" s="1206"/>
      <c r="L1080" s="10"/>
    </row>
    <row r="1081" spans="1:12" s="146" customFormat="1" ht="70.5" customHeight="1" x14ac:dyDescent="0.25">
      <c r="A1081" s="254"/>
      <c r="B1081" s="271"/>
      <c r="C1081" s="1617" t="s">
        <v>1743</v>
      </c>
      <c r="D1081" s="1617"/>
      <c r="E1081" s="1139"/>
      <c r="F1081" s="1140"/>
      <c r="G1081" s="292"/>
      <c r="H1081" s="1205"/>
      <c r="I1081" s="1205"/>
      <c r="J1081" s="1205"/>
      <c r="K1081" s="1206"/>
      <c r="L1081" s="10"/>
    </row>
    <row r="1082" spans="1:12" s="146" customFormat="1" ht="18" x14ac:dyDescent="0.25">
      <c r="A1082" s="254"/>
      <c r="B1082" s="271"/>
      <c r="C1082" s="1139" t="s">
        <v>1744</v>
      </c>
      <c r="D1082" s="1139"/>
      <c r="E1082" s="1139"/>
      <c r="F1082" s="1140"/>
      <c r="G1082" s="292"/>
      <c r="H1082" s="119">
        <f>SUM(H1072:H1081)</f>
        <v>0</v>
      </c>
      <c r="I1082" s="119">
        <f>SUM(I1072:I1081)</f>
        <v>0</v>
      </c>
      <c r="J1082" s="119">
        <f>SUM(J1072:J1081)</f>
        <v>0</v>
      </c>
      <c r="K1082" s="150">
        <f>SUM(K1072:K1081)</f>
        <v>0</v>
      </c>
      <c r="L1082" s="10"/>
    </row>
    <row r="1083" spans="1:12" s="146" customFormat="1" ht="18" x14ac:dyDescent="0.25">
      <c r="A1083" s="270"/>
      <c r="B1083" s="557"/>
      <c r="C1083" s="38"/>
      <c r="D1083" s="271"/>
      <c r="E1083" s="271"/>
      <c r="F1083" s="271"/>
      <c r="G1083" s="271"/>
      <c r="H1083" s="101"/>
      <c r="I1083" s="101"/>
      <c r="J1083" s="101"/>
      <c r="K1083" s="102"/>
      <c r="L1083" s="10"/>
    </row>
    <row r="1084" spans="1:12" s="146" customFormat="1" ht="18" x14ac:dyDescent="0.25">
      <c r="A1084" s="270"/>
      <c r="B1084" s="557"/>
      <c r="C1084" s="38"/>
      <c r="D1084" s="271"/>
      <c r="E1084" s="271"/>
      <c r="F1084" s="271"/>
      <c r="G1084" s="271"/>
      <c r="H1084" s="101"/>
      <c r="I1084" s="101"/>
      <c r="J1084" s="101"/>
      <c r="K1084" s="102"/>
      <c r="L1084" s="10"/>
    </row>
    <row r="1085" spans="1:12" s="146" customFormat="1" ht="18.75" thickBot="1" x14ac:dyDescent="0.3">
      <c r="A1085" s="1196"/>
      <c r="B1085" s="1298"/>
      <c r="C1085" s="358"/>
      <c r="D1085" s="374"/>
      <c r="E1085" s="374"/>
      <c r="F1085" s="374"/>
      <c r="G1085" s="374"/>
      <c r="H1085" s="219"/>
      <c r="I1085" s="219"/>
      <c r="J1085" s="219"/>
      <c r="K1085" s="220"/>
      <c r="L1085" s="10"/>
    </row>
    <row r="1086" spans="1:12" s="146" customFormat="1" ht="18" x14ac:dyDescent="0.25">
      <c r="A1086" s="557"/>
      <c r="B1086" s="557"/>
      <c r="C1086" s="38"/>
      <c r="D1086" s="271"/>
      <c r="E1086" s="271"/>
      <c r="F1086" s="271"/>
      <c r="G1086" s="271"/>
      <c r="H1086" s="141"/>
      <c r="I1086" s="141"/>
      <c r="J1086" s="141"/>
      <c r="K1086" s="122"/>
      <c r="L1086" s="10"/>
    </row>
    <row r="1087" spans="1:12" s="146" customFormat="1" ht="18" x14ac:dyDescent="0.25">
      <c r="A1087" s="557"/>
      <c r="B1087" s="557"/>
      <c r="C1087" s="38"/>
      <c r="D1087" s="271"/>
      <c r="E1087" s="271"/>
      <c r="F1087" s="271"/>
      <c r="G1087" s="271"/>
      <c r="H1087" s="141"/>
      <c r="I1087" s="141"/>
      <c r="J1087" s="141"/>
      <c r="K1087" s="122"/>
      <c r="L1087" s="10"/>
    </row>
    <row r="1088" spans="1:12" s="146" customFormat="1" ht="18" x14ac:dyDescent="0.25">
      <c r="A1088" s="557"/>
      <c r="B1088" s="557"/>
      <c r="C1088" s="38"/>
      <c r="D1088" s="271"/>
      <c r="E1088" s="271"/>
      <c r="F1088" s="271"/>
      <c r="G1088" s="271"/>
      <c r="H1088" s="141"/>
      <c r="I1088" s="141"/>
      <c r="J1088" s="141"/>
      <c r="K1088" s="122"/>
      <c r="L1088" s="10"/>
    </row>
    <row r="1089" spans="1:12" s="146" customFormat="1" ht="18" x14ac:dyDescent="0.25">
      <c r="A1089" s="557"/>
      <c r="B1089" s="557"/>
      <c r="C1089" s="38"/>
      <c r="D1089" s="271"/>
      <c r="E1089" s="271"/>
      <c r="F1089" s="271"/>
      <c r="G1089" s="271"/>
      <c r="H1089" s="141"/>
      <c r="I1089" s="141"/>
      <c r="J1089" s="141"/>
      <c r="K1089" s="122"/>
      <c r="L1089" s="10"/>
    </row>
    <row r="1090" spans="1:12" s="146" customFormat="1" ht="18" x14ac:dyDescent="0.25">
      <c r="A1090" s="557"/>
      <c r="B1090" s="557"/>
      <c r="C1090" s="38"/>
      <c r="D1090" s="271"/>
      <c r="E1090" s="271"/>
      <c r="F1090" s="271"/>
      <c r="G1090" s="271"/>
      <c r="H1090" s="141"/>
      <c r="I1090" s="141"/>
      <c r="J1090" s="141"/>
      <c r="K1090" s="122"/>
      <c r="L1090" s="10"/>
    </row>
    <row r="1091" spans="1:12" s="146" customFormat="1" ht="18" x14ac:dyDescent="0.25">
      <c r="A1091" s="557"/>
      <c r="B1091" s="557"/>
      <c r="C1091" s="38"/>
      <c r="D1091" s="271"/>
      <c r="E1091" s="271"/>
      <c r="F1091" s="271"/>
      <c r="G1091" s="271"/>
      <c r="H1091" s="141"/>
      <c r="I1091" s="141"/>
      <c r="J1091" s="141"/>
      <c r="K1091" s="122"/>
      <c r="L1091" s="10"/>
    </row>
    <row r="1092" spans="1:12" s="146" customFormat="1" ht="18" x14ac:dyDescent="0.25">
      <c r="A1092" s="557"/>
      <c r="B1092" s="557"/>
      <c r="C1092" s="38"/>
      <c r="D1092" s="271"/>
      <c r="E1092" s="271"/>
      <c r="F1092" s="271"/>
      <c r="G1092" s="271"/>
      <c r="H1092" s="141"/>
      <c r="I1092" s="141"/>
      <c r="J1092" s="141"/>
      <c r="K1092" s="122"/>
      <c r="L1092" s="10"/>
    </row>
    <row r="1093" spans="1:12" s="146" customFormat="1" ht="18" x14ac:dyDescent="0.25">
      <c r="A1093" s="557"/>
      <c r="B1093" s="557"/>
      <c r="C1093" s="38"/>
      <c r="D1093" s="271"/>
      <c r="E1093" s="271"/>
      <c r="F1093" s="271"/>
      <c r="G1093" s="271"/>
      <c r="H1093" s="141"/>
      <c r="I1093" s="141"/>
      <c r="J1093" s="141"/>
      <c r="K1093" s="122"/>
      <c r="L1093" s="10"/>
    </row>
    <row r="1094" spans="1:12" s="146" customFormat="1" ht="18" x14ac:dyDescent="0.25">
      <c r="A1094" s="557"/>
      <c r="B1094" s="557"/>
      <c r="C1094" s="38"/>
      <c r="D1094" s="271"/>
      <c r="E1094" s="271"/>
      <c r="F1094" s="271"/>
      <c r="G1094" s="271"/>
      <c r="H1094" s="141"/>
      <c r="I1094" s="141"/>
      <c r="J1094" s="141"/>
      <c r="K1094" s="122"/>
      <c r="L1094" s="10"/>
    </row>
    <row r="1095" spans="1:12" s="146" customFormat="1" ht="18" x14ac:dyDescent="0.25">
      <c r="A1095" s="557"/>
      <c r="B1095" s="557"/>
      <c r="C1095" s="38"/>
      <c r="D1095" s="271"/>
      <c r="E1095" s="271"/>
      <c r="F1095" s="271"/>
      <c r="G1095" s="271"/>
      <c r="H1095" s="141"/>
      <c r="I1095" s="141"/>
      <c r="J1095" s="141"/>
      <c r="K1095" s="122"/>
      <c r="L1095" s="10"/>
    </row>
    <row r="1096" spans="1:12" s="146" customFormat="1" ht="18" x14ac:dyDescent="0.25">
      <c r="A1096" s="557"/>
      <c r="B1096" s="557"/>
      <c r="C1096" s="38"/>
      <c r="D1096" s="271"/>
      <c r="E1096" s="271"/>
      <c r="F1096" s="271"/>
      <c r="G1096" s="271"/>
      <c r="H1096" s="141"/>
      <c r="I1096" s="141"/>
      <c r="J1096" s="141"/>
      <c r="K1096" s="122"/>
      <c r="L1096" s="10"/>
    </row>
    <row r="1097" spans="1:12" s="146" customFormat="1" ht="18" x14ac:dyDescent="0.25">
      <c r="A1097" s="557"/>
      <c r="B1097" s="557"/>
      <c r="C1097" s="38"/>
      <c r="D1097" s="271"/>
      <c r="E1097" s="271"/>
      <c r="F1097" s="271"/>
      <c r="G1097" s="271"/>
      <c r="H1097" s="141"/>
      <c r="I1097" s="141"/>
      <c r="J1097" s="141"/>
      <c r="K1097" s="122"/>
      <c r="L1097" s="10"/>
    </row>
    <row r="1098" spans="1:12" s="146" customFormat="1" ht="18" x14ac:dyDescent="0.25">
      <c r="A1098" s="557"/>
      <c r="B1098" s="557"/>
      <c r="C1098" s="38"/>
      <c r="D1098" s="271"/>
      <c r="E1098" s="271"/>
      <c r="F1098" s="271"/>
      <c r="G1098" s="271"/>
      <c r="H1098" s="141"/>
      <c r="I1098" s="141"/>
      <c r="J1098" s="141"/>
      <c r="K1098" s="122"/>
      <c r="L1098" s="10"/>
    </row>
    <row r="1099" spans="1:12" s="146" customFormat="1" ht="18" x14ac:dyDescent="0.25">
      <c r="A1099" s="557"/>
      <c r="B1099" s="557"/>
      <c r="C1099" s="38"/>
      <c r="D1099" s="271"/>
      <c r="E1099" s="271"/>
      <c r="F1099" s="271"/>
      <c r="G1099" s="271"/>
      <c r="H1099" s="141"/>
      <c r="I1099" s="141"/>
      <c r="J1099" s="141"/>
      <c r="K1099" s="122"/>
      <c r="L1099" s="10"/>
    </row>
    <row r="1100" spans="1:12" ht="18" customHeight="1" x14ac:dyDescent="0.25">
      <c r="A1100" s="8" t="s">
        <v>112</v>
      </c>
    </row>
    <row r="1101" spans="1:12" ht="18" customHeight="1" x14ac:dyDescent="0.25">
      <c r="A1101" s="8" t="s">
        <v>690</v>
      </c>
    </row>
    <row r="1102" spans="1:12" ht="18" customHeight="1" x14ac:dyDescent="0.25">
      <c r="A1102" s="1636" t="s">
        <v>113</v>
      </c>
      <c r="B1102" s="1636"/>
      <c r="C1102" s="1636"/>
      <c r="D1102" s="1636"/>
      <c r="E1102" s="1636"/>
      <c r="F1102" s="1636"/>
      <c r="G1102" s="1636"/>
      <c r="H1102" s="1636"/>
      <c r="I1102" s="1636"/>
      <c r="J1102" s="1636"/>
      <c r="K1102" s="1101"/>
    </row>
    <row r="1103" spans="1:12" s="7" customFormat="1" ht="18" customHeight="1" x14ac:dyDescent="0.25">
      <c r="A1103" s="1686" t="s">
        <v>114</v>
      </c>
      <c r="B1103" s="1686"/>
      <c r="C1103" s="1686"/>
      <c r="D1103" s="1686"/>
      <c r="E1103" s="1686"/>
      <c r="F1103" s="1686"/>
      <c r="G1103" s="1686"/>
      <c r="H1103" s="1686"/>
      <c r="I1103" s="1686"/>
      <c r="J1103" s="1686"/>
      <c r="K1103" s="956"/>
      <c r="L1103" s="6"/>
    </row>
    <row r="1104" spans="1:12" x14ac:dyDescent="0.25">
      <c r="A1104" s="75"/>
      <c r="B1104" s="75"/>
      <c r="C1104" s="252"/>
      <c r="D1104" s="75"/>
      <c r="E1104" s="75"/>
      <c r="F1104" s="75"/>
      <c r="G1104" s="75"/>
      <c r="H1104" s="141"/>
      <c r="I1104" s="141"/>
      <c r="J1104" s="141"/>
      <c r="K1104" s="122"/>
    </row>
    <row r="1105" spans="1:12" ht="16.5" thickBot="1" x14ac:dyDescent="0.3">
      <c r="A1105" s="256"/>
      <c r="B1105" s="256"/>
      <c r="C1105" s="255"/>
      <c r="D1105" s="256"/>
      <c r="E1105" s="256"/>
      <c r="F1105" s="256"/>
      <c r="G1105" s="256"/>
      <c r="H1105" s="266"/>
      <c r="I1105" s="266"/>
      <c r="J1105" s="266"/>
      <c r="K1105" s="267"/>
    </row>
    <row r="1106" spans="1:12" s="48" customFormat="1" ht="21.75" customHeight="1" thickBot="1" x14ac:dyDescent="0.3">
      <c r="A1106" s="1655" t="s">
        <v>115</v>
      </c>
      <c r="B1106" s="1655"/>
      <c r="C1106" s="1655"/>
      <c r="D1106" s="1655"/>
      <c r="E1106" s="1655"/>
      <c r="F1106" s="1655"/>
      <c r="G1106" s="1151"/>
      <c r="H1106" s="1708" t="s">
        <v>1537</v>
      </c>
      <c r="I1106" s="1710" t="s">
        <v>1538</v>
      </c>
      <c r="J1106" s="1710" t="s">
        <v>1539</v>
      </c>
      <c r="K1106" s="1710" t="s">
        <v>1540</v>
      </c>
      <c r="L1106" s="47"/>
    </row>
    <row r="1107" spans="1:12" s="1153" customFormat="1" ht="31.5" customHeight="1" thickBot="1" x14ac:dyDescent="0.3">
      <c r="A1107" s="1655"/>
      <c r="B1107" s="1655"/>
      <c r="C1107" s="1655"/>
      <c r="D1107" s="1655"/>
      <c r="E1107" s="1655"/>
      <c r="F1107" s="1655"/>
      <c r="G1107" s="1129" t="s">
        <v>116</v>
      </c>
      <c r="H1107" s="1709"/>
      <c r="I1107" s="1710"/>
      <c r="J1107" s="1710"/>
      <c r="K1107" s="1710"/>
      <c r="L1107" s="1152"/>
    </row>
    <row r="1108" spans="1:12" s="146" customFormat="1" ht="10.5" customHeight="1" x14ac:dyDescent="0.25">
      <c r="A1108" s="254"/>
      <c r="B1108" s="271"/>
      <c r="C1108" s="36"/>
      <c r="D1108" s="271"/>
      <c r="E1108" s="271"/>
      <c r="F1108" s="272"/>
      <c r="G1108" s="273"/>
      <c r="H1108" s="250"/>
      <c r="I1108" s="250"/>
      <c r="J1108" s="250"/>
      <c r="K1108" s="233"/>
      <c r="L1108" s="10"/>
    </row>
    <row r="1109" spans="1:12" ht="18" customHeight="1" x14ac:dyDescent="0.25">
      <c r="A1109" s="1667" t="s">
        <v>613</v>
      </c>
      <c r="B1109" s="1620"/>
      <c r="C1109" s="1620"/>
      <c r="D1109" s="1620"/>
      <c r="E1109" s="235"/>
      <c r="F1109" s="236"/>
      <c r="G1109" s="237"/>
      <c r="H1109" s="238"/>
      <c r="I1109" s="238"/>
      <c r="J1109" s="238"/>
      <c r="K1109" s="294"/>
    </row>
    <row r="1110" spans="1:12" s="146" customFormat="1" ht="18" x14ac:dyDescent="0.25">
      <c r="A1110" s="1667"/>
      <c r="B1110" s="1620"/>
      <c r="C1110" s="1620"/>
      <c r="D1110" s="1620"/>
      <c r="E1110" s="152"/>
      <c r="F1110" s="295"/>
      <c r="G1110" s="100"/>
      <c r="H1110" s="101"/>
      <c r="I1110" s="101"/>
      <c r="J1110" s="101"/>
      <c r="K1110" s="102"/>
      <c r="L1110" s="10"/>
    </row>
    <row r="1111" spans="1:12" s="146" customFormat="1" ht="18" x14ac:dyDescent="0.25">
      <c r="A1111" s="296" t="s">
        <v>614</v>
      </c>
      <c r="B1111" s="198"/>
      <c r="C1111" s="38"/>
      <c r="D1111" s="199"/>
      <c r="E1111" s="199"/>
      <c r="F1111" s="297"/>
      <c r="G1111" s="100"/>
      <c r="H1111" s="101"/>
      <c r="I1111" s="101"/>
      <c r="J1111" s="101"/>
      <c r="K1111" s="102"/>
      <c r="L1111" s="10"/>
    </row>
    <row r="1112" spans="1:12" s="146" customFormat="1" ht="36.75" customHeight="1" x14ac:dyDescent="0.25">
      <c r="A1112" s="296"/>
      <c r="B1112" s="198"/>
      <c r="C1112" s="1628" t="s">
        <v>616</v>
      </c>
      <c r="D1112" s="1628"/>
      <c r="E1112" s="199"/>
      <c r="F1112" s="297"/>
      <c r="G1112" s="100"/>
      <c r="H1112" s="101"/>
      <c r="I1112" s="101">
        <v>126807843.8</v>
      </c>
      <c r="J1112" s="101">
        <v>126807843.8</v>
      </c>
      <c r="K1112" s="102"/>
      <c r="L1112" s="10"/>
    </row>
    <row r="1113" spans="1:12" s="146" customFormat="1" ht="18" x14ac:dyDescent="0.25">
      <c r="A1113" s="296"/>
      <c r="B1113" s="198"/>
      <c r="C1113" s="180" t="s">
        <v>615</v>
      </c>
      <c r="D1113" s="427"/>
      <c r="E1113" s="199"/>
      <c r="F1113" s="297"/>
      <c r="G1113" s="100"/>
      <c r="H1113" s="105"/>
      <c r="I1113" s="105"/>
      <c r="J1113" s="105"/>
      <c r="K1113" s="106">
        <v>1157843.8</v>
      </c>
      <c r="L1113" s="10"/>
    </row>
    <row r="1114" spans="1:12" s="146" customFormat="1" ht="18" x14ac:dyDescent="0.25">
      <c r="A1114" s="298"/>
      <c r="B1114" s="199"/>
      <c r="C1114" s="1184" t="s">
        <v>200</v>
      </c>
      <c r="D1114" s="313"/>
      <c r="E1114" s="299"/>
      <c r="F1114" s="300"/>
      <c r="G1114" s="301"/>
      <c r="H1114" s="150">
        <f>SUM(H1112:H1113)</f>
        <v>0</v>
      </c>
      <c r="I1114" s="150">
        <f>SUM(I1112:I1113)</f>
        <v>126807843.8</v>
      </c>
      <c r="J1114" s="150">
        <f>SUM(J1112:J1113)</f>
        <v>126807843.8</v>
      </c>
      <c r="K1114" s="150">
        <f>SUM(K1112:K1113)</f>
        <v>1157843.8</v>
      </c>
      <c r="L1114" s="10"/>
    </row>
    <row r="1115" spans="1:12" s="146" customFormat="1" ht="18" x14ac:dyDescent="0.25">
      <c r="A1115" s="296" t="s">
        <v>617</v>
      </c>
      <c r="B1115" s="198"/>
      <c r="C1115" s="38"/>
      <c r="D1115" s="199"/>
      <c r="E1115" s="199"/>
      <c r="F1115" s="297"/>
      <c r="G1115" s="100"/>
      <c r="H1115" s="101"/>
      <c r="I1115" s="101"/>
      <c r="J1115" s="101"/>
      <c r="K1115" s="102"/>
      <c r="L1115" s="10"/>
    </row>
    <row r="1116" spans="1:12" ht="17.25" customHeight="1" x14ac:dyDescent="0.25">
      <c r="A1116" s="296"/>
      <c r="B1116" s="198"/>
      <c r="C1116" s="180" t="s">
        <v>618</v>
      </c>
      <c r="D1116" s="427"/>
      <c r="E1116" s="427"/>
      <c r="F1116" s="1207"/>
      <c r="G1116" s="423"/>
      <c r="H1116" s="101"/>
      <c r="I1116" s="101"/>
      <c r="J1116" s="101"/>
      <c r="K1116" s="102"/>
    </row>
    <row r="1117" spans="1:12" ht="18" x14ac:dyDescent="0.25">
      <c r="A1117" s="296"/>
      <c r="B1117" s="198"/>
      <c r="C1117" s="180" t="s">
        <v>619</v>
      </c>
      <c r="D1117" s="427"/>
      <c r="E1117" s="427"/>
      <c r="F1117" s="1207"/>
      <c r="G1117" s="423"/>
      <c r="H1117" s="101"/>
      <c r="I1117" s="101"/>
      <c r="J1117" s="101"/>
      <c r="K1117" s="102"/>
    </row>
    <row r="1118" spans="1:12" ht="18" x14ac:dyDescent="0.25">
      <c r="A1118" s="296"/>
      <c r="B1118" s="198"/>
      <c r="C1118" s="180" t="s">
        <v>620</v>
      </c>
      <c r="D1118" s="427"/>
      <c r="E1118" s="427"/>
      <c r="F1118" s="1207"/>
      <c r="G1118" s="423"/>
      <c r="H1118" s="101"/>
      <c r="I1118" s="101"/>
      <c r="J1118" s="101"/>
      <c r="K1118" s="102"/>
    </row>
    <row r="1119" spans="1:12" ht="18" x14ac:dyDescent="0.25">
      <c r="A1119" s="296"/>
      <c r="B1119" s="198"/>
      <c r="C1119" s="180" t="s">
        <v>621</v>
      </c>
      <c r="D1119" s="427"/>
      <c r="E1119" s="427"/>
      <c r="F1119" s="1207"/>
      <c r="G1119" s="423"/>
      <c r="H1119" s="101"/>
      <c r="I1119" s="101"/>
      <c r="J1119" s="101"/>
      <c r="K1119" s="102"/>
    </row>
    <row r="1120" spans="1:12" ht="18" x14ac:dyDescent="0.25">
      <c r="A1120" s="296"/>
      <c r="B1120" s="198"/>
      <c r="C1120" s="180" t="s">
        <v>623</v>
      </c>
      <c r="D1120" s="427"/>
      <c r="E1120" s="427"/>
      <c r="F1120" s="1207"/>
      <c r="G1120" s="423"/>
      <c r="H1120" s="101"/>
      <c r="I1120" s="101"/>
      <c r="J1120" s="101"/>
      <c r="K1120" s="102"/>
    </row>
    <row r="1121" spans="1:12" ht="19.5" customHeight="1" x14ac:dyDescent="0.25">
      <c r="A1121" s="302"/>
      <c r="B1121" s="608"/>
      <c r="C1121" s="1634" t="s">
        <v>624</v>
      </c>
      <c r="D1121" s="1634"/>
      <c r="E1121" s="1634"/>
      <c r="F1121" s="1653"/>
      <c r="G1121" s="423"/>
      <c r="H1121" s="101"/>
      <c r="I1121" s="101"/>
      <c r="J1121" s="101"/>
      <c r="K1121" s="102"/>
    </row>
    <row r="1122" spans="1:12" ht="18" x14ac:dyDescent="0.25">
      <c r="A1122" s="296"/>
      <c r="B1122" s="198"/>
      <c r="C1122" s="180" t="s">
        <v>625</v>
      </c>
      <c r="D1122" s="427"/>
      <c r="E1122" s="427"/>
      <c r="F1122" s="1207"/>
      <c r="G1122" s="423"/>
      <c r="H1122" s="101"/>
      <c r="I1122" s="101"/>
      <c r="J1122" s="101"/>
      <c r="K1122" s="102"/>
    </row>
    <row r="1123" spans="1:12" ht="18" x14ac:dyDescent="0.25">
      <c r="A1123" s="296"/>
      <c r="B1123" s="198"/>
      <c r="C1123" s="180" t="s">
        <v>626</v>
      </c>
      <c r="D1123" s="427"/>
      <c r="E1123" s="427"/>
      <c r="F1123" s="1207"/>
      <c r="G1123" s="423"/>
      <c r="H1123" s="101"/>
      <c r="I1123" s="101"/>
      <c r="J1123" s="101"/>
      <c r="K1123" s="102"/>
    </row>
    <row r="1124" spans="1:12" ht="18" x14ac:dyDescent="0.25">
      <c r="A1124" s="296"/>
      <c r="B1124" s="198"/>
      <c r="C1124" s="180" t="s">
        <v>627</v>
      </c>
      <c r="D1124" s="427"/>
      <c r="E1124" s="427"/>
      <c r="F1124" s="1207"/>
      <c r="G1124" s="423"/>
      <c r="H1124" s="101"/>
      <c r="I1124" s="101"/>
      <c r="J1124" s="101"/>
      <c r="K1124" s="102"/>
    </row>
    <row r="1125" spans="1:12" ht="18" x14ac:dyDescent="0.25">
      <c r="A1125" s="296"/>
      <c r="B1125" s="198"/>
      <c r="C1125" s="180" t="s">
        <v>628</v>
      </c>
      <c r="D1125" s="427"/>
      <c r="E1125" s="427"/>
      <c r="F1125" s="1207"/>
      <c r="G1125" s="423"/>
      <c r="H1125" s="101"/>
      <c r="I1125" s="101"/>
      <c r="J1125" s="101"/>
      <c r="K1125" s="102"/>
    </row>
    <row r="1126" spans="1:12" s="146" customFormat="1" ht="18" x14ac:dyDescent="0.25">
      <c r="A1126" s="304"/>
      <c r="B1126" s="609"/>
      <c r="C1126" s="180" t="s">
        <v>633</v>
      </c>
      <c r="D1126" s="427"/>
      <c r="E1126" s="427"/>
      <c r="F1126" s="1207"/>
      <c r="G1126" s="423"/>
      <c r="H1126" s="101"/>
      <c r="I1126" s="101"/>
      <c r="J1126" s="101"/>
      <c r="K1126" s="102"/>
      <c r="L1126" s="10"/>
    </row>
    <row r="1127" spans="1:12" s="208" customFormat="1" ht="18" customHeight="1" x14ac:dyDescent="0.25">
      <c r="A1127" s="154"/>
      <c r="B1127" s="1107"/>
      <c r="C1127" s="652" t="s">
        <v>1745</v>
      </c>
      <c r="D1127" s="652"/>
      <c r="E1127" s="652"/>
      <c r="F1127" s="717"/>
      <c r="G1127" s="333"/>
      <c r="H1127" s="250"/>
      <c r="I1127" s="250">
        <v>150000</v>
      </c>
      <c r="J1127" s="250">
        <v>150000</v>
      </c>
      <c r="K1127" s="233">
        <v>150000</v>
      </c>
      <c r="L1127" s="233"/>
    </row>
    <row r="1128" spans="1:12" s="146" customFormat="1" ht="18" x14ac:dyDescent="0.25">
      <c r="A1128" s="1105"/>
      <c r="B1128" s="1106"/>
      <c r="C1128" s="180" t="s">
        <v>1246</v>
      </c>
      <c r="D1128" s="481"/>
      <c r="E1128" s="427"/>
      <c r="F1128" s="427"/>
      <c r="G1128" s="423"/>
      <c r="H1128" s="101"/>
      <c r="I1128" s="101">
        <v>80000000</v>
      </c>
      <c r="J1128" s="101">
        <v>80000000</v>
      </c>
      <c r="K1128" s="102">
        <v>80000000</v>
      </c>
      <c r="L1128" s="10"/>
    </row>
    <row r="1129" spans="1:12" s="313" customFormat="1" ht="18" customHeight="1" x14ac:dyDescent="0.25">
      <c r="A1129" s="1135"/>
      <c r="B1129" s="1113"/>
      <c r="C1129" s="1138" t="s">
        <v>1247</v>
      </c>
      <c r="D1129" s="1120"/>
      <c r="E1129" s="427"/>
      <c r="F1129" s="427"/>
      <c r="G1129" s="423"/>
      <c r="H1129" s="101"/>
      <c r="I1129" s="101">
        <v>20000000</v>
      </c>
      <c r="J1129" s="101">
        <v>20000000</v>
      </c>
      <c r="K1129" s="102">
        <v>20000000</v>
      </c>
      <c r="L1129" s="193"/>
    </row>
    <row r="1130" spans="1:12" s="146" customFormat="1" ht="38.25" customHeight="1" x14ac:dyDescent="0.25">
      <c r="A1130" s="1105"/>
      <c r="B1130" s="1106"/>
      <c r="C1130" s="1634" t="s">
        <v>1249</v>
      </c>
      <c r="D1130" s="1634"/>
      <c r="E1130" s="427"/>
      <c r="F1130" s="427"/>
      <c r="G1130" s="423"/>
      <c r="H1130" s="101"/>
      <c r="I1130" s="101">
        <v>2000000</v>
      </c>
      <c r="J1130" s="101">
        <v>2000000</v>
      </c>
      <c r="K1130" s="102">
        <v>2000000</v>
      </c>
      <c r="L1130" s="10"/>
    </row>
    <row r="1131" spans="1:12" s="203" customFormat="1" ht="53.25" customHeight="1" x14ac:dyDescent="0.25">
      <c r="A1131" s="1105"/>
      <c r="B1131" s="1106"/>
      <c r="C1131" s="1622" t="s">
        <v>1747</v>
      </c>
      <c r="D1131" s="1622"/>
      <c r="E1131" s="427"/>
      <c r="F1131" s="427"/>
      <c r="G1131" s="423"/>
      <c r="H1131" s="101"/>
      <c r="I1131" s="101"/>
      <c r="J1131" s="101"/>
      <c r="K1131" s="102">
        <v>500000</v>
      </c>
      <c r="L1131" s="10"/>
    </row>
    <row r="1132" spans="1:12" s="146" customFormat="1" ht="36" customHeight="1" x14ac:dyDescent="0.25">
      <c r="A1132" s="1105"/>
      <c r="B1132" s="1106"/>
      <c r="C1132" s="1622" t="s">
        <v>1746</v>
      </c>
      <c r="D1132" s="1622"/>
      <c r="E1132" s="427"/>
      <c r="F1132" s="427"/>
      <c r="G1132" s="423"/>
      <c r="H1132" s="101"/>
      <c r="I1132" s="101"/>
      <c r="J1132" s="101"/>
      <c r="K1132" s="102">
        <v>1000000</v>
      </c>
      <c r="L1132" s="10"/>
    </row>
    <row r="1133" spans="1:12" s="146" customFormat="1" ht="21" customHeight="1" x14ac:dyDescent="0.25">
      <c r="A1133" s="1105"/>
      <c r="B1133" s="1106"/>
      <c r="C1133" s="1138" t="s">
        <v>1748</v>
      </c>
      <c r="D1133" s="1118"/>
      <c r="E1133" s="427"/>
      <c r="F1133" s="180"/>
      <c r="G1133" s="423"/>
      <c r="H1133" s="101"/>
      <c r="I1133" s="105">
        <v>3000000</v>
      </c>
      <c r="J1133" s="105">
        <v>3000000</v>
      </c>
      <c r="K1133" s="106">
        <v>1000000</v>
      </c>
      <c r="L1133" s="10"/>
    </row>
    <row r="1134" spans="1:12" s="146" customFormat="1" ht="18" x14ac:dyDescent="0.25">
      <c r="A1134" s="298"/>
      <c r="B1134" s="199"/>
      <c r="C1134" s="1128" t="s">
        <v>200</v>
      </c>
      <c r="E1134" s="303"/>
      <c r="F1134" s="309"/>
      <c r="G1134" s="100"/>
      <c r="H1134" s="119">
        <f>SUM(H1116:H1133)</f>
        <v>0</v>
      </c>
      <c r="I1134" s="119">
        <f>SUM(I1116:I1133)</f>
        <v>105150000</v>
      </c>
      <c r="J1134" s="119">
        <f>SUM(J1116:J1133)</f>
        <v>105150000</v>
      </c>
      <c r="K1134" s="119">
        <f>SUM(K1116:K1133)</f>
        <v>104650000</v>
      </c>
      <c r="L1134" s="10"/>
    </row>
    <row r="1135" spans="1:12" ht="18" x14ac:dyDescent="0.25">
      <c r="A1135" s="296" t="s">
        <v>634</v>
      </c>
      <c r="B1135" s="198"/>
      <c r="C1135" s="36"/>
      <c r="D1135" s="198"/>
      <c r="E1135" s="198"/>
      <c r="F1135" s="310"/>
      <c r="G1135" s="100"/>
      <c r="H1135" s="101"/>
      <c r="I1135" s="101"/>
      <c r="J1135" s="101"/>
      <c r="K1135" s="102"/>
    </row>
    <row r="1136" spans="1:12" s="313" customFormat="1" ht="18" x14ac:dyDescent="0.25">
      <c r="A1136" s="1135"/>
      <c r="B1136" s="1113"/>
      <c r="C1136" s="180" t="s">
        <v>1029</v>
      </c>
      <c r="D1136" s="174"/>
      <c r="E1136" s="174"/>
      <c r="F1136" s="174"/>
      <c r="G1136" s="423"/>
      <c r="H1136" s="102"/>
      <c r="I1136" s="102"/>
      <c r="J1136" s="102"/>
      <c r="K1136" s="102"/>
      <c r="L1136" s="193"/>
    </row>
    <row r="1137" spans="1:12" s="388" customFormat="1" ht="18" x14ac:dyDescent="0.25">
      <c r="A1137" s="154"/>
      <c r="B1137" s="1107"/>
      <c r="C1137" s="180" t="s">
        <v>1749</v>
      </c>
      <c r="D1137" s="427"/>
      <c r="E1137" s="225"/>
      <c r="F1137" s="226"/>
      <c r="G1137" s="100"/>
      <c r="H1137" s="101"/>
      <c r="I1137" s="101">
        <v>2500000</v>
      </c>
      <c r="J1137" s="101">
        <v>2500000</v>
      </c>
      <c r="K1137" s="102">
        <v>5000000</v>
      </c>
      <c r="L1137" s="180"/>
    </row>
    <row r="1138" spans="1:12" s="388" customFormat="1" ht="18" x14ac:dyDescent="0.25">
      <c r="A1138" s="154"/>
      <c r="B1138" s="1107"/>
      <c r="C1138" s="180" t="s">
        <v>1750</v>
      </c>
      <c r="D1138" s="427"/>
      <c r="E1138" s="225"/>
      <c r="F1138" s="226"/>
      <c r="G1138" s="100"/>
      <c r="H1138" s="101"/>
      <c r="I1138" s="101"/>
      <c r="J1138" s="101"/>
      <c r="K1138" s="102">
        <v>10000000</v>
      </c>
      <c r="L1138" s="207"/>
    </row>
    <row r="1139" spans="1:12" s="388" customFormat="1" ht="18" x14ac:dyDescent="0.25">
      <c r="A1139" s="154"/>
      <c r="B1139" s="1107"/>
      <c r="C1139" s="180" t="s">
        <v>1751</v>
      </c>
      <c r="D1139" s="427"/>
      <c r="E1139" s="225"/>
      <c r="F1139" s="226"/>
      <c r="G1139" s="100"/>
      <c r="H1139" s="101"/>
      <c r="I1139" s="101"/>
      <c r="J1139" s="101"/>
      <c r="K1139" s="102">
        <v>6000000</v>
      </c>
      <c r="L1139" s="180"/>
    </row>
    <row r="1140" spans="1:12" ht="18" x14ac:dyDescent="0.25">
      <c r="A1140" s="298"/>
      <c r="B1140" s="199"/>
      <c r="C1140" s="180" t="s">
        <v>635</v>
      </c>
      <c r="D1140" s="427"/>
      <c r="E1140" s="427"/>
      <c r="F1140" s="1207"/>
      <c r="G1140" s="100"/>
      <c r="H1140" s="101"/>
      <c r="I1140" s="101"/>
      <c r="J1140" s="101"/>
      <c r="K1140" s="102"/>
    </row>
    <row r="1141" spans="1:12" ht="18.75" customHeight="1" x14ac:dyDescent="0.25">
      <c r="A1141" s="298"/>
      <c r="B1141" s="199"/>
      <c r="C1141" s="1628" t="s">
        <v>1752</v>
      </c>
      <c r="D1141" s="1628"/>
      <c r="E1141" s="1628"/>
      <c r="F1141" s="1647"/>
      <c r="G1141" s="100"/>
      <c r="H1141" s="101"/>
      <c r="I1141" s="101"/>
      <c r="J1141" s="101"/>
      <c r="K1141" s="102"/>
    </row>
    <row r="1142" spans="1:12" ht="37.5" customHeight="1" x14ac:dyDescent="0.25">
      <c r="A1142" s="298"/>
      <c r="B1142" s="199"/>
      <c r="C1142" s="1628" t="s">
        <v>1753</v>
      </c>
      <c r="D1142" s="1628"/>
      <c r="E1142" s="1628"/>
      <c r="F1142" s="1647"/>
      <c r="G1142" s="100"/>
      <c r="H1142" s="101"/>
      <c r="I1142" s="101"/>
      <c r="J1142" s="101"/>
      <c r="K1142" s="102"/>
    </row>
    <row r="1143" spans="1:12" ht="18.75" customHeight="1" x14ac:dyDescent="0.25">
      <c r="A1143" s="298"/>
      <c r="B1143" s="199"/>
      <c r="C1143" s="1628" t="s">
        <v>1754</v>
      </c>
      <c r="D1143" s="1628"/>
      <c r="E1143" s="427"/>
      <c r="F1143" s="1207"/>
      <c r="G1143" s="100"/>
      <c r="H1143" s="101"/>
      <c r="I1143" s="101"/>
      <c r="J1143" s="101"/>
      <c r="K1143" s="102"/>
    </row>
    <row r="1144" spans="1:12" s="313" customFormat="1" ht="18" customHeight="1" x14ac:dyDescent="0.25">
      <c r="A1144" s="1135"/>
      <c r="B1144" s="1113"/>
      <c r="C1144" s="1138" t="s">
        <v>642</v>
      </c>
      <c r="D1144" s="1138"/>
      <c r="E1144" s="1122"/>
      <c r="F1144" s="311"/>
      <c r="G1144" s="312"/>
      <c r="H1144" s="102"/>
      <c r="I1144" s="102"/>
      <c r="J1144" s="102"/>
      <c r="K1144" s="102"/>
      <c r="L1144" s="193"/>
    </row>
    <row r="1145" spans="1:12" ht="18" x14ac:dyDescent="0.25">
      <c r="A1145" s="298"/>
      <c r="B1145" s="199"/>
      <c r="C1145" s="180" t="s">
        <v>648</v>
      </c>
      <c r="D1145" s="1208"/>
      <c r="E1145" s="427"/>
      <c r="F1145" s="1207"/>
      <c r="G1145" s="100"/>
      <c r="H1145" s="105"/>
      <c r="I1145" s="105"/>
      <c r="J1145" s="105"/>
      <c r="K1145" s="106"/>
    </row>
    <row r="1146" spans="1:12" s="146" customFormat="1" ht="18" x14ac:dyDescent="0.25">
      <c r="A1146" s="1105"/>
      <c r="B1146" s="1106"/>
      <c r="C1146" s="1128" t="s">
        <v>200</v>
      </c>
      <c r="D1146" s="305"/>
      <c r="E1146" s="1111"/>
      <c r="F1146" s="1112"/>
      <c r="G1146" s="301"/>
      <c r="H1146" s="189">
        <f>SUM(H1136:H1145)</f>
        <v>0</v>
      </c>
      <c r="I1146" s="189">
        <f>SUM(I1136:I1145)</f>
        <v>2500000</v>
      </c>
      <c r="J1146" s="189">
        <f>SUM(J1136:J1145)</f>
        <v>2500000</v>
      </c>
      <c r="K1146" s="189">
        <f>SUM(K1136:K1145)</f>
        <v>21000000</v>
      </c>
      <c r="L1146" s="127"/>
    </row>
    <row r="1147" spans="1:12" s="146" customFormat="1" ht="18" x14ac:dyDescent="0.25">
      <c r="A1147" s="107"/>
      <c r="B1147" s="1182"/>
      <c r="C1147" s="1209" t="s">
        <v>649</v>
      </c>
      <c r="D1147" s="1181"/>
      <c r="E1147" s="1186"/>
      <c r="F1147" s="1210"/>
      <c r="G1147" s="1211"/>
      <c r="H1147" s="316">
        <f>SUM(H1146+H1134+H1114)</f>
        <v>0</v>
      </c>
      <c r="I1147" s="316">
        <f>SUM(I1146+I1134+I1114)</f>
        <v>234457843.80000001</v>
      </c>
      <c r="J1147" s="316">
        <f>SUM(J1146+J1134+J1114)</f>
        <v>234457843.80000001</v>
      </c>
      <c r="K1147" s="316">
        <f>SUM(K1146+K1134+K1114)</f>
        <v>126807843.8</v>
      </c>
      <c r="L1147" s="201"/>
    </row>
    <row r="1148" spans="1:12" s="146" customFormat="1" ht="18.75" thickBot="1" x14ac:dyDescent="0.3">
      <c r="A1148" s="317"/>
      <c r="B1148" s="1216"/>
      <c r="C1148" s="560" t="s">
        <v>650</v>
      </c>
      <c r="D1148" s="561"/>
      <c r="E1148" s="228"/>
      <c r="F1148" s="319"/>
      <c r="G1148" s="320"/>
      <c r="H1148" s="321">
        <f>H1147+H1068+H1082</f>
        <v>0</v>
      </c>
      <c r="I1148" s="321">
        <f>I1147+I1068+I1082</f>
        <v>272195042.88</v>
      </c>
      <c r="J1148" s="321">
        <f>J1147+J1068+J1082</f>
        <v>272195042.88</v>
      </c>
      <c r="K1148" s="321">
        <f>K1147+K1068+K1082</f>
        <v>186276792.88</v>
      </c>
      <c r="L1148" s="10"/>
    </row>
    <row r="1149" spans="1:12" s="146" customFormat="1" ht="18" x14ac:dyDescent="0.25">
      <c r="A1149" s="1106"/>
      <c r="B1149" s="1106"/>
      <c r="C1149" s="1098"/>
      <c r="D1149" s="1111"/>
      <c r="E1149" s="1111"/>
      <c r="F1149" s="1111"/>
      <c r="G1149" s="322"/>
      <c r="H1149" s="126"/>
      <c r="I1149" s="126"/>
      <c r="J1149" s="126"/>
      <c r="K1149" s="127"/>
      <c r="L1149" s="10"/>
    </row>
    <row r="1150" spans="1:12" s="146" customFormat="1" ht="18" x14ac:dyDescent="0.25">
      <c r="A1150" s="1106"/>
      <c r="B1150" s="1106"/>
      <c r="C1150" s="1098"/>
      <c r="D1150" s="1111"/>
      <c r="E1150" s="1111"/>
      <c r="F1150" s="1111"/>
      <c r="G1150" s="322"/>
      <c r="H1150" s="126"/>
      <c r="I1150" s="126"/>
      <c r="J1150" s="126"/>
      <c r="K1150" s="127"/>
      <c r="L1150" s="10"/>
    </row>
    <row r="1151" spans="1:12" s="146" customFormat="1" ht="18" x14ac:dyDescent="0.25">
      <c r="A1151" s="1106"/>
      <c r="B1151" s="1106"/>
      <c r="C1151" s="1098"/>
      <c r="D1151" s="1111"/>
      <c r="E1151" s="1111"/>
      <c r="F1151" s="1111"/>
      <c r="G1151" s="322"/>
      <c r="H1151" s="126"/>
      <c r="I1151" s="126"/>
      <c r="J1151" s="126"/>
      <c r="K1151" s="127"/>
      <c r="L1151" s="10"/>
    </row>
    <row r="1152" spans="1:12" s="146" customFormat="1" ht="18" x14ac:dyDescent="0.25">
      <c r="A1152" s="1106"/>
      <c r="B1152" s="1106"/>
      <c r="C1152" s="1098"/>
      <c r="D1152" s="1111"/>
      <c r="E1152" s="1111"/>
      <c r="F1152" s="1111"/>
      <c r="G1152" s="322"/>
      <c r="H1152" s="126"/>
      <c r="I1152" s="126"/>
      <c r="J1152" s="126"/>
      <c r="K1152" s="127"/>
      <c r="L1152" s="10"/>
    </row>
    <row r="1153" spans="1:12" s="146" customFormat="1" ht="18" x14ac:dyDescent="0.25">
      <c r="A1153" s="1106"/>
      <c r="B1153" s="1106"/>
      <c r="C1153" s="1098"/>
      <c r="D1153" s="1111"/>
      <c r="E1153" s="1111"/>
      <c r="F1153" s="1111"/>
      <c r="G1153" s="322"/>
      <c r="H1153" s="126"/>
      <c r="I1153" s="126"/>
      <c r="J1153" s="126"/>
      <c r="K1153" s="127"/>
      <c r="L1153" s="10"/>
    </row>
    <row r="1154" spans="1:12" s="146" customFormat="1" ht="18" x14ac:dyDescent="0.25">
      <c r="A1154" s="1106"/>
      <c r="B1154" s="1106"/>
      <c r="C1154" s="1098"/>
      <c r="D1154" s="1111"/>
      <c r="E1154" s="1111"/>
      <c r="F1154" s="1111"/>
      <c r="G1154" s="322"/>
      <c r="H1154" s="126"/>
      <c r="I1154" s="126"/>
      <c r="J1154" s="126"/>
      <c r="K1154" s="127"/>
      <c r="L1154" s="10"/>
    </row>
    <row r="1155" spans="1:12" s="146" customFormat="1" ht="18" x14ac:dyDescent="0.25">
      <c r="A1155" s="1106"/>
      <c r="B1155" s="1106"/>
      <c r="C1155" s="1098"/>
      <c r="D1155" s="1111"/>
      <c r="E1155" s="1111"/>
      <c r="F1155" s="1111"/>
      <c r="G1155" s="322"/>
      <c r="H1155" s="126"/>
      <c r="I1155" s="126"/>
      <c r="J1155" s="126"/>
      <c r="K1155" s="127"/>
      <c r="L1155" s="10"/>
    </row>
    <row r="1156" spans="1:12" s="146" customFormat="1" ht="18" x14ac:dyDescent="0.25">
      <c r="A1156" s="1106"/>
      <c r="B1156" s="1106"/>
      <c r="C1156" s="1098"/>
      <c r="D1156" s="1111"/>
      <c r="E1156" s="1111"/>
      <c r="F1156" s="1111"/>
      <c r="G1156" s="322"/>
      <c r="H1156" s="126"/>
      <c r="I1156" s="126"/>
      <c r="J1156" s="126"/>
      <c r="K1156" s="127"/>
      <c r="L1156" s="10"/>
    </row>
    <row r="1157" spans="1:12" s="146" customFormat="1" ht="18" x14ac:dyDescent="0.25">
      <c r="A1157" s="1106"/>
      <c r="B1157" s="1106"/>
      <c r="C1157" s="1098"/>
      <c r="D1157" s="1111"/>
      <c r="E1157" s="1111"/>
      <c r="F1157" s="1111"/>
      <c r="G1157" s="322"/>
      <c r="H1157" s="126"/>
      <c r="I1157" s="126"/>
      <c r="J1157" s="126"/>
      <c r="K1157" s="127"/>
      <c r="L1157" s="10"/>
    </row>
    <row r="1158" spans="1:12" s="146" customFormat="1" ht="18" x14ac:dyDescent="0.25">
      <c r="A1158" s="1106"/>
      <c r="B1158" s="1106"/>
      <c r="C1158" s="1098"/>
      <c r="D1158" s="1111"/>
      <c r="E1158" s="1111"/>
      <c r="F1158" s="1111"/>
      <c r="G1158" s="322"/>
      <c r="H1158" s="126"/>
      <c r="I1158" s="126"/>
      <c r="J1158" s="126"/>
      <c r="K1158" s="127"/>
      <c r="L1158" s="10"/>
    </row>
    <row r="1159" spans="1:12" s="146" customFormat="1" ht="18" x14ac:dyDescent="0.25">
      <c r="A1159" s="1106"/>
      <c r="B1159" s="1106"/>
      <c r="C1159" s="1098"/>
      <c r="D1159" s="1111"/>
      <c r="E1159" s="1111"/>
      <c r="F1159" s="1111"/>
      <c r="G1159" s="322"/>
      <c r="H1159" s="126"/>
      <c r="I1159" s="126"/>
      <c r="J1159" s="126"/>
      <c r="K1159" s="127"/>
      <c r="L1159" s="10"/>
    </row>
    <row r="1160" spans="1:12" s="146" customFormat="1" ht="18" x14ac:dyDescent="0.25">
      <c r="A1160" s="1106"/>
      <c r="B1160" s="1106"/>
      <c r="C1160" s="1098"/>
      <c r="D1160" s="1111"/>
      <c r="E1160" s="1111"/>
      <c r="F1160" s="1111"/>
      <c r="G1160" s="322"/>
      <c r="H1160" s="126"/>
      <c r="I1160" s="126"/>
      <c r="J1160" s="126"/>
      <c r="K1160" s="127"/>
      <c r="L1160" s="10"/>
    </row>
    <row r="1161" spans="1:12" s="146" customFormat="1" ht="18" x14ac:dyDescent="0.25">
      <c r="A1161" s="1106"/>
      <c r="B1161" s="1106"/>
      <c r="C1161" s="1098"/>
      <c r="D1161" s="1111"/>
      <c r="E1161" s="1111"/>
      <c r="F1161" s="1111"/>
      <c r="G1161" s="322"/>
      <c r="H1161" s="126"/>
      <c r="I1161" s="126"/>
      <c r="J1161" s="126"/>
      <c r="K1161" s="127"/>
      <c r="L1161" s="10"/>
    </row>
    <row r="1162" spans="1:12" s="146" customFormat="1" ht="18" x14ac:dyDescent="0.25">
      <c r="A1162" s="1106"/>
      <c r="B1162" s="1106"/>
      <c r="C1162" s="1098"/>
      <c r="D1162" s="1111"/>
      <c r="E1162" s="1111"/>
      <c r="F1162" s="1111"/>
      <c r="G1162" s="322"/>
      <c r="H1162" s="126"/>
      <c r="I1162" s="126"/>
      <c r="J1162" s="126"/>
      <c r="K1162" s="127"/>
      <c r="L1162" s="10"/>
    </row>
    <row r="1163" spans="1:12" s="146" customFormat="1" ht="18" x14ac:dyDescent="0.25">
      <c r="A1163" s="1106"/>
      <c r="B1163" s="1106"/>
      <c r="C1163" s="1098"/>
      <c r="D1163" s="1111"/>
      <c r="E1163" s="1111"/>
      <c r="F1163" s="1111"/>
      <c r="G1163" s="322"/>
      <c r="H1163" s="126"/>
      <c r="I1163" s="126"/>
      <c r="J1163" s="126"/>
      <c r="K1163" s="127"/>
      <c r="L1163" s="10"/>
    </row>
    <row r="1164" spans="1:12" s="146" customFormat="1" ht="18" x14ac:dyDescent="0.25">
      <c r="A1164" s="1106"/>
      <c r="B1164" s="1106"/>
      <c r="C1164" s="1098"/>
      <c r="D1164" s="1111"/>
      <c r="E1164" s="1111"/>
      <c r="F1164" s="1111"/>
      <c r="G1164" s="322"/>
      <c r="H1164" s="126"/>
      <c r="I1164" s="126"/>
      <c r="J1164" s="126"/>
      <c r="K1164" s="127"/>
      <c r="L1164" s="10"/>
    </row>
    <row r="1165" spans="1:12" s="146" customFormat="1" ht="18" x14ac:dyDescent="0.25">
      <c r="A1165" s="1106"/>
      <c r="B1165" s="1106"/>
      <c r="C1165" s="1098"/>
      <c r="D1165" s="1111"/>
      <c r="E1165" s="1111"/>
      <c r="F1165" s="1111"/>
      <c r="G1165" s="322"/>
      <c r="H1165" s="126"/>
      <c r="I1165" s="126"/>
      <c r="J1165" s="126"/>
      <c r="K1165" s="127"/>
      <c r="L1165" s="10"/>
    </row>
    <row r="1166" spans="1:12" s="146" customFormat="1" ht="18" x14ac:dyDescent="0.25">
      <c r="A1166" s="1106"/>
      <c r="B1166" s="1106"/>
      <c r="C1166" s="1098"/>
      <c r="D1166" s="1111"/>
      <c r="E1166" s="1111"/>
      <c r="F1166" s="1111"/>
      <c r="G1166" s="322"/>
      <c r="H1166" s="126"/>
      <c r="I1166" s="126"/>
      <c r="J1166" s="126"/>
      <c r="K1166" s="127"/>
      <c r="L1166" s="10"/>
    </row>
    <row r="1167" spans="1:12" s="146" customFormat="1" ht="18" x14ac:dyDescent="0.25">
      <c r="A1167" s="1106"/>
      <c r="B1167" s="1106"/>
      <c r="C1167" s="1098"/>
      <c r="D1167" s="1111"/>
      <c r="E1167" s="1111"/>
      <c r="F1167" s="1111"/>
      <c r="G1167" s="322"/>
      <c r="H1167" s="126"/>
      <c r="I1167" s="126"/>
      <c r="J1167" s="126"/>
      <c r="K1167" s="127"/>
      <c r="L1167" s="10"/>
    </row>
    <row r="1168" spans="1:12" ht="18" customHeight="1" x14ac:dyDescent="0.25">
      <c r="A1168" s="8" t="s">
        <v>112</v>
      </c>
    </row>
    <row r="1169" spans="1:12" ht="18" customHeight="1" x14ac:dyDescent="0.25">
      <c r="A1169" s="8" t="s">
        <v>718</v>
      </c>
    </row>
    <row r="1170" spans="1:12" ht="18" customHeight="1" x14ac:dyDescent="0.25">
      <c r="A1170" s="1636" t="s">
        <v>113</v>
      </c>
      <c r="B1170" s="1636"/>
      <c r="C1170" s="1636"/>
      <c r="D1170" s="1636"/>
      <c r="E1170" s="1636"/>
      <c r="F1170" s="1636"/>
      <c r="G1170" s="1636"/>
      <c r="H1170" s="1636"/>
      <c r="I1170" s="1636"/>
      <c r="J1170" s="1636"/>
      <c r="K1170" s="1101"/>
    </row>
    <row r="1171" spans="1:12" s="7" customFormat="1" ht="18" customHeight="1" x14ac:dyDescent="0.25">
      <c r="A1171" s="1686" t="s">
        <v>114</v>
      </c>
      <c r="B1171" s="1686"/>
      <c r="C1171" s="1686"/>
      <c r="D1171" s="1686"/>
      <c r="E1171" s="1686"/>
      <c r="F1171" s="1686"/>
      <c r="G1171" s="1686"/>
      <c r="H1171" s="1686"/>
      <c r="I1171" s="1686"/>
      <c r="J1171" s="1686"/>
      <c r="K1171" s="956"/>
      <c r="L1171" s="6"/>
    </row>
    <row r="1172" spans="1:12" x14ac:dyDescent="0.25">
      <c r="A1172" s="75"/>
      <c r="B1172" s="75"/>
      <c r="C1172" s="252"/>
      <c r="D1172" s="75"/>
      <c r="E1172" s="75"/>
      <c r="F1172" s="75"/>
      <c r="G1172" s="75"/>
      <c r="H1172" s="141"/>
      <c r="I1172" s="141"/>
      <c r="J1172" s="141"/>
      <c r="K1172" s="122"/>
    </row>
    <row r="1173" spans="1:12" ht="16.5" thickBot="1" x14ac:dyDescent="0.3">
      <c r="A1173" s="256"/>
      <c r="B1173" s="256"/>
      <c r="C1173" s="255"/>
      <c r="D1173" s="256"/>
      <c r="E1173" s="256"/>
      <c r="F1173" s="256"/>
      <c r="G1173" s="256"/>
      <c r="H1173" s="266"/>
      <c r="I1173" s="266"/>
      <c r="J1173" s="266"/>
      <c r="K1173" s="267"/>
    </row>
    <row r="1174" spans="1:12" s="48" customFormat="1" ht="21.75" customHeight="1" thickBot="1" x14ac:dyDescent="0.3">
      <c r="A1174" s="1655" t="s">
        <v>115</v>
      </c>
      <c r="B1174" s="1655"/>
      <c r="C1174" s="1655"/>
      <c r="D1174" s="1655"/>
      <c r="E1174" s="1655"/>
      <c r="F1174" s="1655"/>
      <c r="G1174" s="1212"/>
      <c r="H1174" s="1708" t="s">
        <v>1537</v>
      </c>
      <c r="I1174" s="1710" t="s">
        <v>1538</v>
      </c>
      <c r="J1174" s="1710" t="s">
        <v>1539</v>
      </c>
      <c r="K1174" s="1710" t="s">
        <v>1540</v>
      </c>
      <c r="L1174" s="47"/>
    </row>
    <row r="1175" spans="1:12" s="1153" customFormat="1" ht="31.5" customHeight="1" thickBot="1" x14ac:dyDescent="0.3">
      <c r="A1175" s="1655"/>
      <c r="B1175" s="1655"/>
      <c r="C1175" s="1655"/>
      <c r="D1175" s="1655"/>
      <c r="E1175" s="1655"/>
      <c r="F1175" s="1655"/>
      <c r="G1175" s="1116" t="s">
        <v>116</v>
      </c>
      <c r="H1175" s="1709"/>
      <c r="I1175" s="1710"/>
      <c r="J1175" s="1710"/>
      <c r="K1175" s="1710"/>
      <c r="L1175" s="1152"/>
    </row>
    <row r="1176" spans="1:12" s="146" customFormat="1" ht="18" x14ac:dyDescent="0.25">
      <c r="A1176" s="211" t="s">
        <v>1755</v>
      </c>
      <c r="B1176" s="124"/>
      <c r="C1176" s="1098"/>
      <c r="D1176" s="1111"/>
      <c r="E1176" s="1111"/>
      <c r="F1176" s="1112"/>
      <c r="G1176" s="322"/>
      <c r="H1176" s="383"/>
      <c r="I1176" s="383"/>
      <c r="J1176" s="383"/>
      <c r="K1176" s="468"/>
      <c r="L1176" s="10"/>
    </row>
    <row r="1177" spans="1:12" s="146" customFormat="1" ht="18" x14ac:dyDescent="0.25">
      <c r="A1177" s="211" t="s">
        <v>1756</v>
      </c>
      <c r="B1177" s="124"/>
      <c r="C1177" s="1098"/>
      <c r="D1177" s="1111"/>
      <c r="E1177" s="1111"/>
      <c r="F1177" s="1112"/>
      <c r="G1177" s="322"/>
      <c r="H1177" s="155"/>
      <c r="I1177" s="155"/>
      <c r="J1177" s="155"/>
      <c r="K1177" s="156"/>
      <c r="L1177" s="10"/>
    </row>
    <row r="1178" spans="1:12" s="146" customFormat="1" ht="54" customHeight="1" x14ac:dyDescent="0.25">
      <c r="A1178" s="1213"/>
      <c r="B1178" s="1300"/>
      <c r="C1178" s="1628" t="s">
        <v>1757</v>
      </c>
      <c r="D1178" s="1628"/>
      <c r="E1178" s="1111"/>
      <c r="F1178" s="1112"/>
      <c r="G1178" s="322"/>
      <c r="H1178" s="155"/>
      <c r="I1178" s="155"/>
      <c r="J1178" s="155"/>
      <c r="K1178" s="156"/>
      <c r="L1178" s="10"/>
    </row>
    <row r="1179" spans="1:12" s="146" customFormat="1" ht="36.75" customHeight="1" x14ac:dyDescent="0.25">
      <c r="A1179" s="1213"/>
      <c r="B1179" s="1300"/>
      <c r="C1179" s="1628" t="s">
        <v>1758</v>
      </c>
      <c r="D1179" s="1628"/>
      <c r="E1179" s="1111"/>
      <c r="F1179" s="1112"/>
      <c r="G1179" s="322"/>
      <c r="H1179" s="155"/>
      <c r="I1179" s="155"/>
      <c r="J1179" s="155"/>
      <c r="K1179" s="156"/>
      <c r="L1179" s="10"/>
    </row>
    <row r="1180" spans="1:12" s="146" customFormat="1" ht="73.5" customHeight="1" x14ac:dyDescent="0.25">
      <c r="A1180" s="1213"/>
      <c r="B1180" s="1300"/>
      <c r="C1180" s="1628" t="s">
        <v>1759</v>
      </c>
      <c r="D1180" s="1628"/>
      <c r="E1180" s="1111"/>
      <c r="F1180" s="1112"/>
      <c r="G1180" s="322"/>
      <c r="H1180" s="155"/>
      <c r="I1180" s="155"/>
      <c r="J1180" s="155"/>
      <c r="K1180" s="156"/>
      <c r="L1180" s="10"/>
    </row>
    <row r="1181" spans="1:12" s="146" customFormat="1" ht="36.75" customHeight="1" x14ac:dyDescent="0.25">
      <c r="A1181" s="1213"/>
      <c r="B1181" s="1300"/>
      <c r="C1181" s="1628" t="s">
        <v>1760</v>
      </c>
      <c r="D1181" s="1628"/>
      <c r="E1181" s="1111"/>
      <c r="F1181" s="1112"/>
      <c r="G1181" s="322"/>
      <c r="H1181" s="155"/>
      <c r="I1181" s="155"/>
      <c r="J1181" s="155"/>
      <c r="K1181" s="156"/>
      <c r="L1181" s="10"/>
    </row>
    <row r="1182" spans="1:12" s="146" customFormat="1" ht="36.75" customHeight="1" x14ac:dyDescent="0.25">
      <c r="A1182" s="1213"/>
      <c r="B1182" s="1300"/>
      <c r="C1182" s="1628" t="s">
        <v>1761</v>
      </c>
      <c r="D1182" s="1628"/>
      <c r="E1182" s="1111"/>
      <c r="F1182" s="1112"/>
      <c r="G1182" s="322"/>
      <c r="H1182" s="155"/>
      <c r="I1182" s="155"/>
      <c r="J1182" s="155"/>
      <c r="K1182" s="156"/>
      <c r="L1182" s="10"/>
    </row>
    <row r="1183" spans="1:12" s="146" customFormat="1" ht="36.75" customHeight="1" x14ac:dyDescent="0.25">
      <c r="A1183" s="1213"/>
      <c r="B1183" s="1300"/>
      <c r="C1183" s="1628" t="s">
        <v>1762</v>
      </c>
      <c r="D1183" s="1628"/>
      <c r="E1183" s="1111"/>
      <c r="F1183" s="1112"/>
      <c r="G1183" s="322"/>
      <c r="H1183" s="155"/>
      <c r="I1183" s="155"/>
      <c r="J1183" s="155"/>
      <c r="K1183" s="156"/>
      <c r="L1183" s="10"/>
    </row>
    <row r="1184" spans="1:12" s="146" customFormat="1" ht="36.75" customHeight="1" x14ac:dyDescent="0.25">
      <c r="A1184" s="1214"/>
      <c r="B1184" s="1301"/>
      <c r="C1184" s="1628" t="s">
        <v>1763</v>
      </c>
      <c r="D1184" s="1628"/>
      <c r="E1184" s="1111"/>
      <c r="F1184" s="1112"/>
      <c r="G1184" s="322"/>
      <c r="H1184" s="155"/>
      <c r="I1184" s="155"/>
      <c r="J1184" s="155"/>
      <c r="K1184" s="156"/>
      <c r="L1184" s="10"/>
    </row>
    <row r="1185" spans="1:12" s="146" customFormat="1" ht="18" x14ac:dyDescent="0.25">
      <c r="A1185" s="1174"/>
      <c r="B1185" s="1141"/>
      <c r="C1185" s="1632" t="s">
        <v>823</v>
      </c>
      <c r="D1185" s="1632"/>
      <c r="E1185" s="1111"/>
      <c r="F1185" s="1112"/>
      <c r="G1185" s="322"/>
      <c r="H1185" s="150">
        <f>SUM(H1178:H1184)</f>
        <v>0</v>
      </c>
      <c r="I1185" s="150">
        <f>SUM(I1178:I1184)</f>
        <v>0</v>
      </c>
      <c r="J1185" s="150">
        <f>SUM(J1178:J1184)</f>
        <v>0</v>
      </c>
      <c r="K1185" s="150">
        <f>SUM(K1178:K1184)</f>
        <v>0</v>
      </c>
      <c r="L1185" s="10"/>
    </row>
    <row r="1186" spans="1:12" s="146" customFormat="1" ht="18" x14ac:dyDescent="0.25">
      <c r="A1186" s="1174"/>
      <c r="B1186" s="1141"/>
      <c r="C1186" s="1119"/>
      <c r="D1186" s="1119"/>
      <c r="E1186" s="1111"/>
      <c r="F1186" s="1112"/>
      <c r="G1186" s="322"/>
      <c r="H1186" s="156"/>
      <c r="I1186" s="156"/>
      <c r="J1186" s="156"/>
      <c r="K1186" s="156"/>
      <c r="L1186" s="10"/>
    </row>
    <row r="1187" spans="1:12" s="146" customFormat="1" ht="18" x14ac:dyDescent="0.25">
      <c r="A1187" s="327" t="s">
        <v>1764</v>
      </c>
      <c r="B1187" s="369"/>
      <c r="C1187" s="1122"/>
      <c r="D1187" s="1122"/>
      <c r="E1187" s="1111"/>
      <c r="F1187" s="1112"/>
      <c r="G1187" s="322"/>
      <c r="H1187" s="155"/>
      <c r="I1187" s="155"/>
      <c r="J1187" s="155"/>
      <c r="K1187" s="156"/>
      <c r="L1187" s="10"/>
    </row>
    <row r="1188" spans="1:12" s="146" customFormat="1" ht="20.25" customHeight="1" x14ac:dyDescent="0.25">
      <c r="A1188" s="1214"/>
      <c r="B1188" s="1301"/>
      <c r="C1188" s="1628" t="s">
        <v>1765</v>
      </c>
      <c r="D1188" s="1628"/>
      <c r="E1188" s="1628"/>
      <c r="F1188" s="1647"/>
      <c r="G1188" s="322"/>
      <c r="H1188" s="155"/>
      <c r="I1188" s="155"/>
      <c r="J1188" s="155"/>
      <c r="K1188" s="156"/>
      <c r="L1188" s="10"/>
    </row>
    <row r="1189" spans="1:12" s="146" customFormat="1" ht="20.25" customHeight="1" x14ac:dyDescent="0.25">
      <c r="A1189" s="1214"/>
      <c r="B1189" s="1301"/>
      <c r="C1189" s="1628" t="s">
        <v>1766</v>
      </c>
      <c r="D1189" s="1628"/>
      <c r="E1189" s="1628"/>
      <c r="F1189" s="1647"/>
      <c r="G1189" s="322"/>
      <c r="H1189" s="155"/>
      <c r="I1189" s="155"/>
      <c r="J1189" s="155"/>
      <c r="K1189" s="156"/>
      <c r="L1189" s="10"/>
    </row>
    <row r="1190" spans="1:12" s="146" customFormat="1" ht="20.25" customHeight="1" x14ac:dyDescent="0.25">
      <c r="A1190" s="1214"/>
      <c r="B1190" s="1301"/>
      <c r="C1190" s="1628" t="s">
        <v>1767</v>
      </c>
      <c r="D1190" s="1628"/>
      <c r="E1190" s="1628"/>
      <c r="F1190" s="1647"/>
      <c r="G1190" s="322"/>
      <c r="H1190" s="155"/>
      <c r="I1190" s="155"/>
      <c r="J1190" s="155"/>
      <c r="K1190" s="156"/>
      <c r="L1190" s="10"/>
    </row>
    <row r="1191" spans="1:12" s="146" customFormat="1" ht="20.25" customHeight="1" x14ac:dyDescent="0.25">
      <c r="A1191" s="1214"/>
      <c r="B1191" s="1301"/>
      <c r="C1191" s="1628" t="s">
        <v>1768</v>
      </c>
      <c r="D1191" s="1628"/>
      <c r="E1191" s="1628"/>
      <c r="F1191" s="1647"/>
      <c r="G1191" s="322"/>
      <c r="H1191" s="155"/>
      <c r="I1191" s="155"/>
      <c r="J1191" s="155"/>
      <c r="K1191" s="156"/>
      <c r="L1191" s="10"/>
    </row>
    <row r="1192" spans="1:12" s="146" customFormat="1" ht="35.25" customHeight="1" x14ac:dyDescent="0.25">
      <c r="A1192" s="1214"/>
      <c r="B1192" s="1301"/>
      <c r="C1192" s="1628" t="s">
        <v>1769</v>
      </c>
      <c r="D1192" s="1628"/>
      <c r="E1192" s="1628"/>
      <c r="F1192" s="1647"/>
      <c r="G1192" s="322"/>
      <c r="H1192" s="155"/>
      <c r="I1192" s="155"/>
      <c r="J1192" s="155"/>
      <c r="K1192" s="156"/>
      <c r="L1192" s="10"/>
    </row>
    <row r="1193" spans="1:12" s="146" customFormat="1" ht="18" x14ac:dyDescent="0.25">
      <c r="A1193" s="1174"/>
      <c r="B1193" s="1141"/>
      <c r="C1193" s="1632" t="s">
        <v>823</v>
      </c>
      <c r="D1193" s="1632"/>
      <c r="E1193" s="1111"/>
      <c r="F1193" s="1112"/>
      <c r="G1193" s="322"/>
      <c r="H1193" s="150">
        <f>SUM(H1188:H1192)</f>
        <v>0</v>
      </c>
      <c r="I1193" s="150">
        <f>SUM(I1188:I1192)</f>
        <v>0</v>
      </c>
      <c r="J1193" s="150">
        <f>SUM(J1188:J1192)</f>
        <v>0</v>
      </c>
      <c r="K1193" s="150">
        <f>SUM(K1188:K1192)</f>
        <v>0</v>
      </c>
      <c r="L1193" s="10"/>
    </row>
    <row r="1194" spans="1:12" s="146" customFormat="1" ht="18" x14ac:dyDescent="0.25">
      <c r="A1194" s="1174"/>
      <c r="B1194" s="1141"/>
      <c r="C1194" s="1632" t="s">
        <v>1770</v>
      </c>
      <c r="D1194" s="1632"/>
      <c r="E1194" s="1111"/>
      <c r="F1194" s="1112"/>
      <c r="G1194" s="322"/>
      <c r="H1194" s="150">
        <f>H1185+H1193</f>
        <v>0</v>
      </c>
      <c r="I1194" s="150">
        <f>I1185+I1193</f>
        <v>0</v>
      </c>
      <c r="J1194" s="150">
        <f>J1185+J1193</f>
        <v>0</v>
      </c>
      <c r="K1194" s="150">
        <f>K1185+K1193</f>
        <v>0</v>
      </c>
      <c r="L1194" s="10"/>
    </row>
    <row r="1195" spans="1:12" s="146" customFormat="1" ht="18" x14ac:dyDescent="0.25">
      <c r="A1195" s="1174"/>
      <c r="B1195" s="1141"/>
      <c r="C1195" s="1628"/>
      <c r="D1195" s="1628"/>
      <c r="E1195" s="1111"/>
      <c r="F1195" s="1112"/>
      <c r="G1195" s="322"/>
      <c r="H1195" s="155"/>
      <c r="I1195" s="155"/>
      <c r="J1195" s="155"/>
      <c r="K1195" s="156"/>
      <c r="L1195" s="10"/>
    </row>
    <row r="1196" spans="1:12" s="146" customFormat="1" ht="18" x14ac:dyDescent="0.25">
      <c r="A1196" s="327" t="s">
        <v>1771</v>
      </c>
      <c r="B1196" s="369"/>
      <c r="C1196" s="1098"/>
      <c r="D1196" s="1100"/>
      <c r="E1196" s="1111"/>
      <c r="F1196" s="1112"/>
      <c r="G1196" s="322"/>
      <c r="H1196" s="155"/>
      <c r="I1196" s="155"/>
      <c r="J1196" s="155"/>
      <c r="K1196" s="156"/>
      <c r="L1196" s="10"/>
    </row>
    <row r="1197" spans="1:12" s="146" customFormat="1" ht="18" x14ac:dyDescent="0.25">
      <c r="A1197" s="327" t="s">
        <v>1772</v>
      </c>
      <c r="B1197" s="369"/>
      <c r="C1197" s="1098"/>
      <c r="D1197" s="1100"/>
      <c r="E1197" s="1111"/>
      <c r="F1197" s="1112"/>
      <c r="G1197" s="322"/>
      <c r="H1197" s="155"/>
      <c r="I1197" s="155"/>
      <c r="J1197" s="155"/>
      <c r="K1197" s="156"/>
      <c r="L1197" s="10"/>
    </row>
    <row r="1198" spans="1:12" s="146" customFormat="1" ht="42" customHeight="1" x14ac:dyDescent="0.25">
      <c r="A1198" s="1174"/>
      <c r="B1198" s="1141"/>
      <c r="C1198" s="1574" t="s">
        <v>1773</v>
      </c>
      <c r="D1198" s="1574"/>
      <c r="E1198" s="1111"/>
      <c r="F1198" s="1112"/>
      <c r="G1198" s="322"/>
      <c r="H1198" s="155"/>
      <c r="I1198" s="155"/>
      <c r="J1198" s="155"/>
      <c r="K1198" s="156"/>
      <c r="L1198" s="10"/>
    </row>
    <row r="1199" spans="1:12" s="146" customFormat="1" ht="42" customHeight="1" x14ac:dyDescent="0.25">
      <c r="A1199" s="1174"/>
      <c r="B1199" s="1141"/>
      <c r="C1199" s="1574" t="s">
        <v>1774</v>
      </c>
      <c r="D1199" s="1574"/>
      <c r="E1199" s="1111"/>
      <c r="F1199" s="1112"/>
      <c r="G1199" s="322"/>
      <c r="H1199" s="155"/>
      <c r="I1199" s="155"/>
      <c r="J1199" s="155"/>
      <c r="K1199" s="156"/>
      <c r="L1199" s="10"/>
    </row>
    <row r="1200" spans="1:12" s="146" customFormat="1" ht="33.75" customHeight="1" x14ac:dyDescent="0.25">
      <c r="A1200" s="1174"/>
      <c r="B1200" s="1141"/>
      <c r="C1200" s="1574" t="s">
        <v>1775</v>
      </c>
      <c r="D1200" s="1574"/>
      <c r="E1200" s="1111"/>
      <c r="F1200" s="1112"/>
      <c r="G1200" s="322"/>
      <c r="H1200" s="155"/>
      <c r="I1200" s="155"/>
      <c r="J1200" s="155"/>
      <c r="K1200" s="156"/>
      <c r="L1200" s="10"/>
    </row>
    <row r="1201" spans="1:12" s="146" customFormat="1" ht="33" customHeight="1" x14ac:dyDescent="0.25">
      <c r="A1201" s="1174"/>
      <c r="B1201" s="1141"/>
      <c r="C1201" s="1574" t="s">
        <v>1776</v>
      </c>
      <c r="D1201" s="1574"/>
      <c r="E1201" s="1111"/>
      <c r="F1201" s="1112"/>
      <c r="G1201" s="322"/>
      <c r="H1201" s="155"/>
      <c r="I1201" s="155"/>
      <c r="J1201" s="155"/>
      <c r="K1201" s="156"/>
      <c r="L1201" s="10"/>
    </row>
    <row r="1202" spans="1:12" s="146" customFormat="1" ht="34.5" customHeight="1" x14ac:dyDescent="0.25">
      <c r="A1202" s="1174"/>
      <c r="B1202" s="1141"/>
      <c r="C1202" s="1574" t="s">
        <v>1777</v>
      </c>
      <c r="D1202" s="1574"/>
      <c r="E1202" s="1111"/>
      <c r="F1202" s="1112"/>
      <c r="G1202" s="322"/>
      <c r="H1202" s="155"/>
      <c r="I1202" s="155"/>
      <c r="J1202" s="155"/>
      <c r="K1202" s="156"/>
      <c r="L1202" s="10"/>
    </row>
    <row r="1203" spans="1:12" s="146" customFormat="1" ht="33" customHeight="1" x14ac:dyDescent="0.25">
      <c r="A1203" s="1174"/>
      <c r="B1203" s="1141"/>
      <c r="C1203" s="1574" t="s">
        <v>1778</v>
      </c>
      <c r="D1203" s="1574"/>
      <c r="E1203" s="1111"/>
      <c r="F1203" s="1112"/>
      <c r="G1203" s="322"/>
      <c r="H1203" s="155"/>
      <c r="I1203" s="155"/>
      <c r="J1203" s="155"/>
      <c r="K1203" s="156"/>
      <c r="L1203" s="10"/>
    </row>
    <row r="1204" spans="1:12" s="146" customFormat="1" ht="17.25" customHeight="1" x14ac:dyDescent="0.25">
      <c r="A1204" s="1174"/>
      <c r="B1204" s="1141"/>
      <c r="C1204" s="1725" t="s">
        <v>1768</v>
      </c>
      <c r="D1204" s="1725"/>
      <c r="E1204" s="1111"/>
      <c r="F1204" s="1112"/>
      <c r="G1204" s="322"/>
      <c r="H1204" s="155"/>
      <c r="I1204" s="155"/>
      <c r="J1204" s="155"/>
      <c r="K1204" s="156"/>
      <c r="L1204" s="10"/>
    </row>
    <row r="1205" spans="1:12" s="146" customFormat="1" ht="34.5" customHeight="1" x14ac:dyDescent="0.25">
      <c r="A1205" s="1174"/>
      <c r="B1205" s="1141"/>
      <c r="C1205" s="1574" t="s">
        <v>1779</v>
      </c>
      <c r="D1205" s="1574"/>
      <c r="E1205" s="1111"/>
      <c r="F1205" s="1112"/>
      <c r="G1205" s="322"/>
      <c r="H1205" s="155"/>
      <c r="I1205" s="155"/>
      <c r="J1205" s="155"/>
      <c r="K1205" s="156"/>
      <c r="L1205" s="10"/>
    </row>
    <row r="1206" spans="1:12" s="146" customFormat="1" ht="36" customHeight="1" x14ac:dyDescent="0.25">
      <c r="A1206" s="1174"/>
      <c r="B1206" s="1141"/>
      <c r="C1206" s="1574" t="s">
        <v>1766</v>
      </c>
      <c r="D1206" s="1574"/>
      <c r="E1206" s="1111"/>
      <c r="F1206" s="1112"/>
      <c r="G1206" s="322"/>
      <c r="H1206" s="155"/>
      <c r="I1206" s="155"/>
      <c r="J1206" s="155"/>
      <c r="K1206" s="156"/>
      <c r="L1206" s="10"/>
    </row>
    <row r="1207" spans="1:12" s="146" customFormat="1" ht="18" x14ac:dyDescent="0.25">
      <c r="A1207" s="1174"/>
      <c r="B1207" s="1141"/>
      <c r="C1207" s="369" t="s">
        <v>1780</v>
      </c>
      <c r="D1207" s="1100"/>
      <c r="E1207" s="1111"/>
      <c r="F1207" s="1112"/>
      <c r="G1207" s="322"/>
      <c r="H1207" s="150">
        <f>SUM(H1198:H1206)</f>
        <v>0</v>
      </c>
      <c r="I1207" s="150">
        <f>SUM(I1198:I1206)</f>
        <v>0</v>
      </c>
      <c r="J1207" s="150">
        <f>SUM(J1198:J1206)</f>
        <v>0</v>
      </c>
      <c r="K1207" s="150">
        <f>SUM(K1198:K1206)</f>
        <v>0</v>
      </c>
      <c r="L1207" s="10"/>
    </row>
    <row r="1208" spans="1:12" s="146" customFormat="1" ht="18" x14ac:dyDescent="0.25">
      <c r="A1208" s="1174"/>
      <c r="B1208" s="1141"/>
      <c r="C1208" s="369"/>
      <c r="D1208" s="1100"/>
      <c r="E1208" s="1111"/>
      <c r="F1208" s="1112"/>
      <c r="G1208" s="322"/>
      <c r="H1208" s="156"/>
      <c r="I1208" s="156"/>
      <c r="J1208" s="156"/>
      <c r="K1208" s="156"/>
      <c r="L1208" s="10"/>
    </row>
    <row r="1209" spans="1:12" s="146" customFormat="1" ht="18" x14ac:dyDescent="0.25">
      <c r="A1209" s="327" t="s">
        <v>1781</v>
      </c>
      <c r="B1209" s="369"/>
      <c r="C1209" s="1098"/>
      <c r="D1209" s="1100"/>
      <c r="E1209" s="1111"/>
      <c r="F1209" s="1112"/>
      <c r="G1209" s="322"/>
      <c r="H1209" s="155"/>
      <c r="I1209" s="155"/>
      <c r="J1209" s="155"/>
      <c r="K1209" s="156"/>
      <c r="L1209" s="10"/>
    </row>
    <row r="1210" spans="1:12" s="146" customFormat="1" ht="36" customHeight="1" x14ac:dyDescent="0.25">
      <c r="A1210" s="1174"/>
      <c r="B1210" s="1141"/>
      <c r="C1210" s="1574" t="s">
        <v>1782</v>
      </c>
      <c r="D1210" s="1574"/>
      <c r="E1210" s="1111"/>
      <c r="F1210" s="1112"/>
      <c r="G1210" s="322"/>
      <c r="H1210" s="155"/>
      <c r="I1210" s="155"/>
      <c r="J1210" s="155"/>
      <c r="K1210" s="156"/>
      <c r="L1210" s="10"/>
    </row>
    <row r="1211" spans="1:12" s="146" customFormat="1" ht="39" customHeight="1" thickBot="1" x14ac:dyDescent="0.3">
      <c r="A1211" s="1215"/>
      <c r="B1211" s="447"/>
      <c r="C1211" s="1726" t="s">
        <v>1783</v>
      </c>
      <c r="D1211" s="1726"/>
      <c r="E1211" s="1145"/>
      <c r="F1211" s="660"/>
      <c r="G1211" s="1217"/>
      <c r="H1211" s="182"/>
      <c r="I1211" s="182"/>
      <c r="J1211" s="182"/>
      <c r="K1211" s="183"/>
      <c r="L1211" s="10"/>
    </row>
    <row r="1212" spans="1:12" s="146" customFormat="1" ht="17.45" customHeight="1" x14ac:dyDescent="0.25">
      <c r="A1212" s="1141"/>
      <c r="B1212" s="1141"/>
      <c r="C1212" s="1098"/>
      <c r="D1212" s="1098"/>
      <c r="E1212" s="1111"/>
      <c r="F1212" s="1111"/>
      <c r="G1212" s="322"/>
      <c r="H1212" s="126"/>
      <c r="I1212" s="126"/>
      <c r="J1212" s="126"/>
      <c r="K1212" s="127"/>
      <c r="L1212" s="10"/>
    </row>
    <row r="1213" spans="1:12" s="146" customFormat="1" ht="17.45" customHeight="1" x14ac:dyDescent="0.25">
      <c r="A1213" s="1141"/>
      <c r="B1213" s="1141"/>
      <c r="C1213" s="1098"/>
      <c r="D1213" s="1098"/>
      <c r="E1213" s="1111"/>
      <c r="F1213" s="1111"/>
      <c r="G1213" s="322"/>
      <c r="H1213" s="126"/>
      <c r="I1213" s="126"/>
      <c r="J1213" s="126"/>
      <c r="K1213" s="127"/>
      <c r="L1213" s="10"/>
    </row>
    <row r="1214" spans="1:12" s="146" customFormat="1" ht="17.45" customHeight="1" x14ac:dyDescent="0.25">
      <c r="A1214" s="1141"/>
      <c r="B1214" s="1141"/>
      <c r="C1214" s="1098"/>
      <c r="D1214" s="1098"/>
      <c r="E1214" s="1111"/>
      <c r="F1214" s="1111"/>
      <c r="G1214" s="322"/>
      <c r="H1214" s="126"/>
      <c r="I1214" s="126"/>
      <c r="J1214" s="126"/>
      <c r="K1214" s="127"/>
      <c r="L1214" s="10"/>
    </row>
    <row r="1215" spans="1:12" s="146" customFormat="1" ht="17.45" customHeight="1" x14ac:dyDescent="0.25">
      <c r="A1215" s="1141"/>
      <c r="B1215" s="1141"/>
      <c r="C1215" s="1098"/>
      <c r="D1215" s="1098"/>
      <c r="E1215" s="1111"/>
      <c r="F1215" s="1111"/>
      <c r="G1215" s="322"/>
      <c r="H1215" s="126"/>
      <c r="I1215" s="126"/>
      <c r="J1215" s="126"/>
      <c r="K1215" s="127"/>
      <c r="L1215" s="10"/>
    </row>
    <row r="1216" spans="1:12" s="146" customFormat="1" ht="17.45" customHeight="1" x14ac:dyDescent="0.25">
      <c r="A1216" s="1141"/>
      <c r="B1216" s="1141"/>
      <c r="C1216" s="1098"/>
      <c r="D1216" s="1098"/>
      <c r="E1216" s="1111"/>
      <c r="F1216" s="1111"/>
      <c r="G1216" s="322"/>
      <c r="H1216" s="126"/>
      <c r="I1216" s="126"/>
      <c r="J1216" s="126"/>
      <c r="K1216" s="127"/>
      <c r="L1216" s="10"/>
    </row>
    <row r="1217" spans="1:12" s="146" customFormat="1" ht="17.45" customHeight="1" x14ac:dyDescent="0.25">
      <c r="A1217" s="1141"/>
      <c r="B1217" s="1141"/>
      <c r="C1217" s="1098"/>
      <c r="D1217" s="1098"/>
      <c r="E1217" s="1111"/>
      <c r="F1217" s="1111"/>
      <c r="G1217" s="322"/>
      <c r="H1217" s="126"/>
      <c r="I1217" s="126"/>
      <c r="J1217" s="126"/>
      <c r="K1217" s="127"/>
      <c r="L1217" s="10"/>
    </row>
    <row r="1218" spans="1:12" s="146" customFormat="1" ht="17.45" customHeight="1" x14ac:dyDescent="0.25">
      <c r="A1218" s="1141"/>
      <c r="B1218" s="1141"/>
      <c r="C1218" s="1098"/>
      <c r="D1218" s="1098"/>
      <c r="E1218" s="1111"/>
      <c r="F1218" s="1111"/>
      <c r="G1218" s="322"/>
      <c r="H1218" s="126"/>
      <c r="I1218" s="126"/>
      <c r="J1218" s="126"/>
      <c r="K1218" s="127"/>
      <c r="L1218" s="10"/>
    </row>
    <row r="1219" spans="1:12" s="146" customFormat="1" ht="17.45" customHeight="1" x14ac:dyDescent="0.25">
      <c r="A1219" s="1141"/>
      <c r="B1219" s="1141"/>
      <c r="C1219" s="1098"/>
      <c r="D1219" s="1098"/>
      <c r="E1219" s="1111"/>
      <c r="F1219" s="1111"/>
      <c r="G1219" s="322"/>
      <c r="H1219" s="126"/>
      <c r="I1219" s="126"/>
      <c r="J1219" s="126"/>
      <c r="K1219" s="127"/>
      <c r="L1219" s="10"/>
    </row>
    <row r="1220" spans="1:12" ht="18" customHeight="1" x14ac:dyDescent="0.25">
      <c r="A1220" s="8" t="s">
        <v>112</v>
      </c>
    </row>
    <row r="1221" spans="1:12" ht="18" customHeight="1" x14ac:dyDescent="0.25">
      <c r="A1221" s="8" t="s">
        <v>755</v>
      </c>
    </row>
    <row r="1222" spans="1:12" ht="18" customHeight="1" x14ac:dyDescent="0.25">
      <c r="A1222" s="1636" t="s">
        <v>113</v>
      </c>
      <c r="B1222" s="1636"/>
      <c r="C1222" s="1636"/>
      <c r="D1222" s="1636"/>
      <c r="E1222" s="1636"/>
      <c r="F1222" s="1636"/>
      <c r="G1222" s="1636"/>
      <c r="H1222" s="1636"/>
      <c r="I1222" s="1636"/>
      <c r="J1222" s="1636"/>
      <c r="K1222" s="1101"/>
    </row>
    <row r="1223" spans="1:12" s="7" customFormat="1" ht="18" customHeight="1" x14ac:dyDescent="0.25">
      <c r="A1223" s="1686" t="s">
        <v>114</v>
      </c>
      <c r="B1223" s="1686"/>
      <c r="C1223" s="1686"/>
      <c r="D1223" s="1686"/>
      <c r="E1223" s="1686"/>
      <c r="F1223" s="1686"/>
      <c r="G1223" s="1686"/>
      <c r="H1223" s="1686"/>
      <c r="I1223" s="1686"/>
      <c r="J1223" s="1686"/>
      <c r="K1223" s="956"/>
      <c r="L1223" s="6"/>
    </row>
    <row r="1224" spans="1:12" x14ac:dyDescent="0.25">
      <c r="A1224" s="75"/>
      <c r="B1224" s="75"/>
      <c r="C1224" s="252"/>
      <c r="D1224" s="75"/>
      <c r="E1224" s="75"/>
      <c r="F1224" s="75"/>
      <c r="G1224" s="75"/>
      <c r="H1224" s="141"/>
      <c r="I1224" s="141"/>
      <c r="J1224" s="141"/>
      <c r="K1224" s="122"/>
    </row>
    <row r="1225" spans="1:12" ht="16.5" thickBot="1" x14ac:dyDescent="0.3">
      <c r="A1225" s="256"/>
      <c r="B1225" s="256"/>
      <c r="C1225" s="255"/>
      <c r="D1225" s="256"/>
      <c r="E1225" s="256"/>
      <c r="F1225" s="256"/>
      <c r="G1225" s="256"/>
      <c r="H1225" s="266"/>
      <c r="I1225" s="266"/>
      <c r="J1225" s="266"/>
      <c r="K1225" s="267"/>
    </row>
    <row r="1226" spans="1:12" s="48" customFormat="1" ht="21.75" customHeight="1" thickBot="1" x14ac:dyDescent="0.3">
      <c r="A1226" s="1655" t="s">
        <v>115</v>
      </c>
      <c r="B1226" s="1655"/>
      <c r="C1226" s="1655"/>
      <c r="D1226" s="1655"/>
      <c r="E1226" s="1655"/>
      <c r="F1226" s="1655"/>
      <c r="G1226" s="1212"/>
      <c r="H1226" s="1708" t="s">
        <v>1537</v>
      </c>
      <c r="I1226" s="1710" t="s">
        <v>1538</v>
      </c>
      <c r="J1226" s="1710" t="s">
        <v>1539</v>
      </c>
      <c r="K1226" s="1710" t="s">
        <v>1540</v>
      </c>
      <c r="L1226" s="47"/>
    </row>
    <row r="1227" spans="1:12" s="1153" customFormat="1" ht="31.5" customHeight="1" thickBot="1" x14ac:dyDescent="0.3">
      <c r="A1227" s="1655"/>
      <c r="B1227" s="1655"/>
      <c r="C1227" s="1655"/>
      <c r="D1227" s="1655"/>
      <c r="E1227" s="1655"/>
      <c r="F1227" s="1655"/>
      <c r="G1227" s="1116" t="s">
        <v>116</v>
      </c>
      <c r="H1227" s="1709"/>
      <c r="I1227" s="1710"/>
      <c r="J1227" s="1710"/>
      <c r="K1227" s="1710"/>
      <c r="L1227" s="1152"/>
    </row>
    <row r="1228" spans="1:12" s="146" customFormat="1" ht="18" x14ac:dyDescent="0.25">
      <c r="A1228" s="1174"/>
      <c r="B1228" s="1141"/>
      <c r="C1228" s="1141" t="s">
        <v>1784</v>
      </c>
      <c r="D1228" s="1098"/>
      <c r="E1228" s="1111"/>
      <c r="F1228" s="1112"/>
      <c r="G1228" s="322"/>
      <c r="H1228" s="155"/>
      <c r="I1228" s="155"/>
      <c r="J1228" s="155"/>
      <c r="K1228" s="156"/>
      <c r="L1228" s="10"/>
    </row>
    <row r="1229" spans="1:12" s="146" customFormat="1" ht="18" x14ac:dyDescent="0.25">
      <c r="A1229" s="1174"/>
      <c r="B1229" s="1141"/>
      <c r="C1229" s="1141" t="s">
        <v>1785</v>
      </c>
      <c r="D1229" s="573"/>
      <c r="E1229" s="1111"/>
      <c r="F1229" s="1112"/>
      <c r="G1229" s="322"/>
      <c r="H1229" s="155"/>
      <c r="I1229" s="155"/>
      <c r="J1229" s="155"/>
      <c r="K1229" s="156"/>
      <c r="L1229" s="10"/>
    </row>
    <row r="1230" spans="1:12" s="146" customFormat="1" ht="18" x14ac:dyDescent="0.25">
      <c r="A1230" s="1174"/>
      <c r="B1230" s="1141"/>
      <c r="C1230" s="1141" t="s">
        <v>1786</v>
      </c>
      <c r="D1230" s="573"/>
      <c r="E1230" s="1111"/>
      <c r="F1230" s="1112"/>
      <c r="G1230" s="322"/>
      <c r="H1230" s="155"/>
      <c r="I1230" s="155"/>
      <c r="J1230" s="155"/>
      <c r="K1230" s="156"/>
      <c r="L1230" s="10"/>
    </row>
    <row r="1231" spans="1:12" s="146" customFormat="1" ht="18" x14ac:dyDescent="0.25">
      <c r="A1231" s="1174"/>
      <c r="B1231" s="1141"/>
      <c r="C1231" s="1141" t="s">
        <v>1787</v>
      </c>
      <c r="D1231" s="573"/>
      <c r="E1231" s="1111"/>
      <c r="F1231" s="1112"/>
      <c r="G1231" s="322"/>
      <c r="H1231" s="155"/>
      <c r="I1231" s="155"/>
      <c r="J1231" s="155"/>
      <c r="K1231" s="156"/>
      <c r="L1231" s="10"/>
    </row>
    <row r="1232" spans="1:12" s="146" customFormat="1" ht="18" x14ac:dyDescent="0.25">
      <c r="A1232" s="1174"/>
      <c r="B1232" s="1141"/>
      <c r="C1232" s="1141" t="s">
        <v>1788</v>
      </c>
      <c r="D1232" s="573"/>
      <c r="E1232" s="1111"/>
      <c r="F1232" s="1112"/>
      <c r="G1232" s="322"/>
      <c r="H1232" s="155"/>
      <c r="I1232" s="155"/>
      <c r="J1232" s="155"/>
      <c r="K1232" s="156"/>
      <c r="L1232" s="10"/>
    </row>
    <row r="1233" spans="1:12" s="146" customFormat="1" ht="18" x14ac:dyDescent="0.25">
      <c r="A1233" s="1174"/>
      <c r="B1233" s="1141"/>
      <c r="C1233" s="1141" t="s">
        <v>1789</v>
      </c>
      <c r="D1233" s="573"/>
      <c r="E1233" s="1111"/>
      <c r="F1233" s="1112"/>
      <c r="G1233" s="322"/>
      <c r="H1233" s="155"/>
      <c r="I1233" s="155"/>
      <c r="J1233" s="155"/>
      <c r="K1233" s="156"/>
      <c r="L1233" s="10"/>
    </row>
    <row r="1234" spans="1:12" s="146" customFormat="1" ht="18" x14ac:dyDescent="0.25">
      <c r="A1234" s="1174"/>
      <c r="B1234" s="1141"/>
      <c r="C1234" s="1141" t="s">
        <v>1790</v>
      </c>
      <c r="D1234" s="573"/>
      <c r="E1234" s="1111"/>
      <c r="F1234" s="1112"/>
      <c r="G1234" s="322"/>
      <c r="H1234" s="155"/>
      <c r="I1234" s="155"/>
      <c r="J1234" s="155"/>
      <c r="K1234" s="156"/>
      <c r="L1234" s="10"/>
    </row>
    <row r="1235" spans="1:12" s="146" customFormat="1" ht="18" x14ac:dyDescent="0.25">
      <c r="A1235" s="1174"/>
      <c r="B1235" s="1141"/>
      <c r="C1235" s="1141" t="s">
        <v>1791</v>
      </c>
      <c r="D1235" s="573"/>
      <c r="E1235" s="1111"/>
      <c r="F1235" s="1112"/>
      <c r="G1235" s="322"/>
      <c r="H1235" s="155"/>
      <c r="I1235" s="155"/>
      <c r="J1235" s="155"/>
      <c r="K1235" s="156"/>
      <c r="L1235" s="10"/>
    </row>
    <row r="1236" spans="1:12" s="146" customFormat="1" ht="18" x14ac:dyDescent="0.25">
      <c r="A1236" s="1174"/>
      <c r="B1236" s="1141"/>
      <c r="C1236" s="1141" t="s">
        <v>1792</v>
      </c>
      <c r="D1236" s="573"/>
      <c r="E1236" s="1111"/>
      <c r="F1236" s="1112"/>
      <c r="G1236" s="322"/>
      <c r="H1236" s="155"/>
      <c r="I1236" s="155"/>
      <c r="J1236" s="155"/>
      <c r="K1236" s="156"/>
      <c r="L1236" s="10"/>
    </row>
    <row r="1237" spans="1:12" s="146" customFormat="1" ht="18" x14ac:dyDescent="0.25">
      <c r="A1237" s="1174"/>
      <c r="B1237" s="1141"/>
      <c r="C1237" s="1141" t="s">
        <v>1793</v>
      </c>
      <c r="D1237" s="573"/>
      <c r="E1237" s="1111"/>
      <c r="F1237" s="1112"/>
      <c r="G1237" s="322"/>
      <c r="H1237" s="155"/>
      <c r="I1237" s="155"/>
      <c r="J1237" s="155"/>
      <c r="K1237" s="156"/>
      <c r="L1237" s="10"/>
    </row>
    <row r="1238" spans="1:12" s="146" customFormat="1" ht="18" x14ac:dyDescent="0.25">
      <c r="A1238" s="1174"/>
      <c r="B1238" s="1141"/>
      <c r="C1238" s="369" t="s">
        <v>1794</v>
      </c>
      <c r="D1238" s="1100"/>
      <c r="E1238" s="1111"/>
      <c r="F1238" s="1112"/>
      <c r="G1238" s="322"/>
      <c r="H1238" s="150">
        <f>SUM(H1210:H1237)</f>
        <v>0</v>
      </c>
      <c r="I1238" s="150">
        <f>SUM(I1210:I1237)</f>
        <v>0</v>
      </c>
      <c r="J1238" s="150">
        <f>SUM(J1210:J1237)</f>
        <v>0</v>
      </c>
      <c r="K1238" s="150">
        <f>SUM(K1210:K1237)</f>
        <v>0</v>
      </c>
      <c r="L1238" s="10"/>
    </row>
    <row r="1239" spans="1:12" s="146" customFormat="1" ht="18" x14ac:dyDescent="0.25">
      <c r="A1239" s="1174"/>
      <c r="B1239" s="1141"/>
      <c r="C1239" s="369"/>
      <c r="D1239" s="1100"/>
      <c r="E1239" s="1111"/>
      <c r="F1239" s="1112"/>
      <c r="G1239" s="322"/>
      <c r="H1239" s="156"/>
      <c r="I1239" s="156"/>
      <c r="J1239" s="156"/>
      <c r="K1239" s="156"/>
      <c r="L1239" s="10"/>
    </row>
    <row r="1240" spans="1:12" s="146" customFormat="1" ht="18" x14ac:dyDescent="0.25">
      <c r="A1240" s="327" t="s">
        <v>1795</v>
      </c>
      <c r="B1240" s="369"/>
      <c r="C1240" s="1141"/>
      <c r="D1240" s="1100"/>
      <c r="E1240" s="1111"/>
      <c r="F1240" s="1112"/>
      <c r="G1240" s="322"/>
      <c r="H1240" s="155"/>
      <c r="I1240" s="155"/>
      <c r="J1240" s="155"/>
      <c r="K1240" s="156"/>
      <c r="L1240" s="10"/>
    </row>
    <row r="1241" spans="1:12" s="146" customFormat="1" ht="35.25" customHeight="1" x14ac:dyDescent="0.25">
      <c r="A1241" s="1174"/>
      <c r="B1241" s="1141"/>
      <c r="C1241" s="1574" t="s">
        <v>1796</v>
      </c>
      <c r="D1241" s="1574"/>
      <c r="E1241" s="1111"/>
      <c r="F1241" s="1112"/>
      <c r="G1241" s="322"/>
      <c r="H1241" s="155"/>
      <c r="I1241" s="155"/>
      <c r="J1241" s="155"/>
      <c r="K1241" s="156"/>
      <c r="L1241" s="10"/>
    </row>
    <row r="1242" spans="1:12" s="146" customFormat="1" ht="36.75" customHeight="1" x14ac:dyDescent="0.25">
      <c r="A1242" s="1174"/>
      <c r="B1242" s="1141"/>
      <c r="C1242" s="1574" t="s">
        <v>1797</v>
      </c>
      <c r="D1242" s="1574"/>
      <c r="E1242" s="1111"/>
      <c r="F1242" s="1112"/>
      <c r="G1242" s="322"/>
      <c r="H1242" s="155"/>
      <c r="I1242" s="155"/>
      <c r="J1242" s="155"/>
      <c r="K1242" s="156"/>
      <c r="L1242" s="10"/>
    </row>
    <row r="1243" spans="1:12" s="146" customFormat="1" ht="36.75" customHeight="1" x14ac:dyDescent="0.25">
      <c r="A1243" s="1174"/>
      <c r="B1243" s="1141"/>
      <c r="C1243" s="1574" t="s">
        <v>1798</v>
      </c>
      <c r="D1243" s="1574"/>
      <c r="E1243" s="1111"/>
      <c r="F1243" s="1112"/>
      <c r="G1243" s="322"/>
      <c r="H1243" s="155"/>
      <c r="I1243" s="155"/>
      <c r="J1243" s="155"/>
      <c r="K1243" s="156"/>
      <c r="L1243" s="10"/>
    </row>
    <row r="1244" spans="1:12" s="146" customFormat="1" ht="37.5" customHeight="1" x14ac:dyDescent="0.25">
      <c r="A1244" s="1174"/>
      <c r="B1244" s="1141"/>
      <c r="C1244" s="1574" t="s">
        <v>1769</v>
      </c>
      <c r="D1244" s="1574"/>
      <c r="E1244" s="1111"/>
      <c r="F1244" s="1112"/>
      <c r="G1244" s="322"/>
      <c r="H1244" s="155"/>
      <c r="I1244" s="155"/>
      <c r="J1244" s="155"/>
      <c r="K1244" s="156"/>
      <c r="L1244" s="10"/>
    </row>
    <row r="1245" spans="1:12" s="146" customFormat="1" ht="18" x14ac:dyDescent="0.25">
      <c r="A1245" s="1174"/>
      <c r="B1245" s="1141"/>
      <c r="C1245" s="369" t="s">
        <v>1799</v>
      </c>
      <c r="D1245" s="1100"/>
      <c r="E1245" s="1111"/>
      <c r="F1245" s="1112"/>
      <c r="G1245" s="322"/>
      <c r="H1245" s="150">
        <f>SUM(H1241:H1244)</f>
        <v>0</v>
      </c>
      <c r="I1245" s="150">
        <f>SUM(I1241:I1244)</f>
        <v>0</v>
      </c>
      <c r="J1245" s="150">
        <f>SUM(J1241:J1244)</f>
        <v>0</v>
      </c>
      <c r="K1245" s="150">
        <f>SUM(K1241:K1244)</f>
        <v>0</v>
      </c>
      <c r="L1245" s="10"/>
    </row>
    <row r="1246" spans="1:12" s="146" customFormat="1" ht="18" x14ac:dyDescent="0.25">
      <c r="A1246" s="1174"/>
      <c r="B1246" s="1141"/>
      <c r="C1246" s="369"/>
      <c r="D1246" s="1100"/>
      <c r="E1246" s="1111"/>
      <c r="F1246" s="1112"/>
      <c r="G1246" s="322"/>
      <c r="H1246" s="156"/>
      <c r="I1246" s="156"/>
      <c r="J1246" s="156"/>
      <c r="K1246" s="156"/>
      <c r="L1246" s="10"/>
    </row>
    <row r="1247" spans="1:12" s="146" customFormat="1" ht="18" x14ac:dyDescent="0.25">
      <c r="A1247" s="327" t="s">
        <v>1800</v>
      </c>
      <c r="B1247" s="369"/>
      <c r="C1247" s="1141"/>
      <c r="D1247" s="1100"/>
      <c r="E1247" s="1111"/>
      <c r="F1247" s="1112"/>
      <c r="G1247" s="322"/>
      <c r="H1247" s="155"/>
      <c r="I1247" s="155"/>
      <c r="J1247" s="155"/>
      <c r="K1247" s="156"/>
      <c r="L1247" s="10"/>
    </row>
    <row r="1248" spans="1:12" s="146" customFormat="1" ht="36" customHeight="1" x14ac:dyDescent="0.25">
      <c r="A1248" s="1174"/>
      <c r="B1248" s="1141"/>
      <c r="C1248" s="1574" t="s">
        <v>1801</v>
      </c>
      <c r="D1248" s="1574"/>
      <c r="E1248" s="1111"/>
      <c r="F1248" s="1112"/>
      <c r="G1248" s="322"/>
      <c r="H1248" s="155"/>
      <c r="I1248" s="155"/>
      <c r="J1248" s="155"/>
      <c r="K1248" s="156"/>
      <c r="L1248" s="10"/>
    </row>
    <row r="1249" spans="1:12" s="146" customFormat="1" ht="36.75" customHeight="1" x14ac:dyDescent="0.25">
      <c r="A1249" s="1174"/>
      <c r="B1249" s="1141"/>
      <c r="C1249" s="1574" t="s">
        <v>1802</v>
      </c>
      <c r="D1249" s="1574"/>
      <c r="E1249" s="1111"/>
      <c r="F1249" s="1112"/>
      <c r="G1249" s="322"/>
      <c r="H1249" s="155"/>
      <c r="I1249" s="155"/>
      <c r="J1249" s="155"/>
      <c r="K1249" s="156"/>
      <c r="L1249" s="10"/>
    </row>
    <row r="1250" spans="1:12" s="146" customFormat="1" ht="18" x14ac:dyDescent="0.25">
      <c r="A1250" s="1174"/>
      <c r="B1250" s="1141"/>
      <c r="C1250" s="369" t="s">
        <v>1803</v>
      </c>
      <c r="D1250" s="1100"/>
      <c r="E1250" s="1111"/>
      <c r="F1250" s="1112"/>
      <c r="G1250" s="322"/>
      <c r="H1250" s="150">
        <f>SUM(H1248:H1249)</f>
        <v>0</v>
      </c>
      <c r="I1250" s="150">
        <f>SUM(I1248:I1249)</f>
        <v>0</v>
      </c>
      <c r="J1250" s="150">
        <f>SUM(J1248:J1249)</f>
        <v>0</v>
      </c>
      <c r="K1250" s="150">
        <f>SUM(K1248:K1249)</f>
        <v>0</v>
      </c>
      <c r="L1250" s="10"/>
    </row>
    <row r="1251" spans="1:12" s="146" customFormat="1" ht="18.75" thickBot="1" x14ac:dyDescent="0.3">
      <c r="A1251" s="327"/>
      <c r="B1251" s="369"/>
      <c r="C1251" s="369" t="s">
        <v>1804</v>
      </c>
      <c r="D1251" s="1100"/>
      <c r="E1251" s="1111"/>
      <c r="F1251" s="1112"/>
      <c r="G1251" s="322"/>
      <c r="H1251" s="158">
        <f>H1245+H1238+H1207+H1250</f>
        <v>0</v>
      </c>
      <c r="I1251" s="158">
        <f>I1245+I1238+I1207+I1250</f>
        <v>0</v>
      </c>
      <c r="J1251" s="158">
        <f>J1245+J1238+J1207+J1250</f>
        <v>0</v>
      </c>
      <c r="K1251" s="158">
        <f>K1245+K1238+K1207+K1250</f>
        <v>0</v>
      </c>
      <c r="L1251" s="10"/>
    </row>
    <row r="1252" spans="1:12" s="146" customFormat="1" ht="18" x14ac:dyDescent="0.25">
      <c r="A1252" s="1105"/>
      <c r="B1252" s="1106"/>
      <c r="C1252" s="1098"/>
      <c r="D1252" s="1111"/>
      <c r="E1252" s="1111"/>
      <c r="F1252" s="1111"/>
      <c r="G1252" s="322"/>
      <c r="H1252" s="155"/>
      <c r="I1252" s="155"/>
      <c r="J1252" s="155"/>
      <c r="K1252" s="156"/>
      <c r="L1252" s="10"/>
    </row>
    <row r="1253" spans="1:12" s="146" customFormat="1" ht="18" x14ac:dyDescent="0.25">
      <c r="A1253" s="1105"/>
      <c r="B1253" s="1106"/>
      <c r="C1253" s="1098"/>
      <c r="D1253" s="1111"/>
      <c r="E1253" s="1111"/>
      <c r="F1253" s="1111"/>
      <c r="G1253" s="322"/>
      <c r="H1253" s="155"/>
      <c r="I1253" s="155"/>
      <c r="J1253" s="155"/>
      <c r="K1253" s="156"/>
      <c r="L1253" s="10"/>
    </row>
    <row r="1254" spans="1:12" s="146" customFormat="1" ht="18" x14ac:dyDescent="0.25">
      <c r="A1254" s="1105"/>
      <c r="B1254" s="1106"/>
      <c r="C1254" s="1098"/>
      <c r="D1254" s="1111"/>
      <c r="E1254" s="1111"/>
      <c r="F1254" s="1111"/>
      <c r="G1254" s="322"/>
      <c r="H1254" s="155"/>
      <c r="I1254" s="155"/>
      <c r="J1254" s="155"/>
      <c r="K1254" s="156"/>
      <c r="L1254" s="10"/>
    </row>
    <row r="1255" spans="1:12" s="146" customFormat="1" ht="18" x14ac:dyDescent="0.25">
      <c r="A1255" s="1105"/>
      <c r="B1255" s="1106"/>
      <c r="C1255" s="1098"/>
      <c r="D1255" s="1111"/>
      <c r="E1255" s="1111"/>
      <c r="F1255" s="1111"/>
      <c r="G1255" s="322"/>
      <c r="H1255" s="155"/>
      <c r="I1255" s="155"/>
      <c r="J1255" s="155"/>
      <c r="K1255" s="156"/>
      <c r="L1255" s="10"/>
    </row>
    <row r="1256" spans="1:12" s="146" customFormat="1" ht="18" x14ac:dyDescent="0.25">
      <c r="A1256" s="1105"/>
      <c r="B1256" s="1106"/>
      <c r="C1256" s="1098"/>
      <c r="D1256" s="1111"/>
      <c r="E1256" s="1111"/>
      <c r="F1256" s="1111"/>
      <c r="G1256" s="322"/>
      <c r="H1256" s="155"/>
      <c r="I1256" s="155"/>
      <c r="J1256" s="155"/>
      <c r="K1256" s="156"/>
      <c r="L1256" s="10"/>
    </row>
    <row r="1257" spans="1:12" s="146" customFormat="1" ht="18" x14ac:dyDescent="0.25">
      <c r="A1257" s="1105"/>
      <c r="B1257" s="1106"/>
      <c r="C1257" s="1098"/>
      <c r="D1257" s="1111"/>
      <c r="E1257" s="1111"/>
      <c r="F1257" s="1111"/>
      <c r="G1257" s="322"/>
      <c r="H1257" s="155"/>
      <c r="I1257" s="155"/>
      <c r="J1257" s="155"/>
      <c r="K1257" s="156"/>
      <c r="L1257" s="10"/>
    </row>
    <row r="1258" spans="1:12" s="146" customFormat="1" ht="18" x14ac:dyDescent="0.25">
      <c r="A1258" s="1105"/>
      <c r="B1258" s="1106"/>
      <c r="C1258" s="1098"/>
      <c r="D1258" s="1111"/>
      <c r="E1258" s="1111"/>
      <c r="F1258" s="1111"/>
      <c r="G1258" s="322"/>
      <c r="H1258" s="155"/>
      <c r="I1258" s="155"/>
      <c r="J1258" s="155"/>
      <c r="K1258" s="156"/>
      <c r="L1258" s="10"/>
    </row>
    <row r="1259" spans="1:12" s="146" customFormat="1" ht="18" x14ac:dyDescent="0.25">
      <c r="A1259" s="1105"/>
      <c r="B1259" s="1106"/>
      <c r="C1259" s="1098"/>
      <c r="D1259" s="1111"/>
      <c r="E1259" s="1111"/>
      <c r="F1259" s="1111"/>
      <c r="G1259" s="322"/>
      <c r="H1259" s="155"/>
      <c r="I1259" s="155"/>
      <c r="J1259" s="155"/>
      <c r="K1259" s="156"/>
      <c r="L1259" s="10"/>
    </row>
    <row r="1260" spans="1:12" s="146" customFormat="1" ht="18" x14ac:dyDescent="0.25">
      <c r="A1260" s="1105"/>
      <c r="B1260" s="1106"/>
      <c r="C1260" s="1098"/>
      <c r="D1260" s="1111"/>
      <c r="E1260" s="1111"/>
      <c r="F1260" s="1111"/>
      <c r="G1260" s="322"/>
      <c r="H1260" s="155"/>
      <c r="I1260" s="155"/>
      <c r="J1260" s="155"/>
      <c r="K1260" s="156"/>
      <c r="L1260" s="10"/>
    </row>
    <row r="1261" spans="1:12" s="146" customFormat="1" ht="18" x14ac:dyDescent="0.25">
      <c r="A1261" s="1105"/>
      <c r="B1261" s="1106"/>
      <c r="C1261" s="1098"/>
      <c r="D1261" s="1111"/>
      <c r="E1261" s="1111"/>
      <c r="F1261" s="1111"/>
      <c r="G1261" s="322"/>
      <c r="H1261" s="155"/>
      <c r="I1261" s="155"/>
      <c r="J1261" s="155"/>
      <c r="K1261" s="156"/>
      <c r="L1261" s="10"/>
    </row>
    <row r="1262" spans="1:12" s="146" customFormat="1" ht="18" x14ac:dyDescent="0.25">
      <c r="A1262" s="1105"/>
      <c r="B1262" s="1106"/>
      <c r="C1262" s="1098"/>
      <c r="D1262" s="1111"/>
      <c r="E1262" s="1111"/>
      <c r="F1262" s="1111"/>
      <c r="G1262" s="322"/>
      <c r="H1262" s="155"/>
      <c r="I1262" s="155"/>
      <c r="J1262" s="155"/>
      <c r="K1262" s="156"/>
      <c r="L1262" s="10"/>
    </row>
    <row r="1263" spans="1:12" s="146" customFormat="1" ht="18" x14ac:dyDescent="0.25">
      <c r="A1263" s="1105"/>
      <c r="B1263" s="1106"/>
      <c r="C1263" s="1098"/>
      <c r="D1263" s="1111"/>
      <c r="E1263" s="1111"/>
      <c r="F1263" s="1111"/>
      <c r="G1263" s="322"/>
      <c r="H1263" s="155"/>
      <c r="I1263" s="155"/>
      <c r="J1263" s="155"/>
      <c r="K1263" s="156"/>
      <c r="L1263" s="10"/>
    </row>
    <row r="1264" spans="1:12" s="146" customFormat="1" ht="18" x14ac:dyDescent="0.25">
      <c r="A1264" s="1105"/>
      <c r="B1264" s="1106"/>
      <c r="C1264" s="1098"/>
      <c r="D1264" s="1111"/>
      <c r="E1264" s="1111"/>
      <c r="F1264" s="1111"/>
      <c r="G1264" s="322"/>
      <c r="H1264" s="155"/>
      <c r="I1264" s="155"/>
      <c r="J1264" s="155"/>
      <c r="K1264" s="156"/>
      <c r="L1264" s="10"/>
    </row>
    <row r="1265" spans="1:12" s="146" customFormat="1" ht="18" x14ac:dyDescent="0.25">
      <c r="A1265" s="1105"/>
      <c r="B1265" s="1106"/>
      <c r="C1265" s="1098"/>
      <c r="D1265" s="1111"/>
      <c r="E1265" s="1111"/>
      <c r="F1265" s="1111"/>
      <c r="G1265" s="322"/>
      <c r="H1265" s="155"/>
      <c r="I1265" s="155"/>
      <c r="J1265" s="155"/>
      <c r="K1265" s="156"/>
      <c r="L1265" s="10"/>
    </row>
    <row r="1266" spans="1:12" s="146" customFormat="1" ht="18" x14ac:dyDescent="0.25">
      <c r="A1266" s="1105"/>
      <c r="B1266" s="1106"/>
      <c r="C1266" s="1098"/>
      <c r="D1266" s="1111"/>
      <c r="E1266" s="1111"/>
      <c r="F1266" s="1111"/>
      <c r="G1266" s="322"/>
      <c r="H1266" s="155"/>
      <c r="I1266" s="155"/>
      <c r="J1266" s="155"/>
      <c r="K1266" s="156"/>
      <c r="L1266" s="10"/>
    </row>
    <row r="1267" spans="1:12" s="146" customFormat="1" ht="18" x14ac:dyDescent="0.25">
      <c r="A1267" s="1105"/>
      <c r="B1267" s="1106"/>
      <c r="C1267" s="1098"/>
      <c r="D1267" s="1111"/>
      <c r="E1267" s="1111"/>
      <c r="F1267" s="1111"/>
      <c r="G1267" s="322"/>
      <c r="H1267" s="155"/>
      <c r="I1267" s="155"/>
      <c r="J1267" s="155"/>
      <c r="K1267" s="156"/>
      <c r="L1267" s="10"/>
    </row>
    <row r="1268" spans="1:12" s="146" customFormat="1" ht="18" x14ac:dyDescent="0.25">
      <c r="A1268" s="1105"/>
      <c r="B1268" s="1106"/>
      <c r="C1268" s="1098"/>
      <c r="D1268" s="1111"/>
      <c r="E1268" s="1111"/>
      <c r="F1268" s="1111"/>
      <c r="G1268" s="322"/>
      <c r="H1268" s="155"/>
      <c r="I1268" s="155"/>
      <c r="J1268" s="155"/>
      <c r="K1268" s="156"/>
      <c r="L1268" s="10"/>
    </row>
    <row r="1269" spans="1:12" s="146" customFormat="1" ht="18" x14ac:dyDescent="0.25">
      <c r="A1269" s="1105"/>
      <c r="B1269" s="1106"/>
      <c r="C1269" s="1098"/>
      <c r="D1269" s="1111"/>
      <c r="E1269" s="1111"/>
      <c r="F1269" s="1111"/>
      <c r="G1269" s="322"/>
      <c r="H1269" s="155"/>
      <c r="I1269" s="155"/>
      <c r="J1269" s="155"/>
      <c r="K1269" s="156"/>
      <c r="L1269" s="10"/>
    </row>
    <row r="1270" spans="1:12" s="146" customFormat="1" ht="18" x14ac:dyDescent="0.25">
      <c r="A1270" s="1105"/>
      <c r="B1270" s="1106"/>
      <c r="C1270" s="1098"/>
      <c r="D1270" s="1111"/>
      <c r="E1270" s="1111"/>
      <c r="F1270" s="1111"/>
      <c r="G1270" s="322"/>
      <c r="H1270" s="155"/>
      <c r="I1270" s="155"/>
      <c r="J1270" s="155"/>
      <c r="K1270" s="156"/>
      <c r="L1270" s="10"/>
    </row>
    <row r="1271" spans="1:12" s="146" customFormat="1" ht="18" x14ac:dyDescent="0.25">
      <c r="A1271" s="1105"/>
      <c r="B1271" s="1106"/>
      <c r="C1271" s="1098"/>
      <c r="D1271" s="1111"/>
      <c r="E1271" s="1111"/>
      <c r="F1271" s="1111"/>
      <c r="G1271" s="322"/>
      <c r="H1271" s="155"/>
      <c r="I1271" s="155"/>
      <c r="J1271" s="155"/>
      <c r="K1271" s="156"/>
      <c r="L1271" s="10"/>
    </row>
    <row r="1272" spans="1:12" s="146" customFormat="1" ht="18" x14ac:dyDescent="0.25">
      <c r="A1272" s="1105"/>
      <c r="B1272" s="1106"/>
      <c r="C1272" s="1098"/>
      <c r="D1272" s="1111"/>
      <c r="E1272" s="1111"/>
      <c r="F1272" s="1111"/>
      <c r="G1272" s="322"/>
      <c r="H1272" s="155"/>
      <c r="I1272" s="155"/>
      <c r="J1272" s="155"/>
      <c r="K1272" s="156"/>
      <c r="L1272" s="10"/>
    </row>
    <row r="1273" spans="1:12" s="146" customFormat="1" ht="18" x14ac:dyDescent="0.25">
      <c r="A1273" s="1105"/>
      <c r="B1273" s="1106"/>
      <c r="C1273" s="1098"/>
      <c r="D1273" s="1111"/>
      <c r="E1273" s="1111"/>
      <c r="F1273" s="1111"/>
      <c r="G1273" s="322"/>
      <c r="H1273" s="155"/>
      <c r="I1273" s="155"/>
      <c r="J1273" s="155"/>
      <c r="K1273" s="156"/>
      <c r="L1273" s="10"/>
    </row>
    <row r="1274" spans="1:12" s="146" customFormat="1" ht="18" x14ac:dyDescent="0.25">
      <c r="A1274" s="1105"/>
      <c r="B1274" s="1106"/>
      <c r="C1274" s="1098"/>
      <c r="D1274" s="1111"/>
      <c r="E1274" s="1111"/>
      <c r="F1274" s="1111"/>
      <c r="G1274" s="322"/>
      <c r="H1274" s="155"/>
      <c r="I1274" s="155"/>
      <c r="J1274" s="155"/>
      <c r="K1274" s="156"/>
      <c r="L1274" s="10"/>
    </row>
    <row r="1275" spans="1:12" s="146" customFormat="1" ht="18" x14ac:dyDescent="0.25">
      <c r="A1275" s="1105"/>
      <c r="B1275" s="1106"/>
      <c r="C1275" s="1098"/>
      <c r="D1275" s="1111"/>
      <c r="E1275" s="1111"/>
      <c r="F1275" s="1111"/>
      <c r="G1275" s="322"/>
      <c r="H1275" s="155"/>
      <c r="I1275" s="155"/>
      <c r="J1275" s="155"/>
      <c r="K1275" s="156"/>
      <c r="L1275" s="10"/>
    </row>
    <row r="1276" spans="1:12" s="146" customFormat="1" ht="18" x14ac:dyDescent="0.25">
      <c r="A1276" s="1105"/>
      <c r="B1276" s="1106"/>
      <c r="C1276" s="1098"/>
      <c r="D1276" s="1111"/>
      <c r="E1276" s="1111"/>
      <c r="F1276" s="1111"/>
      <c r="G1276" s="322"/>
      <c r="H1276" s="155"/>
      <c r="I1276" s="155"/>
      <c r="J1276" s="155"/>
      <c r="K1276" s="156"/>
      <c r="L1276" s="10"/>
    </row>
    <row r="1277" spans="1:12" s="146" customFormat="1" ht="18" x14ac:dyDescent="0.25">
      <c r="A1277" s="1105"/>
      <c r="B1277" s="1106"/>
      <c r="C1277" s="1098"/>
      <c r="D1277" s="1111"/>
      <c r="E1277" s="1111"/>
      <c r="F1277" s="1111"/>
      <c r="G1277" s="322"/>
      <c r="H1277" s="155"/>
      <c r="I1277" s="155"/>
      <c r="J1277" s="155"/>
      <c r="K1277" s="156"/>
      <c r="L1277" s="10"/>
    </row>
    <row r="1278" spans="1:12" s="146" customFormat="1" ht="18" x14ac:dyDescent="0.25">
      <c r="A1278" s="1105"/>
      <c r="B1278" s="1106"/>
      <c r="C1278" s="1098"/>
      <c r="D1278" s="1111"/>
      <c r="E1278" s="1111"/>
      <c r="F1278" s="1111"/>
      <c r="G1278" s="322"/>
      <c r="H1278" s="155"/>
      <c r="I1278" s="155"/>
      <c r="J1278" s="155"/>
      <c r="K1278" s="156"/>
      <c r="L1278" s="10"/>
    </row>
    <row r="1279" spans="1:12" s="146" customFormat="1" ht="18" x14ac:dyDescent="0.25">
      <c r="A1279" s="1105"/>
      <c r="B1279" s="1106"/>
      <c r="C1279" s="1098"/>
      <c r="D1279" s="1111"/>
      <c r="E1279" s="1111"/>
      <c r="F1279" s="1111"/>
      <c r="G1279" s="322"/>
      <c r="H1279" s="155"/>
      <c r="I1279" s="155"/>
      <c r="J1279" s="155"/>
      <c r="K1279" s="156"/>
      <c r="L1279" s="10"/>
    </row>
    <row r="1280" spans="1:12" s="146" customFormat="1" ht="18" x14ac:dyDescent="0.25">
      <c r="A1280" s="1105"/>
      <c r="B1280" s="1106"/>
      <c r="C1280" s="1098"/>
      <c r="D1280" s="1111"/>
      <c r="E1280" s="1111"/>
      <c r="F1280" s="1111"/>
      <c r="G1280" s="322"/>
      <c r="H1280" s="155"/>
      <c r="I1280" s="155"/>
      <c r="J1280" s="155"/>
      <c r="K1280" s="156"/>
      <c r="L1280" s="10"/>
    </row>
    <row r="1281" spans="1:12" s="146" customFormat="1" ht="18" x14ac:dyDescent="0.25">
      <c r="A1281" s="1105"/>
      <c r="B1281" s="1106"/>
      <c r="C1281" s="1098"/>
      <c r="D1281" s="1111"/>
      <c r="E1281" s="1111"/>
      <c r="F1281" s="1111"/>
      <c r="G1281" s="322"/>
      <c r="H1281" s="155"/>
      <c r="I1281" s="155"/>
      <c r="J1281" s="155"/>
      <c r="K1281" s="156"/>
      <c r="L1281" s="10"/>
    </row>
    <row r="1282" spans="1:12" s="146" customFormat="1" ht="18" x14ac:dyDescent="0.25">
      <c r="A1282" s="1105"/>
      <c r="B1282" s="1106"/>
      <c r="C1282" s="1098"/>
      <c r="D1282" s="1111"/>
      <c r="E1282" s="1111"/>
      <c r="F1282" s="1111"/>
      <c r="G1282" s="322"/>
      <c r="H1282" s="155"/>
      <c r="I1282" s="155"/>
      <c r="J1282" s="155"/>
      <c r="K1282" s="156"/>
      <c r="L1282" s="10"/>
    </row>
    <row r="1283" spans="1:12" s="146" customFormat="1" ht="18" x14ac:dyDescent="0.25">
      <c r="A1283" s="1105"/>
      <c r="B1283" s="1106"/>
      <c r="C1283" s="1098"/>
      <c r="D1283" s="1111"/>
      <c r="E1283" s="1111"/>
      <c r="F1283" s="1111"/>
      <c r="G1283" s="322"/>
      <c r="H1283" s="155"/>
      <c r="I1283" s="155"/>
      <c r="J1283" s="155"/>
      <c r="K1283" s="156"/>
      <c r="L1283" s="10"/>
    </row>
    <row r="1284" spans="1:12" s="146" customFormat="1" ht="18.75" thickBot="1" x14ac:dyDescent="0.3">
      <c r="A1284" s="187"/>
      <c r="B1284" s="1226"/>
      <c r="C1284" s="1216"/>
      <c r="D1284" s="1145"/>
      <c r="E1284" s="1145"/>
      <c r="F1284" s="1145"/>
      <c r="G1284" s="1217"/>
      <c r="H1284" s="182"/>
      <c r="I1284" s="182"/>
      <c r="J1284" s="182"/>
      <c r="K1284" s="183"/>
      <c r="L1284" s="10"/>
    </row>
    <row r="1285" spans="1:12" s="146" customFormat="1" ht="18" x14ac:dyDescent="0.25">
      <c r="A1285" s="1106"/>
      <c r="B1285" s="1106"/>
      <c r="C1285" s="1098"/>
      <c r="D1285" s="1111"/>
      <c r="E1285" s="1111"/>
      <c r="F1285" s="1111"/>
      <c r="G1285" s="322"/>
      <c r="H1285" s="126"/>
      <c r="I1285" s="126"/>
      <c r="J1285" s="126"/>
      <c r="K1285" s="127"/>
      <c r="L1285" s="10"/>
    </row>
    <row r="1286" spans="1:12" s="146" customFormat="1" ht="18" x14ac:dyDescent="0.25">
      <c r="A1286" s="1106"/>
      <c r="B1286" s="1106"/>
      <c r="C1286" s="1098"/>
      <c r="D1286" s="1111"/>
      <c r="E1286" s="1111"/>
      <c r="F1286" s="1111"/>
      <c r="G1286" s="322"/>
      <c r="H1286" s="126"/>
      <c r="I1286" s="126"/>
      <c r="J1286" s="126"/>
      <c r="K1286" s="127"/>
      <c r="L1286" s="10"/>
    </row>
    <row r="1287" spans="1:12" s="146" customFormat="1" ht="18" x14ac:dyDescent="0.25">
      <c r="A1287" s="1106"/>
      <c r="B1287" s="1106"/>
      <c r="C1287" s="1098"/>
      <c r="D1287" s="1111"/>
      <c r="E1287" s="1111"/>
      <c r="F1287" s="1111"/>
      <c r="G1287" s="322"/>
      <c r="H1287" s="126"/>
      <c r="I1287" s="126"/>
      <c r="J1287" s="126"/>
      <c r="K1287" s="127"/>
      <c r="L1287" s="10"/>
    </row>
    <row r="1288" spans="1:12" s="146" customFormat="1" ht="18" customHeight="1" x14ac:dyDescent="0.25">
      <c r="A1288" s="9" t="s">
        <v>112</v>
      </c>
      <c r="B1288" s="9"/>
      <c r="C1288" s="9"/>
      <c r="D1288" s="9"/>
      <c r="E1288" s="9"/>
      <c r="F1288" s="9"/>
      <c r="G1288" s="9"/>
      <c r="H1288" s="5"/>
      <c r="I1288" s="5"/>
      <c r="J1288" s="5"/>
      <c r="K1288" s="5"/>
      <c r="L1288" s="10"/>
    </row>
    <row r="1289" spans="1:12" ht="18" customHeight="1" x14ac:dyDescent="0.25">
      <c r="A1289" s="8" t="s">
        <v>784</v>
      </c>
    </row>
    <row r="1290" spans="1:12" ht="18" customHeight="1" x14ac:dyDescent="0.25">
      <c r="A1290" s="1636" t="s">
        <v>113</v>
      </c>
      <c r="B1290" s="1636"/>
      <c r="C1290" s="1636"/>
      <c r="D1290" s="1636"/>
      <c r="E1290" s="1636"/>
      <c r="F1290" s="1636"/>
      <c r="G1290" s="1636"/>
      <c r="H1290" s="1636"/>
      <c r="I1290" s="1636"/>
      <c r="J1290" s="1636"/>
      <c r="K1290" s="1101"/>
    </row>
    <row r="1291" spans="1:12" s="7" customFormat="1" ht="18" customHeight="1" x14ac:dyDescent="0.25">
      <c r="A1291" s="1624" t="s">
        <v>114</v>
      </c>
      <c r="B1291" s="1624"/>
      <c r="C1291" s="1624"/>
      <c r="D1291" s="1624"/>
      <c r="E1291" s="1624"/>
      <c r="F1291" s="1624"/>
      <c r="G1291" s="1624"/>
      <c r="H1291" s="1624"/>
      <c r="I1291" s="1624"/>
      <c r="J1291" s="1624"/>
      <c r="K1291" s="159"/>
      <c r="L1291" s="6"/>
    </row>
    <row r="1293" spans="1:12" ht="16.5" thickBot="1" x14ac:dyDescent="0.3"/>
    <row r="1294" spans="1:12" s="48" customFormat="1" ht="21.75" customHeight="1" thickBot="1" x14ac:dyDescent="0.3">
      <c r="A1294" s="1655" t="s">
        <v>115</v>
      </c>
      <c r="B1294" s="1655"/>
      <c r="C1294" s="1655"/>
      <c r="D1294" s="1655"/>
      <c r="E1294" s="1655"/>
      <c r="F1294" s="1655"/>
      <c r="G1294" s="1151"/>
      <c r="H1294" s="1708" t="s">
        <v>1537</v>
      </c>
      <c r="I1294" s="1710" t="s">
        <v>1538</v>
      </c>
      <c r="J1294" s="1710" t="s">
        <v>1539</v>
      </c>
      <c r="K1294" s="1710" t="s">
        <v>1540</v>
      </c>
      <c r="L1294" s="47"/>
    </row>
    <row r="1295" spans="1:12" s="1153" customFormat="1" ht="31.5" customHeight="1" thickBot="1" x14ac:dyDescent="0.3">
      <c r="A1295" s="1655"/>
      <c r="B1295" s="1655"/>
      <c r="C1295" s="1655"/>
      <c r="D1295" s="1655"/>
      <c r="E1295" s="1655"/>
      <c r="F1295" s="1655"/>
      <c r="G1295" s="1129" t="s">
        <v>116</v>
      </c>
      <c r="H1295" s="1709"/>
      <c r="I1295" s="1710"/>
      <c r="J1295" s="1710"/>
      <c r="K1295" s="1710"/>
      <c r="L1295" s="1152"/>
    </row>
    <row r="1296" spans="1:12" s="146" customFormat="1" ht="18" x14ac:dyDescent="0.25">
      <c r="A1296" s="1670" t="s">
        <v>1805</v>
      </c>
      <c r="B1296" s="1670"/>
      <c r="C1296" s="1670"/>
      <c r="D1296" s="1670"/>
      <c r="E1296" s="1670"/>
      <c r="F1296" s="1670"/>
      <c r="G1296" s="324"/>
      <c r="H1296" s="325"/>
      <c r="I1296" s="325"/>
      <c r="J1296" s="325"/>
      <c r="K1296" s="326"/>
      <c r="L1296" s="10"/>
    </row>
    <row r="1297" spans="1:12" s="146" customFormat="1" ht="18" customHeight="1" x14ac:dyDescent="0.25">
      <c r="A1297" s="327" t="s">
        <v>1806</v>
      </c>
      <c r="B1297" s="369"/>
      <c r="D1297" s="1099"/>
      <c r="E1297" s="1099"/>
      <c r="F1297" s="1099"/>
      <c r="G1297" s="328"/>
      <c r="H1297" s="329"/>
      <c r="I1297" s="329"/>
      <c r="J1297" s="329"/>
      <c r="K1297" s="329"/>
      <c r="L1297" s="10"/>
    </row>
    <row r="1298" spans="1:12" s="146" customFormat="1" ht="18" x14ac:dyDescent="0.25">
      <c r="A1298" s="1134"/>
      <c r="B1298" s="1111"/>
      <c r="C1298" s="1620" t="s">
        <v>654</v>
      </c>
      <c r="D1298" s="1620"/>
      <c r="E1298" s="1620"/>
      <c r="F1298" s="1620"/>
      <c r="G1298" s="97"/>
      <c r="H1298" s="98"/>
      <c r="I1298" s="98"/>
      <c r="J1298" s="98"/>
      <c r="K1298" s="99"/>
      <c r="L1298" s="10"/>
    </row>
    <row r="1299" spans="1:12" s="146" customFormat="1" ht="18" x14ac:dyDescent="0.25">
      <c r="A1299" s="1134"/>
      <c r="B1299" s="1111"/>
      <c r="C1299" s="1618" t="s">
        <v>655</v>
      </c>
      <c r="D1299" s="1619"/>
      <c r="E1299" s="1619"/>
      <c r="F1299" s="1671"/>
      <c r="G1299" s="168"/>
      <c r="H1299" s="330"/>
      <c r="I1299" s="330">
        <v>5000000</v>
      </c>
      <c r="J1299" s="330">
        <v>5000000</v>
      </c>
      <c r="K1299" s="330">
        <v>5000000</v>
      </c>
      <c r="L1299" s="10"/>
    </row>
    <row r="1300" spans="1:12" s="146" customFormat="1" ht="18" x14ac:dyDescent="0.25">
      <c r="A1300" s="1131"/>
      <c r="B1300" s="1100"/>
      <c r="C1300" s="1141" t="s">
        <v>656</v>
      </c>
      <c r="D1300" s="1098"/>
      <c r="E1300" s="1098"/>
      <c r="F1300" s="1098"/>
      <c r="G1300" s="168"/>
      <c r="H1300" s="330"/>
      <c r="I1300" s="330">
        <v>1000000</v>
      </c>
      <c r="J1300" s="330">
        <v>1000000</v>
      </c>
      <c r="K1300" s="330"/>
      <c r="L1300" s="10"/>
    </row>
    <row r="1301" spans="1:12" s="146" customFormat="1" ht="18" x14ac:dyDescent="0.25">
      <c r="A1301" s="1134"/>
      <c r="B1301" s="1111"/>
      <c r="C1301" s="1574" t="s">
        <v>657</v>
      </c>
      <c r="D1301" s="1574"/>
      <c r="E1301" s="1574"/>
      <c r="F1301" s="1574"/>
      <c r="G1301" s="168"/>
      <c r="H1301" s="330"/>
      <c r="I1301" s="330">
        <v>5000000</v>
      </c>
      <c r="J1301" s="330">
        <v>5000000</v>
      </c>
      <c r="K1301" s="330">
        <v>5000000</v>
      </c>
      <c r="L1301" s="10"/>
    </row>
    <row r="1302" spans="1:12" s="146" customFormat="1" ht="18" x14ac:dyDescent="0.25">
      <c r="A1302" s="1131"/>
      <c r="B1302" s="1100"/>
      <c r="C1302" s="1141" t="s">
        <v>659</v>
      </c>
      <c r="D1302" s="1098"/>
      <c r="E1302" s="1098"/>
      <c r="F1302" s="1098"/>
      <c r="G1302" s="168"/>
      <c r="H1302" s="330"/>
      <c r="I1302" s="330"/>
      <c r="J1302" s="330"/>
      <c r="K1302" s="330"/>
      <c r="L1302" s="10"/>
    </row>
    <row r="1303" spans="1:12" s="146" customFormat="1" ht="18" x14ac:dyDescent="0.25">
      <c r="A1303" s="1105"/>
      <c r="B1303" s="1106"/>
      <c r="C1303" s="153"/>
      <c r="D1303" s="573"/>
      <c r="E1303" s="1106"/>
      <c r="F1303" s="1106"/>
      <c r="G1303" s="100"/>
      <c r="H1303" s="155"/>
      <c r="I1303" s="155"/>
      <c r="J1303" s="155"/>
      <c r="K1303" s="156"/>
      <c r="L1303" s="10"/>
    </row>
    <row r="1304" spans="1:12" s="313" customFormat="1" ht="55.5" customHeight="1" x14ac:dyDescent="0.25">
      <c r="A1304" s="332"/>
      <c r="B1304" s="1136"/>
      <c r="C1304" s="1669" t="s">
        <v>660</v>
      </c>
      <c r="D1304" s="1669"/>
      <c r="E1304" s="1113"/>
      <c r="F1304" s="1113"/>
      <c r="G1304" s="333"/>
      <c r="H1304" s="331"/>
      <c r="I1304" s="331"/>
      <c r="J1304" s="331"/>
      <c r="K1304" s="330"/>
      <c r="L1304" s="193"/>
    </row>
    <row r="1305" spans="1:12" s="313" customFormat="1" ht="22.5" customHeight="1" x14ac:dyDescent="0.25">
      <c r="A1305" s="332"/>
      <c r="B1305" s="1136"/>
      <c r="C1305" s="1622" t="s">
        <v>661</v>
      </c>
      <c r="D1305" s="1622"/>
      <c r="E1305" s="1113"/>
      <c r="F1305" s="1113"/>
      <c r="G1305" s="333"/>
      <c r="H1305" s="331"/>
      <c r="I1305" s="331"/>
      <c r="J1305" s="331"/>
      <c r="K1305" s="330"/>
      <c r="L1305" s="193"/>
    </row>
    <row r="1306" spans="1:12" s="313" customFormat="1" ht="22.5" customHeight="1" x14ac:dyDescent="0.25">
      <c r="A1306" s="332"/>
      <c r="B1306" s="1136"/>
      <c r="C1306" s="1622" t="s">
        <v>662</v>
      </c>
      <c r="D1306" s="1622"/>
      <c r="E1306" s="1113"/>
      <c r="F1306" s="1113"/>
      <c r="G1306" s="333"/>
      <c r="H1306" s="331"/>
      <c r="I1306" s="331">
        <v>20000</v>
      </c>
      <c r="J1306" s="331">
        <v>20000</v>
      </c>
      <c r="K1306" s="330">
        <v>20000</v>
      </c>
      <c r="L1306" s="193"/>
    </row>
    <row r="1307" spans="1:12" s="313" customFormat="1" ht="22.5" customHeight="1" x14ac:dyDescent="0.25">
      <c r="A1307" s="332"/>
      <c r="B1307" s="1136"/>
      <c r="C1307" s="1622" t="s">
        <v>663</v>
      </c>
      <c r="D1307" s="1622"/>
      <c r="E1307" s="1113"/>
      <c r="F1307" s="1113"/>
      <c r="G1307" s="333"/>
      <c r="H1307" s="331"/>
      <c r="I1307" s="331">
        <v>20000</v>
      </c>
      <c r="J1307" s="331">
        <v>20000</v>
      </c>
      <c r="K1307" s="330">
        <v>20000</v>
      </c>
      <c r="L1307" s="193"/>
    </row>
    <row r="1308" spans="1:12" s="313" customFormat="1" ht="22.5" customHeight="1" x14ac:dyDescent="0.25">
      <c r="A1308" s="332"/>
      <c r="B1308" s="1136"/>
      <c r="C1308" s="1622" t="s">
        <v>664</v>
      </c>
      <c r="D1308" s="1622"/>
      <c r="E1308" s="1622"/>
      <c r="F1308" s="1648"/>
      <c r="G1308" s="333"/>
      <c r="H1308" s="331"/>
      <c r="I1308" s="331">
        <v>250000</v>
      </c>
      <c r="J1308" s="331">
        <v>250000</v>
      </c>
      <c r="K1308" s="330">
        <v>250000</v>
      </c>
      <c r="L1308" s="193"/>
    </row>
    <row r="1309" spans="1:12" s="313" customFormat="1" ht="37.5" customHeight="1" x14ac:dyDescent="0.25">
      <c r="A1309" s="332"/>
      <c r="B1309" s="1136"/>
      <c r="C1309" s="1622" t="s">
        <v>1807</v>
      </c>
      <c r="D1309" s="1622"/>
      <c r="E1309" s="1113"/>
      <c r="F1309" s="1113"/>
      <c r="G1309" s="333"/>
      <c r="H1309" s="331"/>
      <c r="I1309" s="331">
        <v>50000</v>
      </c>
      <c r="J1309" s="331">
        <v>50000</v>
      </c>
      <c r="K1309" s="330">
        <v>50000</v>
      </c>
      <c r="L1309" s="193"/>
    </row>
    <row r="1310" spans="1:12" s="313" customFormat="1" ht="37.5" customHeight="1" x14ac:dyDescent="0.25">
      <c r="A1310" s="332"/>
      <c r="B1310" s="1136"/>
      <c r="C1310" s="1622" t="s">
        <v>666</v>
      </c>
      <c r="D1310" s="1622"/>
      <c r="E1310" s="1113"/>
      <c r="F1310" s="1113"/>
      <c r="G1310" s="333"/>
      <c r="H1310" s="330"/>
      <c r="I1310" s="330">
        <v>300000</v>
      </c>
      <c r="J1310" s="330">
        <v>300000</v>
      </c>
      <c r="K1310" s="330">
        <v>300000</v>
      </c>
      <c r="L1310" s="193"/>
    </row>
    <row r="1311" spans="1:12" s="313" customFormat="1" ht="37.5" customHeight="1" x14ac:dyDescent="0.25">
      <c r="A1311" s="332"/>
      <c r="B1311" s="1136"/>
      <c r="C1311" s="1622" t="s">
        <v>667</v>
      </c>
      <c r="D1311" s="1622"/>
      <c r="E1311" s="1113"/>
      <c r="F1311" s="1113"/>
      <c r="G1311" s="333"/>
      <c r="H1311" s="331"/>
      <c r="I1311" s="331">
        <v>25000</v>
      </c>
      <c r="J1311" s="331">
        <v>25000</v>
      </c>
      <c r="K1311" s="330">
        <v>25000</v>
      </c>
      <c r="L1311" s="193"/>
    </row>
    <row r="1312" spans="1:12" s="313" customFormat="1" ht="18.75" customHeight="1" x14ac:dyDescent="0.25">
      <c r="A1312" s="332"/>
      <c r="B1312" s="1136"/>
      <c r="C1312" s="1622" t="s">
        <v>668</v>
      </c>
      <c r="D1312" s="1622"/>
      <c r="E1312" s="1113"/>
      <c r="F1312" s="1113"/>
      <c r="G1312" s="333"/>
      <c r="H1312" s="331"/>
      <c r="I1312" s="331">
        <v>30000</v>
      </c>
      <c r="J1312" s="331">
        <v>30000</v>
      </c>
      <c r="K1312" s="330">
        <v>30000</v>
      </c>
      <c r="L1312" s="193"/>
    </row>
    <row r="1313" spans="1:12" s="313" customFormat="1" ht="34.5" customHeight="1" x14ac:dyDescent="0.25">
      <c r="A1313" s="332"/>
      <c r="B1313" s="1136"/>
      <c r="C1313" s="1622" t="s">
        <v>669</v>
      </c>
      <c r="D1313" s="1622"/>
      <c r="E1313" s="1113"/>
      <c r="F1313" s="1113"/>
      <c r="G1313" s="333"/>
      <c r="H1313" s="331"/>
      <c r="I1313" s="331">
        <v>10000</v>
      </c>
      <c r="J1313" s="331">
        <v>10000</v>
      </c>
      <c r="K1313" s="330">
        <v>10000</v>
      </c>
      <c r="L1313" s="193"/>
    </row>
    <row r="1314" spans="1:12" s="313" customFormat="1" ht="23.25" customHeight="1" x14ac:dyDescent="0.25">
      <c r="A1314" s="332"/>
      <c r="B1314" s="1136"/>
      <c r="C1314" s="652" t="s">
        <v>1808</v>
      </c>
      <c r="D1314" s="1113"/>
      <c r="E1314" s="1113"/>
      <c r="F1314" s="1113"/>
      <c r="G1314" s="333"/>
      <c r="H1314" s="331"/>
      <c r="I1314" s="331">
        <v>25000</v>
      </c>
      <c r="J1314" s="331">
        <v>25000</v>
      </c>
      <c r="K1314" s="330">
        <v>25000</v>
      </c>
      <c r="L1314" s="193"/>
    </row>
    <row r="1315" spans="1:12" s="313" customFormat="1" ht="23.25" customHeight="1" x14ac:dyDescent="0.25">
      <c r="A1315" s="332"/>
      <c r="B1315" s="1136"/>
      <c r="C1315" s="652" t="s">
        <v>1809</v>
      </c>
      <c r="D1315" s="1113"/>
      <c r="E1315" s="1113"/>
      <c r="F1315" s="1113"/>
      <c r="G1315" s="333"/>
      <c r="H1315" s="331"/>
      <c r="I1315" s="331">
        <v>30000</v>
      </c>
      <c r="J1315" s="331">
        <v>30000</v>
      </c>
      <c r="K1315" s="330">
        <v>30000</v>
      </c>
      <c r="L1315" s="193"/>
    </row>
    <row r="1316" spans="1:12" s="313" customFormat="1" ht="20.25" customHeight="1" x14ac:dyDescent="0.25">
      <c r="A1316" s="332"/>
      <c r="B1316" s="1136"/>
      <c r="C1316" s="1622" t="s">
        <v>670</v>
      </c>
      <c r="D1316" s="1622"/>
      <c r="E1316" s="1113"/>
      <c r="F1316" s="1113"/>
      <c r="G1316" s="333"/>
      <c r="H1316" s="331"/>
      <c r="I1316" s="331"/>
      <c r="J1316" s="331"/>
      <c r="K1316" s="330"/>
      <c r="L1316" s="193"/>
    </row>
    <row r="1317" spans="1:12" s="313" customFormat="1" ht="20.25" customHeight="1" x14ac:dyDescent="0.25">
      <c r="A1317" s="332"/>
      <c r="B1317" s="1136"/>
      <c r="C1317" s="1622" t="s">
        <v>1810</v>
      </c>
      <c r="D1317" s="1622"/>
      <c r="E1317" s="1113"/>
      <c r="F1317" s="1113"/>
      <c r="G1317" s="333"/>
      <c r="H1317" s="331"/>
      <c r="I1317" s="331">
        <v>30000</v>
      </c>
      <c r="J1317" s="331">
        <v>30000</v>
      </c>
      <c r="K1317" s="330">
        <v>30000</v>
      </c>
      <c r="L1317" s="193"/>
    </row>
    <row r="1318" spans="1:12" s="313" customFormat="1" ht="20.25" customHeight="1" x14ac:dyDescent="0.25">
      <c r="A1318" s="332"/>
      <c r="B1318" s="1136"/>
      <c r="C1318" s="652" t="s">
        <v>1811</v>
      </c>
      <c r="D1318" s="1113"/>
      <c r="E1318" s="1113"/>
      <c r="F1318" s="1113"/>
      <c r="G1318" s="333"/>
      <c r="H1318" s="331"/>
      <c r="I1318" s="331">
        <v>20000</v>
      </c>
      <c r="J1318" s="331">
        <v>20000</v>
      </c>
      <c r="K1318" s="330">
        <v>20000</v>
      </c>
      <c r="L1318" s="193"/>
    </row>
    <row r="1319" spans="1:12" s="313" customFormat="1" ht="20.25" customHeight="1" x14ac:dyDescent="0.25">
      <c r="A1319" s="332"/>
      <c r="B1319" s="1136"/>
      <c r="C1319" s="1622" t="s">
        <v>1812</v>
      </c>
      <c r="D1319" s="1622"/>
      <c r="E1319" s="1113"/>
      <c r="F1319" s="1113"/>
      <c r="G1319" s="333"/>
      <c r="H1319" s="331"/>
      <c r="I1319" s="331">
        <v>42000</v>
      </c>
      <c r="J1319" s="331">
        <v>42000</v>
      </c>
      <c r="K1319" s="330">
        <v>42000</v>
      </c>
      <c r="L1319" s="193"/>
    </row>
    <row r="1320" spans="1:12" s="313" customFormat="1" ht="20.25" customHeight="1" x14ac:dyDescent="0.25">
      <c r="A1320" s="332"/>
      <c r="B1320" s="1136"/>
      <c r="C1320" s="1622" t="s">
        <v>1813</v>
      </c>
      <c r="D1320" s="1622"/>
      <c r="E1320" s="1113"/>
      <c r="F1320" s="1113"/>
      <c r="G1320" s="333"/>
      <c r="H1320" s="331"/>
      <c r="I1320" s="331">
        <v>20000</v>
      </c>
      <c r="J1320" s="331">
        <v>20000</v>
      </c>
      <c r="K1320" s="330">
        <v>20000</v>
      </c>
      <c r="L1320" s="193"/>
    </row>
    <row r="1321" spans="1:12" s="313" customFormat="1" ht="41.25" customHeight="1" x14ac:dyDescent="0.25">
      <c r="A1321" s="332"/>
      <c r="B1321" s="1136"/>
      <c r="C1321" s="1622" t="s">
        <v>1814</v>
      </c>
      <c r="D1321" s="1622"/>
      <c r="E1321" s="1113"/>
      <c r="F1321" s="1113"/>
      <c r="G1321" s="333"/>
      <c r="H1321" s="331"/>
      <c r="I1321" s="331">
        <v>20000</v>
      </c>
      <c r="J1321" s="331">
        <v>20000</v>
      </c>
      <c r="K1321" s="330">
        <v>20000</v>
      </c>
      <c r="L1321" s="193"/>
    </row>
    <row r="1322" spans="1:12" s="313" customFormat="1" ht="20.25" customHeight="1" x14ac:dyDescent="0.25">
      <c r="A1322" s="332"/>
      <c r="B1322" s="1136"/>
      <c r="C1322" s="1622" t="s">
        <v>1815</v>
      </c>
      <c r="D1322" s="1622"/>
      <c r="E1322" s="1113"/>
      <c r="F1322" s="1113"/>
      <c r="G1322" s="333"/>
      <c r="H1322" s="331"/>
      <c r="I1322" s="331">
        <v>50000</v>
      </c>
      <c r="J1322" s="331">
        <v>50000</v>
      </c>
      <c r="K1322" s="330">
        <v>50000</v>
      </c>
      <c r="L1322" s="193"/>
    </row>
    <row r="1323" spans="1:12" s="313" customFormat="1" ht="20.25" customHeight="1" x14ac:dyDescent="0.25">
      <c r="A1323" s="332"/>
      <c r="B1323" s="1136"/>
      <c r="C1323" s="1622" t="s">
        <v>673</v>
      </c>
      <c r="D1323" s="1622"/>
      <c r="E1323" s="1113"/>
      <c r="F1323" s="1113"/>
      <c r="G1323" s="333"/>
      <c r="H1323" s="331"/>
      <c r="I1323" s="331"/>
      <c r="J1323" s="331"/>
      <c r="K1323" s="330"/>
      <c r="L1323" s="193"/>
    </row>
    <row r="1324" spans="1:12" s="313" customFormat="1" ht="20.25" customHeight="1" x14ac:dyDescent="0.25">
      <c r="A1324" s="332"/>
      <c r="B1324" s="1136"/>
      <c r="C1324" s="1622" t="s">
        <v>1816</v>
      </c>
      <c r="D1324" s="1622"/>
      <c r="E1324" s="1113"/>
      <c r="F1324" s="1113"/>
      <c r="G1324" s="333"/>
      <c r="H1324" s="331"/>
      <c r="I1324" s="331">
        <v>50000</v>
      </c>
      <c r="J1324" s="331">
        <v>50000</v>
      </c>
      <c r="K1324" s="330">
        <v>50000</v>
      </c>
      <c r="L1324" s="193"/>
    </row>
    <row r="1325" spans="1:12" s="313" customFormat="1" ht="20.25" customHeight="1" x14ac:dyDescent="0.25">
      <c r="A1325" s="332"/>
      <c r="B1325" s="1136"/>
      <c r="C1325" s="1622" t="s">
        <v>675</v>
      </c>
      <c r="D1325" s="1622"/>
      <c r="E1325" s="1113"/>
      <c r="F1325" s="1113"/>
      <c r="G1325" s="333"/>
      <c r="H1325" s="331"/>
      <c r="I1325" s="331">
        <v>20000</v>
      </c>
      <c r="J1325" s="331">
        <v>20000</v>
      </c>
      <c r="K1325" s="330">
        <v>20000</v>
      </c>
      <c r="L1325" s="193"/>
    </row>
    <row r="1326" spans="1:12" s="313" customFormat="1" ht="20.25" customHeight="1" x14ac:dyDescent="0.25">
      <c r="A1326" s="332"/>
      <c r="B1326" s="1136"/>
      <c r="C1326" s="1622" t="s">
        <v>676</v>
      </c>
      <c r="D1326" s="1622"/>
      <c r="E1326" s="1113"/>
      <c r="F1326" s="1113"/>
      <c r="G1326" s="333"/>
      <c r="H1326" s="331"/>
      <c r="I1326" s="331">
        <v>100000</v>
      </c>
      <c r="J1326" s="331">
        <v>100000</v>
      </c>
      <c r="K1326" s="330">
        <v>100000</v>
      </c>
      <c r="L1326" s="193"/>
    </row>
    <row r="1327" spans="1:12" s="146" customFormat="1" ht="18" x14ac:dyDescent="0.25">
      <c r="A1327" s="1131"/>
      <c r="B1327" s="1100"/>
      <c r="C1327" s="1141"/>
      <c r="D1327" s="1098"/>
      <c r="E1327" s="1098"/>
      <c r="F1327" s="1098"/>
      <c r="G1327" s="168"/>
      <c r="H1327" s="330"/>
      <c r="I1327" s="330"/>
      <c r="J1327" s="330"/>
      <c r="K1327" s="330"/>
      <c r="L1327" s="10"/>
    </row>
    <row r="1328" spans="1:12" s="146" customFormat="1" ht="18" x14ac:dyDescent="0.25">
      <c r="A1328" s="1105"/>
      <c r="B1328" s="1106"/>
      <c r="C1328" s="369" t="s">
        <v>1817</v>
      </c>
      <c r="E1328" s="1106"/>
      <c r="F1328" s="1106"/>
      <c r="G1328" s="100"/>
      <c r="H1328" s="155"/>
      <c r="I1328" s="155"/>
      <c r="J1328" s="155"/>
      <c r="K1328" s="156"/>
      <c r="L1328" s="10"/>
    </row>
    <row r="1329" spans="1:12" s="146" customFormat="1" ht="36.75" customHeight="1" x14ac:dyDescent="0.25">
      <c r="A1329" s="1105"/>
      <c r="B1329" s="1106"/>
      <c r="C1329" s="1611" t="s">
        <v>1818</v>
      </c>
      <c r="D1329" s="1611"/>
      <c r="E1329" s="1106"/>
      <c r="F1329" s="1106"/>
      <c r="G1329" s="100"/>
      <c r="H1329" s="155"/>
      <c r="I1329" s="101">
        <v>20000</v>
      </c>
      <c r="J1329" s="101">
        <v>20000</v>
      </c>
      <c r="K1329" s="102">
        <v>20000</v>
      </c>
      <c r="L1329" s="10"/>
    </row>
    <row r="1330" spans="1:12" s="146" customFormat="1" ht="54" customHeight="1" x14ac:dyDescent="0.25">
      <c r="A1330" s="1105"/>
      <c r="B1330" s="1106"/>
      <c r="C1330" s="1611" t="s">
        <v>1819</v>
      </c>
      <c r="D1330" s="1611"/>
      <c r="E1330" s="1106"/>
      <c r="F1330" s="1106"/>
      <c r="G1330" s="100"/>
      <c r="H1330" s="155"/>
      <c r="I1330" s="101">
        <v>50000</v>
      </c>
      <c r="J1330" s="101">
        <v>50000</v>
      </c>
      <c r="K1330" s="102">
        <v>50000</v>
      </c>
      <c r="L1330" s="10"/>
    </row>
    <row r="1331" spans="1:12" s="146" customFormat="1" ht="18" x14ac:dyDescent="0.25">
      <c r="A1331" s="1105"/>
      <c r="B1331" s="1106"/>
      <c r="C1331" s="125" t="s">
        <v>1820</v>
      </c>
      <c r="D1331" s="573"/>
      <c r="E1331" s="1106"/>
      <c r="F1331" s="1106"/>
      <c r="G1331" s="100"/>
      <c r="H1331" s="155"/>
      <c r="I1331" s="101">
        <v>50000</v>
      </c>
      <c r="J1331" s="101">
        <v>50000</v>
      </c>
      <c r="K1331" s="102">
        <v>50000</v>
      </c>
      <c r="L1331" s="10"/>
    </row>
    <row r="1332" spans="1:12" s="146" customFormat="1" ht="18" x14ac:dyDescent="0.25">
      <c r="A1332" s="1105"/>
      <c r="B1332" s="1106"/>
      <c r="C1332" s="125"/>
      <c r="D1332" s="573"/>
      <c r="E1332" s="1106"/>
      <c r="F1332" s="1106"/>
      <c r="G1332" s="100"/>
      <c r="H1332" s="155"/>
      <c r="I1332" s="101"/>
      <c r="J1332" s="101"/>
      <c r="K1332" s="102"/>
      <c r="L1332" s="10"/>
    </row>
    <row r="1333" spans="1:12" s="146" customFormat="1" ht="18" x14ac:dyDescent="0.25">
      <c r="A1333" s="1105"/>
      <c r="B1333" s="1106"/>
      <c r="C1333" s="369" t="s">
        <v>1226</v>
      </c>
      <c r="D1333" s="153"/>
      <c r="E1333" s="1106"/>
      <c r="F1333" s="1106"/>
      <c r="G1333" s="100"/>
      <c r="H1333" s="155"/>
      <c r="I1333" s="155"/>
      <c r="J1333" s="155"/>
      <c r="K1333" s="156"/>
      <c r="L1333" s="10"/>
    </row>
    <row r="1334" spans="1:12" s="146" customFormat="1" ht="18" x14ac:dyDescent="0.25">
      <c r="A1334" s="1105"/>
      <c r="B1334" s="1106"/>
      <c r="C1334" s="1141" t="s">
        <v>1821</v>
      </c>
      <c r="D1334" s="153"/>
      <c r="E1334" s="1106"/>
      <c r="F1334" s="1106"/>
      <c r="G1334" s="100"/>
      <c r="H1334" s="101"/>
      <c r="I1334" s="101">
        <v>50000</v>
      </c>
      <c r="J1334" s="101">
        <v>50000</v>
      </c>
      <c r="K1334" s="102">
        <v>50000</v>
      </c>
      <c r="L1334" s="10"/>
    </row>
    <row r="1335" spans="1:12" s="146" customFormat="1" ht="18" x14ac:dyDescent="0.25">
      <c r="A1335" s="1105"/>
      <c r="B1335" s="1106"/>
      <c r="C1335" s="1141"/>
      <c r="D1335" s="153"/>
      <c r="E1335" s="1106"/>
      <c r="F1335" s="1106"/>
      <c r="G1335" s="100"/>
      <c r="H1335" s="101"/>
      <c r="I1335" s="101"/>
      <c r="J1335" s="101"/>
      <c r="K1335" s="102"/>
      <c r="L1335" s="10"/>
    </row>
    <row r="1336" spans="1:12" s="313" customFormat="1" ht="37.5" customHeight="1" x14ac:dyDescent="0.25">
      <c r="A1336" s="332"/>
      <c r="B1336" s="1136"/>
      <c r="C1336" s="1669" t="s">
        <v>677</v>
      </c>
      <c r="D1336" s="1669"/>
      <c r="E1336" s="1113"/>
      <c r="F1336" s="1113"/>
      <c r="G1336" s="333"/>
      <c r="H1336" s="331"/>
      <c r="I1336" s="331"/>
      <c r="J1336" s="331"/>
      <c r="K1336" s="330"/>
      <c r="L1336" s="193"/>
    </row>
    <row r="1337" spans="1:12" s="313" customFormat="1" ht="20.25" customHeight="1" x14ac:dyDescent="0.25">
      <c r="A1337" s="332"/>
      <c r="B1337" s="1136"/>
      <c r="C1337" s="1622" t="s">
        <v>678</v>
      </c>
      <c r="D1337" s="1622"/>
      <c r="E1337" s="1113"/>
      <c r="F1337" s="1113"/>
      <c r="G1337" s="333"/>
      <c r="H1337" s="331"/>
      <c r="I1337" s="331"/>
      <c r="J1337" s="331"/>
      <c r="K1337" s="330"/>
      <c r="L1337" s="193"/>
    </row>
    <row r="1338" spans="1:12" s="313" customFormat="1" ht="20.25" customHeight="1" x14ac:dyDescent="0.25">
      <c r="A1338" s="332"/>
      <c r="B1338" s="1136"/>
      <c r="C1338" s="1622" t="s">
        <v>679</v>
      </c>
      <c r="D1338" s="1622"/>
      <c r="E1338" s="1113"/>
      <c r="F1338" s="1113"/>
      <c r="G1338" s="333"/>
      <c r="H1338" s="331"/>
      <c r="I1338" s="331">
        <v>20000</v>
      </c>
      <c r="J1338" s="331">
        <v>20000</v>
      </c>
      <c r="K1338" s="330">
        <v>20000</v>
      </c>
      <c r="L1338" s="193"/>
    </row>
    <row r="1339" spans="1:12" s="313" customFormat="1" ht="20.25" customHeight="1" x14ac:dyDescent="0.25">
      <c r="A1339" s="332"/>
      <c r="B1339" s="1136"/>
      <c r="C1339" s="1622" t="s">
        <v>680</v>
      </c>
      <c r="D1339" s="1622"/>
      <c r="E1339" s="1113"/>
      <c r="F1339" s="1113"/>
      <c r="G1339" s="333"/>
      <c r="H1339" s="331"/>
      <c r="I1339" s="331"/>
      <c r="J1339" s="331"/>
      <c r="K1339" s="330"/>
      <c r="L1339" s="193"/>
    </row>
    <row r="1340" spans="1:12" s="313" customFormat="1" ht="20.25" customHeight="1" x14ac:dyDescent="0.25">
      <c r="A1340" s="332"/>
      <c r="B1340" s="1136"/>
      <c r="C1340" s="1622" t="s">
        <v>681</v>
      </c>
      <c r="D1340" s="1622"/>
      <c r="E1340" s="1113"/>
      <c r="F1340" s="1113"/>
      <c r="G1340" s="333"/>
      <c r="H1340" s="331"/>
      <c r="I1340" s="331">
        <v>30000</v>
      </c>
      <c r="J1340" s="331">
        <v>30000</v>
      </c>
      <c r="K1340" s="330">
        <v>30000</v>
      </c>
      <c r="L1340" s="193"/>
    </row>
    <row r="1341" spans="1:12" ht="18.75" thickBot="1" x14ac:dyDescent="0.3">
      <c r="A1341" s="1144"/>
      <c r="B1341" s="1145"/>
      <c r="C1341" s="1145"/>
      <c r="D1341" s="1145"/>
      <c r="E1341" s="1145"/>
      <c r="F1341" s="1145"/>
      <c r="G1341" s="1164"/>
      <c r="H1341" s="1218"/>
      <c r="I1341" s="1219"/>
      <c r="J1341" s="1219"/>
      <c r="K1341" s="1220"/>
    </row>
    <row r="1342" spans="1:12" ht="18" x14ac:dyDescent="0.25">
      <c r="A1342" s="1111"/>
      <c r="B1342" s="1111"/>
      <c r="C1342" s="1111"/>
      <c r="D1342" s="1111"/>
      <c r="E1342" s="1111"/>
      <c r="F1342" s="1111"/>
      <c r="G1342" s="125"/>
      <c r="H1342" s="1221"/>
      <c r="I1342" s="1222"/>
      <c r="J1342" s="1222"/>
      <c r="K1342" s="1223"/>
    </row>
    <row r="1343" spans="1:12" ht="18" x14ac:dyDescent="0.25">
      <c r="A1343" s="1111"/>
      <c r="B1343" s="1111"/>
      <c r="C1343" s="1111"/>
      <c r="D1343" s="1111"/>
      <c r="E1343" s="1111"/>
      <c r="F1343" s="1111"/>
      <c r="G1343" s="125"/>
      <c r="H1343" s="1221"/>
      <c r="I1343" s="1222"/>
      <c r="J1343" s="1222"/>
      <c r="K1343" s="1223"/>
    </row>
    <row r="1344" spans="1:12" ht="18" x14ac:dyDescent="0.25">
      <c r="A1344" s="1111"/>
      <c r="B1344" s="1111"/>
      <c r="C1344" s="1111"/>
      <c r="D1344" s="1111"/>
      <c r="E1344" s="1111"/>
      <c r="F1344" s="1111"/>
      <c r="G1344" s="125"/>
      <c r="H1344" s="1221"/>
      <c r="I1344" s="1222"/>
      <c r="J1344" s="1222"/>
      <c r="K1344" s="1223"/>
    </row>
    <row r="1345" spans="1:12" ht="18" x14ac:dyDescent="0.25">
      <c r="A1345" s="1111"/>
      <c r="B1345" s="1111"/>
      <c r="C1345" s="1111"/>
      <c r="D1345" s="1111"/>
      <c r="E1345" s="1111"/>
      <c r="F1345" s="1111"/>
      <c r="G1345" s="125"/>
      <c r="H1345" s="1221"/>
      <c r="I1345" s="1222"/>
      <c r="J1345" s="1222"/>
      <c r="K1345" s="1223"/>
    </row>
    <row r="1346" spans="1:12" ht="18" x14ac:dyDescent="0.25">
      <c r="A1346" s="1111"/>
      <c r="B1346" s="1111"/>
      <c r="C1346" s="1111"/>
      <c r="D1346" s="1111"/>
      <c r="E1346" s="1111"/>
      <c r="F1346" s="1111"/>
      <c r="G1346" s="125"/>
      <c r="H1346" s="1221"/>
      <c r="I1346" s="1222"/>
      <c r="J1346" s="1222"/>
      <c r="K1346" s="1223"/>
    </row>
    <row r="1347" spans="1:12" s="146" customFormat="1" ht="18" customHeight="1" x14ac:dyDescent="0.25">
      <c r="A1347" s="9" t="s">
        <v>112</v>
      </c>
      <c r="B1347" s="9"/>
      <c r="C1347" s="9"/>
      <c r="D1347" s="9"/>
      <c r="E1347" s="9"/>
      <c r="F1347" s="9"/>
      <c r="G1347" s="9"/>
      <c r="H1347" s="5"/>
      <c r="I1347" s="5"/>
      <c r="J1347" s="5"/>
      <c r="K1347" s="5"/>
      <c r="L1347" s="10"/>
    </row>
    <row r="1348" spans="1:12" ht="18" customHeight="1" x14ac:dyDescent="0.25">
      <c r="A1348" s="8" t="s">
        <v>817</v>
      </c>
    </row>
    <row r="1349" spans="1:12" ht="18" customHeight="1" x14ac:dyDescent="0.25">
      <c r="A1349" s="1636" t="s">
        <v>113</v>
      </c>
      <c r="B1349" s="1636"/>
      <c r="C1349" s="1636"/>
      <c r="D1349" s="1636"/>
      <c r="E1349" s="1636"/>
      <c r="F1349" s="1636"/>
      <c r="G1349" s="1636"/>
      <c r="H1349" s="1636"/>
      <c r="I1349" s="1636"/>
      <c r="J1349" s="1636"/>
      <c r="K1349" s="1101"/>
    </row>
    <row r="1350" spans="1:12" s="7" customFormat="1" ht="18" customHeight="1" x14ac:dyDescent="0.25">
      <c r="A1350" s="1624" t="s">
        <v>114</v>
      </c>
      <c r="B1350" s="1624"/>
      <c r="C1350" s="1624"/>
      <c r="D1350" s="1624"/>
      <c r="E1350" s="1624"/>
      <c r="F1350" s="1624"/>
      <c r="G1350" s="1624"/>
      <c r="H1350" s="1624"/>
      <c r="I1350" s="1624"/>
      <c r="J1350" s="1624"/>
      <c r="K1350" s="159"/>
      <c r="L1350" s="6"/>
    </row>
    <row r="1351" spans="1:12" s="7" customFormat="1" ht="18" customHeight="1" x14ac:dyDescent="0.25">
      <c r="A1351" s="1115"/>
      <c r="B1351" s="1115"/>
      <c r="C1351" s="1115"/>
      <c r="D1351" s="1115"/>
      <c r="E1351" s="1115"/>
      <c r="F1351" s="1115"/>
      <c r="G1351" s="1115"/>
      <c r="H1351" s="1115"/>
      <c r="I1351" s="1115"/>
      <c r="J1351" s="1115"/>
      <c r="K1351" s="159"/>
      <c r="L1351" s="6"/>
    </row>
    <row r="1352" spans="1:12" ht="16.5" thickBot="1" x14ac:dyDescent="0.3"/>
    <row r="1353" spans="1:12" s="48" customFormat="1" ht="21.75" customHeight="1" thickBot="1" x14ac:dyDescent="0.3">
      <c r="A1353" s="1655" t="s">
        <v>115</v>
      </c>
      <c r="B1353" s="1655"/>
      <c r="C1353" s="1655"/>
      <c r="D1353" s="1655"/>
      <c r="E1353" s="1655"/>
      <c r="F1353" s="1655"/>
      <c r="G1353" s="1151"/>
      <c r="H1353" s="1708" t="s">
        <v>1537</v>
      </c>
      <c r="I1353" s="1710" t="s">
        <v>1538</v>
      </c>
      <c r="J1353" s="1710" t="s">
        <v>1539</v>
      </c>
      <c r="K1353" s="1710" t="s">
        <v>1540</v>
      </c>
      <c r="L1353" s="47"/>
    </row>
    <row r="1354" spans="1:12" s="1153" customFormat="1" ht="31.5" customHeight="1" thickBot="1" x14ac:dyDescent="0.3">
      <c r="A1354" s="1655"/>
      <c r="B1354" s="1655"/>
      <c r="C1354" s="1655"/>
      <c r="D1354" s="1655"/>
      <c r="E1354" s="1655"/>
      <c r="F1354" s="1655"/>
      <c r="G1354" s="1129" t="s">
        <v>116</v>
      </c>
      <c r="H1354" s="1709"/>
      <c r="I1354" s="1710"/>
      <c r="J1354" s="1710"/>
      <c r="K1354" s="1710"/>
      <c r="L1354" s="1152"/>
    </row>
    <row r="1355" spans="1:12" s="313" customFormat="1" ht="36" customHeight="1" x14ac:dyDescent="0.25">
      <c r="A1355" s="332"/>
      <c r="B1355" s="1136"/>
      <c r="C1355" s="1622" t="s">
        <v>682</v>
      </c>
      <c r="D1355" s="1622"/>
      <c r="E1355" s="1113"/>
      <c r="F1355" s="1113"/>
      <c r="G1355" s="333"/>
      <c r="H1355" s="331"/>
      <c r="I1355" s="331"/>
      <c r="J1355" s="331"/>
      <c r="K1355" s="330"/>
      <c r="L1355" s="193"/>
    </row>
    <row r="1356" spans="1:12" ht="18" x14ac:dyDescent="0.25">
      <c r="A1356" s="1134"/>
      <c r="B1356" s="1111"/>
      <c r="C1356" s="1611" t="s">
        <v>684</v>
      </c>
      <c r="D1356" s="1611"/>
      <c r="E1356" s="1611"/>
      <c r="F1356" s="1611"/>
      <c r="G1356" s="97"/>
      <c r="H1356" s="331"/>
      <c r="I1356" s="331"/>
      <c r="J1356" s="331"/>
      <c r="K1356" s="330"/>
    </row>
    <row r="1357" spans="1:12" s="179" customFormat="1" ht="20.25" customHeight="1" x14ac:dyDescent="0.25">
      <c r="A1357" s="332"/>
      <c r="B1357" s="1136"/>
      <c r="C1357" s="1622" t="s">
        <v>1822</v>
      </c>
      <c r="D1357" s="1622"/>
      <c r="E1357" s="1113"/>
      <c r="F1357" s="1113"/>
      <c r="G1357" s="333"/>
      <c r="H1357" s="331"/>
      <c r="I1357" s="331"/>
      <c r="J1357" s="331"/>
      <c r="K1357" s="330"/>
      <c r="L1357" s="193"/>
    </row>
    <row r="1358" spans="1:12" ht="18" x14ac:dyDescent="0.25">
      <c r="A1358" s="1134"/>
      <c r="B1358" s="1111"/>
      <c r="C1358" s="1611" t="s">
        <v>686</v>
      </c>
      <c r="D1358" s="1611"/>
      <c r="E1358" s="1611"/>
      <c r="F1358" s="1611"/>
      <c r="G1358" s="97"/>
      <c r="H1358" s="334"/>
      <c r="I1358" s="334"/>
      <c r="J1358" s="334"/>
      <c r="K1358" s="1224"/>
    </row>
    <row r="1359" spans="1:12" ht="18" x14ac:dyDescent="0.25">
      <c r="A1359" s="1134"/>
      <c r="B1359" s="1111"/>
      <c r="C1359" s="1141" t="s">
        <v>1823</v>
      </c>
      <c r="D1359" s="1106"/>
      <c r="E1359" s="1106"/>
      <c r="F1359" s="1106"/>
      <c r="G1359" s="97"/>
      <c r="H1359" s="101"/>
      <c r="I1359" s="331"/>
      <c r="J1359" s="331"/>
      <c r="K1359" s="330"/>
    </row>
    <row r="1360" spans="1:12" ht="18" x14ac:dyDescent="0.25">
      <c r="A1360" s="1134"/>
      <c r="B1360" s="1111"/>
      <c r="C1360" s="1141" t="s">
        <v>688</v>
      </c>
      <c r="D1360" s="1106"/>
      <c r="E1360" s="1106"/>
      <c r="F1360" s="1106"/>
      <c r="G1360" s="97"/>
      <c r="H1360" s="331"/>
      <c r="I1360" s="331">
        <v>5000000</v>
      </c>
      <c r="J1360" s="331">
        <v>5000000</v>
      </c>
      <c r="K1360" s="330">
        <v>5000000</v>
      </c>
    </row>
    <row r="1361" spans="1:12" ht="18" x14ac:dyDescent="0.25">
      <c r="A1361" s="1134"/>
      <c r="B1361" s="1111"/>
      <c r="C1361" s="1141" t="s">
        <v>1824</v>
      </c>
      <c r="D1361" s="1106"/>
      <c r="E1361" s="1106"/>
      <c r="F1361" s="1106"/>
      <c r="G1361" s="97"/>
      <c r="H1361" s="331"/>
      <c r="I1361" s="331">
        <v>350000</v>
      </c>
      <c r="J1361" s="331">
        <v>350000</v>
      </c>
      <c r="K1361" s="330">
        <v>350000</v>
      </c>
    </row>
    <row r="1362" spans="1:12" ht="36" customHeight="1" x14ac:dyDescent="0.25">
      <c r="A1362" s="1134"/>
      <c r="B1362" s="1111"/>
      <c r="C1362" s="1574" t="s">
        <v>1825</v>
      </c>
      <c r="D1362" s="1574"/>
      <c r="E1362" s="1106"/>
      <c r="F1362" s="1106"/>
      <c r="G1362" s="97"/>
      <c r="H1362" s="331"/>
      <c r="I1362" s="331">
        <v>250000</v>
      </c>
      <c r="J1362" s="331">
        <v>250000</v>
      </c>
      <c r="K1362" s="330">
        <v>250000</v>
      </c>
    </row>
    <row r="1363" spans="1:12" ht="36" customHeight="1" x14ac:dyDescent="0.25">
      <c r="A1363" s="1134"/>
      <c r="B1363" s="1111"/>
      <c r="C1363" s="1574" t="s">
        <v>1826</v>
      </c>
      <c r="D1363" s="1574"/>
      <c r="E1363" s="1106"/>
      <c r="F1363" s="1106"/>
      <c r="G1363" s="97"/>
      <c r="H1363" s="331"/>
      <c r="I1363" s="331">
        <v>30000</v>
      </c>
      <c r="J1363" s="331">
        <v>30000</v>
      </c>
      <c r="K1363" s="330">
        <v>30000</v>
      </c>
    </row>
    <row r="1364" spans="1:12" ht="18" x14ac:dyDescent="0.25">
      <c r="A1364" s="1134"/>
      <c r="B1364" s="1111"/>
      <c r="C1364" s="1620" t="s">
        <v>161</v>
      </c>
      <c r="D1364" s="1620"/>
      <c r="E1364" s="1620"/>
      <c r="F1364" s="1620"/>
      <c r="G1364" s="97"/>
      <c r="H1364" s="562">
        <f>SUM(H1299:H1363)</f>
        <v>0</v>
      </c>
      <c r="I1364" s="562">
        <f>SUM(I1299:I1363)</f>
        <v>17962000</v>
      </c>
      <c r="J1364" s="562">
        <f>SUM(J1299:J1363)</f>
        <v>17962000</v>
      </c>
      <c r="K1364" s="562">
        <f>SUM(K1299:K1363)</f>
        <v>16962000</v>
      </c>
    </row>
    <row r="1365" spans="1:12" ht="18" x14ac:dyDescent="0.25">
      <c r="A1365" s="1134"/>
      <c r="B1365" s="1111"/>
      <c r="C1365" s="1111"/>
      <c r="D1365" s="1111"/>
      <c r="E1365" s="1111"/>
      <c r="F1365" s="1111"/>
      <c r="G1365" s="97"/>
      <c r="H1365" s="565"/>
      <c r="I1365" s="565"/>
      <c r="J1365" s="565"/>
      <c r="K1365" s="1225"/>
    </row>
    <row r="1366" spans="1:12" ht="18" x14ac:dyDescent="0.25">
      <c r="A1366" s="1105"/>
      <c r="B1366" s="1106"/>
      <c r="C1366" s="1620" t="s">
        <v>693</v>
      </c>
      <c r="D1366" s="1620"/>
      <c r="E1366" s="1620"/>
      <c r="F1366" s="1620"/>
      <c r="G1366" s="131"/>
      <c r="H1366" s="155"/>
      <c r="I1366" s="155"/>
      <c r="J1366" s="155"/>
      <c r="K1366" s="156"/>
    </row>
    <row r="1367" spans="1:12" s="212" customFormat="1" ht="36" customHeight="1" x14ac:dyDescent="0.25">
      <c r="A1367" s="154"/>
      <c r="B1367" s="1107"/>
      <c r="C1367" s="1611" t="s">
        <v>1827</v>
      </c>
      <c r="D1367" s="1611"/>
      <c r="E1367" s="124"/>
      <c r="F1367" s="124"/>
      <c r="G1367" s="131"/>
      <c r="H1367" s="155"/>
      <c r="I1367" s="101">
        <v>170000</v>
      </c>
      <c r="J1367" s="101">
        <v>170000</v>
      </c>
      <c r="K1367" s="102">
        <v>170000</v>
      </c>
      <c r="L1367" s="207"/>
    </row>
    <row r="1368" spans="1:12" s="212" customFormat="1" ht="18" x14ac:dyDescent="0.25">
      <c r="A1368" s="154"/>
      <c r="B1368" s="1107"/>
      <c r="C1368" s="1107" t="s">
        <v>1828</v>
      </c>
      <c r="D1368" s="124"/>
      <c r="E1368" s="124"/>
      <c r="F1368" s="124"/>
      <c r="G1368" s="131"/>
      <c r="H1368" s="155"/>
      <c r="I1368" s="101">
        <v>200000</v>
      </c>
      <c r="J1368" s="101">
        <v>200000</v>
      </c>
      <c r="K1368" s="102">
        <v>200000</v>
      </c>
      <c r="L1368" s="207"/>
    </row>
    <row r="1369" spans="1:12" s="212" customFormat="1" ht="18" x14ac:dyDescent="0.25">
      <c r="A1369" s="154"/>
      <c r="B1369" s="1107"/>
      <c r="C1369" s="1107" t="s">
        <v>1829</v>
      </c>
      <c r="D1369" s="124"/>
      <c r="E1369" s="124"/>
      <c r="F1369" s="124"/>
      <c r="G1369" s="131"/>
      <c r="H1369" s="155"/>
      <c r="I1369" s="101">
        <v>450000</v>
      </c>
      <c r="J1369" s="101">
        <v>450000</v>
      </c>
      <c r="K1369" s="102">
        <v>450000</v>
      </c>
      <c r="L1369" s="207"/>
    </row>
    <row r="1370" spans="1:12" s="212" customFormat="1" ht="18" x14ac:dyDescent="0.25">
      <c r="A1370" s="154"/>
      <c r="B1370" s="1107"/>
      <c r="C1370" s="1107" t="s">
        <v>1830</v>
      </c>
      <c r="D1370" s="124"/>
      <c r="E1370" s="124"/>
      <c r="F1370" s="124"/>
      <c r="G1370" s="131"/>
      <c r="H1370" s="155"/>
      <c r="I1370" s="101">
        <v>150000</v>
      </c>
      <c r="J1370" s="101">
        <v>150000</v>
      </c>
      <c r="K1370" s="102">
        <v>150000</v>
      </c>
      <c r="L1370" s="207"/>
    </row>
    <row r="1371" spans="1:12" s="212" customFormat="1" ht="54.75" customHeight="1" x14ac:dyDescent="0.25">
      <c r="A1371" s="154"/>
      <c r="B1371" s="1107"/>
      <c r="C1371" s="1611" t="s">
        <v>1831</v>
      </c>
      <c r="D1371" s="1611"/>
      <c r="E1371" s="124"/>
      <c r="F1371" s="124"/>
      <c r="G1371" s="131"/>
      <c r="H1371" s="155"/>
      <c r="I1371" s="101">
        <v>150000</v>
      </c>
      <c r="J1371" s="101">
        <v>150000</v>
      </c>
      <c r="K1371" s="102">
        <v>150000</v>
      </c>
      <c r="L1371" s="207"/>
    </row>
    <row r="1372" spans="1:12" s="212" customFormat="1" ht="54.75" customHeight="1" x14ac:dyDescent="0.25">
      <c r="A1372" s="154"/>
      <c r="B1372" s="1107"/>
      <c r="C1372" s="1611" t="s">
        <v>1832</v>
      </c>
      <c r="D1372" s="1611"/>
      <c r="E1372" s="124"/>
      <c r="F1372" s="124"/>
      <c r="G1372" s="131"/>
      <c r="H1372" s="155"/>
      <c r="I1372" s="101">
        <v>280000</v>
      </c>
      <c r="J1372" s="101">
        <v>280000</v>
      </c>
      <c r="K1372" s="102">
        <v>280000</v>
      </c>
      <c r="L1372" s="207"/>
    </row>
    <row r="1373" spans="1:12" s="212" customFormat="1" ht="18" x14ac:dyDescent="0.25">
      <c r="A1373" s="154"/>
      <c r="B1373" s="1107"/>
      <c r="C1373" s="1107" t="s">
        <v>1833</v>
      </c>
      <c r="D1373" s="124"/>
      <c r="E1373" s="124"/>
      <c r="F1373" s="124"/>
      <c r="G1373" s="131"/>
      <c r="H1373" s="155"/>
      <c r="I1373" s="101">
        <v>150000</v>
      </c>
      <c r="J1373" s="101">
        <v>150000</v>
      </c>
      <c r="K1373" s="102">
        <v>150000</v>
      </c>
      <c r="L1373" s="207"/>
    </row>
    <row r="1374" spans="1:12" s="212" customFormat="1" ht="18" x14ac:dyDescent="0.25">
      <c r="A1374" s="154"/>
      <c r="B1374" s="1107"/>
      <c r="C1374" s="1107" t="s">
        <v>1834</v>
      </c>
      <c r="D1374" s="124"/>
      <c r="E1374" s="124"/>
      <c r="F1374" s="124"/>
      <c r="G1374" s="131"/>
      <c r="H1374" s="155"/>
      <c r="I1374" s="101">
        <v>150000</v>
      </c>
      <c r="J1374" s="101">
        <v>150000</v>
      </c>
      <c r="K1374" s="102">
        <v>150000</v>
      </c>
      <c r="L1374" s="207"/>
    </row>
    <row r="1375" spans="1:12" s="212" customFormat="1" ht="39" customHeight="1" x14ac:dyDescent="0.25">
      <c r="A1375" s="154"/>
      <c r="B1375" s="1107"/>
      <c r="C1375" s="1611" t="s">
        <v>1835</v>
      </c>
      <c r="D1375" s="1611"/>
      <c r="E1375" s="124"/>
      <c r="F1375" s="124"/>
      <c r="G1375" s="131"/>
      <c r="H1375" s="155"/>
      <c r="I1375" s="101">
        <v>300000</v>
      </c>
      <c r="J1375" s="101">
        <v>300000</v>
      </c>
      <c r="K1375" s="102">
        <v>300000</v>
      </c>
      <c r="L1375" s="207"/>
    </row>
    <row r="1376" spans="1:12" s="212" customFormat="1" ht="18" x14ac:dyDescent="0.25">
      <c r="A1376" s="154"/>
      <c r="B1376" s="1107"/>
      <c r="C1376" s="1107" t="s">
        <v>1836</v>
      </c>
      <c r="D1376" s="124"/>
      <c r="E1376" s="124"/>
      <c r="F1376" s="124"/>
      <c r="G1376" s="131"/>
      <c r="H1376" s="155"/>
      <c r="I1376" s="101">
        <v>200000</v>
      </c>
      <c r="J1376" s="101">
        <v>200000</v>
      </c>
      <c r="K1376" s="102">
        <v>200000</v>
      </c>
      <c r="L1376" s="207"/>
    </row>
    <row r="1377" spans="1:12" s="212" customFormat="1" ht="18" x14ac:dyDescent="0.25">
      <c r="A1377" s="154"/>
      <c r="B1377" s="1107"/>
      <c r="C1377" s="1107" t="s">
        <v>706</v>
      </c>
      <c r="D1377" s="124"/>
      <c r="E1377" s="124"/>
      <c r="F1377" s="124"/>
      <c r="G1377" s="131"/>
      <c r="H1377" s="155"/>
      <c r="I1377" s="101">
        <v>250000</v>
      </c>
      <c r="J1377" s="101">
        <v>250000</v>
      </c>
      <c r="K1377" s="102">
        <v>250000</v>
      </c>
      <c r="L1377" s="207"/>
    </row>
    <row r="1378" spans="1:12" s="212" customFormat="1" ht="18" x14ac:dyDescent="0.25">
      <c r="A1378" s="154"/>
      <c r="B1378" s="1107"/>
      <c r="C1378" s="1107" t="s">
        <v>1837</v>
      </c>
      <c r="D1378" s="124"/>
      <c r="E1378" s="124"/>
      <c r="F1378" s="124"/>
      <c r="G1378" s="131"/>
      <c r="H1378" s="155"/>
      <c r="I1378" s="101">
        <v>250000</v>
      </c>
      <c r="J1378" s="101">
        <v>250000</v>
      </c>
      <c r="K1378" s="102">
        <v>250000</v>
      </c>
      <c r="L1378" s="207"/>
    </row>
    <row r="1379" spans="1:12" s="344" customFormat="1" ht="35.25" customHeight="1" x14ac:dyDescent="0.25">
      <c r="A1379" s="1135"/>
      <c r="B1379" s="1113"/>
      <c r="C1379" s="1622" t="s">
        <v>694</v>
      </c>
      <c r="D1379" s="1622"/>
      <c r="E1379" s="1113"/>
      <c r="F1379" s="1113"/>
      <c r="G1379" s="176"/>
      <c r="H1379" s="101"/>
      <c r="I1379" s="101"/>
      <c r="J1379" s="101"/>
      <c r="K1379" s="102"/>
      <c r="L1379" s="193"/>
    </row>
    <row r="1380" spans="1:12" s="344" customFormat="1" ht="18" x14ac:dyDescent="0.25">
      <c r="A1380" s="1135"/>
      <c r="B1380" s="1113"/>
      <c r="C1380" s="1622" t="s">
        <v>695</v>
      </c>
      <c r="D1380" s="1622"/>
      <c r="E1380" s="1113"/>
      <c r="F1380" s="1113"/>
      <c r="G1380" s="176"/>
      <c r="H1380" s="101"/>
      <c r="I1380" s="101"/>
      <c r="J1380" s="101"/>
      <c r="K1380" s="102"/>
      <c r="L1380" s="193"/>
    </row>
    <row r="1381" spans="1:12" s="344" customFormat="1" ht="18" x14ac:dyDescent="0.25">
      <c r="A1381" s="1135"/>
      <c r="B1381" s="1113"/>
      <c r="C1381" s="1622" t="s">
        <v>696</v>
      </c>
      <c r="D1381" s="1622"/>
      <c r="E1381" s="1113"/>
      <c r="F1381" s="1113"/>
      <c r="G1381" s="176"/>
      <c r="H1381" s="101"/>
      <c r="I1381" s="101"/>
      <c r="J1381" s="101"/>
      <c r="K1381" s="102"/>
      <c r="L1381" s="193"/>
    </row>
    <row r="1382" spans="1:12" s="344" customFormat="1" ht="18" x14ac:dyDescent="0.25">
      <c r="A1382" s="1135"/>
      <c r="B1382" s="1113"/>
      <c r="C1382" s="1622" t="s">
        <v>697</v>
      </c>
      <c r="D1382" s="1622"/>
      <c r="E1382" s="1113"/>
      <c r="F1382" s="1113"/>
      <c r="G1382" s="176"/>
      <c r="H1382" s="101"/>
      <c r="I1382" s="101"/>
      <c r="J1382" s="101"/>
      <c r="K1382" s="102"/>
      <c r="L1382" s="193"/>
    </row>
    <row r="1383" spans="1:12" s="344" customFormat="1" ht="35.25" customHeight="1" x14ac:dyDescent="0.25">
      <c r="A1383" s="1135"/>
      <c r="B1383" s="1113"/>
      <c r="C1383" s="1622" t="s">
        <v>698</v>
      </c>
      <c r="D1383" s="1622"/>
      <c r="E1383" s="1113"/>
      <c r="F1383" s="1113"/>
      <c r="G1383" s="176"/>
      <c r="H1383" s="101"/>
      <c r="I1383" s="101"/>
      <c r="J1383" s="101"/>
      <c r="K1383" s="102"/>
      <c r="L1383" s="193"/>
    </row>
    <row r="1384" spans="1:12" s="344" customFormat="1" ht="36" customHeight="1" x14ac:dyDescent="0.25">
      <c r="A1384" s="1135"/>
      <c r="B1384" s="1113"/>
      <c r="C1384" s="1622" t="s">
        <v>699</v>
      </c>
      <c r="D1384" s="1622"/>
      <c r="E1384" s="1113"/>
      <c r="F1384" s="1113"/>
      <c r="G1384" s="176"/>
      <c r="H1384" s="101"/>
      <c r="I1384" s="101"/>
      <c r="J1384" s="101"/>
      <c r="K1384" s="102"/>
      <c r="L1384" s="193"/>
    </row>
    <row r="1385" spans="1:12" s="344" customFormat="1" ht="37.5" customHeight="1" x14ac:dyDescent="0.25">
      <c r="A1385" s="1135"/>
      <c r="B1385" s="1113"/>
      <c r="C1385" s="1622" t="s">
        <v>700</v>
      </c>
      <c r="D1385" s="1622"/>
      <c r="E1385" s="1113"/>
      <c r="F1385" s="1113"/>
      <c r="G1385" s="176"/>
      <c r="H1385" s="101"/>
      <c r="I1385" s="101"/>
      <c r="J1385" s="101"/>
      <c r="K1385" s="102"/>
      <c r="L1385" s="193"/>
    </row>
    <row r="1386" spans="1:12" s="208" customFormat="1" ht="18" x14ac:dyDescent="0.25">
      <c r="A1386" s="154"/>
      <c r="B1386" s="1107"/>
      <c r="C1386" s="1141" t="s">
        <v>702</v>
      </c>
      <c r="D1386" s="1106"/>
      <c r="E1386" s="1107"/>
      <c r="F1386" s="1107"/>
      <c r="G1386" s="131"/>
      <c r="H1386" s="101"/>
      <c r="I1386" s="101"/>
      <c r="J1386" s="101"/>
      <c r="K1386" s="102"/>
      <c r="L1386" s="207"/>
    </row>
    <row r="1387" spans="1:12" s="208" customFormat="1" ht="36.75" customHeight="1" x14ac:dyDescent="0.25">
      <c r="A1387" s="154"/>
      <c r="B1387" s="1107"/>
      <c r="C1387" s="1611" t="s">
        <v>703</v>
      </c>
      <c r="D1387" s="1611"/>
      <c r="E1387" s="1107"/>
      <c r="F1387" s="1107"/>
      <c r="G1387" s="131"/>
      <c r="H1387" s="101"/>
      <c r="I1387" s="101"/>
      <c r="J1387" s="101"/>
      <c r="K1387" s="102"/>
      <c r="L1387" s="207"/>
    </row>
    <row r="1388" spans="1:12" s="208" customFormat="1" ht="38.25" customHeight="1" x14ac:dyDescent="0.25">
      <c r="A1388" s="154"/>
      <c r="B1388" s="1107"/>
      <c r="C1388" s="1611" t="s">
        <v>704</v>
      </c>
      <c r="D1388" s="1611"/>
      <c r="E1388" s="1107"/>
      <c r="F1388" s="1107"/>
      <c r="G1388" s="131"/>
      <c r="H1388" s="101"/>
      <c r="I1388" s="101"/>
      <c r="J1388" s="101"/>
      <c r="K1388" s="102"/>
      <c r="L1388" s="207"/>
    </row>
    <row r="1389" spans="1:12" s="208" customFormat="1" ht="35.25" customHeight="1" x14ac:dyDescent="0.25">
      <c r="A1389" s="154"/>
      <c r="B1389" s="1107"/>
      <c r="C1389" s="1611" t="s">
        <v>707</v>
      </c>
      <c r="D1389" s="1611"/>
      <c r="E1389" s="1107"/>
      <c r="F1389" s="1107"/>
      <c r="G1389" s="131"/>
      <c r="H1389" s="101"/>
      <c r="I1389" s="101"/>
      <c r="J1389" s="101"/>
      <c r="K1389" s="102"/>
      <c r="L1389" s="207"/>
    </row>
    <row r="1390" spans="1:12" s="208" customFormat="1" ht="36" customHeight="1" x14ac:dyDescent="0.25">
      <c r="A1390" s="154"/>
      <c r="B1390" s="1107"/>
      <c r="C1390" s="1611" t="s">
        <v>713</v>
      </c>
      <c r="D1390" s="1611"/>
      <c r="E1390" s="1107"/>
      <c r="F1390" s="1107"/>
      <c r="G1390" s="131"/>
      <c r="H1390" s="105"/>
      <c r="I1390" s="105"/>
      <c r="J1390" s="105"/>
      <c r="K1390" s="106"/>
      <c r="L1390" s="207"/>
    </row>
    <row r="1391" spans="1:12" s="146" customFormat="1" ht="18" x14ac:dyDescent="0.25">
      <c r="A1391" s="1105"/>
      <c r="B1391" s="1106"/>
      <c r="C1391" s="1620" t="s">
        <v>161</v>
      </c>
      <c r="D1391" s="1620"/>
      <c r="E1391" s="1620"/>
      <c r="F1391" s="1621"/>
      <c r="G1391" s="131"/>
      <c r="H1391" s="155">
        <f>SUM(H1366:H1390)</f>
        <v>0</v>
      </c>
      <c r="I1391" s="155">
        <f>SUM(I1366:I1390)</f>
        <v>2700000</v>
      </c>
      <c r="J1391" s="155">
        <f>SUM(J1366:J1390)</f>
        <v>2700000</v>
      </c>
      <c r="K1391" s="155">
        <f>SUM(K1366:K1390)</f>
        <v>2700000</v>
      </c>
      <c r="L1391" s="10"/>
    </row>
    <row r="1392" spans="1:12" s="146" customFormat="1" ht="18" x14ac:dyDescent="0.25">
      <c r="A1392" s="1105"/>
      <c r="B1392" s="1106"/>
      <c r="C1392" s="1111"/>
      <c r="D1392" s="1111"/>
      <c r="E1392" s="1111"/>
      <c r="F1392" s="1112"/>
      <c r="G1392" s="131"/>
      <c r="H1392" s="155"/>
      <c r="I1392" s="155"/>
      <c r="J1392" s="155"/>
      <c r="K1392" s="156"/>
      <c r="L1392" s="10"/>
    </row>
    <row r="1393" spans="1:12" s="146" customFormat="1" ht="16.5" customHeight="1" x14ac:dyDescent="0.25">
      <c r="A1393" s="1105"/>
      <c r="B1393" s="1106"/>
      <c r="C1393" s="1620" t="s">
        <v>719</v>
      </c>
      <c r="D1393" s="1620"/>
      <c r="E1393" s="1620"/>
      <c r="F1393" s="1621"/>
      <c r="G1393" s="131"/>
      <c r="H1393" s="101"/>
      <c r="I1393" s="101"/>
      <c r="J1393" s="101"/>
      <c r="K1393" s="102"/>
      <c r="L1393" s="10"/>
    </row>
    <row r="1394" spans="1:12" s="229" customFormat="1" ht="33.75" customHeight="1" x14ac:dyDescent="0.25">
      <c r="A1394" s="154"/>
      <c r="B1394" s="1107"/>
      <c r="C1394" s="1611" t="s">
        <v>1838</v>
      </c>
      <c r="D1394" s="1611"/>
      <c r="E1394" s="124"/>
      <c r="F1394" s="230"/>
      <c r="G1394" s="131"/>
      <c r="H1394" s="101"/>
      <c r="I1394" s="101">
        <v>4120000</v>
      </c>
      <c r="J1394" s="101">
        <v>4120000</v>
      </c>
      <c r="K1394" s="102">
        <v>4120000</v>
      </c>
      <c r="L1394" s="207"/>
    </row>
    <row r="1395" spans="1:12" s="229" customFormat="1" ht="16.5" customHeight="1" x14ac:dyDescent="0.25">
      <c r="A1395" s="154"/>
      <c r="B1395" s="1107"/>
      <c r="C1395" s="1107" t="s">
        <v>1839</v>
      </c>
      <c r="D1395" s="124"/>
      <c r="E1395" s="124"/>
      <c r="F1395" s="230"/>
      <c r="G1395" s="131"/>
      <c r="H1395" s="101"/>
      <c r="I1395" s="101">
        <v>500000</v>
      </c>
      <c r="J1395" s="101">
        <v>500000</v>
      </c>
      <c r="K1395" s="102">
        <v>500000</v>
      </c>
      <c r="L1395" s="207"/>
    </row>
    <row r="1396" spans="1:12" s="229" customFormat="1" ht="36.75" customHeight="1" thickBot="1" x14ac:dyDescent="0.3">
      <c r="A1396" s="214"/>
      <c r="B1396" s="960"/>
      <c r="C1396" s="1727" t="s">
        <v>1840</v>
      </c>
      <c r="D1396" s="1727"/>
      <c r="E1396" s="1227"/>
      <c r="F1396" s="1228"/>
      <c r="G1396" s="218"/>
      <c r="H1396" s="219"/>
      <c r="I1396" s="219">
        <v>2000000</v>
      </c>
      <c r="J1396" s="219">
        <v>2000000</v>
      </c>
      <c r="K1396" s="220">
        <v>2000000</v>
      </c>
      <c r="L1396" s="207"/>
    </row>
    <row r="1397" spans="1:12" s="146" customFormat="1" ht="18" customHeight="1" x14ac:dyDescent="0.25">
      <c r="C1397" s="9"/>
      <c r="D1397" s="9"/>
      <c r="E1397" s="9"/>
      <c r="F1397" s="9"/>
      <c r="G1397" s="9"/>
      <c r="H1397" s="5"/>
      <c r="I1397" s="5"/>
      <c r="J1397" s="5"/>
      <c r="K1397" s="5"/>
      <c r="L1397" s="10"/>
    </row>
    <row r="1398" spans="1:12" s="146" customFormat="1" ht="18" customHeight="1" x14ac:dyDescent="0.25">
      <c r="C1398" s="9"/>
      <c r="D1398" s="9"/>
      <c r="E1398" s="9"/>
      <c r="F1398" s="9"/>
      <c r="G1398" s="9"/>
      <c r="H1398" s="5"/>
      <c r="I1398" s="5"/>
      <c r="J1398" s="5"/>
      <c r="K1398" s="5"/>
      <c r="L1398" s="10"/>
    </row>
    <row r="1399" spans="1:12" s="146" customFormat="1" ht="18" customHeight="1" x14ac:dyDescent="0.25">
      <c r="C1399" s="9"/>
      <c r="D1399" s="9"/>
      <c r="E1399" s="9"/>
      <c r="F1399" s="9"/>
      <c r="G1399" s="9"/>
      <c r="H1399" s="5"/>
      <c r="I1399" s="5"/>
      <c r="J1399" s="5"/>
      <c r="K1399" s="5"/>
      <c r="L1399" s="10"/>
    </row>
    <row r="1400" spans="1:12" s="146" customFormat="1" ht="18" customHeight="1" x14ac:dyDescent="0.25">
      <c r="C1400" s="9"/>
      <c r="D1400" s="9"/>
      <c r="E1400" s="9"/>
      <c r="F1400" s="9"/>
      <c r="G1400" s="9"/>
      <c r="H1400" s="5"/>
      <c r="I1400" s="5"/>
      <c r="J1400" s="5"/>
      <c r="K1400" s="5"/>
      <c r="L1400" s="10"/>
    </row>
    <row r="1401" spans="1:12" s="146" customFormat="1" ht="18" customHeight="1" x14ac:dyDescent="0.25">
      <c r="C1401" s="9"/>
      <c r="D1401" s="9"/>
      <c r="E1401" s="9"/>
      <c r="F1401" s="9"/>
      <c r="G1401" s="9"/>
      <c r="H1401" s="5"/>
      <c r="I1401" s="5"/>
      <c r="J1401" s="5"/>
      <c r="K1401" s="5"/>
      <c r="L1401" s="10"/>
    </row>
    <row r="1402" spans="1:12" s="146" customFormat="1" ht="18" customHeight="1" x14ac:dyDescent="0.25">
      <c r="A1402" s="9" t="s">
        <v>112</v>
      </c>
      <c r="B1402" s="9"/>
      <c r="C1402" s="9"/>
      <c r="D1402" s="9"/>
      <c r="E1402" s="9"/>
      <c r="F1402" s="9"/>
      <c r="G1402" s="9"/>
      <c r="H1402" s="5"/>
      <c r="I1402" s="5"/>
      <c r="J1402" s="5"/>
      <c r="K1402" s="5"/>
      <c r="L1402" s="10"/>
    </row>
    <row r="1403" spans="1:12" ht="18" customHeight="1" x14ac:dyDescent="0.25">
      <c r="A1403" s="8" t="s">
        <v>845</v>
      </c>
    </row>
    <row r="1404" spans="1:12" ht="18" customHeight="1" x14ac:dyDescent="0.25">
      <c r="A1404" s="1636" t="s">
        <v>113</v>
      </c>
      <c r="B1404" s="1636"/>
      <c r="C1404" s="1636"/>
      <c r="D1404" s="1636"/>
      <c r="E1404" s="1636"/>
      <c r="F1404" s="1636"/>
      <c r="G1404" s="1636"/>
      <c r="H1404" s="1636"/>
      <c r="I1404" s="1636"/>
      <c r="J1404" s="1636"/>
      <c r="K1404" s="1101"/>
    </row>
    <row r="1405" spans="1:12" s="7" customFormat="1" ht="18" customHeight="1" x14ac:dyDescent="0.25">
      <c r="A1405" s="1624" t="s">
        <v>114</v>
      </c>
      <c r="B1405" s="1624"/>
      <c r="C1405" s="1624"/>
      <c r="D1405" s="1624"/>
      <c r="E1405" s="1624"/>
      <c r="F1405" s="1624"/>
      <c r="G1405" s="1624"/>
      <c r="H1405" s="1624"/>
      <c r="I1405" s="1624"/>
      <c r="J1405" s="1624"/>
      <c r="K1405" s="159"/>
      <c r="L1405" s="6"/>
    </row>
    <row r="1406" spans="1:12" s="7" customFormat="1" ht="18" customHeight="1" x14ac:dyDescent="0.25">
      <c r="A1406" s="1115"/>
      <c r="B1406" s="1115"/>
      <c r="C1406" s="1115"/>
      <c r="D1406" s="1115"/>
      <c r="E1406" s="1115"/>
      <c r="F1406" s="1115"/>
      <c r="G1406" s="1115"/>
      <c r="H1406" s="1115"/>
      <c r="I1406" s="1115"/>
      <c r="J1406" s="1115"/>
      <c r="K1406" s="159"/>
      <c r="L1406" s="6"/>
    </row>
    <row r="1407" spans="1:12" ht="16.5" thickBot="1" x14ac:dyDescent="0.3"/>
    <row r="1408" spans="1:12" s="48" customFormat="1" ht="21.75" customHeight="1" thickBot="1" x14ac:dyDescent="0.3">
      <c r="A1408" s="1655" t="s">
        <v>115</v>
      </c>
      <c r="B1408" s="1655"/>
      <c r="C1408" s="1655"/>
      <c r="D1408" s="1655"/>
      <c r="E1408" s="1655"/>
      <c r="F1408" s="1655"/>
      <c r="G1408" s="1151"/>
      <c r="H1408" s="1708" t="s">
        <v>1537</v>
      </c>
      <c r="I1408" s="1710" t="s">
        <v>1538</v>
      </c>
      <c r="J1408" s="1710" t="s">
        <v>1539</v>
      </c>
      <c r="K1408" s="1710" t="s">
        <v>1540</v>
      </c>
      <c r="L1408" s="47"/>
    </row>
    <row r="1409" spans="1:12" s="1153" customFormat="1" ht="31.5" customHeight="1" thickBot="1" x14ac:dyDescent="0.3">
      <c r="A1409" s="1655"/>
      <c r="B1409" s="1655"/>
      <c r="C1409" s="1655"/>
      <c r="D1409" s="1655"/>
      <c r="E1409" s="1655"/>
      <c r="F1409" s="1655"/>
      <c r="G1409" s="1129" t="s">
        <v>116</v>
      </c>
      <c r="H1409" s="1709"/>
      <c r="I1409" s="1710"/>
      <c r="J1409" s="1710"/>
      <c r="K1409" s="1710"/>
      <c r="L1409" s="1152"/>
    </row>
    <row r="1410" spans="1:12" s="146" customFormat="1" ht="33" customHeight="1" x14ac:dyDescent="0.25">
      <c r="A1410" s="1105"/>
      <c r="B1410" s="1106"/>
      <c r="C1410" s="1611" t="s">
        <v>1841</v>
      </c>
      <c r="D1410" s="1611"/>
      <c r="E1410" s="1111"/>
      <c r="F1410" s="1112"/>
      <c r="G1410" s="131"/>
      <c r="H1410" s="101"/>
      <c r="I1410" s="101"/>
      <c r="J1410" s="101"/>
      <c r="K1410" s="102"/>
      <c r="L1410" s="10"/>
    </row>
    <row r="1411" spans="1:12" s="347" customFormat="1" ht="16.5" customHeight="1" x14ac:dyDescent="0.25">
      <c r="A1411" s="1135"/>
      <c r="B1411" s="1113"/>
      <c r="C1411" s="1622" t="s">
        <v>720</v>
      </c>
      <c r="D1411" s="1622"/>
      <c r="E1411" s="1113"/>
      <c r="F1411" s="1127"/>
      <c r="G1411" s="176"/>
      <c r="H1411" s="101"/>
      <c r="I1411" s="101"/>
      <c r="J1411" s="101"/>
      <c r="K1411" s="102"/>
      <c r="L1411" s="193"/>
    </row>
    <row r="1412" spans="1:12" s="347" customFormat="1" ht="36" customHeight="1" x14ac:dyDescent="0.25">
      <c r="A1412" s="1135"/>
      <c r="B1412" s="1113"/>
      <c r="C1412" s="1622" t="s">
        <v>721</v>
      </c>
      <c r="D1412" s="1622"/>
      <c r="E1412" s="1113"/>
      <c r="F1412" s="1127"/>
      <c r="G1412" s="176"/>
      <c r="H1412" s="101"/>
      <c r="I1412" s="101"/>
      <c r="J1412" s="101"/>
      <c r="K1412" s="102"/>
      <c r="L1412" s="193"/>
    </row>
    <row r="1413" spans="1:12" s="347" customFormat="1" ht="36" customHeight="1" x14ac:dyDescent="0.25">
      <c r="A1413" s="1135"/>
      <c r="B1413" s="1113"/>
      <c r="C1413" s="1622" t="s">
        <v>722</v>
      </c>
      <c r="D1413" s="1622"/>
      <c r="E1413" s="1113"/>
      <c r="F1413" s="1127"/>
      <c r="G1413" s="176"/>
      <c r="H1413" s="101"/>
      <c r="I1413" s="101"/>
      <c r="J1413" s="101"/>
      <c r="K1413" s="102"/>
      <c r="L1413" s="193"/>
    </row>
    <row r="1414" spans="1:12" s="347" customFormat="1" ht="36" customHeight="1" x14ac:dyDescent="0.25">
      <c r="A1414" s="1135"/>
      <c r="B1414" s="1113"/>
      <c r="C1414" s="1622" t="s">
        <v>723</v>
      </c>
      <c r="D1414" s="1622"/>
      <c r="E1414" s="1113"/>
      <c r="F1414" s="1127"/>
      <c r="G1414" s="176"/>
      <c r="H1414" s="101"/>
      <c r="I1414" s="101"/>
      <c r="J1414" s="101"/>
      <c r="K1414" s="102"/>
      <c r="L1414" s="193"/>
    </row>
    <row r="1415" spans="1:12" s="146" customFormat="1" ht="18" x14ac:dyDescent="0.25">
      <c r="A1415" s="1105"/>
      <c r="B1415" s="1106"/>
      <c r="C1415" s="1602" t="s">
        <v>725</v>
      </c>
      <c r="D1415" s="1603"/>
      <c r="E1415" s="1603"/>
      <c r="F1415" s="1610"/>
      <c r="G1415" s="131"/>
      <c r="H1415" s="105"/>
      <c r="I1415" s="105"/>
      <c r="J1415" s="105"/>
      <c r="K1415" s="106"/>
      <c r="L1415" s="10"/>
    </row>
    <row r="1416" spans="1:12" s="146" customFormat="1" ht="18" x14ac:dyDescent="0.25">
      <c r="A1416" s="1105"/>
      <c r="B1416" s="1106"/>
      <c r="C1416" s="1620" t="s">
        <v>161</v>
      </c>
      <c r="D1416" s="1620"/>
      <c r="E1416" s="1620"/>
      <c r="F1416" s="1620"/>
      <c r="G1416" s="131"/>
      <c r="H1416" s="155">
        <f>SUM(H1393:H1415)</f>
        <v>0</v>
      </c>
      <c r="I1416" s="155">
        <f>SUM(I1393:I1415)</f>
        <v>6620000</v>
      </c>
      <c r="J1416" s="155">
        <f>SUM(J1393:J1415)</f>
        <v>6620000</v>
      </c>
      <c r="K1416" s="155">
        <f>SUM(K1393:K1415)</f>
        <v>6620000</v>
      </c>
      <c r="L1416" s="10"/>
    </row>
    <row r="1417" spans="1:12" s="146" customFormat="1" ht="18" x14ac:dyDescent="0.25">
      <c r="A1417" s="1105"/>
      <c r="B1417" s="1106"/>
      <c r="C1417" s="1111"/>
      <c r="D1417" s="1111"/>
      <c r="E1417" s="1111"/>
      <c r="F1417" s="1111"/>
      <c r="G1417" s="131"/>
      <c r="H1417" s="155"/>
      <c r="I1417" s="155"/>
      <c r="J1417" s="155"/>
      <c r="K1417" s="156"/>
      <c r="L1417" s="10"/>
    </row>
    <row r="1418" spans="1:12" s="146" customFormat="1" ht="16.5" customHeight="1" x14ac:dyDescent="0.25">
      <c r="A1418" s="1105"/>
      <c r="B1418" s="1106"/>
      <c r="C1418" s="1621" t="s">
        <v>726</v>
      </c>
      <c r="D1418" s="1666"/>
      <c r="E1418" s="1666"/>
      <c r="F1418" s="1667"/>
      <c r="G1418" s="131"/>
      <c r="H1418" s="101"/>
      <c r="I1418" s="101"/>
      <c r="J1418" s="101"/>
      <c r="K1418" s="102"/>
      <c r="L1418" s="10"/>
    </row>
    <row r="1419" spans="1:12" s="146" customFormat="1" ht="18" x14ac:dyDescent="0.25">
      <c r="A1419" s="1105"/>
      <c r="B1419" s="1106"/>
      <c r="C1419" s="1622" t="s">
        <v>727</v>
      </c>
      <c r="D1419" s="1622"/>
      <c r="E1419" s="1622"/>
      <c r="F1419" s="1648"/>
      <c r="G1419" s="131"/>
      <c r="H1419" s="101"/>
      <c r="I1419" s="101">
        <v>300000</v>
      </c>
      <c r="J1419" s="101">
        <v>300000</v>
      </c>
      <c r="K1419" s="102">
        <v>300000</v>
      </c>
      <c r="L1419" s="10"/>
    </row>
    <row r="1420" spans="1:12" s="146" customFormat="1" ht="57.75" customHeight="1" x14ac:dyDescent="0.25">
      <c r="A1420" s="1105"/>
      <c r="B1420" s="1106"/>
      <c r="C1420" s="1622" t="s">
        <v>728</v>
      </c>
      <c r="D1420" s="1622"/>
      <c r="E1420" s="1106"/>
      <c r="F1420" s="1102"/>
      <c r="G1420" s="131"/>
      <c r="H1420" s="101"/>
      <c r="I1420" s="101">
        <v>420000</v>
      </c>
      <c r="J1420" s="101">
        <v>420000</v>
      </c>
      <c r="K1420" s="102">
        <v>420000</v>
      </c>
      <c r="L1420" s="10"/>
    </row>
    <row r="1421" spans="1:12" s="146" customFormat="1" ht="18" x14ac:dyDescent="0.25">
      <c r="A1421" s="1105"/>
      <c r="B1421" s="1106"/>
      <c r="C1421" s="1611" t="s">
        <v>730</v>
      </c>
      <c r="D1421" s="1611"/>
      <c r="E1421" s="1611"/>
      <c r="F1421" s="1602"/>
      <c r="G1421" s="131"/>
      <c r="H1421" s="101"/>
      <c r="I1421" s="101"/>
      <c r="J1421" s="101"/>
      <c r="K1421" s="102"/>
      <c r="L1421" s="10"/>
    </row>
    <row r="1422" spans="1:12" s="313" customFormat="1" ht="18" x14ac:dyDescent="0.25">
      <c r="A1422" s="1135"/>
      <c r="B1422" s="1113"/>
      <c r="C1422" s="1622" t="s">
        <v>731</v>
      </c>
      <c r="D1422" s="1622"/>
      <c r="E1422" s="1113"/>
      <c r="F1422" s="1127"/>
      <c r="G1422" s="176"/>
      <c r="H1422" s="101"/>
      <c r="I1422" s="101">
        <v>13535</v>
      </c>
      <c r="J1422" s="101">
        <v>13535</v>
      </c>
      <c r="K1422" s="102">
        <v>13535</v>
      </c>
      <c r="L1422" s="193"/>
    </row>
    <row r="1423" spans="1:12" s="313" customFormat="1" ht="36" customHeight="1" x14ac:dyDescent="0.25">
      <c r="A1423" s="1135"/>
      <c r="B1423" s="1113"/>
      <c r="C1423" s="1622" t="s">
        <v>732</v>
      </c>
      <c r="D1423" s="1622"/>
      <c r="E1423" s="1113"/>
      <c r="F1423" s="1127"/>
      <c r="G1423" s="176"/>
      <c r="H1423" s="101"/>
      <c r="I1423" s="101">
        <v>455024.85</v>
      </c>
      <c r="J1423" s="101">
        <v>455024.85</v>
      </c>
      <c r="K1423" s="102">
        <v>455024.85</v>
      </c>
      <c r="L1423" s="193"/>
    </row>
    <row r="1424" spans="1:12" s="313" customFormat="1" ht="18" x14ac:dyDescent="0.25">
      <c r="A1424" s="1135"/>
      <c r="B1424" s="1113"/>
      <c r="C1424" s="1622" t="s">
        <v>733</v>
      </c>
      <c r="D1424" s="1622"/>
      <c r="E1424" s="1113"/>
      <c r="F1424" s="1127"/>
      <c r="G1424" s="176"/>
      <c r="H1424" s="101"/>
      <c r="I1424" s="101">
        <v>195720</v>
      </c>
      <c r="J1424" s="101">
        <v>195720</v>
      </c>
      <c r="K1424" s="102">
        <v>195720</v>
      </c>
      <c r="L1424" s="193"/>
    </row>
    <row r="1425" spans="1:12" s="313" customFormat="1" ht="18" x14ac:dyDescent="0.25">
      <c r="A1425" s="1135"/>
      <c r="B1425" s="1113"/>
      <c r="C1425" s="1622" t="s">
        <v>734</v>
      </c>
      <c r="D1425" s="1622"/>
      <c r="E1425" s="1113"/>
      <c r="F1425" s="1127"/>
      <c r="G1425" s="176"/>
      <c r="H1425" s="101"/>
      <c r="I1425" s="101">
        <v>3000000</v>
      </c>
      <c r="J1425" s="101">
        <v>3000000</v>
      </c>
      <c r="K1425" s="102">
        <v>3000000</v>
      </c>
      <c r="L1425" s="193"/>
    </row>
    <row r="1426" spans="1:12" s="313" customFormat="1" ht="18" x14ac:dyDescent="0.25">
      <c r="A1426" s="1135"/>
      <c r="B1426" s="1113"/>
      <c r="C1426" s="1622" t="s">
        <v>735</v>
      </c>
      <c r="D1426" s="1622"/>
      <c r="E1426" s="1113"/>
      <c r="F1426" s="1127"/>
      <c r="G1426" s="176"/>
      <c r="H1426" s="101"/>
      <c r="I1426" s="101">
        <v>5000000</v>
      </c>
      <c r="J1426" s="101">
        <v>5000000</v>
      </c>
      <c r="K1426" s="102">
        <v>5000000</v>
      </c>
      <c r="L1426" s="193"/>
    </row>
    <row r="1427" spans="1:12" s="313" customFormat="1" ht="18" x14ac:dyDescent="0.25">
      <c r="A1427" s="1135"/>
      <c r="B1427" s="1113"/>
      <c r="C1427" s="1622" t="s">
        <v>736</v>
      </c>
      <c r="D1427" s="1622"/>
      <c r="E1427" s="1113"/>
      <c r="F1427" s="1127"/>
      <c r="G1427" s="176"/>
      <c r="H1427" s="101"/>
      <c r="I1427" s="101">
        <v>800000</v>
      </c>
      <c r="J1427" s="101">
        <v>800000</v>
      </c>
      <c r="K1427" s="102">
        <v>800000</v>
      </c>
      <c r="L1427" s="193"/>
    </row>
    <row r="1428" spans="1:12" s="313" customFormat="1" ht="18" x14ac:dyDescent="0.25">
      <c r="A1428" s="1135"/>
      <c r="B1428" s="1113"/>
      <c r="C1428" s="1622" t="s">
        <v>737</v>
      </c>
      <c r="D1428" s="1622"/>
      <c r="E1428" s="1113"/>
      <c r="F1428" s="1127"/>
      <c r="G1428" s="176"/>
      <c r="H1428" s="101"/>
      <c r="I1428" s="101">
        <v>700000</v>
      </c>
      <c r="J1428" s="101">
        <v>700000</v>
      </c>
      <c r="K1428" s="102">
        <v>700000</v>
      </c>
      <c r="L1428" s="193"/>
    </row>
    <row r="1429" spans="1:12" s="313" customFormat="1" ht="36.75" customHeight="1" x14ac:dyDescent="0.25">
      <c r="A1429" s="1135"/>
      <c r="B1429" s="1113"/>
      <c r="C1429" s="1622" t="s">
        <v>738</v>
      </c>
      <c r="D1429" s="1622"/>
      <c r="E1429" s="1113"/>
      <c r="F1429" s="1127"/>
      <c r="G1429" s="176"/>
      <c r="H1429" s="101"/>
      <c r="I1429" s="101">
        <v>73000</v>
      </c>
      <c r="J1429" s="101">
        <v>73000</v>
      </c>
      <c r="K1429" s="102">
        <v>73000</v>
      </c>
      <c r="L1429" s="193"/>
    </row>
    <row r="1430" spans="1:12" s="313" customFormat="1" ht="36.75" customHeight="1" x14ac:dyDescent="0.25">
      <c r="A1430" s="1135"/>
      <c r="B1430" s="1113"/>
      <c r="C1430" s="1622" t="s">
        <v>740</v>
      </c>
      <c r="D1430" s="1622"/>
      <c r="E1430" s="1113"/>
      <c r="F1430" s="1127"/>
      <c r="G1430" s="176"/>
      <c r="H1430" s="101"/>
      <c r="I1430" s="101">
        <v>500000</v>
      </c>
      <c r="J1430" s="101">
        <v>500000</v>
      </c>
      <c r="K1430" s="102">
        <v>500000</v>
      </c>
      <c r="L1430" s="193"/>
    </row>
    <row r="1431" spans="1:12" s="313" customFormat="1" ht="37.5" customHeight="1" x14ac:dyDescent="0.25">
      <c r="A1431" s="1135"/>
      <c r="B1431" s="1113"/>
      <c r="C1431" s="1622" t="s">
        <v>1842</v>
      </c>
      <c r="D1431" s="1622"/>
      <c r="E1431" s="1113"/>
      <c r="F1431" s="1127"/>
      <c r="G1431" s="176"/>
      <c r="H1431" s="101"/>
      <c r="I1431" s="101">
        <v>340000</v>
      </c>
      <c r="J1431" s="101">
        <v>340000</v>
      </c>
      <c r="K1431" s="102">
        <v>340000</v>
      </c>
      <c r="L1431" s="193"/>
    </row>
    <row r="1432" spans="1:12" s="313" customFormat="1" ht="37.5" customHeight="1" x14ac:dyDescent="0.25">
      <c r="A1432" s="1135"/>
      <c r="B1432" s="1113"/>
      <c r="C1432" s="1622" t="s">
        <v>1843</v>
      </c>
      <c r="D1432" s="1622"/>
      <c r="E1432" s="1113"/>
      <c r="F1432" s="1113"/>
      <c r="G1432" s="176"/>
      <c r="H1432" s="101"/>
      <c r="I1432" s="101">
        <v>80000</v>
      </c>
      <c r="J1432" s="101">
        <v>80000</v>
      </c>
      <c r="K1432" s="102">
        <v>80000</v>
      </c>
      <c r="L1432" s="193"/>
    </row>
    <row r="1433" spans="1:12" ht="18" x14ac:dyDescent="0.25">
      <c r="A1433" s="1105"/>
      <c r="B1433" s="1106"/>
      <c r="C1433" s="1620" t="s">
        <v>161</v>
      </c>
      <c r="D1433" s="1620"/>
      <c r="E1433" s="1620"/>
      <c r="F1433" s="1620"/>
      <c r="G1433" s="131"/>
      <c r="H1433" s="119">
        <f>SUM(H1419:H1432)</f>
        <v>0</v>
      </c>
      <c r="I1433" s="119">
        <f>SUM(I1419:I1432)</f>
        <v>11877279.85</v>
      </c>
      <c r="J1433" s="119">
        <f>SUM(J1419:J1432)</f>
        <v>11877279.85</v>
      </c>
      <c r="K1433" s="150">
        <f>SUM(K1419:K1432)</f>
        <v>11877279.85</v>
      </c>
    </row>
    <row r="1434" spans="1:12" s="146" customFormat="1" ht="18.75" thickBot="1" x14ac:dyDescent="0.3">
      <c r="A1434" s="1137"/>
      <c r="B1434" s="1098"/>
      <c r="C1434" s="1661" t="s">
        <v>744</v>
      </c>
      <c r="D1434" s="1662"/>
      <c r="E1434" s="1662"/>
      <c r="F1434" s="1663"/>
      <c r="G1434" s="348"/>
      <c r="H1434" s="158">
        <f>H1433+H1391+H1364+H1416</f>
        <v>0</v>
      </c>
      <c r="I1434" s="158">
        <f>I1433+I1391+I1364+I1416</f>
        <v>39159279.850000001</v>
      </c>
      <c r="J1434" s="158">
        <f>J1433+J1391+J1364+J1416</f>
        <v>39159279.850000001</v>
      </c>
      <c r="K1434" s="158">
        <f>K1433+K1391+K1364+K1416</f>
        <v>38159279.850000001</v>
      </c>
      <c r="L1434" s="10"/>
    </row>
    <row r="1435" spans="1:12" ht="13.5" customHeight="1" x14ac:dyDescent="0.25">
      <c r="A1435" s="1105"/>
      <c r="B1435" s="1106"/>
      <c r="C1435" s="1111"/>
      <c r="D1435" s="1111"/>
      <c r="E1435" s="1111"/>
      <c r="F1435" s="1111"/>
      <c r="G1435" s="97"/>
      <c r="H1435" s="155"/>
      <c r="I1435" s="155"/>
      <c r="J1435" s="155"/>
      <c r="K1435" s="156"/>
    </row>
    <row r="1436" spans="1:12" s="146" customFormat="1" ht="18" x14ac:dyDescent="0.25">
      <c r="A1436" s="254"/>
      <c r="B1436" s="271"/>
      <c r="C1436" s="349" t="s">
        <v>745</v>
      </c>
      <c r="D1436" s="41"/>
      <c r="E1436" s="41"/>
      <c r="F1436" s="41"/>
      <c r="G1436" s="273"/>
      <c r="H1436" s="250"/>
      <c r="I1436" s="250"/>
      <c r="J1436" s="250"/>
      <c r="K1436" s="233"/>
      <c r="L1436" s="10"/>
    </row>
    <row r="1437" spans="1:12" s="146" customFormat="1" ht="18" x14ac:dyDescent="0.25">
      <c r="A1437" s="254"/>
      <c r="B1437" s="271"/>
      <c r="C1437" s="63" t="s">
        <v>747</v>
      </c>
      <c r="D1437" s="41"/>
      <c r="E1437" s="41"/>
      <c r="F1437" s="41"/>
      <c r="G1437" s="273"/>
      <c r="H1437" s="334"/>
      <c r="I1437" s="331">
        <v>20000000</v>
      </c>
      <c r="J1437" s="331">
        <v>20000000</v>
      </c>
      <c r="K1437" s="330"/>
      <c r="L1437" s="10"/>
    </row>
    <row r="1438" spans="1:12" s="146" customFormat="1" ht="52.5" customHeight="1" x14ac:dyDescent="0.25">
      <c r="A1438" s="254"/>
      <c r="B1438" s="271"/>
      <c r="C1438" s="1617" t="s">
        <v>1844</v>
      </c>
      <c r="D1438" s="1617"/>
      <c r="E1438" s="41"/>
      <c r="F1438" s="41"/>
      <c r="G1438" s="273"/>
      <c r="H1438" s="334"/>
      <c r="I1438" s="331"/>
      <c r="J1438" s="331"/>
      <c r="K1438" s="330"/>
      <c r="L1438" s="10"/>
    </row>
    <row r="1439" spans="1:12" s="146" customFormat="1" ht="37.5" customHeight="1" x14ac:dyDescent="0.25">
      <c r="A1439" s="254"/>
      <c r="B1439" s="271"/>
      <c r="C1439" s="1617" t="s">
        <v>1845</v>
      </c>
      <c r="D1439" s="1617"/>
      <c r="E1439" s="41"/>
      <c r="F1439" s="41"/>
      <c r="G1439" s="273"/>
      <c r="H1439" s="334"/>
      <c r="I1439" s="331"/>
      <c r="J1439" s="331"/>
      <c r="K1439" s="330"/>
      <c r="L1439" s="10"/>
    </row>
    <row r="1440" spans="1:12" s="146" customFormat="1" ht="37.5" customHeight="1" x14ac:dyDescent="0.25">
      <c r="A1440" s="254"/>
      <c r="B1440" s="271"/>
      <c r="C1440" s="1617" t="s">
        <v>1846</v>
      </c>
      <c r="D1440" s="1617"/>
      <c r="E1440" s="41"/>
      <c r="F1440" s="41"/>
      <c r="G1440" s="273"/>
      <c r="H1440" s="334"/>
      <c r="I1440" s="331"/>
      <c r="J1440" s="331"/>
      <c r="K1440" s="330"/>
      <c r="L1440" s="10"/>
    </row>
    <row r="1441" spans="1:12" s="146" customFormat="1" ht="37.5" customHeight="1" x14ac:dyDescent="0.25">
      <c r="A1441" s="254"/>
      <c r="B1441" s="271"/>
      <c r="C1441" s="1617" t="s">
        <v>1847</v>
      </c>
      <c r="D1441" s="1617"/>
      <c r="E1441" s="41"/>
      <c r="F1441" s="41"/>
      <c r="G1441" s="273"/>
      <c r="H1441" s="334"/>
      <c r="I1441" s="331"/>
      <c r="J1441" s="331"/>
      <c r="K1441" s="330"/>
      <c r="L1441" s="10"/>
    </row>
    <row r="1442" spans="1:12" s="146" customFormat="1" ht="37.5" customHeight="1" x14ac:dyDescent="0.25">
      <c r="A1442" s="254"/>
      <c r="B1442" s="271"/>
      <c r="C1442" s="1617" t="s">
        <v>1848</v>
      </c>
      <c r="D1442" s="1617"/>
      <c r="E1442" s="41"/>
      <c r="F1442" s="41"/>
      <c r="G1442" s="273"/>
      <c r="H1442" s="334"/>
      <c r="I1442" s="331"/>
      <c r="J1442" s="331"/>
      <c r="K1442" s="330"/>
      <c r="L1442" s="10"/>
    </row>
    <row r="1443" spans="1:12" s="146" customFormat="1" ht="37.5" customHeight="1" x14ac:dyDescent="0.25">
      <c r="A1443" s="254"/>
      <c r="B1443" s="271"/>
      <c r="C1443" s="1617" t="s">
        <v>1849</v>
      </c>
      <c r="D1443" s="1617"/>
      <c r="E1443" s="41"/>
      <c r="F1443" s="41"/>
      <c r="G1443" s="273"/>
      <c r="H1443" s="334"/>
      <c r="I1443" s="331"/>
      <c r="J1443" s="331"/>
      <c r="K1443" s="330"/>
      <c r="L1443" s="10"/>
    </row>
    <row r="1444" spans="1:12" s="146" customFormat="1" ht="37.5" customHeight="1" x14ac:dyDescent="0.25">
      <c r="A1444" s="254"/>
      <c r="B1444" s="271"/>
      <c r="C1444" s="1617" t="s">
        <v>1850</v>
      </c>
      <c r="D1444" s="1617"/>
      <c r="E1444" s="41"/>
      <c r="F1444" s="41"/>
      <c r="G1444" s="273"/>
      <c r="H1444" s="334"/>
      <c r="I1444" s="331"/>
      <c r="J1444" s="331"/>
      <c r="K1444" s="330"/>
      <c r="L1444" s="10"/>
    </row>
    <row r="1445" spans="1:12" s="146" customFormat="1" ht="37.5" customHeight="1" x14ac:dyDescent="0.25">
      <c r="A1445" s="254"/>
      <c r="B1445" s="271"/>
      <c r="C1445" s="1617" t="s">
        <v>1851</v>
      </c>
      <c r="D1445" s="1617"/>
      <c r="E1445" s="41"/>
      <c r="F1445" s="41"/>
      <c r="G1445" s="273"/>
      <c r="H1445" s="334"/>
      <c r="I1445" s="331"/>
      <c r="J1445" s="331"/>
      <c r="K1445" s="330"/>
      <c r="L1445" s="10"/>
    </row>
    <row r="1446" spans="1:12" s="146" customFormat="1" ht="57.75" customHeight="1" x14ac:dyDescent="0.25">
      <c r="A1446" s="254"/>
      <c r="B1446" s="271"/>
      <c r="C1446" s="1617" t="s">
        <v>1852</v>
      </c>
      <c r="D1446" s="1617"/>
      <c r="E1446" s="41"/>
      <c r="F1446" s="41"/>
      <c r="G1446" s="273"/>
      <c r="H1446" s="334"/>
      <c r="I1446" s="331"/>
      <c r="J1446" s="331"/>
      <c r="K1446" s="330"/>
      <c r="L1446" s="10"/>
    </row>
    <row r="1447" spans="1:12" s="146" customFormat="1" ht="37.5" customHeight="1" thickBot="1" x14ac:dyDescent="0.3">
      <c r="A1447" s="254"/>
      <c r="B1447" s="271"/>
      <c r="C1447" s="1617" t="s">
        <v>1853</v>
      </c>
      <c r="D1447" s="1617"/>
      <c r="E1447" s="41"/>
      <c r="F1447" s="41"/>
      <c r="G1447" s="273"/>
      <c r="H1447" s="334"/>
      <c r="I1447" s="331"/>
      <c r="J1447" s="331"/>
      <c r="K1447" s="330"/>
      <c r="L1447" s="10"/>
    </row>
    <row r="1448" spans="1:12" s="146" customFormat="1" ht="13.5" customHeight="1" x14ac:dyDescent="0.25">
      <c r="A1448" s="254"/>
      <c r="B1448" s="271"/>
      <c r="C1448" s="1229"/>
      <c r="D1448" s="1229"/>
      <c r="E1448" s="1229"/>
      <c r="F1448" s="1229"/>
      <c r="G1448" s="1230"/>
      <c r="H1448" s="155"/>
      <c r="I1448" s="155"/>
      <c r="J1448" s="155"/>
      <c r="K1448" s="156"/>
      <c r="L1448" s="10"/>
    </row>
    <row r="1449" spans="1:12" ht="16.5" thickBot="1" x14ac:dyDescent="0.3">
      <c r="A1449" s="1193"/>
      <c r="B1449" s="256"/>
      <c r="C1449" s="255"/>
      <c r="D1449" s="256"/>
      <c r="E1449" s="256"/>
      <c r="F1449" s="256"/>
      <c r="G1449" s="256"/>
      <c r="H1449" s="219"/>
      <c r="I1449" s="219"/>
      <c r="J1449" s="219"/>
      <c r="K1449" s="220"/>
    </row>
    <row r="1450" spans="1:12" x14ac:dyDescent="0.25">
      <c r="A1450" s="75"/>
      <c r="B1450" s="75"/>
      <c r="C1450" s="252"/>
      <c r="D1450" s="75"/>
      <c r="E1450" s="75"/>
      <c r="F1450" s="75"/>
      <c r="G1450" s="75"/>
      <c r="H1450" s="141"/>
      <c r="I1450" s="141"/>
      <c r="J1450" s="141"/>
      <c r="K1450" s="122"/>
    </row>
    <row r="1451" spans="1:12" x14ac:dyDescent="0.25">
      <c r="A1451" s="75"/>
      <c r="B1451" s="75"/>
      <c r="C1451" s="252"/>
      <c r="D1451" s="75"/>
      <c r="E1451" s="75"/>
      <c r="F1451" s="75"/>
      <c r="G1451" s="75"/>
      <c r="H1451" s="141"/>
      <c r="I1451" s="141"/>
      <c r="J1451" s="141"/>
      <c r="K1451" s="122"/>
    </row>
    <row r="1452" spans="1:12" x14ac:dyDescent="0.25">
      <c r="A1452" s="75"/>
      <c r="B1452" s="75"/>
      <c r="C1452" s="252"/>
      <c r="D1452" s="75"/>
      <c r="E1452" s="75"/>
      <c r="F1452" s="75"/>
      <c r="G1452" s="75"/>
      <c r="H1452" s="141"/>
      <c r="I1452" s="141"/>
      <c r="J1452" s="141"/>
      <c r="K1452" s="122"/>
    </row>
    <row r="1453" spans="1:12" s="146" customFormat="1" ht="18" customHeight="1" x14ac:dyDescent="0.25">
      <c r="A1453" s="9" t="s">
        <v>112</v>
      </c>
      <c r="B1453" s="9"/>
      <c r="C1453" s="9"/>
      <c r="D1453" s="9"/>
      <c r="E1453" s="9"/>
      <c r="F1453" s="9"/>
      <c r="G1453" s="9"/>
      <c r="H1453" s="5"/>
      <c r="I1453" s="5"/>
      <c r="J1453" s="5"/>
      <c r="K1453" s="5"/>
      <c r="L1453" s="10"/>
    </row>
    <row r="1454" spans="1:12" ht="18" customHeight="1" x14ac:dyDescent="0.25">
      <c r="A1454" s="8" t="s">
        <v>869</v>
      </c>
    </row>
    <row r="1455" spans="1:12" ht="18" customHeight="1" x14ac:dyDescent="0.25">
      <c r="A1455" s="1636" t="s">
        <v>113</v>
      </c>
      <c r="B1455" s="1636"/>
      <c r="C1455" s="1636"/>
      <c r="D1455" s="1636"/>
      <c r="E1455" s="1636"/>
      <c r="F1455" s="1636"/>
      <c r="G1455" s="1636"/>
      <c r="H1455" s="1636"/>
      <c r="I1455" s="1636"/>
      <c r="J1455" s="1636"/>
      <c r="K1455" s="1101"/>
    </row>
    <row r="1456" spans="1:12" s="7" customFormat="1" ht="18" customHeight="1" x14ac:dyDescent="0.25">
      <c r="A1456" s="1624" t="s">
        <v>114</v>
      </c>
      <c r="B1456" s="1624"/>
      <c r="C1456" s="1624"/>
      <c r="D1456" s="1624"/>
      <c r="E1456" s="1624"/>
      <c r="F1456" s="1624"/>
      <c r="G1456" s="1624"/>
      <c r="H1456" s="1624"/>
      <c r="I1456" s="1624"/>
      <c r="J1456" s="1624"/>
      <c r="K1456" s="159"/>
      <c r="L1456" s="6"/>
    </row>
    <row r="1458" spans="1:12" ht="16.5" thickBot="1" x14ac:dyDescent="0.3"/>
    <row r="1459" spans="1:12" s="48" customFormat="1" ht="21.75" customHeight="1" thickBot="1" x14ac:dyDescent="0.3">
      <c r="A1459" s="1655" t="s">
        <v>115</v>
      </c>
      <c r="B1459" s="1655"/>
      <c r="C1459" s="1655"/>
      <c r="D1459" s="1655"/>
      <c r="E1459" s="1655"/>
      <c r="F1459" s="1655"/>
      <c r="G1459" s="1151"/>
      <c r="H1459" s="1708" t="s">
        <v>1537</v>
      </c>
      <c r="I1459" s="1710" t="s">
        <v>1538</v>
      </c>
      <c r="J1459" s="1710" t="s">
        <v>1539</v>
      </c>
      <c r="K1459" s="1710" t="s">
        <v>1540</v>
      </c>
      <c r="L1459" s="47"/>
    </row>
    <row r="1460" spans="1:12" s="1153" customFormat="1" ht="31.5" customHeight="1" thickBot="1" x14ac:dyDescent="0.3">
      <c r="A1460" s="1655"/>
      <c r="B1460" s="1655"/>
      <c r="C1460" s="1655"/>
      <c r="D1460" s="1655"/>
      <c r="E1460" s="1655"/>
      <c r="F1460" s="1655"/>
      <c r="G1460" s="1129" t="s">
        <v>116</v>
      </c>
      <c r="H1460" s="1709"/>
      <c r="I1460" s="1710"/>
      <c r="J1460" s="1710"/>
      <c r="K1460" s="1710"/>
      <c r="L1460" s="1152"/>
    </row>
    <row r="1461" spans="1:12" s="146" customFormat="1" ht="37.5" customHeight="1" x14ac:dyDescent="0.25">
      <c r="A1461" s="254"/>
      <c r="B1461" s="271"/>
      <c r="C1461" s="1617" t="s">
        <v>1854</v>
      </c>
      <c r="D1461" s="1617"/>
      <c r="E1461" s="41"/>
      <c r="F1461" s="41"/>
      <c r="G1461" s="273"/>
      <c r="H1461" s="334"/>
      <c r="I1461" s="331"/>
      <c r="J1461" s="331"/>
      <c r="K1461" s="330"/>
      <c r="L1461" s="10"/>
    </row>
    <row r="1462" spans="1:12" s="146" customFormat="1" ht="37.5" customHeight="1" x14ac:dyDescent="0.25">
      <c r="A1462" s="254"/>
      <c r="B1462" s="271"/>
      <c r="C1462" s="1617" t="s">
        <v>1855</v>
      </c>
      <c r="D1462" s="1617"/>
      <c r="E1462" s="41"/>
      <c r="F1462" s="41"/>
      <c r="G1462" s="273"/>
      <c r="H1462" s="334"/>
      <c r="I1462" s="331"/>
      <c r="J1462" s="331"/>
      <c r="K1462" s="330"/>
      <c r="L1462" s="10"/>
    </row>
    <row r="1463" spans="1:12" s="146" customFormat="1" ht="37.5" customHeight="1" x14ac:dyDescent="0.25">
      <c r="A1463" s="254"/>
      <c r="B1463" s="271"/>
      <c r="C1463" s="1617" t="s">
        <v>1856</v>
      </c>
      <c r="D1463" s="1617"/>
      <c r="E1463" s="41"/>
      <c r="F1463" s="41"/>
      <c r="G1463" s="273"/>
      <c r="H1463" s="334"/>
      <c r="I1463" s="331"/>
      <c r="J1463" s="331"/>
      <c r="K1463" s="330"/>
      <c r="L1463" s="10"/>
    </row>
    <row r="1464" spans="1:12" s="146" customFormat="1" ht="56.25" customHeight="1" x14ac:dyDescent="0.25">
      <c r="A1464" s="254"/>
      <c r="B1464" s="271"/>
      <c r="C1464" s="1728" t="s">
        <v>1857</v>
      </c>
      <c r="D1464" s="1728"/>
      <c r="E1464" s="41"/>
      <c r="F1464" s="41"/>
      <c r="G1464" s="273"/>
      <c r="H1464" s="334"/>
      <c r="I1464" s="331"/>
      <c r="J1464" s="331"/>
      <c r="K1464" s="330"/>
      <c r="L1464" s="10"/>
    </row>
    <row r="1465" spans="1:12" s="146" customFormat="1" ht="37.5" customHeight="1" x14ac:dyDescent="0.25">
      <c r="A1465" s="254"/>
      <c r="B1465" s="271"/>
      <c r="C1465" s="1728" t="s">
        <v>1858</v>
      </c>
      <c r="D1465" s="1728"/>
      <c r="E1465" s="41"/>
      <c r="F1465" s="41"/>
      <c r="G1465" s="273"/>
      <c r="H1465" s="334"/>
      <c r="I1465" s="331"/>
      <c r="J1465" s="331"/>
      <c r="K1465" s="330"/>
      <c r="L1465" s="10"/>
    </row>
    <row r="1466" spans="1:12" s="146" customFormat="1" ht="37.5" customHeight="1" x14ac:dyDescent="0.25">
      <c r="A1466" s="254"/>
      <c r="B1466" s="271"/>
      <c r="C1466" s="1728" t="s">
        <v>1859</v>
      </c>
      <c r="D1466" s="1728"/>
      <c r="E1466" s="41"/>
      <c r="F1466" s="41"/>
      <c r="G1466" s="273"/>
      <c r="H1466" s="335"/>
      <c r="I1466" s="336"/>
      <c r="J1466" s="336"/>
      <c r="K1466" s="345"/>
      <c r="L1466" s="10"/>
    </row>
    <row r="1467" spans="1:12" s="146" customFormat="1" ht="18.75" thickBot="1" x14ac:dyDescent="0.3">
      <c r="A1467" s="353"/>
      <c r="B1467" s="38"/>
      <c r="C1467" s="1665" t="s">
        <v>161</v>
      </c>
      <c r="D1467" s="1665"/>
      <c r="E1467" s="1665"/>
      <c r="F1467" s="1665"/>
      <c r="G1467" s="1231"/>
      <c r="H1467" s="183">
        <f>SUM(H1437:H1466)</f>
        <v>0</v>
      </c>
      <c r="I1467" s="183">
        <f>SUM(I1437:I1437)</f>
        <v>20000000</v>
      </c>
      <c r="J1467" s="183">
        <f>SUM(J1437:J1437)</f>
        <v>20000000</v>
      </c>
      <c r="K1467" s="183">
        <f>SUM(K1437:K1437)</f>
        <v>0</v>
      </c>
      <c r="L1467" s="10"/>
    </row>
    <row r="1468" spans="1:12" s="146" customFormat="1" ht="18" x14ac:dyDescent="0.25">
      <c r="A1468" s="353"/>
      <c r="B1468" s="38"/>
      <c r="C1468" s="1104"/>
      <c r="D1468" s="1104"/>
      <c r="E1468" s="1104"/>
      <c r="F1468" s="1104"/>
      <c r="G1468" s="38"/>
      <c r="H1468" s="156"/>
      <c r="I1468" s="156"/>
      <c r="J1468" s="156"/>
      <c r="K1468" s="156"/>
      <c r="L1468" s="10"/>
    </row>
    <row r="1469" spans="1:12" ht="18" x14ac:dyDescent="0.25">
      <c r="A1469" s="1232" t="s">
        <v>1860</v>
      </c>
      <c r="B1469" s="1139"/>
      <c r="C1469" s="235"/>
      <c r="D1469" s="1146"/>
      <c r="E1469" s="75"/>
      <c r="F1469" s="75"/>
      <c r="G1469" s="75"/>
      <c r="H1469" s="101"/>
      <c r="I1469" s="101"/>
      <c r="J1469" s="101"/>
      <c r="K1469" s="102"/>
    </row>
    <row r="1470" spans="1:12" s="179" customFormat="1" ht="18" x14ac:dyDescent="0.25">
      <c r="A1470" s="1233"/>
      <c r="B1470" s="1302"/>
      <c r="C1470" s="225" t="s">
        <v>1861</v>
      </c>
      <c r="D1470" s="1234"/>
      <c r="E1470" s="160"/>
      <c r="F1470" s="160"/>
      <c r="G1470" s="160"/>
      <c r="H1470" s="101"/>
      <c r="I1470" s="101"/>
      <c r="J1470" s="101"/>
      <c r="K1470" s="102"/>
      <c r="L1470" s="193"/>
    </row>
    <row r="1471" spans="1:12" s="179" customFormat="1" ht="18" x14ac:dyDescent="0.25">
      <c r="A1471" s="1233"/>
      <c r="B1471" s="1302"/>
      <c r="C1471" s="225" t="s">
        <v>1862</v>
      </c>
      <c r="D1471" s="1234"/>
      <c r="E1471" s="160"/>
      <c r="F1471" s="160"/>
      <c r="G1471" s="160"/>
      <c r="H1471" s="101"/>
      <c r="I1471" s="101"/>
      <c r="J1471" s="101"/>
      <c r="K1471" s="102"/>
      <c r="L1471" s="193"/>
    </row>
    <row r="1472" spans="1:12" s="179" customFormat="1" ht="54" customHeight="1" x14ac:dyDescent="0.25">
      <c r="A1472" s="1235"/>
      <c r="B1472" s="225"/>
      <c r="C1472" s="1628" t="s">
        <v>1863</v>
      </c>
      <c r="D1472" s="1628"/>
      <c r="E1472" s="160"/>
      <c r="F1472" s="160"/>
      <c r="G1472" s="160"/>
      <c r="H1472" s="101"/>
      <c r="I1472" s="101"/>
      <c r="J1472" s="101"/>
      <c r="K1472" s="102"/>
      <c r="L1472" s="193"/>
    </row>
    <row r="1473" spans="1:12" s="179" customFormat="1" ht="18" x14ac:dyDescent="0.25">
      <c r="A1473" s="1235"/>
      <c r="B1473" s="225"/>
      <c r="C1473" s="1138" t="s">
        <v>1864</v>
      </c>
      <c r="D1473" s="1234"/>
      <c r="E1473" s="160"/>
      <c r="F1473" s="160"/>
      <c r="G1473" s="160"/>
      <c r="H1473" s="101"/>
      <c r="I1473" s="101"/>
      <c r="J1473" s="101"/>
      <c r="K1473" s="102"/>
      <c r="L1473" s="193"/>
    </row>
    <row r="1474" spans="1:12" s="179" customFormat="1" ht="18" x14ac:dyDescent="0.25">
      <c r="A1474" s="1235"/>
      <c r="B1474" s="225"/>
      <c r="C1474" s="1138" t="s">
        <v>1865</v>
      </c>
      <c r="D1474" s="1234"/>
      <c r="E1474" s="160"/>
      <c r="F1474" s="160"/>
      <c r="G1474" s="160"/>
      <c r="H1474" s="101"/>
      <c r="I1474" s="101"/>
      <c r="J1474" s="101"/>
      <c r="K1474" s="102"/>
      <c r="L1474" s="193"/>
    </row>
    <row r="1475" spans="1:12" s="179" customFormat="1" ht="18" x14ac:dyDescent="0.25">
      <c r="A1475" s="1236"/>
      <c r="B1475" s="1238"/>
      <c r="C1475" s="1237"/>
      <c r="D1475" s="1238" t="s">
        <v>15</v>
      </c>
      <c r="E1475" s="160"/>
      <c r="F1475" s="160"/>
      <c r="G1475" s="160"/>
      <c r="H1475" s="119">
        <f>SUM(H1470:H1474)</f>
        <v>0</v>
      </c>
      <c r="I1475" s="119">
        <f>SUM(I1470:I1474)</f>
        <v>0</v>
      </c>
      <c r="J1475" s="119">
        <f>SUM(J1470:J1474)</f>
        <v>0</v>
      </c>
      <c r="K1475" s="150">
        <f>SUM(K1470:K1474)</f>
        <v>0</v>
      </c>
      <c r="L1475" s="193"/>
    </row>
    <row r="1476" spans="1:12" s="179" customFormat="1" ht="18" x14ac:dyDescent="0.25">
      <c r="A1476" s="1235"/>
      <c r="B1476" s="225"/>
      <c r="C1476" s="1239"/>
      <c r="D1476" s="1239"/>
      <c r="E1476" s="160"/>
      <c r="F1476" s="160"/>
      <c r="G1476" s="160"/>
      <c r="H1476" s="101"/>
      <c r="I1476" s="101"/>
      <c r="J1476" s="101"/>
      <c r="K1476" s="102"/>
      <c r="L1476" s="193"/>
    </row>
    <row r="1477" spans="1:12" s="179" customFormat="1" ht="18" x14ac:dyDescent="0.25">
      <c r="A1477" s="1240"/>
      <c r="B1477" s="1303"/>
      <c r="C1477" s="1241" t="s">
        <v>748</v>
      </c>
      <c r="D1477" s="1113"/>
      <c r="E1477" s="160"/>
      <c r="F1477" s="160"/>
      <c r="G1477" s="160"/>
      <c r="H1477" s="101"/>
      <c r="I1477" s="101"/>
      <c r="J1477" s="101"/>
      <c r="K1477" s="102"/>
      <c r="L1477" s="193"/>
    </row>
    <row r="1478" spans="1:12" s="179" customFormat="1" ht="18" x14ac:dyDescent="0.25">
      <c r="A1478" s="1240"/>
      <c r="B1478" s="1303"/>
      <c r="C1478" s="652" t="s">
        <v>1866</v>
      </c>
      <c r="D1478" s="1113"/>
      <c r="E1478" s="160"/>
      <c r="F1478" s="160"/>
      <c r="G1478" s="160"/>
      <c r="H1478" s="119"/>
      <c r="I1478" s="119"/>
      <c r="J1478" s="119"/>
      <c r="K1478" s="150"/>
      <c r="L1478" s="193"/>
    </row>
    <row r="1479" spans="1:12" s="179" customFormat="1" ht="18" x14ac:dyDescent="0.25">
      <c r="A1479" s="1240"/>
      <c r="B1479" s="1303"/>
      <c r="C1479" s="652"/>
      <c r="D1479" s="1113"/>
      <c r="E1479" s="160"/>
      <c r="F1479" s="160"/>
      <c r="G1479" s="160"/>
      <c r="H1479" s="101"/>
      <c r="I1479" s="101"/>
      <c r="J1479" s="101"/>
      <c r="K1479" s="102"/>
      <c r="L1479" s="193"/>
    </row>
    <row r="1480" spans="1:12" s="179" customFormat="1" ht="18" x14ac:dyDescent="0.25">
      <c r="A1480" s="1240"/>
      <c r="B1480" s="1303"/>
      <c r="C1480" s="1241" t="s">
        <v>748</v>
      </c>
      <c r="D1480" s="1113"/>
      <c r="E1480" s="160"/>
      <c r="F1480" s="160"/>
      <c r="G1480" s="160"/>
      <c r="H1480" s="101"/>
      <c r="I1480" s="101"/>
      <c r="J1480" s="101"/>
      <c r="K1480" s="102"/>
      <c r="L1480" s="193"/>
    </row>
    <row r="1481" spans="1:12" s="179" customFormat="1" ht="18" x14ac:dyDescent="0.25">
      <c r="A1481" s="1240"/>
      <c r="B1481" s="1303"/>
      <c r="C1481" s="1241" t="s">
        <v>764</v>
      </c>
      <c r="D1481" s="1113"/>
      <c r="E1481" s="160"/>
      <c r="F1481" s="160"/>
      <c r="G1481" s="160"/>
      <c r="H1481" s="101"/>
      <c r="I1481" s="101"/>
      <c r="J1481" s="101"/>
      <c r="K1481" s="102"/>
      <c r="L1481" s="193"/>
    </row>
    <row r="1482" spans="1:12" s="179" customFormat="1" ht="37.5" customHeight="1" x14ac:dyDescent="0.25">
      <c r="A1482" s="1240"/>
      <c r="B1482" s="1303"/>
      <c r="C1482" s="1622" t="s">
        <v>1867</v>
      </c>
      <c r="D1482" s="1622"/>
      <c r="E1482" s="160"/>
      <c r="F1482" s="160"/>
      <c r="G1482" s="160"/>
      <c r="H1482" s="101"/>
      <c r="I1482" s="101"/>
      <c r="J1482" s="101"/>
      <c r="K1482" s="102"/>
      <c r="L1482" s="193"/>
    </row>
    <row r="1483" spans="1:12" s="179" customFormat="1" ht="90.75" customHeight="1" x14ac:dyDescent="0.25">
      <c r="A1483" s="1240"/>
      <c r="B1483" s="1303"/>
      <c r="C1483" s="1622" t="s">
        <v>1868</v>
      </c>
      <c r="D1483" s="1622"/>
      <c r="E1483" s="160"/>
      <c r="F1483" s="160"/>
      <c r="G1483" s="160"/>
      <c r="H1483" s="101"/>
      <c r="I1483" s="101"/>
      <c r="J1483" s="101"/>
      <c r="K1483" s="102"/>
      <c r="L1483" s="193"/>
    </row>
    <row r="1484" spans="1:12" s="179" customFormat="1" ht="63" customHeight="1" x14ac:dyDescent="0.25">
      <c r="A1484" s="1240"/>
      <c r="B1484" s="1303"/>
      <c r="C1484" s="1622" t="s">
        <v>1869</v>
      </c>
      <c r="D1484" s="1622"/>
      <c r="E1484" s="160"/>
      <c r="F1484" s="160"/>
      <c r="G1484" s="160"/>
      <c r="H1484" s="101"/>
      <c r="I1484" s="101"/>
      <c r="J1484" s="101"/>
      <c r="K1484" s="102"/>
      <c r="L1484" s="193"/>
    </row>
    <row r="1485" spans="1:12" s="1244" customFormat="1" ht="18" x14ac:dyDescent="0.25">
      <c r="A1485" s="1242"/>
      <c r="B1485" s="1304"/>
      <c r="C1485" s="1241"/>
      <c r="D1485" s="1238" t="s">
        <v>15</v>
      </c>
      <c r="E1485" s="1162"/>
      <c r="F1485" s="1162"/>
      <c r="G1485" s="1162"/>
      <c r="H1485" s="119">
        <f>SUM(H1482:H1484)</f>
        <v>0</v>
      </c>
      <c r="I1485" s="119">
        <f>SUM(I1482:I1484)</f>
        <v>0</v>
      </c>
      <c r="J1485" s="119">
        <f>SUM(J1482:J1484)</f>
        <v>0</v>
      </c>
      <c r="K1485" s="150">
        <f>SUM(K1482:K1484)</f>
        <v>0</v>
      </c>
      <c r="L1485" s="1243"/>
    </row>
    <row r="1486" spans="1:12" x14ac:dyDescent="0.25">
      <c r="A1486" s="251"/>
      <c r="B1486" s="75"/>
      <c r="C1486" s="252"/>
      <c r="D1486" s="75"/>
      <c r="E1486" s="75"/>
      <c r="F1486" s="75"/>
      <c r="G1486" s="75"/>
      <c r="H1486" s="101"/>
      <c r="I1486" s="101"/>
      <c r="J1486" s="101"/>
      <c r="K1486" s="102"/>
    </row>
    <row r="1487" spans="1:12" x14ac:dyDescent="0.25">
      <c r="A1487" s="251"/>
      <c r="B1487" s="75"/>
      <c r="C1487" s="252"/>
      <c r="D1487" s="75"/>
      <c r="E1487" s="75"/>
      <c r="F1487" s="75"/>
      <c r="G1487" s="75"/>
      <c r="H1487" s="101"/>
      <c r="I1487" s="101"/>
      <c r="J1487" s="101"/>
      <c r="K1487" s="102"/>
    </row>
    <row r="1488" spans="1:12" x14ac:dyDescent="0.25">
      <c r="A1488" s="251"/>
      <c r="B1488" s="75"/>
      <c r="C1488" s="252"/>
      <c r="D1488" s="75"/>
      <c r="E1488" s="75"/>
      <c r="F1488" s="75"/>
      <c r="G1488" s="75"/>
      <c r="H1488" s="101"/>
      <c r="I1488" s="101"/>
      <c r="J1488" s="101"/>
      <c r="K1488" s="102"/>
    </row>
    <row r="1489" spans="1:13" s="10" customFormat="1" x14ac:dyDescent="0.25">
      <c r="A1489" s="251"/>
      <c r="B1489" s="75"/>
      <c r="C1489" s="252"/>
      <c r="D1489" s="75"/>
      <c r="E1489" s="75"/>
      <c r="F1489" s="75"/>
      <c r="G1489" s="75"/>
      <c r="H1489" s="101"/>
      <c r="I1489" s="101"/>
      <c r="J1489" s="101"/>
      <c r="K1489" s="102"/>
      <c r="M1489"/>
    </row>
    <row r="1490" spans="1:13" s="10" customFormat="1" x14ac:dyDescent="0.25">
      <c r="A1490" s="251"/>
      <c r="B1490" s="75"/>
      <c r="C1490" s="252"/>
      <c r="D1490" s="75"/>
      <c r="E1490" s="75"/>
      <c r="F1490" s="75"/>
      <c r="G1490" s="75"/>
      <c r="H1490" s="101"/>
      <c r="I1490" s="101"/>
      <c r="J1490" s="101"/>
      <c r="K1490" s="102"/>
      <c r="M1490"/>
    </row>
    <row r="1491" spans="1:13" s="10" customFormat="1" x14ac:dyDescent="0.25">
      <c r="A1491" s="251"/>
      <c r="B1491" s="75"/>
      <c r="C1491" s="252"/>
      <c r="D1491" s="75"/>
      <c r="E1491" s="75"/>
      <c r="F1491" s="75"/>
      <c r="G1491" s="75"/>
      <c r="H1491" s="101"/>
      <c r="I1491" s="101"/>
      <c r="J1491" s="101"/>
      <c r="K1491" s="102"/>
      <c r="M1491"/>
    </row>
    <row r="1492" spans="1:13" s="10" customFormat="1" x14ac:dyDescent="0.25">
      <c r="A1492" s="251"/>
      <c r="B1492" s="75"/>
      <c r="C1492" s="252"/>
      <c r="D1492" s="75"/>
      <c r="E1492" s="75"/>
      <c r="F1492" s="75"/>
      <c r="G1492" s="75"/>
      <c r="H1492" s="101"/>
      <c r="I1492" s="101"/>
      <c r="J1492" s="101"/>
      <c r="K1492" s="102"/>
      <c r="M1492"/>
    </row>
    <row r="1493" spans="1:13" s="10" customFormat="1" x14ac:dyDescent="0.25">
      <c r="A1493" s="251"/>
      <c r="B1493" s="75"/>
      <c r="C1493" s="252"/>
      <c r="D1493" s="75"/>
      <c r="E1493" s="75"/>
      <c r="F1493" s="75"/>
      <c r="G1493" s="75"/>
      <c r="H1493" s="101"/>
      <c r="I1493" s="101"/>
      <c r="J1493" s="101"/>
      <c r="K1493" s="102"/>
      <c r="M1493"/>
    </row>
    <row r="1494" spans="1:13" s="10" customFormat="1" x14ac:dyDescent="0.25">
      <c r="A1494" s="251"/>
      <c r="B1494" s="75"/>
      <c r="C1494" s="252"/>
      <c r="D1494" s="75"/>
      <c r="E1494" s="75"/>
      <c r="F1494" s="75"/>
      <c r="G1494" s="75"/>
      <c r="H1494" s="101"/>
      <c r="I1494" s="101"/>
      <c r="J1494" s="101"/>
      <c r="K1494" s="102"/>
      <c r="M1494"/>
    </row>
    <row r="1495" spans="1:13" s="10" customFormat="1" x14ac:dyDescent="0.25">
      <c r="A1495" s="251"/>
      <c r="B1495" s="75"/>
      <c r="C1495" s="252"/>
      <c r="D1495" s="75"/>
      <c r="E1495" s="75"/>
      <c r="F1495" s="75"/>
      <c r="G1495" s="75"/>
      <c r="H1495" s="101"/>
      <c r="I1495" s="101"/>
      <c r="J1495" s="101"/>
      <c r="K1495" s="102"/>
      <c r="M1495"/>
    </row>
    <row r="1496" spans="1:13" s="10" customFormat="1" x14ac:dyDescent="0.25">
      <c r="A1496" s="251"/>
      <c r="B1496" s="75"/>
      <c r="C1496" s="252"/>
      <c r="D1496" s="75"/>
      <c r="E1496" s="75"/>
      <c r="F1496" s="75"/>
      <c r="G1496" s="75"/>
      <c r="H1496" s="101"/>
      <c r="I1496" s="101"/>
      <c r="J1496" s="101"/>
      <c r="K1496" s="102"/>
      <c r="M1496"/>
    </row>
    <row r="1497" spans="1:13" s="10" customFormat="1" x14ac:dyDescent="0.25">
      <c r="A1497" s="251"/>
      <c r="B1497" s="75"/>
      <c r="C1497" s="252"/>
      <c r="D1497" s="75"/>
      <c r="E1497" s="75"/>
      <c r="F1497" s="75"/>
      <c r="G1497" s="75"/>
      <c r="H1497" s="101"/>
      <c r="I1497" s="101"/>
      <c r="J1497" s="101"/>
      <c r="K1497" s="102"/>
      <c r="M1497"/>
    </row>
    <row r="1498" spans="1:13" s="10" customFormat="1" x14ac:dyDescent="0.25">
      <c r="A1498" s="251"/>
      <c r="B1498" s="75"/>
      <c r="C1498" s="252"/>
      <c r="D1498" s="75"/>
      <c r="E1498" s="75"/>
      <c r="F1498" s="75"/>
      <c r="G1498" s="75"/>
      <c r="H1498" s="101"/>
      <c r="I1498" s="101"/>
      <c r="J1498" s="101"/>
      <c r="K1498" s="102"/>
      <c r="M1498"/>
    </row>
    <row r="1499" spans="1:13" s="10" customFormat="1" x14ac:dyDescent="0.25">
      <c r="A1499" s="251"/>
      <c r="B1499" s="75"/>
      <c r="C1499" s="252"/>
      <c r="D1499" s="75"/>
      <c r="E1499" s="75"/>
      <c r="F1499" s="75"/>
      <c r="G1499" s="75"/>
      <c r="H1499" s="101"/>
      <c r="I1499" s="101"/>
      <c r="J1499" s="101"/>
      <c r="K1499" s="102"/>
      <c r="M1499"/>
    </row>
    <row r="1500" spans="1:13" s="10" customFormat="1" x14ac:dyDescent="0.25">
      <c r="A1500" s="251"/>
      <c r="B1500" s="75"/>
      <c r="C1500" s="252"/>
      <c r="D1500" s="75"/>
      <c r="E1500" s="75"/>
      <c r="F1500" s="75"/>
      <c r="G1500" s="75"/>
      <c r="H1500" s="101"/>
      <c r="I1500" s="101"/>
      <c r="J1500" s="101"/>
      <c r="K1500" s="102"/>
      <c r="M1500"/>
    </row>
    <row r="1501" spans="1:13" x14ac:dyDescent="0.25">
      <c r="A1501" s="251"/>
      <c r="B1501" s="75"/>
      <c r="C1501" s="252"/>
      <c r="D1501" s="75"/>
      <c r="E1501" s="75"/>
      <c r="F1501" s="75"/>
      <c r="G1501" s="75"/>
      <c r="H1501" s="101"/>
      <c r="I1501" s="101"/>
      <c r="J1501" s="101"/>
      <c r="K1501" s="102"/>
    </row>
    <row r="1502" spans="1:13" x14ac:dyDescent="0.25">
      <c r="A1502" s="251"/>
      <c r="B1502" s="75"/>
      <c r="C1502" s="252"/>
      <c r="D1502" s="75"/>
      <c r="E1502" s="75"/>
      <c r="F1502" s="75"/>
      <c r="G1502" s="75"/>
      <c r="H1502" s="101"/>
      <c r="I1502" s="101"/>
      <c r="J1502" s="101"/>
      <c r="K1502" s="102"/>
    </row>
    <row r="1503" spans="1:13" x14ac:dyDescent="0.25">
      <c r="A1503" s="251"/>
      <c r="B1503" s="75"/>
      <c r="C1503" s="252"/>
      <c r="D1503" s="75"/>
      <c r="E1503" s="75"/>
      <c r="F1503" s="75"/>
      <c r="G1503" s="75"/>
      <c r="H1503" s="101"/>
      <c r="I1503" s="101"/>
      <c r="J1503" s="101"/>
      <c r="K1503" s="102"/>
    </row>
    <row r="1504" spans="1:13" ht="16.5" thickBot="1" x14ac:dyDescent="0.3">
      <c r="A1504" s="1193"/>
      <c r="B1504" s="256"/>
      <c r="C1504" s="255"/>
      <c r="D1504" s="256"/>
      <c r="E1504" s="256"/>
      <c r="F1504" s="256"/>
      <c r="G1504" s="256"/>
      <c r="H1504" s="219"/>
      <c r="I1504" s="219"/>
      <c r="J1504" s="219"/>
      <c r="K1504" s="220"/>
    </row>
    <row r="1505" spans="1:12" x14ac:dyDescent="0.25">
      <c r="A1505" s="75"/>
      <c r="B1505" s="75"/>
      <c r="C1505" s="252"/>
      <c r="D1505" s="75"/>
      <c r="E1505" s="75"/>
      <c r="F1505" s="75"/>
      <c r="G1505" s="75"/>
      <c r="H1505" s="141"/>
      <c r="I1505" s="141"/>
      <c r="J1505" s="141"/>
      <c r="K1505" s="122"/>
    </row>
    <row r="1506" spans="1:12" x14ac:dyDescent="0.25">
      <c r="A1506" s="75"/>
      <c r="B1506" s="75"/>
      <c r="C1506" s="252"/>
      <c r="D1506" s="75"/>
      <c r="E1506" s="75"/>
      <c r="F1506" s="75"/>
      <c r="G1506" s="75"/>
      <c r="H1506" s="141"/>
      <c r="I1506" s="141"/>
      <c r="J1506" s="141"/>
      <c r="K1506" s="122"/>
    </row>
    <row r="1507" spans="1:12" x14ac:dyDescent="0.25">
      <c r="A1507" s="75"/>
      <c r="B1507" s="75"/>
      <c r="C1507" s="252"/>
      <c r="D1507" s="75"/>
      <c r="E1507" s="75"/>
      <c r="F1507" s="75"/>
      <c r="G1507" s="75"/>
      <c r="H1507" s="141"/>
      <c r="I1507" s="141"/>
      <c r="J1507" s="141"/>
      <c r="K1507" s="122"/>
    </row>
    <row r="1508" spans="1:12" x14ac:dyDescent="0.25">
      <c r="A1508" s="75"/>
      <c r="B1508" s="75"/>
      <c r="C1508" s="252"/>
      <c r="D1508" s="75"/>
      <c r="E1508" s="75"/>
      <c r="F1508" s="75"/>
      <c r="G1508" s="75"/>
      <c r="H1508" s="141"/>
      <c r="I1508" s="141"/>
      <c r="J1508" s="141"/>
      <c r="K1508" s="122"/>
    </row>
    <row r="1509" spans="1:12" x14ac:dyDescent="0.25">
      <c r="A1509" s="75"/>
      <c r="B1509" s="75"/>
      <c r="C1509" s="252"/>
      <c r="D1509" s="75"/>
      <c r="E1509" s="75"/>
      <c r="F1509" s="75"/>
      <c r="G1509" s="75"/>
      <c r="H1509" s="141"/>
      <c r="I1509" s="141"/>
      <c r="J1509" s="141"/>
      <c r="K1509" s="122"/>
    </row>
    <row r="1510" spans="1:12" x14ac:dyDescent="0.25">
      <c r="A1510" s="75"/>
      <c r="B1510" s="75"/>
      <c r="C1510" s="252"/>
      <c r="D1510" s="75"/>
      <c r="E1510" s="75"/>
      <c r="F1510" s="75"/>
      <c r="G1510" s="75"/>
      <c r="H1510" s="141"/>
      <c r="I1510" s="141"/>
      <c r="J1510" s="141"/>
      <c r="K1510" s="122"/>
    </row>
    <row r="1511" spans="1:12" x14ac:dyDescent="0.25">
      <c r="A1511" s="75"/>
      <c r="B1511" s="75"/>
      <c r="C1511" s="252"/>
      <c r="D1511" s="75"/>
      <c r="E1511" s="75"/>
      <c r="F1511" s="75"/>
      <c r="G1511" s="75"/>
      <c r="H1511" s="141"/>
      <c r="I1511" s="141"/>
      <c r="J1511" s="141"/>
      <c r="K1511" s="122"/>
    </row>
    <row r="1512" spans="1:12" x14ac:dyDescent="0.25">
      <c r="A1512" s="75"/>
      <c r="B1512" s="75"/>
      <c r="C1512" s="252"/>
      <c r="D1512" s="75"/>
      <c r="E1512" s="75"/>
      <c r="F1512" s="75"/>
      <c r="G1512" s="75"/>
      <c r="H1512" s="141"/>
      <c r="I1512" s="141"/>
      <c r="J1512" s="141"/>
      <c r="K1512" s="122"/>
    </row>
    <row r="1513" spans="1:12" s="146" customFormat="1" ht="18" customHeight="1" x14ac:dyDescent="0.25">
      <c r="A1513" s="9" t="s">
        <v>112</v>
      </c>
      <c r="B1513" s="9"/>
      <c r="C1513" s="9"/>
      <c r="D1513" s="9"/>
      <c r="E1513" s="9"/>
      <c r="F1513" s="9"/>
      <c r="G1513" s="9"/>
      <c r="H1513" s="5"/>
      <c r="I1513" s="5"/>
      <c r="J1513" s="5"/>
      <c r="K1513" s="5"/>
      <c r="L1513" s="10"/>
    </row>
    <row r="1514" spans="1:12" ht="18" customHeight="1" x14ac:dyDescent="0.25">
      <c r="A1514" s="8" t="s">
        <v>891</v>
      </c>
    </row>
    <row r="1515" spans="1:12" ht="18" customHeight="1" x14ac:dyDescent="0.25">
      <c r="A1515" s="1636" t="s">
        <v>113</v>
      </c>
      <c r="B1515" s="1636"/>
      <c r="C1515" s="1636"/>
      <c r="D1515" s="1636"/>
      <c r="E1515" s="1636"/>
      <c r="F1515" s="1636"/>
      <c r="G1515" s="1636"/>
      <c r="H1515" s="1636"/>
      <c r="I1515" s="1636"/>
      <c r="J1515" s="1636"/>
      <c r="K1515" s="1101"/>
    </row>
    <row r="1516" spans="1:12" s="7" customFormat="1" ht="18" customHeight="1" x14ac:dyDescent="0.25">
      <c r="A1516" s="1624" t="s">
        <v>114</v>
      </c>
      <c r="B1516" s="1624"/>
      <c r="C1516" s="1624"/>
      <c r="D1516" s="1624"/>
      <c r="E1516" s="1624"/>
      <c r="F1516" s="1624"/>
      <c r="G1516" s="1624"/>
      <c r="H1516" s="1624"/>
      <c r="I1516" s="1624"/>
      <c r="J1516" s="1624"/>
      <c r="K1516" s="159"/>
      <c r="L1516" s="6"/>
    </row>
    <row r="1518" spans="1:12" ht="16.5" thickBot="1" x14ac:dyDescent="0.3"/>
    <row r="1519" spans="1:12" s="48" customFormat="1" ht="21.75" customHeight="1" thickBot="1" x14ac:dyDescent="0.3">
      <c r="A1519" s="1655" t="s">
        <v>115</v>
      </c>
      <c r="B1519" s="1655"/>
      <c r="C1519" s="1655"/>
      <c r="D1519" s="1655"/>
      <c r="E1519" s="1655"/>
      <c r="F1519" s="1655"/>
      <c r="G1519" s="1151"/>
      <c r="H1519" s="1708" t="s">
        <v>1537</v>
      </c>
      <c r="I1519" s="1710" t="s">
        <v>1538</v>
      </c>
      <c r="J1519" s="1710" t="s">
        <v>1539</v>
      </c>
      <c r="K1519" s="1710" t="s">
        <v>1540</v>
      </c>
      <c r="L1519" s="47"/>
    </row>
    <row r="1520" spans="1:12" s="1153" customFormat="1" ht="31.5" customHeight="1" thickBot="1" x14ac:dyDescent="0.3">
      <c r="A1520" s="1655"/>
      <c r="B1520" s="1655"/>
      <c r="C1520" s="1655"/>
      <c r="D1520" s="1655"/>
      <c r="E1520" s="1655"/>
      <c r="F1520" s="1655"/>
      <c r="G1520" s="1129" t="s">
        <v>116</v>
      </c>
      <c r="H1520" s="1709"/>
      <c r="I1520" s="1710"/>
      <c r="J1520" s="1710"/>
      <c r="K1520" s="1710"/>
      <c r="L1520" s="1152"/>
    </row>
    <row r="1521" spans="1:12" ht="18.75" thickBot="1" x14ac:dyDescent="0.3">
      <c r="A1521" s="1656" t="s">
        <v>1870</v>
      </c>
      <c r="B1521" s="1657"/>
      <c r="C1521" s="1657"/>
      <c r="D1521" s="1657"/>
      <c r="E1521" s="1657"/>
      <c r="F1521" s="1657"/>
      <c r="G1521" s="375"/>
      <c r="H1521" s="101"/>
      <c r="I1521" s="101"/>
      <c r="J1521" s="101"/>
      <c r="K1521" s="102"/>
    </row>
    <row r="1522" spans="1:12" ht="18" x14ac:dyDescent="0.25">
      <c r="A1522" s="1134"/>
      <c r="B1522" s="1111"/>
      <c r="C1522" s="1658" t="s">
        <v>786</v>
      </c>
      <c r="D1522" s="1658"/>
      <c r="E1522" s="1658"/>
      <c r="F1522" s="1659"/>
      <c r="G1522" s="376"/>
      <c r="H1522" s="101"/>
      <c r="I1522" s="101"/>
      <c r="J1522" s="101"/>
      <c r="K1522" s="102"/>
    </row>
    <row r="1523" spans="1:12" ht="15" customHeight="1" x14ac:dyDescent="0.25">
      <c r="A1523" s="1134"/>
      <c r="B1523" s="1111"/>
      <c r="C1523" s="1620" t="s">
        <v>787</v>
      </c>
      <c r="D1523" s="1620"/>
      <c r="E1523" s="1620"/>
      <c r="F1523" s="1112"/>
      <c r="G1523" s="376"/>
      <c r="H1523" s="101"/>
      <c r="I1523" s="101"/>
      <c r="J1523" s="101"/>
      <c r="K1523" s="102"/>
    </row>
    <row r="1524" spans="1:12" ht="18" x14ac:dyDescent="0.25">
      <c r="A1524" s="1134"/>
      <c r="B1524" s="1111"/>
      <c r="C1524" s="1654" t="s">
        <v>788</v>
      </c>
      <c r="D1524" s="1654"/>
      <c r="E1524" s="1654"/>
      <c r="F1524" s="1112"/>
      <c r="G1524" s="376"/>
      <c r="H1524" s="101"/>
      <c r="I1524" s="101"/>
      <c r="J1524" s="101"/>
      <c r="K1524" s="102"/>
    </row>
    <row r="1525" spans="1:12" s="191" customFormat="1" ht="18" x14ac:dyDescent="0.25">
      <c r="A1525" s="1134"/>
      <c r="B1525" s="1111"/>
      <c r="C1525" s="38" t="s">
        <v>789</v>
      </c>
      <c r="D1525" s="1106"/>
      <c r="E1525" s="1106"/>
      <c r="F1525" s="1112"/>
      <c r="G1525" s="376" t="s">
        <v>165</v>
      </c>
      <c r="H1525" s="101"/>
      <c r="I1525" s="101">
        <v>43000</v>
      </c>
      <c r="J1525" s="101">
        <v>43000</v>
      </c>
      <c r="K1525" s="102">
        <v>43000</v>
      </c>
      <c r="L1525" s="10"/>
    </row>
    <row r="1526" spans="1:12" ht="18" x14ac:dyDescent="0.25">
      <c r="A1526" s="1105"/>
      <c r="B1526" s="1106"/>
      <c r="C1526" s="1126" t="s">
        <v>790</v>
      </c>
      <c r="D1526" s="1123"/>
      <c r="E1526" s="1123"/>
      <c r="F1526" s="1102"/>
      <c r="G1526" s="376" t="s">
        <v>167</v>
      </c>
      <c r="H1526" s="101"/>
      <c r="I1526" s="101">
        <v>10000</v>
      </c>
      <c r="J1526" s="101">
        <v>10000</v>
      </c>
      <c r="K1526" s="102">
        <v>10000</v>
      </c>
    </row>
    <row r="1527" spans="1:12" ht="18" x14ac:dyDescent="0.25">
      <c r="A1527" s="1134"/>
      <c r="B1527" s="1111"/>
      <c r="C1527" s="38" t="s">
        <v>791</v>
      </c>
      <c r="D1527" s="1106"/>
      <c r="E1527" s="1106"/>
      <c r="F1527" s="1112"/>
      <c r="G1527" s="376" t="s">
        <v>169</v>
      </c>
      <c r="H1527" s="101"/>
      <c r="I1527" s="101">
        <v>90646</v>
      </c>
      <c r="J1527" s="101">
        <v>90646</v>
      </c>
      <c r="K1527" s="102">
        <v>90646</v>
      </c>
    </row>
    <row r="1528" spans="1:12" ht="18" x14ac:dyDescent="0.25">
      <c r="A1528" s="1134"/>
      <c r="B1528" s="1111"/>
      <c r="C1528" s="38" t="s">
        <v>792</v>
      </c>
      <c r="D1528" s="1106"/>
      <c r="E1528" s="1106"/>
      <c r="F1528" s="1112"/>
      <c r="G1528" s="376" t="s">
        <v>171</v>
      </c>
      <c r="H1528" s="101"/>
      <c r="I1528" s="101">
        <v>118174</v>
      </c>
      <c r="J1528" s="101">
        <v>118174</v>
      </c>
      <c r="K1528" s="102">
        <v>118174</v>
      </c>
    </row>
    <row r="1529" spans="1:12" ht="18" x14ac:dyDescent="0.25">
      <c r="A1529" s="1134"/>
      <c r="B1529" s="1111"/>
      <c r="C1529" s="38" t="s">
        <v>794</v>
      </c>
      <c r="D1529" s="1106"/>
      <c r="E1529" s="1106"/>
      <c r="F1529" s="1112"/>
      <c r="G1529" s="376" t="s">
        <v>383</v>
      </c>
      <c r="H1529" s="101"/>
      <c r="I1529" s="101">
        <v>4680</v>
      </c>
      <c r="J1529" s="101">
        <v>4680</v>
      </c>
      <c r="K1529" s="102">
        <v>4680</v>
      </c>
    </row>
    <row r="1530" spans="1:12" ht="18" x14ac:dyDescent="0.25">
      <c r="A1530" s="1134"/>
      <c r="B1530" s="1111"/>
      <c r="C1530" s="38" t="s">
        <v>795</v>
      </c>
      <c r="D1530" s="1106"/>
      <c r="E1530" s="1106"/>
      <c r="F1530" s="1112"/>
      <c r="G1530" s="376" t="s">
        <v>177</v>
      </c>
      <c r="H1530" s="101"/>
      <c r="I1530" s="101">
        <v>2000</v>
      </c>
      <c r="J1530" s="101">
        <v>2000</v>
      </c>
      <c r="K1530" s="102">
        <v>2000</v>
      </c>
    </row>
    <row r="1531" spans="1:12" ht="18" x14ac:dyDescent="0.25">
      <c r="A1531" s="1134"/>
      <c r="B1531" s="1111"/>
      <c r="C1531" s="38" t="s">
        <v>1871</v>
      </c>
      <c r="D1531" s="1106"/>
      <c r="E1531" s="1106"/>
      <c r="F1531" s="1112"/>
      <c r="G1531" s="376"/>
      <c r="H1531" s="101"/>
      <c r="I1531" s="101">
        <v>30000</v>
      </c>
      <c r="J1531" s="101">
        <v>30000</v>
      </c>
      <c r="K1531" s="102">
        <v>30000</v>
      </c>
    </row>
    <row r="1532" spans="1:12" ht="18" x14ac:dyDescent="0.25">
      <c r="A1532" s="1134"/>
      <c r="B1532" s="1111"/>
      <c r="C1532" s="38" t="s">
        <v>797</v>
      </c>
      <c r="D1532" s="1106"/>
      <c r="E1532" s="1106"/>
      <c r="F1532" s="1112"/>
      <c r="G1532" s="376" t="s">
        <v>282</v>
      </c>
      <c r="H1532" s="101"/>
      <c r="I1532" s="101">
        <v>1500</v>
      </c>
      <c r="J1532" s="101">
        <v>1500</v>
      </c>
      <c r="K1532" s="102">
        <v>1500</v>
      </c>
    </row>
    <row r="1533" spans="1:12" ht="18" x14ac:dyDescent="0.25">
      <c r="A1533" s="1134"/>
      <c r="B1533" s="1111"/>
      <c r="C1533" s="38" t="s">
        <v>798</v>
      </c>
      <c r="D1533" s="1106"/>
      <c r="E1533" s="1106"/>
      <c r="F1533" s="1112"/>
      <c r="G1533" s="376" t="s">
        <v>237</v>
      </c>
      <c r="H1533" s="105"/>
      <c r="I1533" s="105"/>
      <c r="J1533" s="105"/>
      <c r="K1533" s="106"/>
    </row>
    <row r="1534" spans="1:12" ht="18" x14ac:dyDescent="0.25">
      <c r="A1534" s="1134"/>
      <c r="B1534" s="1111"/>
      <c r="C1534" s="1111" t="s">
        <v>200</v>
      </c>
      <c r="D1534" s="235"/>
      <c r="E1534" s="1106"/>
      <c r="F1534" s="1111"/>
      <c r="G1534" s="1245"/>
      <c r="H1534" s="119">
        <f>SUM(H1525:H1533)</f>
        <v>0</v>
      </c>
      <c r="I1534" s="119">
        <f>SUM(I1525:I1533)</f>
        <v>300000</v>
      </c>
      <c r="J1534" s="119">
        <f>SUM(J1525:J1533)</f>
        <v>300000</v>
      </c>
      <c r="K1534" s="150">
        <f>SUM(K1525:K1533)</f>
        <v>300000</v>
      </c>
    </row>
    <row r="1535" spans="1:12" ht="18" x14ac:dyDescent="0.25">
      <c r="A1535" s="1134"/>
      <c r="B1535" s="1111"/>
      <c r="C1535" s="38"/>
      <c r="D1535" s="1111"/>
      <c r="E1535" s="1106"/>
      <c r="F1535" s="1111"/>
      <c r="G1535" s="380"/>
      <c r="H1535" s="155"/>
      <c r="I1535" s="155"/>
      <c r="J1535" s="155"/>
      <c r="K1535" s="156"/>
    </row>
    <row r="1536" spans="1:12" ht="18" customHeight="1" x14ac:dyDescent="0.25">
      <c r="A1536" s="1134"/>
      <c r="B1536" s="1111"/>
      <c r="C1536" s="124" t="s">
        <v>1872</v>
      </c>
      <c r="D1536" s="153"/>
      <c r="E1536" s="153"/>
      <c r="F1536" s="153"/>
      <c r="G1536" s="574"/>
      <c r="H1536" s="101"/>
      <c r="I1536" s="101"/>
      <c r="J1536" s="101"/>
      <c r="K1536" s="102"/>
    </row>
    <row r="1537" spans="1:12" s="191" customFormat="1" ht="18" customHeight="1" x14ac:dyDescent="0.25">
      <c r="A1537" s="1105"/>
      <c r="B1537" s="1106"/>
      <c r="C1537" s="1107" t="s">
        <v>1873</v>
      </c>
      <c r="D1537" s="113"/>
      <c r="E1537" s="113"/>
      <c r="F1537" s="113"/>
      <c r="G1537" s="971"/>
      <c r="H1537" s="101"/>
      <c r="I1537" s="101">
        <v>80000</v>
      </c>
      <c r="J1537" s="101"/>
      <c r="K1537" s="102"/>
      <c r="L1537" s="10"/>
    </row>
    <row r="1538" spans="1:12" ht="18" x14ac:dyDescent="0.25">
      <c r="A1538" s="1134"/>
      <c r="B1538" s="1111"/>
      <c r="C1538" s="38" t="s">
        <v>800</v>
      </c>
      <c r="D1538" s="1111"/>
      <c r="E1538" s="1111"/>
      <c r="F1538" s="1111"/>
      <c r="G1538" s="376"/>
      <c r="H1538" s="101"/>
      <c r="I1538" s="101"/>
      <c r="J1538" s="101"/>
      <c r="K1538" s="102"/>
    </row>
    <row r="1539" spans="1:12" ht="18" x14ac:dyDescent="0.25">
      <c r="A1539" s="1134"/>
      <c r="B1539" s="1111"/>
      <c r="C1539" s="38" t="s">
        <v>801</v>
      </c>
      <c r="D1539" s="1111"/>
      <c r="E1539" s="1111"/>
      <c r="F1539" s="1111"/>
      <c r="G1539" s="376"/>
      <c r="H1539" s="105"/>
      <c r="I1539" s="105"/>
      <c r="J1539" s="105"/>
      <c r="K1539" s="106"/>
    </row>
    <row r="1540" spans="1:12" ht="18" x14ac:dyDescent="0.25">
      <c r="A1540" s="1134"/>
      <c r="B1540" s="1111"/>
      <c r="C1540" s="1111" t="s">
        <v>200</v>
      </c>
      <c r="E1540" s="1111"/>
      <c r="F1540" s="1112"/>
      <c r="G1540" s="376"/>
      <c r="H1540" s="155">
        <f>SUM(H1536:H1539)</f>
        <v>0</v>
      </c>
      <c r="I1540" s="155">
        <f>SUM(I1536:I1539)</f>
        <v>80000</v>
      </c>
      <c r="J1540" s="155">
        <f>SUM(J1536:J1539)</f>
        <v>0</v>
      </c>
      <c r="K1540" s="156">
        <f>SUM(K1536:K1539)</f>
        <v>0</v>
      </c>
    </row>
    <row r="1541" spans="1:12" ht="16.5" customHeight="1" x14ac:dyDescent="0.25">
      <c r="A1541" s="1134"/>
      <c r="B1541" s="1111"/>
      <c r="C1541" s="1111" t="s">
        <v>208</v>
      </c>
      <c r="E1541" s="1111"/>
      <c r="F1541" s="1112"/>
      <c r="G1541" s="376"/>
      <c r="H1541" s="119">
        <f>H1540+H1534</f>
        <v>0</v>
      </c>
      <c r="I1541" s="119">
        <f>I1540+I1534</f>
        <v>380000</v>
      </c>
      <c r="J1541" s="119">
        <f>J1540+J1534</f>
        <v>300000</v>
      </c>
      <c r="K1541" s="150">
        <f>K1540+K1534</f>
        <v>300000</v>
      </c>
    </row>
    <row r="1542" spans="1:12" ht="16.5" customHeight="1" x14ac:dyDescent="0.25">
      <c r="A1542" s="1134"/>
      <c r="B1542" s="1111"/>
      <c r="C1542" s="1100"/>
      <c r="D1542" s="1111"/>
      <c r="E1542" s="1111"/>
      <c r="F1542" s="1112"/>
      <c r="G1542" s="376"/>
      <c r="H1542" s="155"/>
      <c r="I1542" s="155"/>
      <c r="J1542" s="155"/>
      <c r="K1542" s="156"/>
    </row>
    <row r="1543" spans="1:12" ht="18" x14ac:dyDescent="0.25">
      <c r="A1543" s="1134"/>
      <c r="B1543" s="1111"/>
      <c r="C1543" s="1620" t="s">
        <v>802</v>
      </c>
      <c r="D1543" s="1620"/>
      <c r="E1543" s="1620"/>
      <c r="F1543" s="1112"/>
      <c r="G1543" s="376"/>
      <c r="H1543" s="101"/>
      <c r="I1543" s="101"/>
      <c r="J1543" s="101"/>
      <c r="K1543" s="102"/>
    </row>
    <row r="1544" spans="1:12" ht="18" x14ac:dyDescent="0.25">
      <c r="A1544" s="1134"/>
      <c r="B1544" s="1111"/>
      <c r="C1544" s="1620" t="s">
        <v>1874</v>
      </c>
      <c r="D1544" s="1620"/>
      <c r="E1544" s="1620"/>
      <c r="F1544" s="1112"/>
      <c r="G1544" s="376"/>
      <c r="H1544" s="101"/>
      <c r="I1544" s="101"/>
      <c r="J1544" s="101"/>
      <c r="K1544" s="102"/>
    </row>
    <row r="1545" spans="1:12" s="146" customFormat="1" ht="18" x14ac:dyDescent="0.25">
      <c r="A1545" s="1134"/>
      <c r="B1545" s="1111"/>
      <c r="C1545" s="1654" t="s">
        <v>788</v>
      </c>
      <c r="D1545" s="1654"/>
      <c r="E1545" s="1654"/>
      <c r="F1545" s="1112"/>
      <c r="G1545" s="376"/>
      <c r="H1545" s="101"/>
      <c r="I1545" s="101"/>
      <c r="J1545" s="101"/>
      <c r="K1545" s="102"/>
      <c r="L1545" s="10"/>
    </row>
    <row r="1546" spans="1:12" s="229" customFormat="1" ht="18" x14ac:dyDescent="0.25">
      <c r="A1546" s="211"/>
      <c r="B1546" s="124"/>
      <c r="C1546" s="44" t="s">
        <v>1875</v>
      </c>
      <c r="D1546" s="125"/>
      <c r="E1546" s="125"/>
      <c r="F1546" s="134"/>
      <c r="G1546" s="100" t="s">
        <v>165</v>
      </c>
      <c r="H1546" s="101"/>
      <c r="I1546" s="1156">
        <v>112000</v>
      </c>
      <c r="J1546" s="1156">
        <v>112000</v>
      </c>
      <c r="K1546" s="102">
        <v>50000</v>
      </c>
      <c r="L1546" s="207"/>
    </row>
    <row r="1547" spans="1:12" s="229" customFormat="1" ht="18" customHeight="1" x14ac:dyDescent="0.25">
      <c r="A1547" s="211"/>
      <c r="B1547" s="124"/>
      <c r="C1547" s="44" t="s">
        <v>806</v>
      </c>
      <c r="D1547" s="125"/>
      <c r="E1547" s="125"/>
      <c r="F1547" s="134"/>
      <c r="G1547" s="100" t="s">
        <v>169</v>
      </c>
      <c r="H1547" s="101"/>
      <c r="I1547" s="1156">
        <v>5000</v>
      </c>
      <c r="J1547" s="1156">
        <v>5000</v>
      </c>
      <c r="K1547" s="102">
        <v>5000</v>
      </c>
      <c r="L1547" s="207"/>
    </row>
    <row r="1548" spans="1:12" s="229" customFormat="1" ht="18" customHeight="1" x14ac:dyDescent="0.25">
      <c r="A1548" s="211"/>
      <c r="B1548" s="124"/>
      <c r="C1548" s="44" t="s">
        <v>807</v>
      </c>
      <c r="D1548" s="125"/>
      <c r="E1548" s="125"/>
      <c r="F1548" s="134"/>
      <c r="G1548" s="100" t="s">
        <v>183</v>
      </c>
      <c r="H1548" s="101"/>
      <c r="I1548" s="1156"/>
      <c r="J1548" s="1156"/>
      <c r="K1548" s="102"/>
      <c r="L1548" s="207"/>
    </row>
    <row r="1549" spans="1:12" s="229" customFormat="1" ht="18" customHeight="1" x14ac:dyDescent="0.25">
      <c r="A1549" s="211"/>
      <c r="B1549" s="124"/>
      <c r="C1549" s="44" t="s">
        <v>814</v>
      </c>
      <c r="D1549" s="125"/>
      <c r="E1549" s="125"/>
      <c r="F1549" s="134"/>
      <c r="G1549" s="100"/>
      <c r="H1549" s="101"/>
      <c r="I1549" s="1156">
        <v>21600</v>
      </c>
      <c r="J1549" s="1156">
        <v>21600</v>
      </c>
      <c r="K1549" s="102">
        <v>21600</v>
      </c>
      <c r="L1549" s="207"/>
    </row>
    <row r="1550" spans="1:12" s="229" customFormat="1" ht="18" customHeight="1" x14ac:dyDescent="0.25">
      <c r="A1550" s="211"/>
      <c r="B1550" s="124"/>
      <c r="C1550" s="44" t="s">
        <v>808</v>
      </c>
      <c r="D1550" s="125"/>
      <c r="E1550" s="125"/>
      <c r="F1550" s="134"/>
      <c r="G1550" s="100" t="s">
        <v>199</v>
      </c>
      <c r="H1550" s="105"/>
      <c r="I1550" s="1246">
        <v>60000</v>
      </c>
      <c r="J1550" s="1246">
        <v>60000</v>
      </c>
      <c r="K1550" s="106">
        <v>60000</v>
      </c>
      <c r="L1550" s="207"/>
    </row>
    <row r="1551" spans="1:12" s="146" customFormat="1" ht="18" x14ac:dyDescent="0.25">
      <c r="A1551" s="1134"/>
      <c r="B1551" s="1111"/>
      <c r="C1551" s="1111" t="s">
        <v>200</v>
      </c>
      <c r="E1551" s="1106"/>
      <c r="F1551" s="1102"/>
      <c r="G1551" s="100"/>
      <c r="H1551" s="119">
        <f>SUM(H1546:H1550)</f>
        <v>0</v>
      </c>
      <c r="I1551" s="119">
        <f>SUM(I1546:I1550)</f>
        <v>198600</v>
      </c>
      <c r="J1551" s="119">
        <f>SUM(J1546:J1550)</f>
        <v>198600</v>
      </c>
      <c r="K1551" s="150">
        <f>SUM(K1546:K1550)</f>
        <v>136600</v>
      </c>
      <c r="L1551" s="10"/>
    </row>
    <row r="1552" spans="1:12" s="146" customFormat="1" ht="18" x14ac:dyDescent="0.25">
      <c r="A1552" s="1134"/>
      <c r="B1552" s="1111"/>
      <c r="C1552" s="1098"/>
      <c r="D1552" s="1111"/>
      <c r="E1552" s="1106"/>
      <c r="F1552" s="1102"/>
      <c r="G1552" s="100"/>
      <c r="H1552" s="155"/>
      <c r="I1552" s="155"/>
      <c r="J1552" s="155"/>
      <c r="K1552" s="156"/>
      <c r="L1552" s="10"/>
    </row>
    <row r="1553" spans="1:12" s="146" customFormat="1" ht="18" customHeight="1" x14ac:dyDescent="0.25">
      <c r="A1553" s="1134"/>
      <c r="B1553" s="1111"/>
      <c r="C1553" s="36" t="s">
        <v>1872</v>
      </c>
      <c r="D1553" s="1111"/>
      <c r="E1553" s="1111"/>
      <c r="F1553" s="1112"/>
      <c r="G1553" s="376"/>
      <c r="H1553" s="101"/>
      <c r="I1553" s="101"/>
      <c r="J1553" s="101"/>
      <c r="K1553" s="102"/>
      <c r="L1553" s="10"/>
    </row>
    <row r="1554" spans="1:12" s="146" customFormat="1" ht="18" customHeight="1" x14ac:dyDescent="0.25">
      <c r="A1554" s="1134"/>
      <c r="B1554" s="1111"/>
      <c r="C1554" s="38" t="s">
        <v>809</v>
      </c>
      <c r="D1554" s="1111"/>
      <c r="E1554" s="1111"/>
      <c r="F1554" s="1112"/>
      <c r="G1554" s="376"/>
      <c r="H1554" s="101"/>
      <c r="I1554" s="101"/>
      <c r="J1554" s="101"/>
      <c r="K1554" s="102"/>
      <c r="L1554" s="10"/>
    </row>
    <row r="1555" spans="1:12" s="146" customFormat="1" ht="18" customHeight="1" x14ac:dyDescent="0.25">
      <c r="A1555" s="1134"/>
      <c r="B1555" s="1111"/>
      <c r="C1555" s="38" t="s">
        <v>810</v>
      </c>
      <c r="D1555" s="1111"/>
      <c r="E1555" s="1111"/>
      <c r="F1555" s="1112"/>
      <c r="G1555" s="376"/>
      <c r="H1555" s="105"/>
      <c r="I1555" s="105"/>
      <c r="J1555" s="105"/>
      <c r="K1555" s="106"/>
      <c r="L1555" s="10"/>
    </row>
    <row r="1556" spans="1:12" s="146" customFormat="1" ht="18.75" thickBot="1" x14ac:dyDescent="0.3">
      <c r="A1556" s="1134"/>
      <c r="B1556" s="1111"/>
      <c r="C1556" s="1111" t="s">
        <v>200</v>
      </c>
      <c r="E1556" s="1111"/>
      <c r="F1556" s="1112"/>
      <c r="G1556" s="376"/>
      <c r="H1556" s="182">
        <f>SUM(H1554:H1555)</f>
        <v>0</v>
      </c>
      <c r="I1556" s="182">
        <f>SUM(I1554:I1555)</f>
        <v>0</v>
      </c>
      <c r="J1556" s="182">
        <f>SUM(J1554:J1555)</f>
        <v>0</v>
      </c>
      <c r="K1556" s="183">
        <f>SUM(K1554:K1555)</f>
        <v>0</v>
      </c>
      <c r="L1556" s="10"/>
    </row>
    <row r="1557" spans="1:12" s="146" customFormat="1" ht="18" customHeight="1" x14ac:dyDescent="0.25">
      <c r="A1557" s="1134"/>
      <c r="B1557" s="1111"/>
      <c r="C1557" s="1111" t="s">
        <v>208</v>
      </c>
      <c r="E1557" s="1111"/>
      <c r="F1557" s="1112"/>
      <c r="G1557" s="376"/>
      <c r="H1557" s="155">
        <f>H1556+H1551</f>
        <v>0</v>
      </c>
      <c r="I1557" s="155">
        <f>I1556+I1551</f>
        <v>198600</v>
      </c>
      <c r="J1557" s="155">
        <f>J1556+J1551</f>
        <v>198600</v>
      </c>
      <c r="K1557" s="156">
        <f>K1556+K1551</f>
        <v>136600</v>
      </c>
      <c r="L1557" s="10"/>
    </row>
    <row r="1558" spans="1:12" s="146" customFormat="1" ht="18" customHeight="1" x14ac:dyDescent="0.25">
      <c r="A1558" s="1134"/>
      <c r="B1558" s="1111"/>
      <c r="C1558" s="1100"/>
      <c r="D1558" s="1111"/>
      <c r="E1558" s="1111"/>
      <c r="F1558" s="1112"/>
      <c r="G1558" s="376"/>
      <c r="H1558" s="155"/>
      <c r="I1558" s="155"/>
      <c r="J1558" s="155"/>
      <c r="K1558" s="156"/>
      <c r="L1558" s="10"/>
    </row>
    <row r="1559" spans="1:12" s="146" customFormat="1" ht="18" x14ac:dyDescent="0.25">
      <c r="A1559" s="1105"/>
      <c r="B1559" s="1106"/>
      <c r="C1559" s="1620" t="s">
        <v>812</v>
      </c>
      <c r="D1559" s="1620"/>
      <c r="E1559" s="1620"/>
      <c r="F1559" s="1621"/>
      <c r="G1559" s="100"/>
      <c r="H1559" s="101"/>
      <c r="I1559" s="101"/>
      <c r="J1559" s="101"/>
      <c r="K1559" s="102"/>
      <c r="L1559" s="10"/>
    </row>
    <row r="1560" spans="1:12" s="146" customFormat="1" ht="18" x14ac:dyDescent="0.25">
      <c r="A1560" s="1105"/>
      <c r="B1560" s="1106"/>
      <c r="C1560" s="1620" t="s">
        <v>813</v>
      </c>
      <c r="D1560" s="1620"/>
      <c r="E1560" s="1620"/>
      <c r="F1560" s="1621"/>
      <c r="G1560" s="100"/>
      <c r="H1560" s="101"/>
      <c r="I1560" s="101"/>
      <c r="J1560" s="101"/>
      <c r="K1560" s="102"/>
      <c r="L1560" s="10"/>
    </row>
    <row r="1561" spans="1:12" s="146" customFormat="1" ht="18" x14ac:dyDescent="0.25">
      <c r="A1561" s="1105"/>
      <c r="B1561" s="1106"/>
      <c r="C1561" s="1141" t="s">
        <v>805</v>
      </c>
      <c r="D1561" s="1111"/>
      <c r="E1561" s="1111"/>
      <c r="F1561" s="1112"/>
      <c r="G1561" s="100"/>
      <c r="H1561" s="101"/>
      <c r="I1561" s="101">
        <v>60000</v>
      </c>
      <c r="J1561" s="101">
        <v>60000</v>
      </c>
      <c r="K1561" s="102">
        <v>50000</v>
      </c>
      <c r="L1561" s="10"/>
    </row>
    <row r="1562" spans="1:12" s="146" customFormat="1" ht="18" x14ac:dyDescent="0.25">
      <c r="A1562" s="1105"/>
      <c r="B1562" s="1106"/>
      <c r="C1562" s="1602" t="s">
        <v>1875</v>
      </c>
      <c r="D1562" s="1603"/>
      <c r="E1562" s="1603"/>
      <c r="F1562" s="1603"/>
      <c r="G1562" s="100" t="s">
        <v>165</v>
      </c>
      <c r="H1562" s="250"/>
      <c r="I1562" s="250">
        <v>65000</v>
      </c>
      <c r="J1562" s="250">
        <v>65000</v>
      </c>
      <c r="K1562" s="233">
        <v>50000</v>
      </c>
      <c r="L1562" s="10"/>
    </row>
    <row r="1563" spans="1:12" s="146" customFormat="1" ht="18" x14ac:dyDescent="0.25">
      <c r="A1563" s="1105"/>
      <c r="B1563" s="1106"/>
      <c r="C1563" s="1602" t="s">
        <v>806</v>
      </c>
      <c r="D1563" s="1603"/>
      <c r="E1563" s="1603"/>
      <c r="F1563" s="1603"/>
      <c r="G1563" s="100" t="s">
        <v>169</v>
      </c>
      <c r="H1563" s="101"/>
      <c r="I1563" s="101">
        <v>42000</v>
      </c>
      <c r="J1563" s="101">
        <v>42000</v>
      </c>
      <c r="K1563" s="102">
        <v>10000</v>
      </c>
      <c r="L1563" s="10"/>
    </row>
    <row r="1564" spans="1:12" s="146" customFormat="1" ht="18" x14ac:dyDescent="0.25">
      <c r="A1564" s="1105"/>
      <c r="B1564" s="1106"/>
      <c r="C1564" s="1602" t="s">
        <v>865</v>
      </c>
      <c r="D1564" s="1603"/>
      <c r="E1564" s="1603"/>
      <c r="F1564" s="1603"/>
      <c r="G1564" s="100"/>
      <c r="H1564" s="101"/>
      <c r="I1564" s="101">
        <v>23000</v>
      </c>
      <c r="J1564" s="101">
        <v>23000</v>
      </c>
      <c r="K1564" s="102">
        <v>8000</v>
      </c>
      <c r="L1564" s="10"/>
    </row>
    <row r="1565" spans="1:12" s="146" customFormat="1" ht="18" x14ac:dyDescent="0.25">
      <c r="A1565" s="1105"/>
      <c r="B1565" s="1106"/>
      <c r="C1565" s="1602" t="s">
        <v>808</v>
      </c>
      <c r="D1565" s="1603"/>
      <c r="E1565" s="1603"/>
      <c r="F1565" s="1603"/>
      <c r="G1565" s="100" t="s">
        <v>199</v>
      </c>
      <c r="H1565" s="105"/>
      <c r="I1565" s="105">
        <v>150000</v>
      </c>
      <c r="J1565" s="105">
        <v>150000</v>
      </c>
      <c r="K1565" s="106">
        <v>102000</v>
      </c>
      <c r="L1565" s="10"/>
    </row>
    <row r="1566" spans="1:12" s="146" customFormat="1" ht="15.75" customHeight="1" x14ac:dyDescent="0.25">
      <c r="A1566" s="1105"/>
      <c r="B1566" s="1106"/>
      <c r="C1566" s="1111" t="s">
        <v>15</v>
      </c>
      <c r="E1566" s="1106"/>
      <c r="F1566" s="1102"/>
      <c r="G1566" s="100"/>
      <c r="H1566" s="155">
        <f>SUM(H1561:H1565)</f>
        <v>0</v>
      </c>
      <c r="I1566" s="155">
        <f>SUM(I1561:I1565)</f>
        <v>340000</v>
      </c>
      <c r="J1566" s="155">
        <f>SUM(J1561:J1565)</f>
        <v>340000</v>
      </c>
      <c r="K1566" s="156">
        <f>SUM(K1561:K1565)</f>
        <v>220000</v>
      </c>
      <c r="L1566" s="10"/>
    </row>
    <row r="1567" spans="1:12" s="146" customFormat="1" ht="15.75" customHeight="1" x14ac:dyDescent="0.25">
      <c r="A1567" s="1105"/>
      <c r="B1567" s="1106"/>
      <c r="C1567" s="1111"/>
      <c r="E1567" s="1106"/>
      <c r="F1567" s="1102"/>
      <c r="G1567" s="100"/>
      <c r="H1567" s="155"/>
      <c r="I1567" s="155"/>
      <c r="J1567" s="155"/>
      <c r="K1567" s="156"/>
      <c r="L1567" s="10"/>
    </row>
    <row r="1568" spans="1:12" s="146" customFormat="1" ht="18" x14ac:dyDescent="0.25">
      <c r="A1568" s="1105"/>
      <c r="B1568" s="1106"/>
      <c r="C1568" s="1620" t="s">
        <v>818</v>
      </c>
      <c r="D1568" s="1620"/>
      <c r="E1568" s="1620"/>
      <c r="F1568" s="1621"/>
      <c r="G1568" s="100"/>
      <c r="H1568" s="101"/>
      <c r="I1568" s="101"/>
      <c r="J1568" s="101"/>
      <c r="K1568" s="102"/>
      <c r="L1568" s="10"/>
    </row>
    <row r="1569" spans="1:12" s="146" customFormat="1" ht="18" x14ac:dyDescent="0.25">
      <c r="A1569" s="1105"/>
      <c r="B1569" s="1106"/>
      <c r="C1569" s="1620" t="s">
        <v>813</v>
      </c>
      <c r="D1569" s="1620"/>
      <c r="E1569" s="1620"/>
      <c r="F1569" s="1621"/>
      <c r="G1569" s="100"/>
      <c r="H1569" s="101"/>
      <c r="I1569" s="101"/>
      <c r="J1569" s="101"/>
      <c r="K1569" s="102"/>
      <c r="L1569" s="10"/>
    </row>
    <row r="1570" spans="1:12" s="229" customFormat="1" ht="18" customHeight="1" x14ac:dyDescent="0.25">
      <c r="A1570" s="154"/>
      <c r="B1570" s="1107"/>
      <c r="C1570" s="1141" t="s">
        <v>819</v>
      </c>
      <c r="D1570" s="124"/>
      <c r="E1570" s="124"/>
      <c r="F1570" s="230"/>
      <c r="G1570" s="100" t="s">
        <v>167</v>
      </c>
      <c r="H1570" s="101"/>
      <c r="I1570" s="101">
        <v>130000</v>
      </c>
      <c r="J1570" s="101">
        <v>130000</v>
      </c>
      <c r="K1570" s="102">
        <v>50000</v>
      </c>
      <c r="L1570" s="207"/>
    </row>
    <row r="1571" spans="1:12" s="229" customFormat="1" ht="18" x14ac:dyDescent="0.25">
      <c r="A1571" s="154"/>
      <c r="B1571" s="1107"/>
      <c r="C1571" s="1141" t="s">
        <v>820</v>
      </c>
      <c r="D1571" s="1107"/>
      <c r="E1571" s="1107"/>
      <c r="F1571" s="1108"/>
      <c r="G1571" s="100" t="s">
        <v>169</v>
      </c>
      <c r="H1571" s="101"/>
      <c r="I1571" s="101">
        <v>53942</v>
      </c>
      <c r="J1571" s="101">
        <v>53942</v>
      </c>
      <c r="K1571" s="102">
        <v>10000</v>
      </c>
      <c r="L1571" s="207"/>
    </row>
    <row r="1572" spans="1:12" s="229" customFormat="1" ht="18" x14ac:dyDescent="0.25">
      <c r="A1572" s="154"/>
      <c r="B1572" s="1107"/>
      <c r="C1572" s="1141" t="s">
        <v>821</v>
      </c>
      <c r="D1572" s="1107"/>
      <c r="E1572" s="1107"/>
      <c r="F1572" s="1108"/>
      <c r="G1572" s="100" t="s">
        <v>171</v>
      </c>
      <c r="H1572" s="101"/>
      <c r="I1572" s="101">
        <v>37543</v>
      </c>
      <c r="J1572" s="101">
        <v>37543</v>
      </c>
      <c r="K1572" s="102">
        <v>20000</v>
      </c>
      <c r="L1572" s="207"/>
    </row>
    <row r="1573" spans="1:12" s="229" customFormat="1" ht="18" x14ac:dyDescent="0.25">
      <c r="A1573" s="154"/>
      <c r="B1573" s="1107"/>
      <c r="C1573" s="1141" t="s">
        <v>822</v>
      </c>
      <c r="D1573" s="1107"/>
      <c r="E1573" s="1107"/>
      <c r="F1573" s="1108"/>
      <c r="G1573" s="100" t="s">
        <v>183</v>
      </c>
      <c r="H1573" s="101"/>
      <c r="I1573" s="101">
        <v>54000</v>
      </c>
      <c r="J1573" s="101">
        <v>54000</v>
      </c>
      <c r="K1573" s="102">
        <v>30000</v>
      </c>
      <c r="L1573" s="207"/>
    </row>
    <row r="1574" spans="1:12" s="229" customFormat="1" ht="18" x14ac:dyDescent="0.25">
      <c r="A1574" s="154"/>
      <c r="B1574" s="1107"/>
      <c r="C1574" s="44" t="s">
        <v>808</v>
      </c>
      <c r="D1574" s="125"/>
      <c r="E1574" s="125"/>
      <c r="F1574" s="134"/>
      <c r="G1574" s="100" t="s">
        <v>199</v>
      </c>
      <c r="H1574" s="101"/>
      <c r="I1574" s="101">
        <v>102000</v>
      </c>
      <c r="J1574" s="101">
        <v>102000</v>
      </c>
      <c r="K1574" s="102">
        <v>102000</v>
      </c>
      <c r="L1574" s="207"/>
    </row>
    <row r="1575" spans="1:12" s="146" customFormat="1" ht="18.75" thickBot="1" x14ac:dyDescent="0.3">
      <c r="A1575" s="1105"/>
      <c r="B1575" s="1106"/>
      <c r="C1575" s="1100" t="s">
        <v>823</v>
      </c>
      <c r="D1575" s="1106"/>
      <c r="E1575" s="1106"/>
      <c r="F1575" s="1102"/>
      <c r="G1575" s="308"/>
      <c r="H1575" s="123">
        <f>SUM(H1570:H1574)</f>
        <v>0</v>
      </c>
      <c r="I1575" s="123">
        <f>SUM(I1570:I1574)</f>
        <v>377485</v>
      </c>
      <c r="J1575" s="123">
        <f>SUM(J1570:J1574)</f>
        <v>377485</v>
      </c>
      <c r="K1575" s="158">
        <f>SUM(K1570:K1574)</f>
        <v>212000</v>
      </c>
      <c r="L1575" s="10"/>
    </row>
    <row r="1576" spans="1:12" s="146" customFormat="1" ht="18" customHeight="1" x14ac:dyDescent="0.25">
      <c r="A1576" s="1134"/>
      <c r="B1576" s="1111"/>
      <c r="C1576" s="1620"/>
      <c r="D1576" s="1620"/>
      <c r="E1576" s="1620"/>
      <c r="F1576" s="1112"/>
      <c r="G1576" s="376"/>
      <c r="H1576" s="101"/>
      <c r="I1576" s="101"/>
      <c r="J1576" s="101"/>
      <c r="K1576" s="102"/>
      <c r="L1576" s="10"/>
    </row>
    <row r="1577" spans="1:12" s="146" customFormat="1" ht="18" customHeight="1" x14ac:dyDescent="0.25">
      <c r="A1577" s="1105"/>
      <c r="B1577" s="1106"/>
      <c r="C1577" s="129" t="s">
        <v>1872</v>
      </c>
      <c r="D1577" s="153"/>
      <c r="E1577" s="153"/>
      <c r="F1577" s="153"/>
      <c r="G1577" s="292"/>
      <c r="H1577" s="101"/>
      <c r="I1577" s="101"/>
      <c r="J1577" s="101"/>
      <c r="K1577" s="102"/>
      <c r="L1577" s="10"/>
    </row>
    <row r="1578" spans="1:12" s="194" customFormat="1" ht="18" customHeight="1" x14ac:dyDescent="0.25">
      <c r="A1578" s="1105"/>
      <c r="B1578" s="1106"/>
      <c r="C1578" s="1141" t="s">
        <v>824</v>
      </c>
      <c r="D1578" s="1106"/>
      <c r="E1578" s="1106"/>
      <c r="F1578" s="1106"/>
      <c r="G1578" s="1103"/>
      <c r="H1578" s="101"/>
      <c r="I1578" s="101">
        <v>97000</v>
      </c>
      <c r="J1578" s="101"/>
      <c r="K1578" s="102"/>
      <c r="L1578" s="10"/>
    </row>
    <row r="1579" spans="1:12" s="194" customFormat="1" ht="33.75" customHeight="1" x14ac:dyDescent="0.25">
      <c r="A1579" s="1105"/>
      <c r="B1579" s="1106"/>
      <c r="C1579" s="1611" t="s">
        <v>825</v>
      </c>
      <c r="D1579" s="1611"/>
      <c r="E1579" s="1106"/>
      <c r="F1579" s="1106"/>
      <c r="G1579" s="1103"/>
      <c r="H1579" s="101"/>
      <c r="I1579" s="101"/>
      <c r="J1579" s="101"/>
      <c r="K1579" s="102"/>
      <c r="L1579" s="10"/>
    </row>
    <row r="1580" spans="1:12" s="194" customFormat="1" ht="18" customHeight="1" x14ac:dyDescent="0.25">
      <c r="A1580" s="1105"/>
      <c r="B1580" s="1106"/>
      <c r="C1580" s="1141" t="s">
        <v>826</v>
      </c>
      <c r="D1580" s="1106"/>
      <c r="E1580" s="1106"/>
      <c r="F1580" s="1106"/>
      <c r="G1580" s="1103"/>
      <c r="H1580" s="101"/>
      <c r="I1580" s="101"/>
      <c r="J1580" s="101"/>
      <c r="K1580" s="102"/>
      <c r="L1580" s="10"/>
    </row>
    <row r="1581" spans="1:12" s="194" customFormat="1" ht="18" customHeight="1" x14ac:dyDescent="0.25">
      <c r="A1581" s="1105"/>
      <c r="B1581" s="1106"/>
      <c r="C1581" s="1141" t="s">
        <v>827</v>
      </c>
      <c r="D1581" s="1106"/>
      <c r="E1581" s="1106"/>
      <c r="F1581" s="1106"/>
      <c r="G1581" s="1103"/>
      <c r="H1581" s="101"/>
      <c r="I1581" s="101"/>
      <c r="J1581" s="101"/>
      <c r="K1581" s="102"/>
      <c r="L1581" s="10"/>
    </row>
    <row r="1582" spans="1:12" s="146" customFormat="1" ht="18" x14ac:dyDescent="0.25">
      <c r="A1582" s="1105"/>
      <c r="B1582" s="1106"/>
      <c r="C1582" s="1100" t="s">
        <v>823</v>
      </c>
      <c r="D1582" s="1106"/>
      <c r="E1582" s="1106"/>
      <c r="F1582" s="1102"/>
      <c r="G1582" s="100"/>
      <c r="H1582" s="119">
        <f>SUM(H1578:H1581)</f>
        <v>0</v>
      </c>
      <c r="I1582" s="119">
        <f>SUM(I1578:I1581)</f>
        <v>97000</v>
      </c>
      <c r="J1582" s="119">
        <f>SUM(J1578:J1581)</f>
        <v>0</v>
      </c>
      <c r="K1582" s="150">
        <f>SUM(K1578:K1581)</f>
        <v>0</v>
      </c>
      <c r="L1582" s="10"/>
    </row>
    <row r="1583" spans="1:12" ht="18.75" thickBot="1" x14ac:dyDescent="0.3">
      <c r="A1583" s="187"/>
      <c r="B1583" s="1226"/>
      <c r="C1583" s="228" t="s">
        <v>15</v>
      </c>
      <c r="D1583" s="1226"/>
      <c r="E1583" s="1226"/>
      <c r="F1583" s="431"/>
      <c r="G1583" s="1163"/>
      <c r="H1583" s="123">
        <f>H1582+H1575</f>
        <v>0</v>
      </c>
      <c r="I1583" s="123">
        <f>I1582+I1575</f>
        <v>474485</v>
      </c>
      <c r="J1583" s="123">
        <f>J1582+J1575</f>
        <v>377485</v>
      </c>
      <c r="K1583" s="158">
        <f>K1582+K1575</f>
        <v>212000</v>
      </c>
    </row>
    <row r="1584" spans="1:12" ht="18" x14ac:dyDescent="0.25">
      <c r="A1584" s="1106"/>
      <c r="B1584" s="1106"/>
      <c r="C1584" s="1100"/>
      <c r="D1584" s="1106"/>
      <c r="E1584" s="1106"/>
      <c r="F1584" s="1106"/>
      <c r="G1584" s="381"/>
      <c r="H1584" s="126"/>
      <c r="I1584" s="126"/>
      <c r="J1584" s="126"/>
      <c r="K1584" s="127"/>
    </row>
    <row r="1585" spans="1:12" ht="18" x14ac:dyDescent="0.25">
      <c r="A1585" s="1106"/>
      <c r="B1585" s="1106"/>
      <c r="C1585" s="1100"/>
      <c r="D1585" s="1106"/>
      <c r="E1585" s="1106"/>
      <c r="F1585" s="1106"/>
      <c r="G1585" s="381"/>
      <c r="H1585" s="126"/>
      <c r="I1585" s="126"/>
      <c r="J1585" s="126"/>
      <c r="K1585" s="127"/>
    </row>
    <row r="1586" spans="1:12" ht="18" x14ac:dyDescent="0.25">
      <c r="A1586" s="1106"/>
      <c r="B1586" s="1106"/>
      <c r="C1586" s="1100"/>
      <c r="D1586" s="1106"/>
      <c r="E1586" s="1106"/>
      <c r="F1586" s="1106"/>
      <c r="G1586" s="381"/>
      <c r="H1586" s="126"/>
      <c r="I1586" s="126"/>
      <c r="J1586" s="126"/>
      <c r="K1586" s="127"/>
    </row>
    <row r="1587" spans="1:12" s="146" customFormat="1" ht="18" customHeight="1" x14ac:dyDescent="0.25">
      <c r="A1587" s="9" t="s">
        <v>112</v>
      </c>
      <c r="B1587" s="9"/>
      <c r="C1587" s="9"/>
      <c r="D1587" s="9"/>
      <c r="E1587" s="9"/>
      <c r="F1587" s="9"/>
      <c r="G1587" s="9"/>
      <c r="H1587" s="5"/>
      <c r="I1587" s="5"/>
      <c r="J1587" s="5"/>
      <c r="K1587" s="5"/>
      <c r="L1587" s="10"/>
    </row>
    <row r="1588" spans="1:12" ht="18" customHeight="1" x14ac:dyDescent="0.25">
      <c r="A1588" s="8" t="s">
        <v>917</v>
      </c>
    </row>
    <row r="1589" spans="1:12" ht="18" customHeight="1" x14ac:dyDescent="0.25">
      <c r="A1589" s="1636" t="s">
        <v>113</v>
      </c>
      <c r="B1589" s="1636"/>
      <c r="C1589" s="1636"/>
      <c r="D1589" s="1636"/>
      <c r="E1589" s="1636"/>
      <c r="F1589" s="1636"/>
      <c r="G1589" s="1636"/>
      <c r="H1589" s="1636"/>
      <c r="I1589" s="1636"/>
      <c r="J1589" s="1636"/>
      <c r="K1589" s="1101"/>
    </row>
    <row r="1590" spans="1:12" s="7" customFormat="1" ht="18" customHeight="1" x14ac:dyDescent="0.25">
      <c r="A1590" s="1624" t="s">
        <v>114</v>
      </c>
      <c r="B1590" s="1624"/>
      <c r="C1590" s="1624"/>
      <c r="D1590" s="1624"/>
      <c r="E1590" s="1624"/>
      <c r="F1590" s="1624"/>
      <c r="G1590" s="1624"/>
      <c r="H1590" s="1624"/>
      <c r="I1590" s="1624"/>
      <c r="J1590" s="1624"/>
      <c r="K1590" s="159"/>
      <c r="L1590" s="6"/>
    </row>
    <row r="1592" spans="1:12" ht="16.5" thickBot="1" x14ac:dyDescent="0.3"/>
    <row r="1593" spans="1:12" s="48" customFormat="1" ht="21.75" customHeight="1" thickBot="1" x14ac:dyDescent="0.3">
      <c r="A1593" s="1655" t="s">
        <v>115</v>
      </c>
      <c r="B1593" s="1655"/>
      <c r="C1593" s="1655"/>
      <c r="D1593" s="1655"/>
      <c r="E1593" s="1655"/>
      <c r="F1593" s="1655"/>
      <c r="G1593" s="1151"/>
      <c r="H1593" s="1708" t="s">
        <v>1537</v>
      </c>
      <c r="I1593" s="1710" t="s">
        <v>1538</v>
      </c>
      <c r="J1593" s="1710" t="s">
        <v>1539</v>
      </c>
      <c r="K1593" s="1710" t="s">
        <v>1540</v>
      </c>
      <c r="L1593" s="47"/>
    </row>
    <row r="1594" spans="1:12" s="1153" customFormat="1" ht="31.5" customHeight="1" thickBot="1" x14ac:dyDescent="0.3">
      <c r="A1594" s="1655"/>
      <c r="B1594" s="1655"/>
      <c r="C1594" s="1655"/>
      <c r="D1594" s="1655"/>
      <c r="E1594" s="1655"/>
      <c r="F1594" s="1655"/>
      <c r="G1594" s="1129" t="s">
        <v>116</v>
      </c>
      <c r="H1594" s="1709"/>
      <c r="I1594" s="1710"/>
      <c r="J1594" s="1710"/>
      <c r="K1594" s="1710"/>
      <c r="L1594" s="1152"/>
    </row>
    <row r="1595" spans="1:12" s="146" customFormat="1" ht="18" x14ac:dyDescent="0.25">
      <c r="A1595" s="1105"/>
      <c r="B1595" s="1106"/>
      <c r="C1595" s="1620" t="s">
        <v>830</v>
      </c>
      <c r="D1595" s="1620"/>
      <c r="E1595" s="1620"/>
      <c r="F1595" s="1621"/>
      <c r="G1595" s="100"/>
      <c r="H1595" s="101"/>
      <c r="I1595" s="101"/>
      <c r="J1595" s="101"/>
      <c r="K1595" s="102"/>
      <c r="L1595" s="10"/>
    </row>
    <row r="1596" spans="1:12" s="146" customFormat="1" ht="18" x14ac:dyDescent="0.25">
      <c r="A1596" s="1105"/>
      <c r="B1596" s="1106"/>
      <c r="C1596" s="1620" t="s">
        <v>831</v>
      </c>
      <c r="D1596" s="1620"/>
      <c r="E1596" s="1620"/>
      <c r="F1596" s="1621"/>
      <c r="G1596" s="100"/>
      <c r="H1596" s="101"/>
      <c r="I1596" s="101"/>
      <c r="J1596" s="101"/>
      <c r="K1596" s="102"/>
      <c r="L1596" s="10"/>
    </row>
    <row r="1597" spans="1:12" s="229" customFormat="1" ht="18" x14ac:dyDescent="0.25">
      <c r="A1597" s="154"/>
      <c r="B1597" s="1107"/>
      <c r="C1597" s="1141" t="s">
        <v>1875</v>
      </c>
      <c r="D1597" s="124"/>
      <c r="E1597" s="124"/>
      <c r="F1597" s="230"/>
      <c r="G1597" s="100" t="s">
        <v>165</v>
      </c>
      <c r="H1597" s="101"/>
      <c r="I1597" s="102">
        <v>25000</v>
      </c>
      <c r="J1597" s="102">
        <v>25000</v>
      </c>
      <c r="K1597" s="102">
        <v>10000</v>
      </c>
      <c r="L1597" s="207"/>
    </row>
    <row r="1598" spans="1:12" s="229" customFormat="1" ht="18" x14ac:dyDescent="0.25">
      <c r="A1598" s="154"/>
      <c r="B1598" s="1107"/>
      <c r="C1598" s="44" t="s">
        <v>833</v>
      </c>
      <c r="D1598" s="125"/>
      <c r="E1598" s="125"/>
      <c r="F1598" s="134"/>
      <c r="G1598" s="100" t="s">
        <v>169</v>
      </c>
      <c r="H1598" s="101"/>
      <c r="I1598" s="102">
        <v>210168.5</v>
      </c>
      <c r="J1598" s="102">
        <v>210168.5</v>
      </c>
      <c r="K1598" s="102">
        <v>50000</v>
      </c>
      <c r="L1598" s="207"/>
    </row>
    <row r="1599" spans="1:12" s="229" customFormat="1" ht="18" x14ac:dyDescent="0.25">
      <c r="A1599" s="154"/>
      <c r="B1599" s="1107"/>
      <c r="C1599" s="1141" t="s">
        <v>834</v>
      </c>
      <c r="D1599" s="124"/>
      <c r="E1599" s="124"/>
      <c r="F1599" s="230"/>
      <c r="G1599" s="100" t="s">
        <v>173</v>
      </c>
      <c r="H1599" s="101"/>
      <c r="I1599" s="102">
        <v>90000</v>
      </c>
      <c r="J1599" s="102">
        <v>90000</v>
      </c>
      <c r="K1599" s="102">
        <v>5000</v>
      </c>
      <c r="L1599" s="207"/>
    </row>
    <row r="1600" spans="1:12" s="229" customFormat="1" ht="18" x14ac:dyDescent="0.25">
      <c r="A1600" s="154"/>
      <c r="B1600" s="1107"/>
      <c r="C1600" s="1141" t="s">
        <v>835</v>
      </c>
      <c r="D1600" s="124"/>
      <c r="E1600" s="124"/>
      <c r="F1600" s="230"/>
      <c r="G1600" s="100" t="s">
        <v>171</v>
      </c>
      <c r="H1600" s="101"/>
      <c r="I1600" s="102">
        <v>206021</v>
      </c>
      <c r="J1600" s="102">
        <v>206021</v>
      </c>
      <c r="K1600" s="102">
        <v>30000</v>
      </c>
      <c r="L1600" s="207"/>
    </row>
    <row r="1601" spans="1:12" s="229" customFormat="1" ht="18" customHeight="1" x14ac:dyDescent="0.25">
      <c r="A1601" s="154"/>
      <c r="B1601" s="1107"/>
      <c r="C1601" s="44" t="s">
        <v>838</v>
      </c>
      <c r="D1601" s="124"/>
      <c r="E1601" s="124"/>
      <c r="F1601" s="124"/>
      <c r="G1601" s="100"/>
      <c r="H1601" s="105"/>
      <c r="I1601" s="1247">
        <v>100000</v>
      </c>
      <c r="J1601" s="1247">
        <v>100000</v>
      </c>
      <c r="K1601" s="106">
        <v>10000</v>
      </c>
      <c r="L1601" s="207"/>
    </row>
    <row r="1602" spans="1:12" s="146" customFormat="1" ht="15.75" customHeight="1" x14ac:dyDescent="0.25">
      <c r="A1602" s="1105"/>
      <c r="B1602" s="1106"/>
      <c r="C1602" s="1111" t="s">
        <v>823</v>
      </c>
      <c r="E1602" s="1106"/>
      <c r="F1602" s="1106"/>
      <c r="G1602" s="100"/>
      <c r="H1602" s="119">
        <f>SUM(H1597:H1601)</f>
        <v>0</v>
      </c>
      <c r="I1602" s="119">
        <f>SUM(I1597:I1601)</f>
        <v>631189.5</v>
      </c>
      <c r="J1602" s="119">
        <f>SUM(J1597:J1601)</f>
        <v>631189.5</v>
      </c>
      <c r="K1602" s="150">
        <f>SUM(K1597:K1601)</f>
        <v>105000</v>
      </c>
      <c r="L1602" s="10"/>
    </row>
    <row r="1603" spans="1:12" s="146" customFormat="1" ht="15.75" customHeight="1" x14ac:dyDescent="0.25">
      <c r="A1603" s="1105"/>
      <c r="B1603" s="1106"/>
      <c r="C1603" s="9"/>
      <c r="D1603" s="1111"/>
      <c r="E1603" s="1106"/>
      <c r="F1603" s="1106"/>
      <c r="G1603" s="100"/>
      <c r="H1603" s="155"/>
      <c r="I1603" s="155"/>
      <c r="J1603" s="155"/>
      <c r="K1603" s="156"/>
      <c r="L1603" s="10"/>
    </row>
    <row r="1604" spans="1:12" s="146" customFormat="1" ht="18" customHeight="1" x14ac:dyDescent="0.25">
      <c r="A1604" s="1105"/>
      <c r="B1604" s="1106"/>
      <c r="C1604" s="129" t="s">
        <v>1872</v>
      </c>
      <c r="D1604" s="152"/>
      <c r="E1604" s="152"/>
      <c r="F1604" s="152"/>
      <c r="G1604" s="186"/>
      <c r="H1604" s="155"/>
      <c r="I1604" s="155"/>
      <c r="J1604" s="155"/>
      <c r="K1604" s="156"/>
      <c r="L1604" s="10"/>
    </row>
    <row r="1605" spans="1:12" s="146" customFormat="1" ht="18" customHeight="1" x14ac:dyDescent="0.25">
      <c r="A1605" s="1105"/>
      <c r="B1605" s="1106"/>
      <c r="C1605" s="38" t="s">
        <v>839</v>
      </c>
      <c r="D1605" s="152"/>
      <c r="E1605" s="152"/>
      <c r="F1605" s="152"/>
      <c r="G1605" s="186"/>
      <c r="H1605" s="101"/>
      <c r="I1605" s="101"/>
      <c r="J1605" s="101"/>
      <c r="K1605" s="102"/>
      <c r="L1605" s="10"/>
    </row>
    <row r="1606" spans="1:12" s="146" customFormat="1" ht="18" x14ac:dyDescent="0.25">
      <c r="A1606" s="1105"/>
      <c r="B1606" s="1106"/>
      <c r="C1606" s="38" t="s">
        <v>824</v>
      </c>
      <c r="D1606" s="1106"/>
      <c r="E1606" s="1106"/>
      <c r="F1606" s="1102"/>
      <c r="G1606" s="100"/>
      <c r="H1606" s="101"/>
      <c r="I1606" s="101">
        <v>80000</v>
      </c>
      <c r="J1606" s="101"/>
      <c r="K1606" s="102"/>
      <c r="L1606" s="10"/>
    </row>
    <row r="1607" spans="1:12" s="146" customFormat="1" ht="15" customHeight="1" x14ac:dyDescent="0.25">
      <c r="A1607" s="1105"/>
      <c r="B1607" s="1106"/>
      <c r="C1607" s="1111" t="s">
        <v>823</v>
      </c>
      <c r="E1607" s="1106"/>
      <c r="F1607" s="1102"/>
      <c r="G1607" s="100"/>
      <c r="H1607" s="150">
        <f>SUM(H1605:H1606)</f>
        <v>0</v>
      </c>
      <c r="I1607" s="150">
        <f>SUM(I1605:I1606)</f>
        <v>80000</v>
      </c>
      <c r="J1607" s="150">
        <f>SUM(J1605:J1606)</f>
        <v>0</v>
      </c>
      <c r="K1607" s="150">
        <f>SUM(K1605:K1606)</f>
        <v>0</v>
      </c>
      <c r="L1607" s="10"/>
    </row>
    <row r="1608" spans="1:12" s="146" customFormat="1" ht="18.75" thickBot="1" x14ac:dyDescent="0.3">
      <c r="A1608" s="1105"/>
      <c r="B1608" s="1106"/>
      <c r="C1608" s="1111" t="s">
        <v>15</v>
      </c>
      <c r="D1608" s="573"/>
      <c r="E1608" s="1106"/>
      <c r="F1608" s="1102"/>
      <c r="G1608" s="100"/>
      <c r="H1608" s="123">
        <f>H1607+H1602</f>
        <v>0</v>
      </c>
      <c r="I1608" s="123">
        <f>I1607+I1602</f>
        <v>711189.5</v>
      </c>
      <c r="J1608" s="123">
        <f>J1607+J1602</f>
        <v>631189.5</v>
      </c>
      <c r="K1608" s="158">
        <f>K1607+K1602</f>
        <v>105000</v>
      </c>
      <c r="L1608" s="10"/>
    </row>
    <row r="1609" spans="1:12" s="146" customFormat="1" ht="18" x14ac:dyDescent="0.25">
      <c r="A1609" s="1105"/>
      <c r="B1609" s="1106"/>
      <c r="C1609" s="51"/>
      <c r="D1609" s="1111"/>
      <c r="E1609" s="1106"/>
      <c r="F1609" s="1102"/>
      <c r="G1609" s="100"/>
      <c r="H1609" s="155"/>
      <c r="I1609" s="155"/>
      <c r="J1609" s="155"/>
      <c r="K1609" s="156"/>
      <c r="L1609" s="10"/>
    </row>
    <row r="1610" spans="1:12" s="146" customFormat="1" ht="18" x14ac:dyDescent="0.25">
      <c r="A1610" s="1105"/>
      <c r="B1610" s="1106"/>
      <c r="C1610" s="1620" t="s">
        <v>842</v>
      </c>
      <c r="D1610" s="1620"/>
      <c r="E1610" s="1620"/>
      <c r="F1610" s="1621"/>
      <c r="G1610" s="100"/>
      <c r="H1610" s="101"/>
      <c r="I1610" s="101"/>
      <c r="J1610" s="101"/>
      <c r="K1610" s="102"/>
      <c r="L1610" s="10"/>
    </row>
    <row r="1611" spans="1:12" s="146" customFormat="1" ht="18" x14ac:dyDescent="0.25">
      <c r="A1611" s="1105"/>
      <c r="B1611" s="1106"/>
      <c r="C1611" s="1620" t="s">
        <v>813</v>
      </c>
      <c r="D1611" s="1620"/>
      <c r="E1611" s="1620"/>
      <c r="F1611" s="1621"/>
      <c r="G1611" s="100"/>
      <c r="H1611" s="250"/>
      <c r="I1611" s="250"/>
      <c r="J1611" s="250"/>
      <c r="K1611" s="233"/>
      <c r="L1611" s="10"/>
    </row>
    <row r="1612" spans="1:12" s="229" customFormat="1" ht="18" x14ac:dyDescent="0.25">
      <c r="A1612" s="154"/>
      <c r="B1612" s="1107"/>
      <c r="C1612" s="44" t="s">
        <v>1875</v>
      </c>
      <c r="D1612" s="125"/>
      <c r="E1612" s="125"/>
      <c r="F1612" s="134"/>
      <c r="G1612" s="100" t="s">
        <v>165</v>
      </c>
      <c r="H1612" s="250"/>
      <c r="I1612" s="250">
        <v>30000</v>
      </c>
      <c r="J1612" s="250">
        <v>30000</v>
      </c>
      <c r="K1612" s="233">
        <v>25000</v>
      </c>
      <c r="L1612" s="207"/>
    </row>
    <row r="1613" spans="1:12" s="229" customFormat="1" ht="18" customHeight="1" x14ac:dyDescent="0.25">
      <c r="A1613" s="154"/>
      <c r="B1613" s="1107"/>
      <c r="C1613" s="44" t="s">
        <v>806</v>
      </c>
      <c r="D1613" s="125"/>
      <c r="E1613" s="125"/>
      <c r="F1613" s="134"/>
      <c r="G1613" s="100" t="s">
        <v>169</v>
      </c>
      <c r="H1613" s="250"/>
      <c r="I1613" s="250">
        <v>104197.5</v>
      </c>
      <c r="J1613" s="250">
        <v>104197.5</v>
      </c>
      <c r="K1613" s="233">
        <v>80000</v>
      </c>
      <c r="L1613" s="207"/>
    </row>
    <row r="1614" spans="1:12" s="229" customFormat="1" ht="18" customHeight="1" x14ac:dyDescent="0.25">
      <c r="A1614" s="154"/>
      <c r="B1614" s="1107"/>
      <c r="C1614" s="206" t="s">
        <v>843</v>
      </c>
      <c r="D1614" s="1107"/>
      <c r="E1614" s="1107"/>
      <c r="F1614" s="1108"/>
      <c r="G1614" s="100" t="s">
        <v>173</v>
      </c>
      <c r="H1614" s="101"/>
      <c r="I1614" s="101">
        <v>47040</v>
      </c>
      <c r="J1614" s="101">
        <v>47040</v>
      </c>
      <c r="K1614" s="102">
        <v>20000</v>
      </c>
      <c r="L1614" s="207"/>
    </row>
    <row r="1615" spans="1:12" s="229" customFormat="1" ht="18" customHeight="1" x14ac:dyDescent="0.25">
      <c r="A1615" s="154"/>
      <c r="B1615" s="1107"/>
      <c r="C1615" s="44" t="s">
        <v>835</v>
      </c>
      <c r="D1615" s="125"/>
      <c r="E1615" s="125"/>
      <c r="F1615" s="1108"/>
      <c r="G1615" s="100" t="s">
        <v>171</v>
      </c>
      <c r="H1615" s="101"/>
      <c r="I1615" s="101">
        <v>211540</v>
      </c>
      <c r="J1615" s="101">
        <v>211540</v>
      </c>
      <c r="K1615" s="102">
        <v>60000</v>
      </c>
      <c r="L1615" s="207"/>
    </row>
    <row r="1616" spans="1:12" s="229" customFormat="1" ht="18" x14ac:dyDescent="0.25">
      <c r="A1616" s="154"/>
      <c r="B1616" s="1107"/>
      <c r="C1616" s="44" t="s">
        <v>851</v>
      </c>
      <c r="D1616" s="125"/>
      <c r="E1616" s="1107"/>
      <c r="F1616" s="1108"/>
      <c r="G1616" s="100" t="s">
        <v>383</v>
      </c>
      <c r="H1616" s="101"/>
      <c r="I1616" s="101">
        <v>12000</v>
      </c>
      <c r="J1616" s="101">
        <v>12000</v>
      </c>
      <c r="K1616" s="102">
        <v>12000</v>
      </c>
      <c r="L1616" s="207"/>
    </row>
    <row r="1617" spans="1:12" s="229" customFormat="1" ht="18" x14ac:dyDescent="0.25">
      <c r="A1617" s="154"/>
      <c r="B1617" s="1107"/>
      <c r="C1617" s="44" t="s">
        <v>815</v>
      </c>
      <c r="D1617" s="125"/>
      <c r="E1617" s="125"/>
      <c r="F1617" s="1108"/>
      <c r="G1617" s="100" t="s">
        <v>385</v>
      </c>
      <c r="H1617" s="101"/>
      <c r="I1617" s="1156">
        <v>150000</v>
      </c>
      <c r="J1617" s="1156">
        <v>150000</v>
      </c>
      <c r="K1617" s="102">
        <v>150000</v>
      </c>
      <c r="L1617" s="207"/>
    </row>
    <row r="1618" spans="1:12" s="229" customFormat="1" ht="18" x14ac:dyDescent="0.25">
      <c r="A1618" s="154"/>
      <c r="B1618" s="1107"/>
      <c r="C1618" s="44" t="s">
        <v>852</v>
      </c>
      <c r="D1618" s="125"/>
      <c r="E1618" s="125"/>
      <c r="F1618" s="1108"/>
      <c r="G1618" s="100"/>
      <c r="H1618" s="101"/>
      <c r="I1618" s="101"/>
      <c r="J1618" s="101"/>
      <c r="K1618" s="102"/>
      <c r="L1618" s="207"/>
    </row>
    <row r="1619" spans="1:12" s="229" customFormat="1" ht="18" x14ac:dyDescent="0.25">
      <c r="A1619" s="154"/>
      <c r="B1619" s="1107"/>
      <c r="C1619" s="44" t="s">
        <v>1876</v>
      </c>
      <c r="D1619" s="125"/>
      <c r="E1619" s="125"/>
      <c r="F1619" s="134"/>
      <c r="G1619" s="100" t="s">
        <v>183</v>
      </c>
      <c r="H1619" s="101"/>
      <c r="I1619" s="101">
        <v>36000</v>
      </c>
      <c r="J1619" s="101">
        <v>36000</v>
      </c>
      <c r="K1619" s="102">
        <v>36000</v>
      </c>
      <c r="L1619" s="207"/>
    </row>
    <row r="1620" spans="1:12" s="229" customFormat="1" ht="18" customHeight="1" x14ac:dyDescent="0.25">
      <c r="A1620" s="154"/>
      <c r="B1620" s="1107"/>
      <c r="C1620" s="44" t="s">
        <v>808</v>
      </c>
      <c r="D1620" s="125"/>
      <c r="E1620" s="125"/>
      <c r="F1620" s="134"/>
      <c r="G1620" s="195" t="s">
        <v>199</v>
      </c>
      <c r="H1620" s="101"/>
      <c r="I1620" s="101">
        <v>312000</v>
      </c>
      <c r="J1620" s="101">
        <v>312000</v>
      </c>
      <c r="K1620" s="102">
        <v>312000</v>
      </c>
      <c r="L1620" s="207"/>
    </row>
    <row r="1621" spans="1:12" s="146" customFormat="1" ht="18" x14ac:dyDescent="0.25">
      <c r="A1621" s="1105"/>
      <c r="B1621" s="1106"/>
      <c r="C1621" s="1111" t="s">
        <v>823</v>
      </c>
      <c r="D1621" s="573"/>
      <c r="E1621" s="1106"/>
      <c r="F1621" s="1102"/>
      <c r="G1621" s="381"/>
      <c r="H1621" s="119">
        <f>SUM(H1612:H1620)</f>
        <v>0</v>
      </c>
      <c r="I1621" s="119">
        <f>SUM(I1612:I1620)</f>
        <v>902777.5</v>
      </c>
      <c r="J1621" s="119">
        <f>SUM(J1612:J1620)</f>
        <v>902777.5</v>
      </c>
      <c r="K1621" s="150">
        <f>SUM(K1612:K1620)</f>
        <v>695000</v>
      </c>
      <c r="L1621" s="10"/>
    </row>
    <row r="1622" spans="1:12" s="229" customFormat="1" ht="18" customHeight="1" x14ac:dyDescent="0.25">
      <c r="A1622" s="154"/>
      <c r="B1622" s="1107"/>
      <c r="C1622" s="44"/>
      <c r="D1622" s="125"/>
      <c r="E1622" s="125"/>
      <c r="F1622" s="125"/>
      <c r="G1622" s="100"/>
      <c r="H1622" s="101"/>
      <c r="I1622" s="101"/>
      <c r="J1622" s="101"/>
      <c r="K1622" s="102"/>
      <c r="L1622" s="207"/>
    </row>
    <row r="1623" spans="1:12" s="146" customFormat="1" ht="18" customHeight="1" x14ac:dyDescent="0.25">
      <c r="A1623" s="1105"/>
      <c r="B1623" s="1106"/>
      <c r="C1623" s="129" t="s">
        <v>1872</v>
      </c>
      <c r="D1623" s="153"/>
      <c r="E1623" s="153"/>
      <c r="F1623" s="153"/>
      <c r="G1623" s="292"/>
      <c r="H1623" s="101"/>
      <c r="I1623" s="101"/>
      <c r="J1623" s="101"/>
      <c r="K1623" s="102"/>
      <c r="L1623" s="10"/>
    </row>
    <row r="1624" spans="1:12" s="146" customFormat="1" ht="18" customHeight="1" x14ac:dyDescent="0.25">
      <c r="A1624" s="1105"/>
      <c r="B1624" s="1106"/>
      <c r="C1624" s="1141" t="s">
        <v>854</v>
      </c>
      <c r="D1624" s="153"/>
      <c r="E1624" s="153"/>
      <c r="F1624" s="153"/>
      <c r="G1624" s="292"/>
      <c r="H1624" s="101"/>
      <c r="I1624" s="101">
        <v>60000</v>
      </c>
      <c r="J1624" s="101"/>
      <c r="K1624" s="102"/>
      <c r="L1624" s="10"/>
    </row>
    <row r="1625" spans="1:12" s="146" customFormat="1" ht="18" customHeight="1" x14ac:dyDescent="0.25">
      <c r="A1625" s="1105"/>
      <c r="B1625" s="1106"/>
      <c r="C1625" s="1141" t="s">
        <v>1877</v>
      </c>
      <c r="D1625" s="153"/>
      <c r="E1625" s="153"/>
      <c r="F1625" s="153"/>
      <c r="G1625" s="292"/>
      <c r="H1625" s="101"/>
      <c r="I1625" s="101"/>
      <c r="J1625" s="101"/>
      <c r="K1625" s="102"/>
      <c r="L1625" s="10"/>
    </row>
    <row r="1626" spans="1:12" s="146" customFormat="1" ht="18" customHeight="1" x14ac:dyDescent="0.25">
      <c r="A1626" s="1105"/>
      <c r="B1626" s="1106"/>
      <c r="C1626" s="1141" t="s">
        <v>854</v>
      </c>
      <c r="D1626" s="1111"/>
      <c r="E1626" s="1111"/>
      <c r="F1626" s="1111"/>
      <c r="G1626" s="1133"/>
      <c r="H1626" s="101"/>
      <c r="I1626" s="101"/>
      <c r="J1626" s="101"/>
      <c r="K1626" s="102"/>
      <c r="L1626" s="10"/>
    </row>
    <row r="1627" spans="1:12" s="146" customFormat="1" ht="18" customHeight="1" x14ac:dyDescent="0.25">
      <c r="A1627" s="1105"/>
      <c r="B1627" s="1106"/>
      <c r="C1627" s="1141" t="s">
        <v>855</v>
      </c>
      <c r="D1627" s="1111"/>
      <c r="E1627" s="1111"/>
      <c r="F1627" s="1111"/>
      <c r="G1627" s="1133"/>
      <c r="H1627" s="101"/>
      <c r="I1627" s="101"/>
      <c r="J1627" s="101"/>
      <c r="K1627" s="102"/>
      <c r="L1627" s="10"/>
    </row>
    <row r="1628" spans="1:12" s="146" customFormat="1" ht="18" x14ac:dyDescent="0.25">
      <c r="A1628" s="1105"/>
      <c r="B1628" s="1106"/>
      <c r="C1628" s="1611" t="s">
        <v>857</v>
      </c>
      <c r="D1628" s="1611"/>
      <c r="E1628" s="1611"/>
      <c r="F1628" s="1106"/>
      <c r="G1628" s="100"/>
      <c r="H1628" s="105"/>
      <c r="I1628" s="105"/>
      <c r="J1628" s="105"/>
      <c r="K1628" s="106"/>
      <c r="L1628" s="10"/>
    </row>
    <row r="1629" spans="1:12" s="146" customFormat="1" ht="18" x14ac:dyDescent="0.25">
      <c r="A1629" s="1105"/>
      <c r="B1629" s="1106"/>
      <c r="C1629" s="1111" t="s">
        <v>823</v>
      </c>
      <c r="D1629" s="573"/>
      <c r="E1629" s="1106"/>
      <c r="F1629" s="1106"/>
      <c r="G1629" s="100"/>
      <c r="H1629" s="119">
        <f>SUM(H1624:H1628)</f>
        <v>0</v>
      </c>
      <c r="I1629" s="119">
        <f>SUM(I1624:I1628)</f>
        <v>60000</v>
      </c>
      <c r="J1629" s="119">
        <f>SUM(J1624:J1628)</f>
        <v>0</v>
      </c>
      <c r="K1629" s="150">
        <f>SUM(K1624:K1628)</f>
        <v>0</v>
      </c>
      <c r="L1629" s="10"/>
    </row>
    <row r="1630" spans="1:12" s="146" customFormat="1" ht="18.75" thickBot="1" x14ac:dyDescent="0.3">
      <c r="A1630" s="1105"/>
      <c r="B1630" s="1106"/>
      <c r="C1630" s="1111" t="s">
        <v>15</v>
      </c>
      <c r="D1630" s="573"/>
      <c r="E1630" s="1106"/>
      <c r="F1630" s="1102"/>
      <c r="G1630" s="382"/>
      <c r="H1630" s="1158">
        <f>H1629+H1621</f>
        <v>0</v>
      </c>
      <c r="I1630" s="1158">
        <f>I1629+I1621</f>
        <v>962777.5</v>
      </c>
      <c r="J1630" s="1158">
        <f>J1629+J1621</f>
        <v>902777.5</v>
      </c>
      <c r="K1630" s="1157">
        <f>K1629+K1621</f>
        <v>695000</v>
      </c>
      <c r="L1630" s="10"/>
    </row>
    <row r="1631" spans="1:12" s="146" customFormat="1" ht="15.75" customHeight="1" x14ac:dyDescent="0.25">
      <c r="A1631" s="1105"/>
      <c r="B1631" s="1106"/>
      <c r="C1631" s="1098"/>
      <c r="D1631" s="1111"/>
      <c r="E1631" s="1106"/>
      <c r="F1631" s="1102"/>
      <c r="G1631" s="1248"/>
      <c r="H1631" s="155"/>
      <c r="I1631" s="155"/>
      <c r="J1631" s="155"/>
      <c r="K1631" s="156"/>
      <c r="L1631" s="10"/>
    </row>
    <row r="1632" spans="1:12" s="146" customFormat="1" ht="18" x14ac:dyDescent="0.25">
      <c r="A1632" s="1105"/>
      <c r="B1632" s="1106"/>
      <c r="C1632" s="1620" t="s">
        <v>858</v>
      </c>
      <c r="D1632" s="1620"/>
      <c r="E1632" s="1620"/>
      <c r="F1632" s="1621"/>
      <c r="G1632" s="100"/>
      <c r="H1632" s="101"/>
      <c r="I1632" s="101"/>
      <c r="J1632" s="101"/>
      <c r="K1632" s="102"/>
      <c r="L1632" s="10"/>
    </row>
    <row r="1633" spans="1:12" s="146" customFormat="1" ht="18" x14ac:dyDescent="0.25">
      <c r="A1633" s="1105"/>
      <c r="B1633" s="1106"/>
      <c r="C1633" s="1620" t="s">
        <v>831</v>
      </c>
      <c r="D1633" s="1620"/>
      <c r="E1633" s="1620"/>
      <c r="F1633" s="1621"/>
      <c r="G1633" s="100"/>
      <c r="H1633" s="101"/>
      <c r="I1633" s="101"/>
      <c r="J1633" s="101"/>
      <c r="K1633" s="102"/>
      <c r="L1633" s="10"/>
    </row>
    <row r="1634" spans="1:12" s="229" customFormat="1" ht="18" x14ac:dyDescent="0.25">
      <c r="A1634" s="154"/>
      <c r="B1634" s="1107"/>
      <c r="C1634" s="1141" t="s">
        <v>1875</v>
      </c>
      <c r="D1634" s="124"/>
      <c r="E1634" s="124"/>
      <c r="F1634" s="230"/>
      <c r="G1634" s="100" t="s">
        <v>165</v>
      </c>
      <c r="H1634" s="101"/>
      <c r="I1634" s="101">
        <v>20000</v>
      </c>
      <c r="J1634" s="101">
        <v>20000</v>
      </c>
      <c r="K1634" s="102">
        <v>20000</v>
      </c>
      <c r="L1634" s="207"/>
    </row>
    <row r="1635" spans="1:12" s="229" customFormat="1" ht="18" x14ac:dyDescent="0.25">
      <c r="A1635" s="154"/>
      <c r="B1635" s="1107"/>
      <c r="C1635" s="1141" t="s">
        <v>819</v>
      </c>
      <c r="D1635" s="124"/>
      <c r="E1635" s="124"/>
      <c r="F1635" s="230"/>
      <c r="G1635" s="100" t="s">
        <v>167</v>
      </c>
      <c r="H1635" s="101"/>
      <c r="I1635" s="101">
        <v>240000</v>
      </c>
      <c r="J1635" s="101">
        <v>240000</v>
      </c>
      <c r="K1635" s="102">
        <v>50000</v>
      </c>
      <c r="L1635" s="207"/>
    </row>
    <row r="1636" spans="1:12" s="229" customFormat="1" ht="18" x14ac:dyDescent="0.25">
      <c r="A1636" s="154"/>
      <c r="B1636" s="1107"/>
      <c r="C1636" s="44" t="s">
        <v>806</v>
      </c>
      <c r="D1636" s="125"/>
      <c r="E1636" s="125"/>
      <c r="F1636" s="134"/>
      <c r="G1636" s="100" t="s">
        <v>169</v>
      </c>
      <c r="H1636" s="101"/>
      <c r="I1636" s="101">
        <v>90325</v>
      </c>
      <c r="J1636" s="101">
        <v>90325</v>
      </c>
      <c r="K1636" s="102">
        <v>30000</v>
      </c>
      <c r="L1636" s="207"/>
    </row>
    <row r="1637" spans="1:12" s="229" customFormat="1" ht="18" customHeight="1" x14ac:dyDescent="0.25">
      <c r="A1637" s="154"/>
      <c r="B1637" s="1107"/>
      <c r="C1637" s="1141" t="s">
        <v>835</v>
      </c>
      <c r="D1637" s="124"/>
      <c r="E1637" s="124"/>
      <c r="F1637" s="230"/>
      <c r="G1637" s="100" t="s">
        <v>171</v>
      </c>
      <c r="H1637" s="101"/>
      <c r="I1637" s="101">
        <v>103375</v>
      </c>
      <c r="J1637" s="101">
        <v>103375</v>
      </c>
      <c r="K1637" s="102">
        <v>30000</v>
      </c>
      <c r="L1637" s="207"/>
    </row>
    <row r="1638" spans="1:12" s="229" customFormat="1" ht="18" customHeight="1" x14ac:dyDescent="0.25">
      <c r="A1638" s="154"/>
      <c r="B1638" s="1107"/>
      <c r="C1638" s="1141" t="s">
        <v>1876</v>
      </c>
      <c r="D1638" s="124"/>
      <c r="E1638" s="124"/>
      <c r="F1638" s="230"/>
      <c r="G1638" s="100" t="s">
        <v>183</v>
      </c>
      <c r="H1638" s="101"/>
      <c r="I1638" s="101"/>
      <c r="J1638" s="101"/>
      <c r="K1638" s="102"/>
      <c r="L1638" s="207"/>
    </row>
    <row r="1639" spans="1:12" s="229" customFormat="1" ht="18" customHeight="1" x14ac:dyDescent="0.25">
      <c r="A1639" s="154"/>
      <c r="B1639" s="1107"/>
      <c r="C1639" s="1141" t="s">
        <v>814</v>
      </c>
      <c r="D1639" s="124"/>
      <c r="E1639" s="124"/>
      <c r="F1639" s="230"/>
      <c r="G1639" s="100" t="s">
        <v>183</v>
      </c>
      <c r="H1639" s="101"/>
      <c r="I1639" s="101">
        <v>24000</v>
      </c>
      <c r="J1639" s="101">
        <v>24000</v>
      </c>
      <c r="K1639" s="102">
        <v>24000</v>
      </c>
      <c r="L1639" s="207"/>
    </row>
    <row r="1640" spans="1:12" s="229" customFormat="1" ht="18" x14ac:dyDescent="0.25">
      <c r="A1640" s="154"/>
      <c r="B1640" s="1107"/>
      <c r="C1640" s="1141" t="s">
        <v>866</v>
      </c>
      <c r="D1640" s="124"/>
      <c r="E1640" s="124"/>
      <c r="F1640" s="230"/>
      <c r="G1640" s="100" t="s">
        <v>199</v>
      </c>
      <c r="H1640" s="105"/>
      <c r="I1640" s="105">
        <v>42000</v>
      </c>
      <c r="J1640" s="105">
        <v>42000</v>
      </c>
      <c r="K1640" s="106">
        <v>42000</v>
      </c>
      <c r="L1640" s="207"/>
    </row>
    <row r="1641" spans="1:12" s="146" customFormat="1" ht="15.75" customHeight="1" x14ac:dyDescent="0.25">
      <c r="A1641" s="1105"/>
      <c r="B1641" s="1106"/>
      <c r="C1641" s="1111" t="s">
        <v>823</v>
      </c>
      <c r="E1641" s="1106"/>
      <c r="F1641" s="1106"/>
      <c r="G1641" s="100"/>
      <c r="H1641" s="119">
        <f>SUM(H1634:H1640)</f>
        <v>0</v>
      </c>
      <c r="I1641" s="119">
        <f>SUM(I1634:I1640)</f>
        <v>519700</v>
      </c>
      <c r="J1641" s="119">
        <f>SUM(J1634:J1640)</f>
        <v>519700</v>
      </c>
      <c r="K1641" s="150">
        <f>SUM(K1634:K1640)</f>
        <v>196000</v>
      </c>
      <c r="L1641" s="10"/>
    </row>
    <row r="1642" spans="1:12" s="146" customFormat="1" ht="14.1" customHeight="1" x14ac:dyDescent="0.25">
      <c r="A1642" s="1105"/>
      <c r="B1642" s="1106"/>
      <c r="C1642" s="9"/>
      <c r="D1642" s="1111"/>
      <c r="E1642" s="1106"/>
      <c r="F1642" s="1106"/>
      <c r="G1642" s="100"/>
      <c r="H1642" s="155"/>
      <c r="I1642" s="155"/>
      <c r="J1642" s="155"/>
      <c r="K1642" s="156"/>
      <c r="L1642" s="10"/>
    </row>
    <row r="1643" spans="1:12" s="146" customFormat="1" ht="18" customHeight="1" x14ac:dyDescent="0.25">
      <c r="A1643" s="1105"/>
      <c r="B1643" s="1106"/>
      <c r="C1643" s="129" t="s">
        <v>1872</v>
      </c>
      <c r="D1643" s="152"/>
      <c r="E1643" s="152"/>
      <c r="F1643" s="152"/>
      <c r="G1643" s="186"/>
      <c r="H1643" s="155"/>
      <c r="I1643" s="155"/>
      <c r="J1643" s="155"/>
      <c r="K1643" s="156"/>
      <c r="L1643" s="10"/>
    </row>
    <row r="1644" spans="1:12" s="146" customFormat="1" ht="35.25" customHeight="1" x14ac:dyDescent="0.25">
      <c r="A1644" s="1105"/>
      <c r="B1644" s="1106"/>
      <c r="C1644" s="1611" t="s">
        <v>860</v>
      </c>
      <c r="D1644" s="1611"/>
      <c r="E1644" s="1111"/>
      <c r="F1644" s="1111"/>
      <c r="G1644" s="1133"/>
      <c r="H1644" s="101"/>
      <c r="I1644" s="101"/>
      <c r="J1644" s="101"/>
      <c r="K1644" s="102"/>
      <c r="L1644" s="10"/>
    </row>
    <row r="1645" spans="1:12" s="146" customFormat="1" ht="18" x14ac:dyDescent="0.25">
      <c r="A1645" s="1105"/>
      <c r="B1645" s="1106"/>
      <c r="C1645" s="44" t="s">
        <v>861</v>
      </c>
      <c r="D1645" s="1111"/>
      <c r="E1645" s="1111"/>
      <c r="F1645" s="1111"/>
      <c r="G1645" s="1133"/>
      <c r="H1645" s="101"/>
      <c r="I1645" s="101"/>
      <c r="J1645" s="101"/>
      <c r="K1645" s="102"/>
      <c r="L1645" s="10"/>
    </row>
    <row r="1646" spans="1:12" s="146" customFormat="1" ht="15" customHeight="1" x14ac:dyDescent="0.25">
      <c r="A1646" s="1105"/>
      <c r="B1646" s="1106"/>
      <c r="C1646" s="1111" t="s">
        <v>823</v>
      </c>
      <c r="D1646" s="573"/>
      <c r="E1646" s="1106"/>
      <c r="F1646" s="1102"/>
      <c r="G1646" s="100"/>
      <c r="H1646" s="119">
        <f>SUM(H1644:H1645)</f>
        <v>0</v>
      </c>
      <c r="I1646" s="119">
        <f>SUM(I1644:I1645)</f>
        <v>0</v>
      </c>
      <c r="J1646" s="119">
        <f>SUM(J1644:J1645)</f>
        <v>0</v>
      </c>
      <c r="K1646" s="150">
        <f>SUM(K1644:K1645)</f>
        <v>0</v>
      </c>
      <c r="L1646" s="10"/>
    </row>
    <row r="1647" spans="1:12" s="146" customFormat="1" ht="18.75" thickBot="1" x14ac:dyDescent="0.3">
      <c r="A1647" s="1105"/>
      <c r="B1647" s="1106"/>
      <c r="C1647" s="1111" t="s">
        <v>15</v>
      </c>
      <c r="D1647" s="573"/>
      <c r="E1647" s="1106"/>
      <c r="F1647" s="1102"/>
      <c r="G1647" s="308"/>
      <c r="H1647" s="123">
        <f>H1646+H1641</f>
        <v>0</v>
      </c>
      <c r="I1647" s="123">
        <f>I1646+I1641</f>
        <v>519700</v>
      </c>
      <c r="J1647" s="123">
        <f>J1646+J1641</f>
        <v>519700</v>
      </c>
      <c r="K1647" s="158">
        <f>K1646+K1641</f>
        <v>196000</v>
      </c>
      <c r="L1647" s="10"/>
    </row>
    <row r="1648" spans="1:12" s="146" customFormat="1" ht="15.75" customHeight="1" thickBot="1" x14ac:dyDescent="0.3">
      <c r="A1648" s="187"/>
      <c r="B1648" s="1226"/>
      <c r="C1648" s="465"/>
      <c r="D1648" s="1145"/>
      <c r="E1648" s="1226"/>
      <c r="F1648" s="431"/>
      <c r="G1648" s="308"/>
      <c r="H1648" s="1173"/>
      <c r="I1648" s="1173"/>
      <c r="J1648" s="1173"/>
      <c r="K1648" s="213"/>
      <c r="L1648" s="10"/>
    </row>
    <row r="1649" spans="1:12" s="146" customFormat="1" ht="15.75" customHeight="1" x14ac:dyDescent="0.25">
      <c r="A1649" s="1106"/>
      <c r="B1649" s="1106"/>
      <c r="C1649" s="51"/>
      <c r="D1649" s="1111"/>
      <c r="E1649" s="1106"/>
      <c r="F1649" s="1106"/>
      <c r="G1649" s="381"/>
      <c r="H1649" s="126"/>
      <c r="I1649" s="126"/>
      <c r="J1649" s="126"/>
      <c r="K1649" s="127"/>
      <c r="L1649" s="10"/>
    </row>
    <row r="1650" spans="1:12" s="146" customFormat="1" ht="15.75" customHeight="1" x14ac:dyDescent="0.25">
      <c r="A1650" s="1106"/>
      <c r="B1650" s="1106"/>
      <c r="C1650" s="51"/>
      <c r="D1650" s="1111"/>
      <c r="E1650" s="1106"/>
      <c r="F1650" s="1106"/>
      <c r="G1650" s="381"/>
      <c r="H1650" s="126"/>
      <c r="I1650" s="126"/>
      <c r="J1650" s="126"/>
      <c r="K1650" s="127"/>
      <c r="L1650" s="10"/>
    </row>
    <row r="1651" spans="1:12" s="146" customFormat="1" ht="15.75" customHeight="1" x14ac:dyDescent="0.25">
      <c r="A1651" s="1106"/>
      <c r="B1651" s="1106"/>
      <c r="C1651" s="51"/>
      <c r="D1651" s="1111"/>
      <c r="E1651" s="1106"/>
      <c r="F1651" s="1106"/>
      <c r="G1651" s="381"/>
      <c r="H1651" s="126"/>
      <c r="I1651" s="126"/>
      <c r="J1651" s="126"/>
      <c r="K1651" s="127"/>
      <c r="L1651" s="10"/>
    </row>
    <row r="1652" spans="1:12" s="146" customFormat="1" ht="15.75" customHeight="1" x14ac:dyDescent="0.25">
      <c r="A1652" s="1106"/>
      <c r="B1652" s="1106"/>
      <c r="C1652" s="51"/>
      <c r="D1652" s="1111"/>
      <c r="E1652" s="1106"/>
      <c r="F1652" s="1106"/>
      <c r="G1652" s="381"/>
      <c r="H1652" s="126"/>
      <c r="I1652" s="126"/>
      <c r="J1652" s="126"/>
      <c r="K1652" s="127"/>
      <c r="L1652" s="10"/>
    </row>
    <row r="1653" spans="1:12" s="146" customFormat="1" ht="15.75" customHeight="1" x14ac:dyDescent="0.25">
      <c r="A1653" s="1106"/>
      <c r="B1653" s="1106"/>
      <c r="C1653" s="51"/>
      <c r="D1653" s="1111"/>
      <c r="E1653" s="1106"/>
      <c r="F1653" s="1106"/>
      <c r="G1653" s="381"/>
      <c r="H1653" s="126"/>
      <c r="I1653" s="126"/>
      <c r="J1653" s="126"/>
      <c r="K1653" s="127"/>
      <c r="L1653" s="10"/>
    </row>
    <row r="1654" spans="1:12" s="146" customFormat="1" ht="15.75" customHeight="1" x14ac:dyDescent="0.25">
      <c r="A1654" s="1106"/>
      <c r="B1654" s="1106"/>
      <c r="C1654" s="51"/>
      <c r="D1654" s="1111"/>
      <c r="E1654" s="1106"/>
      <c r="F1654" s="1106"/>
      <c r="G1654" s="381"/>
      <c r="H1654" s="126"/>
      <c r="I1654" s="126"/>
      <c r="J1654" s="126"/>
      <c r="K1654" s="127"/>
      <c r="L1654" s="10"/>
    </row>
    <row r="1655" spans="1:12" s="146" customFormat="1" ht="15.75" customHeight="1" x14ac:dyDescent="0.25">
      <c r="A1655" s="1106"/>
      <c r="B1655" s="1106"/>
      <c r="C1655" s="51"/>
      <c r="D1655" s="1111"/>
      <c r="E1655" s="1106"/>
      <c r="F1655" s="1106"/>
      <c r="G1655" s="381"/>
      <c r="H1655" s="126"/>
      <c r="I1655" s="126"/>
      <c r="J1655" s="126"/>
      <c r="K1655" s="127"/>
      <c r="L1655" s="10"/>
    </row>
    <row r="1656" spans="1:12" s="146" customFormat="1" ht="15.75" customHeight="1" x14ac:dyDescent="0.25">
      <c r="A1656" s="1106"/>
      <c r="B1656" s="1106"/>
      <c r="C1656" s="51"/>
      <c r="D1656" s="1111"/>
      <c r="E1656" s="1106"/>
      <c r="F1656" s="1106"/>
      <c r="G1656" s="381"/>
      <c r="H1656" s="126"/>
      <c r="I1656" s="126"/>
      <c r="J1656" s="126"/>
      <c r="K1656" s="127"/>
      <c r="L1656" s="10"/>
    </row>
    <row r="1657" spans="1:12" s="146" customFormat="1" ht="15.75" customHeight="1" x14ac:dyDescent="0.25">
      <c r="A1657" s="1106"/>
      <c r="B1657" s="1106"/>
      <c r="C1657" s="51"/>
      <c r="D1657" s="1111"/>
      <c r="E1657" s="1106"/>
      <c r="F1657" s="1106"/>
      <c r="G1657" s="381"/>
      <c r="H1657" s="126"/>
      <c r="I1657" s="126"/>
      <c r="J1657" s="126"/>
      <c r="K1657" s="127"/>
      <c r="L1657" s="10"/>
    </row>
    <row r="1658" spans="1:12" s="146" customFormat="1" ht="15.75" customHeight="1" x14ac:dyDescent="0.25">
      <c r="A1658" s="1106"/>
      <c r="B1658" s="1106"/>
      <c r="C1658" s="51"/>
      <c r="D1658" s="1111"/>
      <c r="E1658" s="1106"/>
      <c r="F1658" s="1106"/>
      <c r="G1658" s="381"/>
      <c r="H1658" s="126"/>
      <c r="I1658" s="126"/>
      <c r="J1658" s="126"/>
      <c r="K1658" s="127"/>
      <c r="L1658" s="10"/>
    </row>
    <row r="1659" spans="1:12" s="146" customFormat="1" ht="15.75" customHeight="1" x14ac:dyDescent="0.25">
      <c r="A1659" s="1106"/>
      <c r="B1659" s="1106"/>
      <c r="C1659" s="51"/>
      <c r="D1659" s="1111"/>
      <c r="E1659" s="1106"/>
      <c r="F1659" s="1106"/>
      <c r="G1659" s="381"/>
      <c r="H1659" s="126"/>
      <c r="I1659" s="126"/>
      <c r="J1659" s="126"/>
      <c r="K1659" s="127"/>
      <c r="L1659" s="10"/>
    </row>
    <row r="1660" spans="1:12" s="146" customFormat="1" ht="15.75" customHeight="1" x14ac:dyDescent="0.25">
      <c r="A1660" s="1106"/>
      <c r="B1660" s="1106"/>
      <c r="C1660" s="51"/>
      <c r="D1660" s="1111"/>
      <c r="E1660" s="1106"/>
      <c r="F1660" s="1106"/>
      <c r="G1660" s="381"/>
      <c r="H1660" s="126"/>
      <c r="I1660" s="126"/>
      <c r="J1660" s="126"/>
      <c r="K1660" s="127"/>
      <c r="L1660" s="10"/>
    </row>
    <row r="1661" spans="1:12" s="146" customFormat="1" ht="15.75" customHeight="1" x14ac:dyDescent="0.25">
      <c r="A1661" s="1106"/>
      <c r="B1661" s="1106"/>
      <c r="C1661" s="51"/>
      <c r="D1661" s="1111"/>
      <c r="E1661" s="1106"/>
      <c r="F1661" s="1106"/>
      <c r="G1661" s="381"/>
      <c r="H1661" s="126"/>
      <c r="I1661" s="126"/>
      <c r="J1661" s="126"/>
      <c r="K1661" s="127"/>
      <c r="L1661" s="10"/>
    </row>
    <row r="1662" spans="1:12" s="146" customFormat="1" ht="15.75" customHeight="1" x14ac:dyDescent="0.25">
      <c r="A1662" s="1106"/>
      <c r="B1662" s="1106"/>
      <c r="C1662" s="51"/>
      <c r="D1662" s="1111"/>
      <c r="E1662" s="1106"/>
      <c r="F1662" s="1106"/>
      <c r="G1662" s="381"/>
      <c r="H1662" s="126"/>
      <c r="I1662" s="126"/>
      <c r="J1662" s="126"/>
      <c r="K1662" s="127"/>
      <c r="L1662" s="10"/>
    </row>
    <row r="1663" spans="1:12" s="146" customFormat="1" ht="18" customHeight="1" x14ac:dyDescent="0.25">
      <c r="A1663" s="9" t="s">
        <v>112</v>
      </c>
      <c r="B1663" s="9"/>
      <c r="C1663" s="9"/>
      <c r="D1663" s="9"/>
      <c r="E1663" s="9"/>
      <c r="F1663" s="9"/>
      <c r="G1663" s="9"/>
      <c r="H1663" s="5"/>
      <c r="I1663" s="5"/>
      <c r="J1663" s="5"/>
      <c r="K1663" s="5"/>
      <c r="L1663" s="10"/>
    </row>
    <row r="1664" spans="1:12" ht="18" customHeight="1" x14ac:dyDescent="0.25">
      <c r="A1664" s="8" t="s">
        <v>950</v>
      </c>
    </row>
    <row r="1665" spans="1:12" ht="18" customHeight="1" x14ac:dyDescent="0.25">
      <c r="A1665" s="1636" t="s">
        <v>113</v>
      </c>
      <c r="B1665" s="1636"/>
      <c r="C1665" s="1636"/>
      <c r="D1665" s="1636"/>
      <c r="E1665" s="1636"/>
      <c r="F1665" s="1636"/>
      <c r="G1665" s="1636"/>
      <c r="H1665" s="1636"/>
      <c r="I1665" s="1636"/>
      <c r="J1665" s="1636"/>
      <c r="K1665" s="1101"/>
    </row>
    <row r="1666" spans="1:12" s="7" customFormat="1" ht="18" customHeight="1" x14ac:dyDescent="0.25">
      <c r="A1666" s="1624" t="s">
        <v>114</v>
      </c>
      <c r="B1666" s="1624"/>
      <c r="C1666" s="1624"/>
      <c r="D1666" s="1624"/>
      <c r="E1666" s="1624"/>
      <c r="F1666" s="1624"/>
      <c r="G1666" s="1624"/>
      <c r="H1666" s="1624"/>
      <c r="I1666" s="1624"/>
      <c r="J1666" s="1624"/>
      <c r="K1666" s="159"/>
      <c r="L1666" s="6"/>
    </row>
    <row r="1668" spans="1:12" ht="16.5" thickBot="1" x14ac:dyDescent="0.3"/>
    <row r="1669" spans="1:12" s="48" customFormat="1" ht="21.75" customHeight="1" thickBot="1" x14ac:dyDescent="0.3">
      <c r="A1669" s="1655" t="s">
        <v>115</v>
      </c>
      <c r="B1669" s="1655"/>
      <c r="C1669" s="1655"/>
      <c r="D1669" s="1655"/>
      <c r="E1669" s="1655"/>
      <c r="F1669" s="1655"/>
      <c r="G1669" s="1151"/>
      <c r="H1669" s="1708" t="s">
        <v>1537</v>
      </c>
      <c r="I1669" s="1710" t="s">
        <v>1538</v>
      </c>
      <c r="J1669" s="1710" t="s">
        <v>1539</v>
      </c>
      <c r="K1669" s="1710" t="s">
        <v>1540</v>
      </c>
      <c r="L1669" s="47"/>
    </row>
    <row r="1670" spans="1:12" s="1153" customFormat="1" ht="31.5" customHeight="1" thickBot="1" x14ac:dyDescent="0.3">
      <c r="A1670" s="1655"/>
      <c r="B1670" s="1655"/>
      <c r="C1670" s="1655"/>
      <c r="D1670" s="1655"/>
      <c r="E1670" s="1655"/>
      <c r="F1670" s="1655"/>
      <c r="G1670" s="1129" t="s">
        <v>116</v>
      </c>
      <c r="H1670" s="1709"/>
      <c r="I1670" s="1710"/>
      <c r="J1670" s="1710"/>
      <c r="K1670" s="1710"/>
      <c r="L1670" s="1152"/>
    </row>
    <row r="1671" spans="1:12" s="146" customFormat="1" ht="18" x14ac:dyDescent="0.25">
      <c r="A1671" s="1134"/>
      <c r="B1671" s="1111"/>
      <c r="C1671" s="1620" t="s">
        <v>862</v>
      </c>
      <c r="D1671" s="1620"/>
      <c r="E1671" s="1620"/>
      <c r="F1671" s="1621"/>
      <c r="G1671" s="376"/>
      <c r="H1671" s="101"/>
      <c r="I1671" s="101"/>
      <c r="J1671" s="101"/>
      <c r="K1671" s="102"/>
      <c r="L1671" s="10"/>
    </row>
    <row r="1672" spans="1:12" s="146" customFormat="1" ht="18" x14ac:dyDescent="0.25">
      <c r="A1672" s="1134"/>
      <c r="B1672" s="1111"/>
      <c r="C1672" s="1620" t="s">
        <v>831</v>
      </c>
      <c r="D1672" s="1620"/>
      <c r="E1672" s="1620"/>
      <c r="F1672" s="1621"/>
      <c r="G1672" s="376"/>
      <c r="H1672" s="101"/>
      <c r="I1672" s="101"/>
      <c r="J1672" s="101"/>
      <c r="K1672" s="102"/>
      <c r="L1672" s="10"/>
    </row>
    <row r="1673" spans="1:12" s="146" customFormat="1" ht="18" x14ac:dyDescent="0.25">
      <c r="A1673" s="1134"/>
      <c r="B1673" s="1111"/>
      <c r="C1673" s="1107" t="s">
        <v>1875</v>
      </c>
      <c r="D1673" s="1111"/>
      <c r="E1673" s="1111"/>
      <c r="F1673" s="1111"/>
      <c r="G1673" s="376"/>
      <c r="H1673" s="101"/>
      <c r="I1673" s="101">
        <v>150000</v>
      </c>
      <c r="J1673" s="101">
        <v>150000</v>
      </c>
      <c r="K1673" s="102">
        <v>20000</v>
      </c>
      <c r="L1673" s="10"/>
    </row>
    <row r="1674" spans="1:12" s="146" customFormat="1" ht="18" x14ac:dyDescent="0.25">
      <c r="A1674" s="1134"/>
      <c r="B1674" s="1111"/>
      <c r="C1674" s="1107" t="s">
        <v>805</v>
      </c>
      <c r="D1674" s="1111"/>
      <c r="E1674" s="1111"/>
      <c r="F1674" s="1111"/>
      <c r="G1674" s="376"/>
      <c r="H1674" s="101"/>
      <c r="I1674" s="101">
        <v>200000</v>
      </c>
      <c r="J1674" s="101">
        <v>200000</v>
      </c>
      <c r="K1674" s="102">
        <v>50000</v>
      </c>
      <c r="L1674" s="10"/>
    </row>
    <row r="1675" spans="1:12" s="146" customFormat="1" ht="18" x14ac:dyDescent="0.25">
      <c r="A1675" s="1134"/>
      <c r="B1675" s="1111"/>
      <c r="C1675" s="1141" t="s">
        <v>815</v>
      </c>
      <c r="D1675" s="1111"/>
      <c r="E1675" s="1111"/>
      <c r="F1675" s="1111"/>
      <c r="G1675" s="376"/>
      <c r="H1675" s="101"/>
      <c r="I1675" s="101">
        <v>360000</v>
      </c>
      <c r="J1675" s="101">
        <v>360000</v>
      </c>
      <c r="K1675" s="102">
        <v>360000</v>
      </c>
      <c r="L1675" s="10"/>
    </row>
    <row r="1676" spans="1:12" s="146" customFormat="1" ht="18" x14ac:dyDescent="0.25">
      <c r="A1676" s="1134"/>
      <c r="B1676" s="1111"/>
      <c r="C1676" s="1141" t="s">
        <v>814</v>
      </c>
      <c r="D1676" s="1111"/>
      <c r="E1676" s="1111"/>
      <c r="F1676" s="1111"/>
      <c r="G1676" s="376"/>
      <c r="H1676" s="101"/>
      <c r="I1676" s="101">
        <v>36000</v>
      </c>
      <c r="J1676" s="101">
        <v>36000</v>
      </c>
      <c r="K1676" s="102">
        <v>36000</v>
      </c>
      <c r="L1676" s="10"/>
    </row>
    <row r="1677" spans="1:12" s="146" customFormat="1" ht="18" x14ac:dyDescent="0.25">
      <c r="A1677" s="1134"/>
      <c r="B1677" s="1111"/>
      <c r="C1677" s="1141" t="s">
        <v>864</v>
      </c>
      <c r="D1677" s="1111"/>
      <c r="E1677" s="1111"/>
      <c r="F1677" s="1111"/>
      <c r="G1677" s="376"/>
      <c r="H1677" s="101"/>
      <c r="I1677" s="101">
        <v>45002</v>
      </c>
      <c r="J1677" s="101">
        <v>45002</v>
      </c>
      <c r="K1677" s="102">
        <v>45002</v>
      </c>
      <c r="L1677" s="10"/>
    </row>
    <row r="1678" spans="1:12" s="146" customFormat="1" ht="18" x14ac:dyDescent="0.25">
      <c r="A1678" s="1134"/>
      <c r="B1678" s="1111"/>
      <c r="C1678" s="1141" t="s">
        <v>865</v>
      </c>
      <c r="D1678" s="1111"/>
      <c r="E1678" s="1111"/>
      <c r="F1678" s="1111"/>
      <c r="G1678" s="376"/>
      <c r="H1678" s="101"/>
      <c r="I1678" s="101">
        <v>162691</v>
      </c>
      <c r="J1678" s="101">
        <v>162691</v>
      </c>
      <c r="K1678" s="102">
        <v>25000</v>
      </c>
      <c r="L1678" s="10"/>
    </row>
    <row r="1679" spans="1:12" s="146" customFormat="1" ht="18" x14ac:dyDescent="0.25">
      <c r="A1679" s="1134"/>
      <c r="B1679" s="1111"/>
      <c r="C1679" s="1141" t="s">
        <v>1878</v>
      </c>
      <c r="D1679" s="1111"/>
      <c r="E1679" s="1111"/>
      <c r="F1679" s="1111"/>
      <c r="G1679" s="376"/>
      <c r="H1679" s="101"/>
      <c r="I1679" s="101">
        <v>312000</v>
      </c>
      <c r="J1679" s="101">
        <v>312000</v>
      </c>
      <c r="K1679" s="102">
        <v>12000</v>
      </c>
      <c r="L1679" s="10"/>
    </row>
    <row r="1680" spans="1:12" s="146" customFormat="1" ht="18" x14ac:dyDescent="0.25">
      <c r="A1680" s="1134"/>
      <c r="B1680" s="1111"/>
      <c r="C1680" s="1141" t="s">
        <v>866</v>
      </c>
      <c r="D1680" s="1111"/>
      <c r="E1680" s="1111"/>
      <c r="F1680" s="1111"/>
      <c r="G1680" s="376"/>
      <c r="H1680" s="106"/>
      <c r="I1680" s="106">
        <v>102000</v>
      </c>
      <c r="J1680" s="106">
        <v>102000</v>
      </c>
      <c r="K1680" s="106">
        <v>102000</v>
      </c>
      <c r="L1680" s="10"/>
    </row>
    <row r="1681" spans="1:12" s="146" customFormat="1" ht="18" x14ac:dyDescent="0.25">
      <c r="A1681" s="1134"/>
      <c r="B1681" s="1111"/>
      <c r="C1681" s="1111" t="s">
        <v>823</v>
      </c>
      <c r="D1681" s="573"/>
      <c r="E1681" s="1111"/>
      <c r="F1681" s="1111"/>
      <c r="G1681" s="376"/>
      <c r="H1681" s="155">
        <f>SUM(H1673:H1680)</f>
        <v>0</v>
      </c>
      <c r="I1681" s="155">
        <f>SUM(I1673:I1680)</f>
        <v>1367693</v>
      </c>
      <c r="J1681" s="155">
        <f>SUM(J1673:J1680)</f>
        <v>1367693</v>
      </c>
      <c r="K1681" s="156">
        <f>SUM(K1673:K1680)</f>
        <v>650002</v>
      </c>
      <c r="L1681" s="10"/>
    </row>
    <row r="1682" spans="1:12" s="146" customFormat="1" ht="18" x14ac:dyDescent="0.25">
      <c r="A1682" s="1134"/>
      <c r="B1682" s="1111"/>
      <c r="C1682" s="1111"/>
      <c r="D1682" s="573"/>
      <c r="E1682" s="1111"/>
      <c r="F1682" s="1111"/>
      <c r="G1682" s="376"/>
      <c r="H1682" s="155"/>
      <c r="I1682" s="155"/>
      <c r="J1682" s="155"/>
      <c r="K1682" s="156"/>
      <c r="L1682" s="10"/>
    </row>
    <row r="1683" spans="1:12" s="146" customFormat="1" ht="18" x14ac:dyDescent="0.25">
      <c r="A1683" s="1134"/>
      <c r="B1683" s="1111"/>
      <c r="C1683" s="129" t="s">
        <v>1872</v>
      </c>
      <c r="D1683" s="1111"/>
      <c r="E1683" s="1111"/>
      <c r="F1683" s="1111"/>
      <c r="G1683" s="376"/>
      <c r="H1683" s="101"/>
      <c r="I1683" s="101"/>
      <c r="J1683" s="101"/>
      <c r="K1683" s="102"/>
      <c r="L1683" s="10"/>
    </row>
    <row r="1684" spans="1:12" s="146" customFormat="1" ht="18" x14ac:dyDescent="0.25">
      <c r="A1684" s="1134"/>
      <c r="B1684" s="1111"/>
      <c r="C1684" s="1141" t="s">
        <v>867</v>
      </c>
      <c r="D1684" s="1111"/>
      <c r="E1684" s="1111"/>
      <c r="F1684" s="1112"/>
      <c r="G1684" s="377"/>
      <c r="H1684" s="101"/>
      <c r="I1684" s="101"/>
      <c r="J1684" s="101"/>
      <c r="K1684" s="102"/>
      <c r="L1684" s="10"/>
    </row>
    <row r="1685" spans="1:12" s="146" customFormat="1" ht="18" x14ac:dyDescent="0.25">
      <c r="A1685" s="1134"/>
      <c r="B1685" s="1111"/>
      <c r="C1685" s="1141" t="s">
        <v>868</v>
      </c>
      <c r="D1685" s="1111"/>
      <c r="E1685" s="1111"/>
      <c r="F1685" s="1112"/>
      <c r="G1685" s="377"/>
      <c r="H1685" s="105"/>
      <c r="I1685" s="105"/>
      <c r="J1685" s="105"/>
      <c r="K1685" s="106"/>
      <c r="L1685" s="10"/>
    </row>
    <row r="1686" spans="1:12" s="146" customFormat="1" ht="18" x14ac:dyDescent="0.25">
      <c r="A1686" s="254"/>
      <c r="B1686" s="271"/>
      <c r="C1686" s="1111" t="s">
        <v>823</v>
      </c>
      <c r="D1686" s="573"/>
      <c r="E1686" s="1146"/>
      <c r="F1686" s="576"/>
      <c r="G1686" s="272"/>
      <c r="H1686" s="119">
        <f>SUM(H1684:H1685)</f>
        <v>0</v>
      </c>
      <c r="I1686" s="119">
        <f>SUM(I1684:I1685)</f>
        <v>0</v>
      </c>
      <c r="J1686" s="119">
        <f>SUM(J1684:J1685)</f>
        <v>0</v>
      </c>
      <c r="K1686" s="150">
        <f>SUM(K1684:K1685)</f>
        <v>0</v>
      </c>
      <c r="L1686" s="10"/>
    </row>
    <row r="1687" spans="1:12" s="146" customFormat="1" ht="18" x14ac:dyDescent="0.25">
      <c r="A1687" s="254"/>
      <c r="B1687" s="271"/>
      <c r="C1687" s="1111" t="s">
        <v>15</v>
      </c>
      <c r="D1687" s="573"/>
      <c r="E1687" s="1146"/>
      <c r="F1687" s="576"/>
      <c r="G1687" s="271"/>
      <c r="H1687" s="119">
        <f>H1686+H1681</f>
        <v>0</v>
      </c>
      <c r="I1687" s="119">
        <f>I1686+I1681</f>
        <v>1367693</v>
      </c>
      <c r="J1687" s="119">
        <f>J1686+J1681</f>
        <v>1367693</v>
      </c>
      <c r="K1687" s="150">
        <f>K1686+K1681</f>
        <v>650002</v>
      </c>
      <c r="L1687" s="10"/>
    </row>
    <row r="1688" spans="1:12" s="146" customFormat="1" ht="18" x14ac:dyDescent="0.25">
      <c r="A1688" s="254"/>
      <c r="B1688" s="271"/>
      <c r="C1688" s="387"/>
      <c r="D1688" s="1111"/>
      <c r="E1688" s="1146"/>
      <c r="F1688" s="1146"/>
      <c r="G1688" s="271"/>
      <c r="H1688" s="1158"/>
      <c r="I1688" s="1158"/>
      <c r="J1688" s="1158"/>
      <c r="K1688" s="1157"/>
      <c r="L1688" s="10"/>
    </row>
    <row r="1689" spans="1:12" s="146" customFormat="1" ht="18" x14ac:dyDescent="0.25">
      <c r="A1689" s="1105"/>
      <c r="B1689" s="1106"/>
      <c r="C1689" s="1620" t="s">
        <v>870</v>
      </c>
      <c r="D1689" s="1620"/>
      <c r="E1689" s="1620"/>
      <c r="F1689" s="1621"/>
      <c r="G1689" s="381"/>
      <c r="H1689" s="101"/>
      <c r="I1689" s="101"/>
      <c r="J1689" s="101"/>
      <c r="K1689" s="102"/>
      <c r="L1689" s="10"/>
    </row>
    <row r="1690" spans="1:12" s="146" customFormat="1" ht="18" x14ac:dyDescent="0.25">
      <c r="A1690" s="1105"/>
      <c r="B1690" s="1106"/>
      <c r="C1690" s="1620" t="s">
        <v>813</v>
      </c>
      <c r="D1690" s="1620"/>
      <c r="E1690" s="1620"/>
      <c r="F1690" s="1621"/>
      <c r="G1690" s="100"/>
      <c r="H1690" s="101"/>
      <c r="I1690" s="101"/>
      <c r="J1690" s="101"/>
      <c r="K1690" s="102"/>
      <c r="L1690" s="10"/>
    </row>
    <row r="1691" spans="1:12" s="229" customFormat="1" ht="18" customHeight="1" x14ac:dyDescent="0.25">
      <c r="A1691" s="154"/>
      <c r="B1691" s="1107"/>
      <c r="C1691" s="44" t="s">
        <v>1875</v>
      </c>
      <c r="D1691" s="125"/>
      <c r="E1691" s="125"/>
      <c r="F1691" s="134"/>
      <c r="G1691" s="100" t="s">
        <v>165</v>
      </c>
      <c r="H1691" s="102"/>
      <c r="I1691" s="1154">
        <v>60000</v>
      </c>
      <c r="J1691" s="1154">
        <v>60000</v>
      </c>
      <c r="K1691" s="102">
        <v>60000</v>
      </c>
      <c r="L1691" s="207"/>
    </row>
    <row r="1692" spans="1:12" s="229" customFormat="1" ht="18" customHeight="1" x14ac:dyDescent="0.25">
      <c r="A1692" s="154"/>
      <c r="B1692" s="1107"/>
      <c r="C1692" s="44" t="s">
        <v>871</v>
      </c>
      <c r="D1692" s="125"/>
      <c r="E1692" s="125"/>
      <c r="F1692" s="134"/>
      <c r="G1692" s="100" t="s">
        <v>187</v>
      </c>
      <c r="H1692" s="102"/>
      <c r="I1692" s="1154">
        <v>19000</v>
      </c>
      <c r="J1692" s="1154">
        <v>19000</v>
      </c>
      <c r="K1692" s="102">
        <v>19000</v>
      </c>
      <c r="L1692" s="207"/>
    </row>
    <row r="1693" spans="1:12" s="229" customFormat="1" ht="18" customHeight="1" x14ac:dyDescent="0.25">
      <c r="A1693" s="154"/>
      <c r="B1693" s="1107"/>
      <c r="C1693" s="44" t="s">
        <v>808</v>
      </c>
      <c r="D1693" s="125"/>
      <c r="E1693" s="125"/>
      <c r="F1693" s="134"/>
      <c r="G1693" s="100" t="s">
        <v>199</v>
      </c>
      <c r="H1693" s="102"/>
      <c r="I1693" s="1154">
        <v>96000</v>
      </c>
      <c r="J1693" s="1154">
        <v>96000</v>
      </c>
      <c r="K1693" s="102">
        <v>96000</v>
      </c>
      <c r="L1693" s="207"/>
    </row>
    <row r="1694" spans="1:12" s="146" customFormat="1" ht="18" x14ac:dyDescent="0.25">
      <c r="A1694" s="1105"/>
      <c r="B1694" s="1106"/>
      <c r="C1694" s="1111" t="s">
        <v>15</v>
      </c>
      <c r="E1694" s="1106"/>
      <c r="F1694" s="1106"/>
      <c r="G1694" s="100"/>
      <c r="H1694" s="119">
        <f>SUM(H1691:H1693)</f>
        <v>0</v>
      </c>
      <c r="I1694" s="119">
        <f>SUM(I1691:I1693)</f>
        <v>175000</v>
      </c>
      <c r="J1694" s="119">
        <f>SUM(J1691:J1693)</f>
        <v>175000</v>
      </c>
      <c r="K1694" s="150">
        <f>SUM(K1691:K1693)</f>
        <v>175000</v>
      </c>
      <c r="L1694" s="10"/>
    </row>
    <row r="1695" spans="1:12" s="146" customFormat="1" ht="18.75" customHeight="1" x14ac:dyDescent="0.25">
      <c r="A1695" s="1105"/>
      <c r="B1695" s="1106"/>
      <c r="C1695" s="1098"/>
      <c r="D1695" s="1111"/>
      <c r="E1695" s="1106"/>
      <c r="F1695" s="1106"/>
      <c r="G1695" s="100"/>
      <c r="H1695" s="155"/>
      <c r="I1695" s="155"/>
      <c r="J1695" s="155"/>
      <c r="K1695" s="156"/>
      <c r="L1695" s="10"/>
    </row>
    <row r="1696" spans="1:12" ht="18" x14ac:dyDescent="0.25">
      <c r="A1696" s="1105"/>
      <c r="B1696" s="1106"/>
      <c r="C1696" s="1620" t="s">
        <v>872</v>
      </c>
      <c r="D1696" s="1620"/>
      <c r="E1696" s="1620"/>
      <c r="F1696" s="1620"/>
      <c r="G1696" s="100"/>
      <c r="H1696" s="101"/>
      <c r="I1696" s="101"/>
      <c r="J1696" s="101"/>
      <c r="K1696" s="102"/>
    </row>
    <row r="1697" spans="1:12" s="146" customFormat="1" ht="18" x14ac:dyDescent="0.25">
      <c r="A1697" s="1105"/>
      <c r="B1697" s="1106"/>
      <c r="C1697" s="1620" t="s">
        <v>813</v>
      </c>
      <c r="D1697" s="1620"/>
      <c r="E1697" s="1620"/>
      <c r="F1697" s="1621"/>
      <c r="G1697" s="100"/>
      <c r="H1697" s="101"/>
      <c r="I1697" s="101"/>
      <c r="J1697" s="101"/>
      <c r="K1697" s="102"/>
      <c r="L1697" s="10"/>
    </row>
    <row r="1698" spans="1:12" s="229" customFormat="1" ht="18" customHeight="1" x14ac:dyDescent="0.25">
      <c r="A1698" s="154"/>
      <c r="B1698" s="1107"/>
      <c r="C1698" s="44" t="s">
        <v>1875</v>
      </c>
      <c r="D1698" s="125"/>
      <c r="E1698" s="125"/>
      <c r="F1698" s="134"/>
      <c r="G1698" s="100" t="s">
        <v>165</v>
      </c>
      <c r="H1698" s="101"/>
      <c r="I1698" s="101">
        <v>50000</v>
      </c>
      <c r="J1698" s="101">
        <v>50000</v>
      </c>
      <c r="K1698" s="102">
        <v>50000</v>
      </c>
      <c r="L1698" s="207"/>
    </row>
    <row r="1699" spans="1:12" s="229" customFormat="1" ht="18" customHeight="1" x14ac:dyDescent="0.25">
      <c r="A1699" s="154"/>
      <c r="B1699" s="1107"/>
      <c r="C1699" s="44" t="s">
        <v>806</v>
      </c>
      <c r="D1699" s="125"/>
      <c r="E1699" s="125"/>
      <c r="F1699" s="134"/>
      <c r="G1699" s="100" t="s">
        <v>169</v>
      </c>
      <c r="H1699" s="101"/>
      <c r="I1699" s="101">
        <v>699905</v>
      </c>
      <c r="J1699" s="101">
        <v>699905</v>
      </c>
      <c r="K1699" s="102">
        <v>200000</v>
      </c>
      <c r="L1699" s="207"/>
    </row>
    <row r="1700" spans="1:12" s="229" customFormat="1" ht="18" customHeight="1" x14ac:dyDescent="0.25">
      <c r="A1700" s="154"/>
      <c r="B1700" s="1107"/>
      <c r="C1700" s="44" t="s">
        <v>873</v>
      </c>
      <c r="D1700" s="125"/>
      <c r="E1700" s="125"/>
      <c r="F1700" s="134"/>
      <c r="G1700" s="100" t="s">
        <v>173</v>
      </c>
      <c r="H1700" s="101"/>
      <c r="I1700" s="101">
        <v>4024125</v>
      </c>
      <c r="J1700" s="101">
        <v>4024125</v>
      </c>
      <c r="K1700" s="102">
        <v>1200000</v>
      </c>
      <c r="L1700" s="207"/>
    </row>
    <row r="1701" spans="1:12" s="229" customFormat="1" ht="18" customHeight="1" x14ac:dyDescent="0.25">
      <c r="A1701" s="154"/>
      <c r="B1701" s="1107"/>
      <c r="C1701" s="44" t="s">
        <v>865</v>
      </c>
      <c r="D1701" s="125"/>
      <c r="E1701" s="125"/>
      <c r="F1701" s="134"/>
      <c r="G1701" s="100"/>
      <c r="H1701" s="101"/>
      <c r="I1701" s="101">
        <v>1769390</v>
      </c>
      <c r="J1701" s="101">
        <v>1769390</v>
      </c>
      <c r="K1701" s="102">
        <v>350000</v>
      </c>
      <c r="L1701" s="207"/>
    </row>
    <row r="1702" spans="1:12" s="229" customFormat="1" ht="18" customHeight="1" x14ac:dyDescent="0.25">
      <c r="A1702" s="154"/>
      <c r="B1702" s="1107"/>
      <c r="C1702" s="44" t="s">
        <v>815</v>
      </c>
      <c r="D1702" s="125"/>
      <c r="E1702" s="125"/>
      <c r="F1702" s="134"/>
      <c r="G1702" s="100" t="s">
        <v>385</v>
      </c>
      <c r="H1702" s="101"/>
      <c r="I1702" s="101">
        <v>1080000</v>
      </c>
      <c r="J1702" s="101">
        <v>1080000</v>
      </c>
      <c r="K1702" s="102">
        <v>1080000</v>
      </c>
      <c r="L1702" s="207"/>
    </row>
    <row r="1703" spans="1:12" s="229" customFormat="1" ht="18" customHeight="1" x14ac:dyDescent="0.25">
      <c r="A1703" s="154"/>
      <c r="B1703" s="1107"/>
      <c r="C1703" s="44" t="s">
        <v>871</v>
      </c>
      <c r="D1703" s="125"/>
      <c r="E1703" s="125"/>
      <c r="F1703" s="134"/>
      <c r="G1703" s="100" t="s">
        <v>187</v>
      </c>
      <c r="H1703" s="101"/>
      <c r="I1703" s="1156"/>
      <c r="J1703" s="1156"/>
      <c r="K1703" s="1154"/>
      <c r="L1703" s="207"/>
    </row>
    <row r="1704" spans="1:12" s="229" customFormat="1" ht="18" customHeight="1" x14ac:dyDescent="0.25">
      <c r="A1704" s="154"/>
      <c r="B1704" s="1107"/>
      <c r="C1704" s="44" t="s">
        <v>875</v>
      </c>
      <c r="D1704" s="125"/>
      <c r="E1704" s="125"/>
      <c r="F1704" s="134"/>
      <c r="G1704" s="100" t="s">
        <v>189</v>
      </c>
      <c r="H1704" s="101"/>
      <c r="I1704" s="101">
        <v>570000</v>
      </c>
      <c r="J1704" s="101">
        <v>570000</v>
      </c>
      <c r="K1704" s="102">
        <v>370000</v>
      </c>
      <c r="L1704" s="207"/>
    </row>
    <row r="1705" spans="1:12" s="229" customFormat="1" ht="18" customHeight="1" x14ac:dyDescent="0.25">
      <c r="A1705" s="154"/>
      <c r="B1705" s="1107"/>
      <c r="C1705" s="44" t="s">
        <v>808</v>
      </c>
      <c r="D1705" s="125"/>
      <c r="E1705" s="125"/>
      <c r="F1705" s="134"/>
      <c r="G1705" s="100" t="s">
        <v>199</v>
      </c>
      <c r="H1705" s="105"/>
      <c r="I1705" s="105">
        <v>480000</v>
      </c>
      <c r="J1705" s="105">
        <v>480000</v>
      </c>
      <c r="K1705" s="106">
        <v>150000</v>
      </c>
      <c r="L1705" s="207"/>
    </row>
    <row r="1706" spans="1:12" s="146" customFormat="1" ht="18" x14ac:dyDescent="0.25">
      <c r="A1706" s="1105"/>
      <c r="B1706" s="1106"/>
      <c r="C1706" s="1111" t="s">
        <v>823</v>
      </c>
      <c r="D1706" s="573"/>
      <c r="E1706" s="1106"/>
      <c r="F1706" s="1102"/>
      <c r="G1706" s="100"/>
      <c r="H1706" s="119">
        <f>SUM(H1698:H1705)</f>
        <v>0</v>
      </c>
      <c r="I1706" s="119">
        <f>SUM(I1698:I1705)</f>
        <v>8673420</v>
      </c>
      <c r="J1706" s="119">
        <f>SUM(J1698:J1705)</f>
        <v>8673420</v>
      </c>
      <c r="K1706" s="150">
        <f>SUM(K1698:K1705)</f>
        <v>3400000</v>
      </c>
      <c r="L1706" s="10"/>
    </row>
    <row r="1707" spans="1:12" s="146" customFormat="1" ht="18" x14ac:dyDescent="0.25">
      <c r="A1707" s="254"/>
      <c r="B1707" s="271"/>
      <c r="C1707" s="387"/>
      <c r="D1707" s="1111"/>
      <c r="E1707" s="1146"/>
      <c r="F1707" s="576"/>
      <c r="G1707" s="273"/>
      <c r="H1707" s="155"/>
      <c r="I1707" s="155"/>
      <c r="J1707" s="155"/>
      <c r="K1707" s="156"/>
      <c r="L1707" s="10"/>
    </row>
    <row r="1708" spans="1:12" s="146" customFormat="1" ht="18" x14ac:dyDescent="0.25">
      <c r="A1708" s="1105"/>
      <c r="B1708" s="1106"/>
      <c r="C1708" s="1620" t="s">
        <v>1872</v>
      </c>
      <c r="D1708" s="1620"/>
      <c r="E1708" s="1620"/>
      <c r="F1708" s="1621"/>
      <c r="G1708" s="100"/>
      <c r="H1708" s="101"/>
      <c r="I1708" s="101"/>
      <c r="J1708" s="101"/>
      <c r="K1708" s="102"/>
      <c r="L1708" s="10"/>
    </row>
    <row r="1709" spans="1:12" s="388" customFormat="1" ht="18" x14ac:dyDescent="0.25">
      <c r="A1709" s="154"/>
      <c r="B1709" s="1107"/>
      <c r="C1709" s="1107" t="s">
        <v>1879</v>
      </c>
      <c r="D1709" s="1107"/>
      <c r="E1709" s="1107"/>
      <c r="F1709" s="1108"/>
      <c r="G1709" s="100"/>
      <c r="H1709" s="101"/>
      <c r="I1709" s="101">
        <v>1350000</v>
      </c>
      <c r="J1709" s="101"/>
      <c r="K1709" s="102"/>
      <c r="L1709" s="207"/>
    </row>
    <row r="1710" spans="1:12" s="388" customFormat="1" ht="18" x14ac:dyDescent="0.25">
      <c r="A1710" s="154"/>
      <c r="B1710" s="1107"/>
      <c r="C1710" s="1107" t="s">
        <v>1880</v>
      </c>
      <c r="D1710" s="1107"/>
      <c r="E1710" s="1107"/>
      <c r="F1710" s="1108"/>
      <c r="G1710" s="100"/>
      <c r="H1710" s="101"/>
      <c r="I1710" s="101">
        <v>160000</v>
      </c>
      <c r="J1710" s="101"/>
      <c r="K1710" s="102"/>
      <c r="L1710" s="207"/>
    </row>
    <row r="1711" spans="1:12" s="146" customFormat="1" ht="18" x14ac:dyDescent="0.25">
      <c r="A1711" s="1105"/>
      <c r="B1711" s="1106"/>
      <c r="C1711" s="1107" t="s">
        <v>876</v>
      </c>
      <c r="D1711" s="1111"/>
      <c r="E1711" s="1111"/>
      <c r="F1711" s="1112"/>
      <c r="G1711" s="100"/>
      <c r="H1711" s="101"/>
      <c r="I1711" s="101"/>
      <c r="J1711" s="101"/>
      <c r="K1711" s="102"/>
      <c r="L1711" s="10"/>
    </row>
    <row r="1712" spans="1:12" s="388" customFormat="1" ht="18" x14ac:dyDescent="0.25">
      <c r="A1712" s="154"/>
      <c r="B1712" s="1107"/>
      <c r="C1712" s="1107" t="s">
        <v>824</v>
      </c>
      <c r="D1712" s="1107"/>
      <c r="E1712" s="1107"/>
      <c r="F1712" s="1108"/>
      <c r="G1712" s="100"/>
      <c r="H1712" s="101"/>
      <c r="I1712" s="101"/>
      <c r="J1712" s="101"/>
      <c r="K1712" s="102"/>
      <c r="L1712" s="207"/>
    </row>
    <row r="1713" spans="1:12" s="388" customFormat="1" ht="18" x14ac:dyDescent="0.25">
      <c r="A1713" s="154"/>
      <c r="B1713" s="1107"/>
      <c r="C1713" s="1107" t="s">
        <v>877</v>
      </c>
      <c r="D1713" s="1107"/>
      <c r="E1713" s="1107"/>
      <c r="F1713" s="1108"/>
      <c r="G1713" s="100"/>
      <c r="H1713" s="101"/>
      <c r="I1713" s="101"/>
      <c r="J1713" s="101"/>
      <c r="K1713" s="102"/>
      <c r="L1713" s="207"/>
    </row>
    <row r="1714" spans="1:12" s="388" customFormat="1" ht="18" x14ac:dyDescent="0.25">
      <c r="A1714" s="154"/>
      <c r="B1714" s="1107"/>
      <c r="C1714" s="1141" t="s">
        <v>878</v>
      </c>
      <c r="D1714" s="1141"/>
      <c r="E1714" s="1141"/>
      <c r="F1714" s="1142"/>
      <c r="G1714" s="205"/>
      <c r="H1714" s="102"/>
      <c r="I1714" s="102"/>
      <c r="J1714" s="102"/>
      <c r="K1714" s="102"/>
      <c r="L1714" s="207"/>
    </row>
    <row r="1715" spans="1:12" s="388" customFormat="1" ht="18" x14ac:dyDescent="0.25">
      <c r="A1715" s="154"/>
      <c r="B1715" s="1107"/>
      <c r="C1715" s="1107" t="s">
        <v>879</v>
      </c>
      <c r="D1715" s="1107"/>
      <c r="E1715" s="1107"/>
      <c r="F1715" s="1108"/>
      <c r="G1715" s="100"/>
      <c r="H1715" s="101"/>
      <c r="I1715" s="101"/>
      <c r="J1715" s="101"/>
      <c r="K1715" s="102"/>
      <c r="L1715" s="207"/>
    </row>
    <row r="1716" spans="1:12" s="388" customFormat="1" ht="18" x14ac:dyDescent="0.25">
      <c r="A1716" s="154"/>
      <c r="B1716" s="1107"/>
      <c r="C1716" s="1107" t="s">
        <v>880</v>
      </c>
      <c r="D1716" s="1107"/>
      <c r="E1716" s="1107"/>
      <c r="F1716" s="1108"/>
      <c r="G1716" s="100"/>
      <c r="H1716" s="101"/>
      <c r="I1716" s="101"/>
      <c r="J1716" s="101"/>
      <c r="K1716" s="102"/>
      <c r="L1716" s="207"/>
    </row>
    <row r="1717" spans="1:12" s="388" customFormat="1" ht="18" x14ac:dyDescent="0.25">
      <c r="A1717" s="154"/>
      <c r="B1717" s="1107"/>
      <c r="C1717" s="1107" t="s">
        <v>1881</v>
      </c>
      <c r="D1717" s="1107"/>
      <c r="E1717" s="1107"/>
      <c r="F1717" s="1108"/>
      <c r="G1717" s="100"/>
      <c r="H1717" s="101"/>
      <c r="I1717" s="101"/>
      <c r="J1717" s="101"/>
      <c r="K1717" s="102"/>
      <c r="L1717" s="207"/>
    </row>
    <row r="1718" spans="1:12" s="388" customFormat="1" ht="18" x14ac:dyDescent="0.25">
      <c r="A1718" s="154"/>
      <c r="B1718" s="1107"/>
      <c r="C1718" s="1107" t="s">
        <v>881</v>
      </c>
      <c r="D1718" s="1107"/>
      <c r="E1718" s="1107"/>
      <c r="F1718" s="1108"/>
      <c r="G1718" s="100"/>
      <c r="H1718" s="101"/>
      <c r="I1718" s="101"/>
      <c r="J1718" s="101"/>
      <c r="K1718" s="102"/>
      <c r="L1718" s="207"/>
    </row>
    <row r="1719" spans="1:12" s="388" customFormat="1" ht="18" x14ac:dyDescent="0.25">
      <c r="A1719" s="154"/>
      <c r="B1719" s="1107"/>
      <c r="C1719" s="1107" t="s">
        <v>882</v>
      </c>
      <c r="D1719" s="1107"/>
      <c r="E1719" s="1107"/>
      <c r="F1719" s="1108"/>
      <c r="G1719" s="100"/>
      <c r="H1719" s="101"/>
      <c r="I1719" s="101"/>
      <c r="J1719" s="101"/>
      <c r="K1719" s="102"/>
      <c r="L1719" s="207"/>
    </row>
    <row r="1720" spans="1:12" s="146" customFormat="1" ht="18" x14ac:dyDescent="0.25">
      <c r="A1720" s="1105"/>
      <c r="B1720" s="1106"/>
      <c r="C1720" s="1111" t="s">
        <v>823</v>
      </c>
      <c r="D1720" s="573"/>
      <c r="E1720" s="1106"/>
      <c r="F1720" s="1102"/>
      <c r="G1720" s="100"/>
      <c r="H1720" s="1158">
        <f>SUM(H1709:H1719)</f>
        <v>0</v>
      </c>
      <c r="I1720" s="1158">
        <f>SUM(I1709:I1719)</f>
        <v>1510000</v>
      </c>
      <c r="J1720" s="1158">
        <f>SUM(J1709:J1719)</f>
        <v>0</v>
      </c>
      <c r="K1720" s="1157">
        <f>SUM(K1709:K1719)</f>
        <v>0</v>
      </c>
      <c r="L1720" s="10"/>
    </row>
    <row r="1721" spans="1:12" s="146" customFormat="1" ht="18" x14ac:dyDescent="0.25">
      <c r="A1721" s="1105"/>
      <c r="B1721" s="1106"/>
      <c r="C1721" s="1111"/>
      <c r="D1721" s="573"/>
      <c r="E1721" s="1106"/>
      <c r="F1721" s="1102"/>
      <c r="G1721" s="100"/>
      <c r="H1721" s="155"/>
      <c r="I1721" s="155"/>
      <c r="J1721" s="155"/>
      <c r="K1721" s="156"/>
      <c r="L1721" s="10"/>
    </row>
    <row r="1722" spans="1:12" s="146" customFormat="1" ht="18" x14ac:dyDescent="0.25">
      <c r="A1722" s="1105"/>
      <c r="B1722" s="1106"/>
      <c r="C1722" s="1620" t="s">
        <v>892</v>
      </c>
      <c r="D1722" s="1620"/>
      <c r="E1722" s="1106"/>
      <c r="F1722" s="1102"/>
      <c r="G1722" s="100"/>
      <c r="H1722" s="101"/>
      <c r="I1722" s="101"/>
      <c r="J1722" s="101"/>
      <c r="K1722" s="102"/>
      <c r="L1722" s="10"/>
    </row>
    <row r="1723" spans="1:12" s="146" customFormat="1" ht="18" x14ac:dyDescent="0.25">
      <c r="A1723" s="1105"/>
      <c r="B1723" s="1106"/>
      <c r="C1723" s="38" t="s">
        <v>893</v>
      </c>
      <c r="D1723" s="1106"/>
      <c r="E1723" s="1106"/>
      <c r="F1723" s="1102"/>
      <c r="G1723" s="100"/>
      <c r="H1723" s="101"/>
      <c r="I1723" s="101"/>
      <c r="J1723" s="101"/>
      <c r="K1723" s="102"/>
      <c r="L1723" s="10"/>
    </row>
    <row r="1724" spans="1:12" s="146" customFormat="1" ht="18" x14ac:dyDescent="0.25">
      <c r="A1724" s="1105"/>
      <c r="B1724" s="1106"/>
      <c r="C1724" s="38" t="s">
        <v>1882</v>
      </c>
      <c r="D1724" s="1106"/>
      <c r="E1724" s="1106"/>
      <c r="F1724" s="1102"/>
      <c r="G1724" s="100"/>
      <c r="H1724" s="101"/>
      <c r="I1724" s="101">
        <v>150000</v>
      </c>
      <c r="J1724" s="101">
        <v>150000</v>
      </c>
      <c r="K1724" s="102"/>
      <c r="L1724" s="10"/>
    </row>
    <row r="1725" spans="1:12" s="146" customFormat="1" ht="18" x14ac:dyDescent="0.25">
      <c r="A1725" s="1137"/>
      <c r="B1725" s="1098"/>
      <c r="C1725" s="38" t="s">
        <v>1883</v>
      </c>
      <c r="D1725" s="1098"/>
      <c r="E1725" s="1098"/>
      <c r="F1725" s="1110"/>
      <c r="G1725" s="205"/>
      <c r="H1725" s="102"/>
      <c r="I1725" s="102">
        <v>60000</v>
      </c>
      <c r="J1725" s="102">
        <v>60000</v>
      </c>
      <c r="K1725" s="102">
        <v>60000</v>
      </c>
      <c r="L1725" s="10"/>
    </row>
    <row r="1726" spans="1:12" s="146" customFormat="1" ht="18" x14ac:dyDescent="0.25">
      <c r="A1726" s="1137"/>
      <c r="B1726" s="1098"/>
      <c r="C1726" s="38" t="s">
        <v>1884</v>
      </c>
      <c r="D1726" s="1098"/>
      <c r="E1726" s="1098"/>
      <c r="F1726" s="1110"/>
      <c r="G1726" s="205"/>
      <c r="H1726" s="102"/>
      <c r="I1726" s="102">
        <v>80000</v>
      </c>
      <c r="J1726" s="102">
        <v>80000</v>
      </c>
      <c r="K1726" s="102">
        <v>80000</v>
      </c>
      <c r="L1726" s="10"/>
    </row>
    <row r="1727" spans="1:12" s="146" customFormat="1" ht="18" x14ac:dyDescent="0.25">
      <c r="A1727" s="1137"/>
      <c r="B1727" s="1098"/>
      <c r="C1727" s="38" t="s">
        <v>1885</v>
      </c>
      <c r="D1727" s="1098"/>
      <c r="E1727" s="1098"/>
      <c r="F1727" s="1110"/>
      <c r="G1727" s="205"/>
      <c r="H1727" s="102"/>
      <c r="I1727" s="102">
        <v>60000</v>
      </c>
      <c r="J1727" s="102">
        <v>60000</v>
      </c>
      <c r="K1727" s="102">
        <v>60000</v>
      </c>
      <c r="L1727" s="10"/>
    </row>
    <row r="1728" spans="1:12" s="146" customFormat="1" ht="18" x14ac:dyDescent="0.25">
      <c r="A1728" s="1137"/>
      <c r="B1728" s="1098"/>
      <c r="C1728" s="38" t="s">
        <v>1886</v>
      </c>
      <c r="D1728" s="1098"/>
      <c r="E1728" s="1098"/>
      <c r="F1728" s="1110"/>
      <c r="G1728" s="205"/>
      <c r="H1728" s="102"/>
      <c r="I1728" s="102">
        <v>150000</v>
      </c>
      <c r="J1728" s="102">
        <v>150000</v>
      </c>
      <c r="K1728" s="102">
        <v>150000</v>
      </c>
      <c r="L1728" s="10"/>
    </row>
    <row r="1729" spans="1:12" s="146" customFormat="1" ht="18" x14ac:dyDescent="0.25">
      <c r="A1729" s="1137"/>
      <c r="B1729" s="1098"/>
      <c r="C1729" s="38" t="s">
        <v>1887</v>
      </c>
      <c r="D1729" s="1098"/>
      <c r="E1729" s="1098"/>
      <c r="F1729" s="1110"/>
      <c r="G1729" s="205"/>
      <c r="H1729" s="102"/>
      <c r="I1729" s="1154"/>
      <c r="J1729" s="1154"/>
      <c r="K1729" s="1154"/>
      <c r="L1729" s="10"/>
    </row>
    <row r="1730" spans="1:12" s="146" customFormat="1" ht="18" x14ac:dyDescent="0.25">
      <c r="A1730" s="1137"/>
      <c r="B1730" s="1098"/>
      <c r="C1730" s="1646" t="s">
        <v>1888</v>
      </c>
      <c r="D1730" s="1646"/>
      <c r="E1730" s="1646"/>
      <c r="F1730" s="1110"/>
      <c r="G1730" s="205"/>
      <c r="H1730" s="102"/>
      <c r="I1730" s="1154"/>
      <c r="J1730" s="1154"/>
      <c r="K1730" s="1154"/>
      <c r="L1730" s="10"/>
    </row>
    <row r="1731" spans="1:12" s="146" customFormat="1" ht="18" x14ac:dyDescent="0.25">
      <c r="A1731" s="1137"/>
      <c r="B1731" s="1098"/>
      <c r="C1731" s="1574" t="s">
        <v>1889</v>
      </c>
      <c r="D1731" s="1574"/>
      <c r="E1731" s="1574"/>
      <c r="F1731" s="1618"/>
      <c r="G1731" s="205"/>
      <c r="H1731" s="102"/>
      <c r="I1731" s="102">
        <v>80000</v>
      </c>
      <c r="J1731" s="102">
        <v>80000</v>
      </c>
      <c r="K1731" s="102">
        <v>80000</v>
      </c>
      <c r="L1731" s="10"/>
    </row>
    <row r="1732" spans="1:12" s="146" customFormat="1" ht="18.75" thickBot="1" x14ac:dyDescent="0.3">
      <c r="A1732" s="317"/>
      <c r="B1732" s="1216"/>
      <c r="C1732" s="447" t="s">
        <v>1890</v>
      </c>
      <c r="D1732" s="1216"/>
      <c r="E1732" s="1216"/>
      <c r="F1732" s="1249"/>
      <c r="G1732" s="1250"/>
      <c r="H1732" s="220"/>
      <c r="I1732" s="220">
        <v>50000</v>
      </c>
      <c r="J1732" s="220">
        <v>50000</v>
      </c>
      <c r="K1732" s="220">
        <v>50000</v>
      </c>
      <c r="L1732" s="10"/>
    </row>
    <row r="1733" spans="1:12" s="146" customFormat="1" ht="18" x14ac:dyDescent="0.25">
      <c r="A1733" s="1106"/>
      <c r="B1733" s="1106"/>
      <c r="C1733" s="38"/>
      <c r="D1733" s="1106"/>
      <c r="E1733" s="1106"/>
      <c r="F1733" s="1106"/>
      <c r="G1733" s="381"/>
      <c r="H1733" s="141"/>
      <c r="I1733" s="141"/>
      <c r="J1733" s="141"/>
      <c r="K1733" s="122"/>
      <c r="L1733" s="10"/>
    </row>
    <row r="1734" spans="1:12" s="146" customFormat="1" ht="18" x14ac:dyDescent="0.25">
      <c r="A1734" s="1106"/>
      <c r="B1734" s="1106"/>
      <c r="C1734" s="38"/>
      <c r="D1734" s="1106"/>
      <c r="E1734" s="1106"/>
      <c r="F1734" s="1106"/>
      <c r="G1734" s="381"/>
      <c r="H1734" s="141"/>
      <c r="I1734" s="141"/>
      <c r="J1734" s="141"/>
      <c r="K1734" s="122"/>
      <c r="L1734" s="10"/>
    </row>
    <row r="1735" spans="1:12" s="146" customFormat="1" ht="18" x14ac:dyDescent="0.25">
      <c r="A1735" s="1106"/>
      <c r="B1735" s="1106"/>
      <c r="C1735" s="38"/>
      <c r="D1735" s="1106"/>
      <c r="E1735" s="1106"/>
      <c r="F1735" s="1106"/>
      <c r="G1735" s="381"/>
      <c r="H1735" s="141"/>
      <c r="I1735" s="141"/>
      <c r="J1735" s="141"/>
      <c r="K1735" s="122"/>
      <c r="L1735" s="10"/>
    </row>
    <row r="1736" spans="1:12" s="146" customFormat="1" ht="18" x14ac:dyDescent="0.25">
      <c r="A1736" s="1106"/>
      <c r="B1736" s="1106"/>
      <c r="C1736" s="38"/>
      <c r="D1736" s="1106"/>
      <c r="E1736" s="1106"/>
      <c r="F1736" s="1106"/>
      <c r="G1736" s="381"/>
      <c r="H1736" s="141"/>
      <c r="I1736" s="141"/>
      <c r="J1736" s="141"/>
      <c r="K1736" s="122"/>
      <c r="L1736" s="10"/>
    </row>
    <row r="1737" spans="1:12" s="146" customFormat="1" ht="18" customHeight="1" x14ac:dyDescent="0.25">
      <c r="A1737" s="9" t="s">
        <v>112</v>
      </c>
      <c r="B1737" s="9"/>
      <c r="C1737" s="9"/>
      <c r="D1737" s="9"/>
      <c r="E1737" s="9"/>
      <c r="F1737" s="9"/>
      <c r="G1737" s="9"/>
      <c r="H1737" s="5"/>
      <c r="I1737" s="5"/>
      <c r="J1737" s="5"/>
      <c r="K1737" s="5"/>
      <c r="L1737" s="10"/>
    </row>
    <row r="1738" spans="1:12" ht="18" customHeight="1" x14ac:dyDescent="0.25">
      <c r="A1738" s="8" t="s">
        <v>976</v>
      </c>
    </row>
    <row r="1739" spans="1:12" ht="18" customHeight="1" x14ac:dyDescent="0.25">
      <c r="A1739" s="1636" t="s">
        <v>113</v>
      </c>
      <c r="B1739" s="1636"/>
      <c r="C1739" s="1636"/>
      <c r="D1739" s="1636"/>
      <c r="E1739" s="1636"/>
      <c r="F1739" s="1636"/>
      <c r="G1739" s="1636"/>
      <c r="H1739" s="1636"/>
      <c r="I1739" s="1636"/>
      <c r="J1739" s="1636"/>
      <c r="K1739" s="1101"/>
    </row>
    <row r="1740" spans="1:12" s="7" customFormat="1" ht="18" customHeight="1" x14ac:dyDescent="0.25">
      <c r="A1740" s="1624" t="s">
        <v>114</v>
      </c>
      <c r="B1740" s="1624"/>
      <c r="C1740" s="1624"/>
      <c r="D1740" s="1624"/>
      <c r="E1740" s="1624"/>
      <c r="F1740" s="1624"/>
      <c r="G1740" s="1624"/>
      <c r="H1740" s="1624"/>
      <c r="I1740" s="1624"/>
      <c r="J1740" s="1624"/>
      <c r="K1740" s="159"/>
      <c r="L1740" s="6"/>
    </row>
    <row r="1742" spans="1:12" ht="16.5" thickBot="1" x14ac:dyDescent="0.3"/>
    <row r="1743" spans="1:12" s="48" customFormat="1" ht="21.75" customHeight="1" thickBot="1" x14ac:dyDescent="0.3">
      <c r="A1743" s="1655" t="s">
        <v>115</v>
      </c>
      <c r="B1743" s="1655"/>
      <c r="C1743" s="1655"/>
      <c r="D1743" s="1655"/>
      <c r="E1743" s="1655"/>
      <c r="F1743" s="1655"/>
      <c r="G1743" s="1151"/>
      <c r="H1743" s="1708" t="s">
        <v>1537</v>
      </c>
      <c r="I1743" s="1710" t="s">
        <v>1538</v>
      </c>
      <c r="J1743" s="1710" t="s">
        <v>1539</v>
      </c>
      <c r="K1743" s="1710" t="s">
        <v>1540</v>
      </c>
      <c r="L1743" s="47"/>
    </row>
    <row r="1744" spans="1:12" s="1153" customFormat="1" ht="31.5" customHeight="1" thickBot="1" x14ac:dyDescent="0.3">
      <c r="A1744" s="1655"/>
      <c r="B1744" s="1655"/>
      <c r="C1744" s="1655"/>
      <c r="D1744" s="1655"/>
      <c r="E1744" s="1655"/>
      <c r="F1744" s="1655"/>
      <c r="G1744" s="1129" t="s">
        <v>116</v>
      </c>
      <c r="H1744" s="1709"/>
      <c r="I1744" s="1710"/>
      <c r="J1744" s="1710"/>
      <c r="K1744" s="1710"/>
      <c r="L1744" s="1152"/>
    </row>
    <row r="1745" spans="1:12" s="146" customFormat="1" ht="18" x14ac:dyDescent="0.25">
      <c r="A1745" s="1137"/>
      <c r="B1745" s="1098"/>
      <c r="C1745" s="1141" t="s">
        <v>1891</v>
      </c>
      <c r="D1745" s="1098"/>
      <c r="E1745" s="1098"/>
      <c r="F1745" s="1110"/>
      <c r="G1745" s="205"/>
      <c r="H1745" s="102"/>
      <c r="I1745" s="102">
        <v>80000</v>
      </c>
      <c r="J1745" s="102">
        <v>80000</v>
      </c>
      <c r="K1745" s="102">
        <v>80000</v>
      </c>
      <c r="L1745" s="10"/>
    </row>
    <row r="1746" spans="1:12" s="203" customFormat="1" ht="18" x14ac:dyDescent="0.25">
      <c r="A1746" s="1137"/>
      <c r="B1746" s="1098"/>
      <c r="C1746" s="1141" t="s">
        <v>1892</v>
      </c>
      <c r="D1746" s="1098"/>
      <c r="E1746" s="1098"/>
      <c r="F1746" s="1110"/>
      <c r="G1746" s="205"/>
      <c r="H1746" s="102"/>
      <c r="I1746" s="102">
        <v>50000</v>
      </c>
      <c r="J1746" s="102">
        <v>50000</v>
      </c>
      <c r="K1746" s="102">
        <v>50000</v>
      </c>
      <c r="L1746" s="10"/>
    </row>
    <row r="1747" spans="1:12" s="146" customFormat="1" ht="18" x14ac:dyDescent="0.25">
      <c r="A1747" s="1105"/>
      <c r="B1747" s="1106"/>
      <c r="C1747" s="1141" t="s">
        <v>1893</v>
      </c>
      <c r="D1747" s="1106"/>
      <c r="E1747" s="1106"/>
      <c r="F1747" s="1102"/>
      <c r="G1747" s="100"/>
      <c r="H1747" s="101"/>
      <c r="I1747" s="101">
        <v>120000</v>
      </c>
      <c r="J1747" s="101">
        <v>120000</v>
      </c>
      <c r="K1747" s="102">
        <v>120000</v>
      </c>
      <c r="L1747" s="10"/>
    </row>
    <row r="1748" spans="1:12" s="146" customFormat="1" ht="18" x14ac:dyDescent="0.25">
      <c r="A1748" s="1105"/>
      <c r="B1748" s="1106"/>
      <c r="C1748" s="38" t="s">
        <v>903</v>
      </c>
      <c r="D1748" s="1106"/>
      <c r="E1748" s="1106"/>
      <c r="F1748" s="1102"/>
      <c r="G1748" s="100"/>
      <c r="H1748" s="101"/>
      <c r="I1748" s="101"/>
      <c r="J1748" s="101"/>
      <c r="K1748" s="102"/>
      <c r="L1748" s="10"/>
    </row>
    <row r="1749" spans="1:12" s="146" customFormat="1" ht="18" x14ac:dyDescent="0.25">
      <c r="A1749" s="1105"/>
      <c r="B1749" s="1106"/>
      <c r="C1749" s="38" t="s">
        <v>1894</v>
      </c>
      <c r="D1749" s="1106"/>
      <c r="E1749" s="1106"/>
      <c r="F1749" s="1102"/>
      <c r="G1749" s="100"/>
      <c r="H1749" s="101"/>
      <c r="I1749" s="101">
        <v>72000</v>
      </c>
      <c r="J1749" s="101">
        <v>72000</v>
      </c>
      <c r="K1749" s="102">
        <v>72000</v>
      </c>
      <c r="L1749" s="10"/>
    </row>
    <row r="1750" spans="1:12" s="146" customFormat="1" ht="18" x14ac:dyDescent="0.25">
      <c r="A1750" s="1105"/>
      <c r="B1750" s="1106"/>
      <c r="C1750" s="38" t="s">
        <v>1895</v>
      </c>
      <c r="D1750" s="1106"/>
      <c r="E1750" s="1106"/>
      <c r="F1750" s="1102"/>
      <c r="G1750" s="100"/>
      <c r="H1750" s="101"/>
      <c r="I1750" s="1156"/>
      <c r="J1750" s="1156"/>
      <c r="K1750" s="1154"/>
      <c r="L1750" s="10"/>
    </row>
    <row r="1751" spans="1:12" s="146" customFormat="1" ht="38.25" customHeight="1" x14ac:dyDescent="0.25">
      <c r="A1751" s="1105"/>
      <c r="B1751" s="1106"/>
      <c r="C1751" s="1634" t="s">
        <v>1896</v>
      </c>
      <c r="D1751" s="1634"/>
      <c r="E1751" s="1634"/>
      <c r="F1751" s="1653"/>
      <c r="G1751" s="100"/>
      <c r="H1751" s="101"/>
      <c r="I1751" s="1156"/>
      <c r="J1751" s="1156"/>
      <c r="K1751" s="1154"/>
      <c r="L1751" s="10"/>
    </row>
    <row r="1752" spans="1:12" s="146" customFormat="1" ht="55.5" customHeight="1" x14ac:dyDescent="0.25">
      <c r="A1752" s="1105"/>
      <c r="B1752" s="1106"/>
      <c r="C1752" s="1628" t="s">
        <v>1897</v>
      </c>
      <c r="D1752" s="1628"/>
      <c r="E1752" s="1106"/>
      <c r="F1752" s="1102"/>
      <c r="G1752" s="100"/>
      <c r="H1752" s="101"/>
      <c r="I1752" s="101">
        <v>72000</v>
      </c>
      <c r="J1752" s="101">
        <v>72000</v>
      </c>
      <c r="K1752" s="102">
        <v>72000</v>
      </c>
      <c r="L1752" s="10"/>
    </row>
    <row r="1753" spans="1:12" s="146" customFormat="1" ht="38.25" customHeight="1" x14ac:dyDescent="0.25">
      <c r="A1753" s="1105"/>
      <c r="B1753" s="1106"/>
      <c r="C1753" s="1617" t="s">
        <v>1898</v>
      </c>
      <c r="D1753" s="1617"/>
      <c r="E1753" s="1106"/>
      <c r="F1753" s="1102"/>
      <c r="G1753" s="100"/>
      <c r="H1753" s="101"/>
      <c r="I1753" s="101">
        <v>36000</v>
      </c>
      <c r="J1753" s="101">
        <v>36000</v>
      </c>
      <c r="K1753" s="102">
        <v>36000</v>
      </c>
      <c r="L1753" s="10"/>
    </row>
    <row r="1754" spans="1:12" s="146" customFormat="1" ht="18" x14ac:dyDescent="0.25">
      <c r="A1754" s="1105"/>
      <c r="B1754" s="1106"/>
      <c r="C1754" s="38" t="s">
        <v>1899</v>
      </c>
      <c r="D1754" s="1106"/>
      <c r="E1754" s="1106"/>
      <c r="F1754" s="1102"/>
      <c r="G1754" s="100"/>
      <c r="H1754" s="101"/>
      <c r="I1754" s="101"/>
      <c r="J1754" s="101"/>
      <c r="K1754" s="102"/>
      <c r="L1754" s="10"/>
    </row>
    <row r="1755" spans="1:12" s="146" customFormat="1" ht="18" x14ac:dyDescent="0.25">
      <c r="A1755" s="1105"/>
      <c r="B1755" s="1106"/>
      <c r="C1755" s="38" t="s">
        <v>1900</v>
      </c>
      <c r="D1755" s="1106"/>
      <c r="E1755" s="1106"/>
      <c r="F1755" s="1102"/>
      <c r="G1755" s="100"/>
      <c r="H1755" s="101"/>
      <c r="I1755" s="101">
        <v>100000</v>
      </c>
      <c r="J1755" s="101">
        <v>100000</v>
      </c>
      <c r="K1755" s="102">
        <v>100000</v>
      </c>
      <c r="L1755" s="10"/>
    </row>
    <row r="1756" spans="1:12" s="146" customFormat="1" ht="18" x14ac:dyDescent="0.25">
      <c r="A1756" s="1105"/>
      <c r="B1756" s="1106"/>
      <c r="C1756" s="38" t="s">
        <v>1901</v>
      </c>
      <c r="D1756" s="1106"/>
      <c r="E1756" s="1106"/>
      <c r="F1756" s="1102"/>
      <c r="G1756" s="100"/>
      <c r="H1756" s="101"/>
      <c r="I1756" s="101"/>
      <c r="J1756" s="101"/>
      <c r="K1756" s="102"/>
      <c r="L1756" s="10"/>
    </row>
    <row r="1757" spans="1:12" s="146" customFormat="1" ht="18" x14ac:dyDescent="0.25">
      <c r="A1757" s="1105"/>
      <c r="B1757" s="1106"/>
      <c r="C1757" s="38" t="s">
        <v>1902</v>
      </c>
      <c r="D1757" s="1106"/>
      <c r="E1757" s="1106"/>
      <c r="F1757" s="1102"/>
      <c r="G1757" s="100"/>
      <c r="H1757" s="101"/>
      <c r="I1757" s="101">
        <v>44000</v>
      </c>
      <c r="J1757" s="101">
        <v>44000</v>
      </c>
      <c r="K1757" s="102">
        <v>44000</v>
      </c>
      <c r="L1757" s="10"/>
    </row>
    <row r="1758" spans="1:12" s="146" customFormat="1" ht="18" x14ac:dyDescent="0.25">
      <c r="A1758" s="1105"/>
      <c r="B1758" s="1106"/>
      <c r="C1758" s="38" t="s">
        <v>1903</v>
      </c>
      <c r="D1758" s="1106"/>
      <c r="E1758" s="1106"/>
      <c r="F1758" s="1106"/>
      <c r="G1758" s="100"/>
      <c r="H1758" s="101"/>
      <c r="I1758" s="101">
        <v>90000</v>
      </c>
      <c r="J1758" s="101">
        <v>90000</v>
      </c>
      <c r="K1758" s="102">
        <v>90000</v>
      </c>
      <c r="L1758" s="10"/>
    </row>
    <row r="1759" spans="1:12" s="146" customFormat="1" ht="39" customHeight="1" x14ac:dyDescent="0.25">
      <c r="A1759" s="1105"/>
      <c r="B1759" s="1106"/>
      <c r="C1759" s="1628" t="s">
        <v>1904</v>
      </c>
      <c r="D1759" s="1628"/>
      <c r="E1759" s="1106"/>
      <c r="F1759" s="1106"/>
      <c r="G1759" s="100"/>
      <c r="H1759" s="101"/>
      <c r="I1759" s="101"/>
      <c r="J1759" s="101"/>
      <c r="K1759" s="102"/>
      <c r="L1759" s="10"/>
    </row>
    <row r="1760" spans="1:12" s="146" customFormat="1" ht="18" x14ac:dyDescent="0.25">
      <c r="A1760" s="1105"/>
      <c r="B1760" s="1106"/>
      <c r="C1760" s="38" t="s">
        <v>1905</v>
      </c>
      <c r="D1760" s="1106"/>
      <c r="E1760" s="1106"/>
      <c r="F1760" s="1106"/>
      <c r="G1760" s="100"/>
      <c r="H1760" s="101"/>
      <c r="I1760" s="101">
        <v>20000</v>
      </c>
      <c r="J1760" s="101">
        <v>20000</v>
      </c>
      <c r="K1760" s="102">
        <v>20000</v>
      </c>
      <c r="L1760" s="10"/>
    </row>
    <row r="1761" spans="1:12" s="146" customFormat="1" ht="18" x14ac:dyDescent="0.25">
      <c r="A1761" s="1105"/>
      <c r="B1761" s="1106"/>
      <c r="C1761" s="38" t="s">
        <v>1906</v>
      </c>
      <c r="D1761" s="1106"/>
      <c r="E1761" s="1106"/>
      <c r="F1761" s="1106"/>
      <c r="G1761" s="100"/>
      <c r="H1761" s="105"/>
      <c r="I1761" s="105"/>
      <c r="J1761" s="105"/>
      <c r="K1761" s="106"/>
      <c r="L1761" s="10"/>
    </row>
    <row r="1762" spans="1:12" s="146" customFormat="1" ht="18" x14ac:dyDescent="0.25">
      <c r="A1762" s="1105"/>
      <c r="B1762" s="1106"/>
      <c r="C1762" s="1111" t="s">
        <v>200</v>
      </c>
      <c r="E1762" s="390"/>
      <c r="F1762" s="390"/>
      <c r="G1762" s="100"/>
      <c r="H1762" s="119">
        <f>SUM(H1723:H1761)</f>
        <v>0</v>
      </c>
      <c r="I1762" s="119">
        <f>SUM(I1723:I1761)</f>
        <v>1314000</v>
      </c>
      <c r="J1762" s="119">
        <f>SUM(J1723:J1761)</f>
        <v>1314000</v>
      </c>
      <c r="K1762" s="150">
        <f>SUM(K1723:K1761)</f>
        <v>1164000</v>
      </c>
      <c r="L1762" s="10"/>
    </row>
    <row r="1763" spans="1:12" s="146" customFormat="1" ht="18" x14ac:dyDescent="0.25">
      <c r="A1763" s="1105"/>
      <c r="B1763" s="1106"/>
      <c r="C1763" s="1111" t="s">
        <v>15</v>
      </c>
      <c r="D1763" s="573"/>
      <c r="E1763" s="1106"/>
      <c r="F1763" s="1102"/>
      <c r="G1763" s="100"/>
      <c r="H1763" s="1158">
        <f>H1762+H1720+H1706</f>
        <v>0</v>
      </c>
      <c r="I1763" s="1158">
        <f>I1762+I1720+I1706</f>
        <v>11497420</v>
      </c>
      <c r="J1763" s="1158">
        <f>J1762+J1720+J1706</f>
        <v>9987420</v>
      </c>
      <c r="K1763" s="1157">
        <f>K1762+K1720+K1706</f>
        <v>4564000</v>
      </c>
      <c r="L1763" s="10"/>
    </row>
    <row r="1764" spans="1:12" s="146" customFormat="1" ht="18" x14ac:dyDescent="0.25">
      <c r="A1764" s="1105"/>
      <c r="B1764" s="1106"/>
      <c r="C1764" s="38"/>
      <c r="D1764" s="1111"/>
      <c r="E1764" s="1106"/>
      <c r="F1764" s="1102"/>
      <c r="G1764" s="100"/>
      <c r="H1764" s="155"/>
      <c r="I1764" s="155"/>
      <c r="J1764" s="155"/>
      <c r="K1764" s="156"/>
      <c r="L1764" s="10"/>
    </row>
    <row r="1765" spans="1:12" ht="18" x14ac:dyDescent="0.25">
      <c r="A1765" s="1105"/>
      <c r="B1765" s="1106"/>
      <c r="C1765" s="1620" t="s">
        <v>918</v>
      </c>
      <c r="D1765" s="1620"/>
      <c r="E1765" s="1620"/>
      <c r="F1765" s="1621"/>
      <c r="G1765" s="100"/>
      <c r="H1765" s="101"/>
      <c r="I1765" s="101"/>
      <c r="J1765" s="101"/>
      <c r="K1765" s="102"/>
    </row>
    <row r="1766" spans="1:12" ht="18" x14ac:dyDescent="0.25">
      <c r="A1766" s="1105"/>
      <c r="B1766" s="1106"/>
      <c r="C1766" s="1620" t="s">
        <v>813</v>
      </c>
      <c r="D1766" s="1620"/>
      <c r="E1766" s="1620"/>
      <c r="F1766" s="1621"/>
      <c r="G1766" s="100"/>
      <c r="H1766" s="101"/>
      <c r="I1766" s="101"/>
      <c r="J1766" s="101"/>
      <c r="K1766" s="102"/>
    </row>
    <row r="1767" spans="1:12" ht="18" x14ac:dyDescent="0.25">
      <c r="A1767" s="1105"/>
      <c r="B1767" s="1106"/>
      <c r="C1767" s="1107" t="s">
        <v>815</v>
      </c>
      <c r="D1767" s="1111"/>
      <c r="E1767" s="1111"/>
      <c r="F1767" s="1112"/>
      <c r="G1767" s="100"/>
      <c r="H1767" s="101"/>
      <c r="I1767" s="101"/>
      <c r="J1767" s="101"/>
      <c r="K1767" s="102"/>
    </row>
    <row r="1768" spans="1:12" s="212" customFormat="1" ht="18" customHeight="1" x14ac:dyDescent="0.25">
      <c r="A1768" s="154"/>
      <c r="B1768" s="1107"/>
      <c r="C1768" s="44" t="s">
        <v>806</v>
      </c>
      <c r="D1768" s="125"/>
      <c r="E1768" s="125"/>
      <c r="F1768" s="134"/>
      <c r="G1768" s="100" t="s">
        <v>169</v>
      </c>
      <c r="H1768" s="101"/>
      <c r="I1768" s="101">
        <v>63763</v>
      </c>
      <c r="J1768" s="101">
        <v>63763</v>
      </c>
      <c r="K1768" s="102">
        <v>30000</v>
      </c>
      <c r="L1768" s="207"/>
    </row>
    <row r="1769" spans="1:12" s="212" customFormat="1" ht="18" customHeight="1" x14ac:dyDescent="0.25">
      <c r="A1769" s="154"/>
      <c r="B1769" s="1107"/>
      <c r="C1769" s="44" t="s">
        <v>873</v>
      </c>
      <c r="D1769" s="125"/>
      <c r="E1769" s="125"/>
      <c r="F1769" s="134"/>
      <c r="G1769" s="100" t="s">
        <v>173</v>
      </c>
      <c r="H1769" s="101"/>
      <c r="I1769" s="101">
        <v>240000</v>
      </c>
      <c r="J1769" s="101">
        <v>240000</v>
      </c>
      <c r="K1769" s="102">
        <v>100000</v>
      </c>
      <c r="L1769" s="207"/>
    </row>
    <row r="1770" spans="1:12" s="212" customFormat="1" ht="18" customHeight="1" x14ac:dyDescent="0.25">
      <c r="A1770" s="154"/>
      <c r="B1770" s="1107"/>
      <c r="C1770" s="44" t="s">
        <v>919</v>
      </c>
      <c r="D1770" s="125"/>
      <c r="E1770" s="125"/>
      <c r="F1770" s="134"/>
      <c r="G1770" s="100" t="s">
        <v>171</v>
      </c>
      <c r="H1770" s="101"/>
      <c r="I1770" s="101">
        <v>95000</v>
      </c>
      <c r="J1770" s="101">
        <v>95000</v>
      </c>
      <c r="K1770" s="102">
        <v>50000</v>
      </c>
      <c r="L1770" s="207"/>
    </row>
    <row r="1771" spans="1:12" s="229" customFormat="1" ht="18" x14ac:dyDescent="0.25">
      <c r="A1771" s="154"/>
      <c r="B1771" s="1107"/>
      <c r="C1771" s="44" t="s">
        <v>814</v>
      </c>
      <c r="D1771" s="125"/>
      <c r="E1771" s="124"/>
      <c r="F1771" s="230"/>
      <c r="G1771" s="100" t="s">
        <v>183</v>
      </c>
      <c r="H1771" s="105"/>
      <c r="I1771" s="105">
        <v>36000</v>
      </c>
      <c r="J1771" s="105">
        <v>36000</v>
      </c>
      <c r="K1771" s="106">
        <v>36000</v>
      </c>
      <c r="L1771" s="207"/>
    </row>
    <row r="1772" spans="1:12" s="146" customFormat="1" ht="18" x14ac:dyDescent="0.25">
      <c r="A1772" s="1105"/>
      <c r="B1772" s="1106"/>
      <c r="C1772" s="1111" t="s">
        <v>200</v>
      </c>
      <c r="D1772" s="573"/>
      <c r="E1772" s="1106"/>
      <c r="F1772" s="1102"/>
      <c r="G1772" s="100"/>
      <c r="H1772" s="119">
        <f>SUM(H1767:H1771)</f>
        <v>0</v>
      </c>
      <c r="I1772" s="119">
        <f>SUM(I1767:I1771)</f>
        <v>434763</v>
      </c>
      <c r="J1772" s="119">
        <f>SUM(J1767:J1771)</f>
        <v>434763</v>
      </c>
      <c r="K1772" s="150">
        <f>SUM(K1767:K1771)</f>
        <v>216000</v>
      </c>
      <c r="L1772" s="10"/>
    </row>
    <row r="1773" spans="1:12" s="146" customFormat="1" ht="18" x14ac:dyDescent="0.25">
      <c r="A1773" s="1105"/>
      <c r="B1773" s="1106"/>
      <c r="C1773" s="38"/>
      <c r="D1773" s="1111"/>
      <c r="E1773" s="1106"/>
      <c r="F1773" s="1102"/>
      <c r="G1773" s="100"/>
      <c r="H1773" s="155"/>
      <c r="I1773" s="155"/>
      <c r="J1773" s="155"/>
      <c r="K1773" s="156"/>
      <c r="L1773" s="10"/>
    </row>
    <row r="1774" spans="1:12" s="146" customFormat="1" ht="18" customHeight="1" x14ac:dyDescent="0.25">
      <c r="A1774" s="1105"/>
      <c r="B1774" s="1106"/>
      <c r="C1774" s="129" t="s">
        <v>1872</v>
      </c>
      <c r="D1774" s="152"/>
      <c r="E1774" s="152"/>
      <c r="F1774" s="152"/>
      <c r="G1774" s="100"/>
      <c r="H1774" s="101"/>
      <c r="I1774" s="101"/>
      <c r="J1774" s="101"/>
      <c r="K1774" s="102"/>
      <c r="L1774" s="10"/>
    </row>
    <row r="1775" spans="1:12" s="194" customFormat="1" ht="18" customHeight="1" x14ac:dyDescent="0.25">
      <c r="A1775" s="1105"/>
      <c r="B1775" s="1106"/>
      <c r="C1775" s="44" t="s">
        <v>924</v>
      </c>
      <c r="D1775" s="125"/>
      <c r="E1775" s="125"/>
      <c r="F1775" s="125"/>
      <c r="G1775" s="100"/>
      <c r="H1775" s="101"/>
      <c r="I1775" s="101"/>
      <c r="J1775" s="101"/>
      <c r="K1775" s="102"/>
      <c r="L1775" s="10"/>
    </row>
    <row r="1776" spans="1:12" s="194" customFormat="1" ht="18" customHeight="1" x14ac:dyDescent="0.25">
      <c r="A1776" s="1105"/>
      <c r="B1776" s="1106"/>
      <c r="C1776" s="44" t="s">
        <v>925</v>
      </c>
      <c r="D1776" s="125"/>
      <c r="E1776" s="125"/>
      <c r="F1776" s="125"/>
      <c r="G1776" s="100"/>
      <c r="H1776" s="101"/>
      <c r="I1776" s="101"/>
      <c r="J1776" s="101"/>
      <c r="K1776" s="102"/>
      <c r="L1776" s="10"/>
    </row>
    <row r="1777" spans="1:12" s="194" customFormat="1" ht="18" customHeight="1" x14ac:dyDescent="0.25">
      <c r="A1777" s="1105"/>
      <c r="B1777" s="1106"/>
      <c r="C1777" s="44" t="s">
        <v>926</v>
      </c>
      <c r="D1777" s="125"/>
      <c r="E1777" s="125"/>
      <c r="F1777" s="125"/>
      <c r="G1777" s="100"/>
      <c r="H1777" s="101"/>
      <c r="I1777" s="101"/>
      <c r="J1777" s="101"/>
      <c r="K1777" s="102"/>
      <c r="L1777" s="10"/>
    </row>
    <row r="1778" spans="1:12" s="146" customFormat="1" ht="18" x14ac:dyDescent="0.25">
      <c r="A1778" s="1105"/>
      <c r="B1778" s="1106"/>
      <c r="C1778" s="38" t="s">
        <v>1907</v>
      </c>
      <c r="D1778" s="157"/>
      <c r="E1778" s="1106"/>
      <c r="F1778" s="1102"/>
      <c r="G1778" s="100"/>
      <c r="H1778" s="105"/>
      <c r="I1778" s="105"/>
      <c r="J1778" s="105"/>
      <c r="K1778" s="106"/>
      <c r="L1778" s="10"/>
    </row>
    <row r="1779" spans="1:12" s="146" customFormat="1" ht="18.75" thickBot="1" x14ac:dyDescent="0.3">
      <c r="A1779" s="1105"/>
      <c r="B1779" s="1106"/>
      <c r="C1779" s="1111" t="s">
        <v>200</v>
      </c>
      <c r="E1779" s="1111"/>
      <c r="F1779" s="1112"/>
      <c r="G1779" s="392"/>
      <c r="H1779" s="119">
        <f>SUM(H1775:H1778)</f>
        <v>0</v>
      </c>
      <c r="I1779" s="119">
        <f>SUM(I1775:I1778)</f>
        <v>0</v>
      </c>
      <c r="J1779" s="119">
        <f>SUM(J1775:J1778)</f>
        <v>0</v>
      </c>
      <c r="K1779" s="150">
        <f>SUM(K1775:K1778)</f>
        <v>0</v>
      </c>
      <c r="L1779" s="10"/>
    </row>
    <row r="1780" spans="1:12" s="146" customFormat="1" ht="18" x14ac:dyDescent="0.25">
      <c r="A1780" s="1105"/>
      <c r="B1780" s="1106"/>
      <c r="C1780" s="1111" t="s">
        <v>15</v>
      </c>
      <c r="E1780" s="1111"/>
      <c r="F1780" s="1112"/>
      <c r="G1780" s="301"/>
      <c r="H1780" s="119">
        <f>H1779+H1772</f>
        <v>0</v>
      </c>
      <c r="I1780" s="119">
        <f>I1779+I1772</f>
        <v>434763</v>
      </c>
      <c r="J1780" s="119">
        <f>J1779+J1772</f>
        <v>434763</v>
      </c>
      <c r="K1780" s="150">
        <f>K1779+K1772</f>
        <v>216000</v>
      </c>
      <c r="L1780" s="10"/>
    </row>
    <row r="1781" spans="1:12" s="146" customFormat="1" ht="14.1" customHeight="1" x14ac:dyDescent="0.25">
      <c r="A1781" s="1105"/>
      <c r="B1781" s="1106"/>
      <c r="C1781" s="1098"/>
      <c r="D1781" s="1111"/>
      <c r="E1781" s="1111"/>
      <c r="F1781" s="1112"/>
      <c r="G1781" s="301"/>
      <c r="H1781" s="155"/>
      <c r="I1781" s="155"/>
      <c r="J1781" s="155"/>
      <c r="K1781" s="156"/>
      <c r="L1781" s="10"/>
    </row>
    <row r="1782" spans="1:12" s="146" customFormat="1" ht="18" x14ac:dyDescent="0.25">
      <c r="A1782" s="1105"/>
      <c r="B1782" s="1106"/>
      <c r="C1782" s="36" t="s">
        <v>931</v>
      </c>
      <c r="D1782" s="393"/>
      <c r="E1782" s="1106"/>
      <c r="F1782" s="1102"/>
      <c r="G1782" s="100"/>
      <c r="H1782" s="101"/>
      <c r="I1782" s="101"/>
      <c r="J1782" s="101"/>
      <c r="K1782" s="102"/>
      <c r="L1782" s="10"/>
    </row>
    <row r="1783" spans="1:12" s="146" customFormat="1" ht="18" x14ac:dyDescent="0.25">
      <c r="A1783" s="1105"/>
      <c r="B1783" s="1106"/>
      <c r="C1783" s="36" t="s">
        <v>932</v>
      </c>
      <c r="D1783" s="157"/>
      <c r="E1783" s="1106"/>
      <c r="F1783" s="1102"/>
      <c r="G1783" s="100"/>
      <c r="H1783" s="101"/>
      <c r="I1783" s="101"/>
      <c r="J1783" s="101"/>
      <c r="K1783" s="102"/>
      <c r="L1783" s="10"/>
    </row>
    <row r="1784" spans="1:12" s="146" customFormat="1" ht="18" x14ac:dyDescent="0.25">
      <c r="A1784" s="1105"/>
      <c r="B1784" s="1106"/>
      <c r="C1784" s="38" t="s">
        <v>1908</v>
      </c>
      <c r="D1784" s="157"/>
      <c r="E1784" s="1106"/>
      <c r="F1784" s="1102"/>
      <c r="G1784" s="100"/>
      <c r="H1784" s="101"/>
      <c r="I1784" s="101"/>
      <c r="J1784" s="101"/>
      <c r="K1784" s="102">
        <v>36000</v>
      </c>
      <c r="L1784" s="10"/>
    </row>
    <row r="1785" spans="1:12" s="146" customFormat="1" ht="18" x14ac:dyDescent="0.25">
      <c r="A1785" s="1105"/>
      <c r="B1785" s="1106"/>
      <c r="C1785" s="38" t="s">
        <v>791</v>
      </c>
      <c r="D1785" s="3"/>
      <c r="E1785" s="1106"/>
      <c r="F1785" s="1102"/>
      <c r="G1785" s="394" t="s">
        <v>169</v>
      </c>
      <c r="H1785" s="101"/>
      <c r="I1785" s="101">
        <v>141745</v>
      </c>
      <c r="J1785" s="101">
        <v>141745</v>
      </c>
      <c r="K1785" s="102">
        <v>80000</v>
      </c>
      <c r="L1785" s="10"/>
    </row>
    <row r="1786" spans="1:12" s="146" customFormat="1" ht="18" x14ac:dyDescent="0.25">
      <c r="A1786" s="1105"/>
      <c r="B1786" s="1106"/>
      <c r="C1786" s="38" t="s">
        <v>933</v>
      </c>
      <c r="D1786" s="3"/>
      <c r="E1786" s="1106"/>
      <c r="F1786" s="1102"/>
      <c r="G1786" s="394" t="s">
        <v>173</v>
      </c>
      <c r="H1786" s="101"/>
      <c r="I1786" s="101">
        <v>699600</v>
      </c>
      <c r="J1786" s="101">
        <v>699600</v>
      </c>
      <c r="K1786" s="102">
        <v>350000</v>
      </c>
      <c r="L1786" s="10"/>
    </row>
    <row r="1787" spans="1:12" s="146" customFormat="1" ht="18" x14ac:dyDescent="0.25">
      <c r="A1787" s="1105"/>
      <c r="B1787" s="1106"/>
      <c r="C1787" s="38" t="s">
        <v>1909</v>
      </c>
      <c r="D1787" s="3"/>
      <c r="E1787" s="1106"/>
      <c r="F1787" s="1102"/>
      <c r="G1787" s="394" t="s">
        <v>171</v>
      </c>
      <c r="H1787" s="101"/>
      <c r="I1787" s="101">
        <v>312554</v>
      </c>
      <c r="J1787" s="101">
        <v>312554</v>
      </c>
      <c r="K1787" s="102">
        <v>100000</v>
      </c>
      <c r="L1787" s="10"/>
    </row>
    <row r="1788" spans="1:12" s="146" customFormat="1" ht="18" x14ac:dyDescent="0.25">
      <c r="A1788" s="1105"/>
      <c r="B1788" s="1106"/>
      <c r="C1788" s="38" t="s">
        <v>1910</v>
      </c>
      <c r="D1788" s="3"/>
      <c r="E1788" s="1106"/>
      <c r="F1788" s="1102"/>
      <c r="G1788" s="394" t="s">
        <v>189</v>
      </c>
      <c r="H1788" s="105"/>
      <c r="I1788" s="105">
        <v>415000</v>
      </c>
      <c r="J1788" s="105">
        <v>415000</v>
      </c>
      <c r="K1788" s="106">
        <v>415000</v>
      </c>
      <c r="L1788" s="10"/>
    </row>
    <row r="1789" spans="1:12" s="146" customFormat="1" ht="18" x14ac:dyDescent="0.25">
      <c r="A1789" s="1105"/>
      <c r="B1789" s="1106"/>
      <c r="C1789" s="1111" t="s">
        <v>15</v>
      </c>
      <c r="E1789" s="1106"/>
      <c r="F1789" s="1106"/>
      <c r="G1789" s="100"/>
      <c r="H1789" s="155">
        <f>SUM(H1784:H1788)</f>
        <v>0</v>
      </c>
      <c r="I1789" s="155">
        <f>SUM(I1784:I1788)</f>
        <v>1568899</v>
      </c>
      <c r="J1789" s="155">
        <f>SUM(J1784:J1788)</f>
        <v>1568899</v>
      </c>
      <c r="K1789" s="156">
        <f>SUM(K1784:K1788)</f>
        <v>981000</v>
      </c>
      <c r="L1789" s="10"/>
    </row>
    <row r="1790" spans="1:12" s="146" customFormat="1" ht="18" x14ac:dyDescent="0.25">
      <c r="A1790" s="1105"/>
      <c r="B1790" s="1106"/>
      <c r="C1790" s="1111"/>
      <c r="E1790" s="1106"/>
      <c r="F1790" s="1106"/>
      <c r="G1790" s="100"/>
      <c r="H1790" s="155"/>
      <c r="I1790" s="155"/>
      <c r="J1790" s="155"/>
      <c r="K1790" s="156"/>
      <c r="L1790" s="10"/>
    </row>
    <row r="1791" spans="1:12" s="146" customFormat="1" ht="18" customHeight="1" x14ac:dyDescent="0.25">
      <c r="A1791" s="1105"/>
      <c r="B1791" s="1106"/>
      <c r="C1791" s="152" t="s">
        <v>1872</v>
      </c>
      <c r="D1791" s="152"/>
      <c r="E1791" s="152"/>
      <c r="F1791" s="152"/>
      <c r="G1791" s="186"/>
      <c r="H1791" s="101"/>
      <c r="I1791" s="101"/>
      <c r="J1791" s="101"/>
      <c r="K1791" s="102"/>
      <c r="L1791" s="10"/>
    </row>
    <row r="1792" spans="1:12" s="388" customFormat="1" ht="18" customHeight="1" x14ac:dyDescent="0.25">
      <c r="A1792" s="154"/>
      <c r="B1792" s="1107"/>
      <c r="C1792" s="125" t="s">
        <v>1911</v>
      </c>
      <c r="D1792" s="125"/>
      <c r="E1792" s="125"/>
      <c r="F1792" s="125"/>
      <c r="G1792" s="97"/>
      <c r="H1792" s="101"/>
      <c r="I1792" s="101"/>
      <c r="J1792" s="101"/>
      <c r="K1792" s="102"/>
      <c r="L1792" s="207"/>
    </row>
    <row r="1793" spans="1:12" s="146" customFormat="1" ht="18" x14ac:dyDescent="0.25">
      <c r="A1793" s="1105"/>
      <c r="B1793" s="1106"/>
      <c r="C1793" s="395" t="s">
        <v>946</v>
      </c>
      <c r="D1793" s="396"/>
      <c r="E1793" s="397"/>
      <c r="F1793" s="397"/>
      <c r="G1793" s="398"/>
      <c r="H1793" s="399"/>
      <c r="I1793" s="399">
        <v>115000</v>
      </c>
      <c r="J1793" s="399"/>
      <c r="K1793" s="102"/>
      <c r="L1793" s="10"/>
    </row>
    <row r="1794" spans="1:12" s="146" customFormat="1" ht="18" x14ac:dyDescent="0.25">
      <c r="A1794" s="1105"/>
      <c r="B1794" s="1106"/>
      <c r="C1794" s="395" t="s">
        <v>947</v>
      </c>
      <c r="D1794" s="396"/>
      <c r="E1794" s="397"/>
      <c r="F1794" s="397"/>
      <c r="G1794" s="398"/>
      <c r="H1794" s="399"/>
      <c r="I1794" s="399"/>
      <c r="J1794" s="399"/>
      <c r="K1794" s="102"/>
      <c r="L1794" s="10"/>
    </row>
    <row r="1795" spans="1:12" s="146" customFormat="1" ht="18" x14ac:dyDescent="0.25">
      <c r="A1795" s="1105"/>
      <c r="B1795" s="1106"/>
      <c r="C1795" s="38" t="s">
        <v>948</v>
      </c>
      <c r="D1795" s="157"/>
      <c r="E1795" s="1106"/>
      <c r="F1795" s="1106"/>
      <c r="G1795" s="100"/>
      <c r="H1795" s="101"/>
      <c r="I1795" s="101"/>
      <c r="J1795" s="101"/>
      <c r="K1795" s="102"/>
      <c r="L1795" s="10"/>
    </row>
    <row r="1796" spans="1:12" s="146" customFormat="1" ht="18" x14ac:dyDescent="0.25">
      <c r="A1796" s="1105"/>
      <c r="B1796" s="1106"/>
      <c r="C1796" s="38" t="s">
        <v>949</v>
      </c>
      <c r="D1796" s="157"/>
      <c r="E1796" s="1106"/>
      <c r="F1796" s="1102"/>
      <c r="G1796" s="100"/>
      <c r="H1796" s="105"/>
      <c r="I1796" s="105"/>
      <c r="J1796" s="105"/>
      <c r="K1796" s="106"/>
      <c r="L1796" s="10"/>
    </row>
    <row r="1797" spans="1:12" s="146" customFormat="1" ht="18" x14ac:dyDescent="0.25">
      <c r="A1797" s="1105"/>
      <c r="B1797" s="1106"/>
      <c r="C1797" s="1111" t="s">
        <v>200</v>
      </c>
      <c r="E1797" s="1111"/>
      <c r="F1797" s="1112"/>
      <c r="G1797" s="301"/>
      <c r="H1797" s="119">
        <f>SUM(H1792:H1796)</f>
        <v>0</v>
      </c>
      <c r="I1797" s="119">
        <f>SUM(I1792:I1796)</f>
        <v>115000</v>
      </c>
      <c r="J1797" s="119">
        <f>SUM(J1792:J1796)</f>
        <v>0</v>
      </c>
      <c r="K1797" s="150">
        <f>SUM(K1792:K1796)</f>
        <v>0</v>
      </c>
      <c r="L1797" s="10"/>
    </row>
    <row r="1798" spans="1:12" s="146" customFormat="1" ht="18.75" thickBot="1" x14ac:dyDescent="0.3">
      <c r="A1798" s="1105"/>
      <c r="B1798" s="1106"/>
      <c r="C1798" s="1111" t="s">
        <v>15</v>
      </c>
      <c r="D1798" s="573"/>
      <c r="E1798" s="1111"/>
      <c r="F1798" s="1112"/>
      <c r="G1798" s="301"/>
      <c r="H1798" s="182">
        <f>H1797+H1789</f>
        <v>0</v>
      </c>
      <c r="I1798" s="182">
        <f>I1797+I1789</f>
        <v>1683899</v>
      </c>
      <c r="J1798" s="182">
        <f>J1797+J1789</f>
        <v>1568899</v>
      </c>
      <c r="K1798" s="183">
        <f>K1797+K1789</f>
        <v>981000</v>
      </c>
      <c r="L1798" s="10"/>
    </row>
    <row r="1799" spans="1:12" s="146" customFormat="1" ht="18.75" thickBot="1" x14ac:dyDescent="0.3">
      <c r="A1799" s="187"/>
      <c r="B1799" s="1226"/>
      <c r="C1799" s="1216"/>
      <c r="D1799" s="1145"/>
      <c r="E1799" s="1226"/>
      <c r="F1799" s="431"/>
      <c r="G1799" s="308"/>
      <c r="H1799" s="182"/>
      <c r="I1799" s="182"/>
      <c r="J1799" s="182"/>
      <c r="K1799" s="183"/>
      <c r="L1799" s="10"/>
    </row>
    <row r="1800" spans="1:12" ht="18" x14ac:dyDescent="0.25">
      <c r="A1800" s="1106"/>
      <c r="B1800" s="1106"/>
      <c r="C1800" s="1111"/>
      <c r="D1800" s="235"/>
      <c r="E1800" s="1106"/>
      <c r="F1800" s="1106"/>
      <c r="G1800" s="381"/>
      <c r="H1800" s="126"/>
      <c r="I1800" s="126"/>
      <c r="J1800" s="126"/>
      <c r="K1800" s="127"/>
    </row>
    <row r="1801" spans="1:12" ht="18" x14ac:dyDescent="0.25">
      <c r="A1801" s="1106"/>
      <c r="B1801" s="1106"/>
      <c r="C1801" s="1111"/>
      <c r="D1801" s="235"/>
      <c r="E1801" s="1106"/>
      <c r="F1801" s="1106"/>
      <c r="G1801" s="381"/>
      <c r="H1801" s="126"/>
      <c r="I1801" s="126"/>
      <c r="J1801" s="126"/>
      <c r="K1801" s="127"/>
    </row>
    <row r="1802" spans="1:12" ht="18" x14ac:dyDescent="0.25">
      <c r="A1802" s="1106"/>
      <c r="B1802" s="1106"/>
      <c r="C1802" s="1111"/>
      <c r="D1802" s="235"/>
      <c r="E1802" s="1106"/>
      <c r="F1802" s="1106"/>
      <c r="G1802" s="381"/>
      <c r="H1802" s="126"/>
      <c r="I1802" s="126"/>
      <c r="J1802" s="126"/>
      <c r="K1802" s="127"/>
    </row>
    <row r="1803" spans="1:12" ht="18" x14ac:dyDescent="0.25">
      <c r="A1803" s="1106"/>
      <c r="B1803" s="1106"/>
      <c r="C1803" s="1111"/>
      <c r="D1803" s="235"/>
      <c r="E1803" s="1106"/>
      <c r="F1803" s="1106"/>
      <c r="G1803" s="381"/>
      <c r="H1803" s="126"/>
      <c r="I1803" s="126"/>
      <c r="J1803" s="126"/>
      <c r="K1803" s="127"/>
    </row>
    <row r="1804" spans="1:12" ht="18" x14ac:dyDescent="0.25">
      <c r="A1804" s="1106"/>
      <c r="B1804" s="1106"/>
      <c r="C1804" s="1111"/>
      <c r="D1804" s="235"/>
      <c r="E1804" s="1106"/>
      <c r="F1804" s="1106"/>
      <c r="G1804" s="381"/>
      <c r="H1804" s="126"/>
      <c r="I1804" s="126"/>
      <c r="J1804" s="126"/>
      <c r="K1804" s="127"/>
    </row>
    <row r="1805" spans="1:12" ht="18" x14ac:dyDescent="0.25">
      <c r="A1805" s="1106"/>
      <c r="B1805" s="1106"/>
      <c r="C1805" s="1111"/>
      <c r="D1805" s="235"/>
      <c r="E1805" s="1106"/>
      <c r="F1805" s="1106"/>
      <c r="G1805" s="381"/>
      <c r="H1805" s="126"/>
      <c r="I1805" s="126"/>
      <c r="J1805" s="126"/>
      <c r="K1805" s="127"/>
    </row>
    <row r="1806" spans="1:12" s="191" customFormat="1" ht="18" customHeight="1" x14ac:dyDescent="0.25">
      <c r="A1806" s="8" t="s">
        <v>112</v>
      </c>
      <c r="B1806" s="8"/>
      <c r="C1806" s="9"/>
      <c r="D1806" s="8"/>
      <c r="E1806" s="8"/>
      <c r="F1806" s="8"/>
      <c r="G1806" s="8"/>
      <c r="H1806" s="4"/>
      <c r="I1806" s="4"/>
      <c r="J1806" s="4"/>
      <c r="K1806" s="5"/>
      <c r="L1806" s="10"/>
    </row>
    <row r="1807" spans="1:12" ht="18" customHeight="1" x14ac:dyDescent="0.25">
      <c r="A1807" s="8" t="s">
        <v>1003</v>
      </c>
    </row>
    <row r="1808" spans="1:12" ht="18" customHeight="1" x14ac:dyDescent="0.25">
      <c r="A1808" s="1636" t="s">
        <v>113</v>
      </c>
      <c r="B1808" s="1636"/>
      <c r="C1808" s="1636"/>
      <c r="D1808" s="1636"/>
      <c r="E1808" s="1636"/>
      <c r="F1808" s="1636"/>
      <c r="G1808" s="1636"/>
      <c r="H1808" s="1636"/>
      <c r="I1808" s="1636"/>
      <c r="J1808" s="1636"/>
      <c r="K1808" s="1101"/>
    </row>
    <row r="1809" spans="1:12" s="7" customFormat="1" ht="18" customHeight="1" x14ac:dyDescent="0.25">
      <c r="A1809" s="1624" t="s">
        <v>114</v>
      </c>
      <c r="B1809" s="1624"/>
      <c r="C1809" s="1624"/>
      <c r="D1809" s="1624"/>
      <c r="E1809" s="1624"/>
      <c r="F1809" s="1624"/>
      <c r="G1809" s="1624"/>
      <c r="H1809" s="1624"/>
      <c r="I1809" s="1624"/>
      <c r="J1809" s="1624"/>
      <c r="K1809" s="159"/>
      <c r="L1809" s="6"/>
    </row>
    <row r="1810" spans="1:12" s="7" customFormat="1" ht="18" customHeight="1" x14ac:dyDescent="0.25">
      <c r="A1810" s="1115"/>
      <c r="B1810" s="1115"/>
      <c r="C1810" s="1115"/>
      <c r="D1810" s="1115"/>
      <c r="E1810" s="1115"/>
      <c r="F1810" s="1115"/>
      <c r="G1810" s="1115"/>
      <c r="H1810" s="1115"/>
      <c r="I1810" s="1115"/>
      <c r="J1810" s="1115"/>
      <c r="K1810" s="159"/>
      <c r="L1810" s="6"/>
    </row>
    <row r="1811" spans="1:12" ht="18.75" thickBot="1" x14ac:dyDescent="0.3">
      <c r="A1811" s="41"/>
      <c r="B1811" s="41"/>
      <c r="C1811" s="63"/>
      <c r="D1811" s="41"/>
      <c r="E1811" s="41"/>
      <c r="F1811" s="41"/>
      <c r="G1811" s="41"/>
    </row>
    <row r="1812" spans="1:12" s="48" customFormat="1" ht="21.75" customHeight="1" thickBot="1" x14ac:dyDescent="0.3">
      <c r="A1812" s="1655" t="s">
        <v>115</v>
      </c>
      <c r="B1812" s="1655"/>
      <c r="C1812" s="1655"/>
      <c r="D1812" s="1655"/>
      <c r="E1812" s="1655"/>
      <c r="F1812" s="1655"/>
      <c r="G1812" s="1151"/>
      <c r="H1812" s="1708" t="s">
        <v>1537</v>
      </c>
      <c r="I1812" s="1710" t="s">
        <v>1538</v>
      </c>
      <c r="J1812" s="1710" t="s">
        <v>1539</v>
      </c>
      <c r="K1812" s="1710" t="s">
        <v>1540</v>
      </c>
      <c r="L1812" s="47"/>
    </row>
    <row r="1813" spans="1:12" s="1153" customFormat="1" ht="31.5" customHeight="1" thickBot="1" x14ac:dyDescent="0.3">
      <c r="A1813" s="1655"/>
      <c r="B1813" s="1655"/>
      <c r="C1813" s="1655"/>
      <c r="D1813" s="1655"/>
      <c r="E1813" s="1655"/>
      <c r="F1813" s="1655"/>
      <c r="G1813" s="1129" t="s">
        <v>116</v>
      </c>
      <c r="H1813" s="1709"/>
      <c r="I1813" s="1710"/>
      <c r="J1813" s="1710"/>
      <c r="K1813" s="1710"/>
      <c r="L1813" s="1152"/>
    </row>
    <row r="1814" spans="1:12" s="1256" customFormat="1" ht="17.45" customHeight="1" x14ac:dyDescent="0.25">
      <c r="A1814" s="1251"/>
      <c r="B1814" s="1252"/>
      <c r="C1814" s="1141" t="s">
        <v>1912</v>
      </c>
      <c r="D1814" s="1252"/>
      <c r="E1814" s="1252"/>
      <c r="F1814" s="1253"/>
      <c r="G1814" s="1254"/>
      <c r="H1814" s="1255"/>
      <c r="I1814" s="1255"/>
      <c r="J1814" s="1255"/>
      <c r="K1814" s="1255"/>
      <c r="L1814" s="1152"/>
    </row>
    <row r="1815" spans="1:12" s="1256" customFormat="1" ht="17.45" customHeight="1" x14ac:dyDescent="0.25">
      <c r="A1815" s="1251"/>
      <c r="B1815" s="1252"/>
      <c r="C1815" s="1141" t="s">
        <v>1913</v>
      </c>
      <c r="D1815" s="1252"/>
      <c r="E1815" s="1252"/>
      <c r="F1815" s="1253"/>
      <c r="G1815" s="1254"/>
      <c r="H1815" s="1255"/>
      <c r="I1815" s="1255"/>
      <c r="J1815" s="1255"/>
      <c r="K1815" s="1255"/>
      <c r="L1815" s="1152"/>
    </row>
    <row r="1816" spans="1:12" s="1256" customFormat="1" ht="34.5" customHeight="1" x14ac:dyDescent="0.25">
      <c r="A1816" s="1251"/>
      <c r="B1816" s="1252"/>
      <c r="C1816" s="1574" t="s">
        <v>1914</v>
      </c>
      <c r="D1816" s="1574"/>
      <c r="E1816" s="1252"/>
      <c r="F1816" s="1253"/>
      <c r="G1816" s="1254"/>
      <c r="H1816" s="1255"/>
      <c r="I1816" s="1255"/>
      <c r="J1816" s="1255"/>
      <c r="K1816" s="1255"/>
      <c r="L1816" s="1152"/>
    </row>
    <row r="1817" spans="1:12" s="146" customFormat="1" ht="18" customHeight="1" x14ac:dyDescent="0.25">
      <c r="A1817" s="579"/>
      <c r="B1817" s="573"/>
      <c r="C1817" s="125" t="s">
        <v>951</v>
      </c>
      <c r="D1817" s="113"/>
      <c r="E1817" s="113"/>
      <c r="F1817" s="114"/>
      <c r="G1817" s="376"/>
      <c r="H1817" s="102"/>
      <c r="I1817" s="1154"/>
      <c r="J1817" s="1154"/>
      <c r="K1817" s="102"/>
      <c r="L1817" s="10"/>
    </row>
    <row r="1818" spans="1:12" s="146" customFormat="1" ht="18" customHeight="1" x14ac:dyDescent="0.25">
      <c r="A1818" s="579"/>
      <c r="B1818" s="573"/>
      <c r="C1818" s="125" t="s">
        <v>952</v>
      </c>
      <c r="D1818" s="113"/>
      <c r="E1818" s="113"/>
      <c r="F1818" s="1102"/>
      <c r="G1818" s="100"/>
      <c r="H1818" s="102"/>
      <c r="I1818" s="1154"/>
      <c r="J1818" s="1154"/>
      <c r="K1818" s="102">
        <v>150000</v>
      </c>
      <c r="L1818" s="10"/>
    </row>
    <row r="1819" spans="1:12" s="146" customFormat="1" ht="18" x14ac:dyDescent="0.25">
      <c r="A1819" s="579"/>
      <c r="B1819" s="573"/>
      <c r="C1819" s="206" t="s">
        <v>953</v>
      </c>
      <c r="D1819" s="199"/>
      <c r="E1819" s="199"/>
      <c r="F1819" s="1102"/>
      <c r="G1819" s="100"/>
      <c r="H1819" s="102"/>
      <c r="I1819" s="1154"/>
      <c r="J1819" s="1154"/>
      <c r="K1819" s="102"/>
      <c r="L1819" s="10"/>
    </row>
    <row r="1820" spans="1:12" s="146" customFormat="1" ht="36" customHeight="1" x14ac:dyDescent="0.25">
      <c r="A1820" s="579"/>
      <c r="B1820" s="573"/>
      <c r="C1820" s="1634" t="s">
        <v>954</v>
      </c>
      <c r="D1820" s="1634"/>
      <c r="E1820" s="1125"/>
      <c r="F1820" s="1102"/>
      <c r="G1820" s="100"/>
      <c r="H1820" s="102"/>
      <c r="I1820" s="102"/>
      <c r="J1820" s="102"/>
      <c r="K1820" s="102"/>
      <c r="L1820" s="10"/>
    </row>
    <row r="1821" spans="1:12" s="146" customFormat="1" ht="38.25" customHeight="1" x14ac:dyDescent="0.25">
      <c r="A1821" s="579"/>
      <c r="B1821" s="573"/>
      <c r="C1821" s="1634" t="s">
        <v>955</v>
      </c>
      <c r="D1821" s="1634"/>
      <c r="E1821" s="1125"/>
      <c r="F1821" s="1102"/>
      <c r="G1821" s="100"/>
      <c r="H1821" s="102"/>
      <c r="I1821" s="1154"/>
      <c r="J1821" s="1154"/>
      <c r="K1821" s="1154"/>
      <c r="L1821" s="10"/>
    </row>
    <row r="1822" spans="1:12" s="146" customFormat="1" ht="18" x14ac:dyDescent="0.25">
      <c r="A1822" s="579"/>
      <c r="B1822" s="573"/>
      <c r="C1822" s="1141" t="s">
        <v>956</v>
      </c>
      <c r="D1822" s="1121"/>
      <c r="E1822" s="1121"/>
      <c r="F1822" s="1102"/>
      <c r="G1822" s="100"/>
      <c r="H1822" s="102"/>
      <c r="I1822" s="102"/>
      <c r="J1822" s="102"/>
      <c r="K1822" s="102"/>
      <c r="L1822" s="10"/>
    </row>
    <row r="1823" spans="1:12" s="146" customFormat="1" ht="18" x14ac:dyDescent="0.25">
      <c r="A1823" s="579"/>
      <c r="B1823" s="573"/>
      <c r="C1823" s="1141" t="s">
        <v>957</v>
      </c>
      <c r="D1823" s="1121"/>
      <c r="E1823" s="1121"/>
      <c r="F1823" s="1102"/>
      <c r="G1823" s="100"/>
      <c r="H1823" s="106"/>
      <c r="I1823" s="1257"/>
      <c r="J1823" s="1257"/>
      <c r="K1823" s="1257"/>
      <c r="L1823" s="10"/>
    </row>
    <row r="1824" spans="1:12" ht="18.75" thickBot="1" x14ac:dyDescent="0.3">
      <c r="A1824" s="1105"/>
      <c r="B1824" s="1106"/>
      <c r="C1824" s="1111" t="s">
        <v>15</v>
      </c>
      <c r="D1824" s="235"/>
      <c r="E1824" s="1106"/>
      <c r="F1824" s="1102"/>
      <c r="G1824" s="308"/>
      <c r="H1824" s="123">
        <f>SUM(H1814:H1823)</f>
        <v>0</v>
      </c>
      <c r="I1824" s="123">
        <f>SUM(I1814:I1823)</f>
        <v>0</v>
      </c>
      <c r="J1824" s="123">
        <f>SUM(J1814:J1823)</f>
        <v>0</v>
      </c>
      <c r="K1824" s="123">
        <f>SUM(K1814:K1823)</f>
        <v>150000</v>
      </c>
    </row>
    <row r="1825" spans="1:12" ht="18" x14ac:dyDescent="0.25">
      <c r="A1825" s="1105"/>
      <c r="B1825" s="1106"/>
      <c r="C1825" s="1111"/>
      <c r="D1825" s="235"/>
      <c r="E1825" s="1106"/>
      <c r="F1825" s="1102"/>
      <c r="G1825" s="100"/>
      <c r="H1825" s="155"/>
      <c r="I1825" s="155"/>
      <c r="J1825" s="155"/>
      <c r="K1825" s="156"/>
    </row>
    <row r="1826" spans="1:12" ht="18" x14ac:dyDescent="0.25">
      <c r="A1826" s="1105"/>
      <c r="B1826" s="1106"/>
      <c r="C1826" s="369" t="s">
        <v>958</v>
      </c>
      <c r="D1826" s="400"/>
      <c r="E1826" s="401"/>
      <c r="F1826" s="1102"/>
      <c r="G1826" s="100"/>
      <c r="H1826" s="101"/>
      <c r="I1826" s="101"/>
      <c r="J1826" s="101"/>
      <c r="K1826" s="102"/>
    </row>
    <row r="1827" spans="1:12" ht="18" x14ac:dyDescent="0.25">
      <c r="A1827" s="1105"/>
      <c r="B1827" s="1106"/>
      <c r="C1827" s="1620" t="s">
        <v>813</v>
      </c>
      <c r="D1827" s="1620"/>
      <c r="E1827" s="1620"/>
      <c r="F1827" s="1621"/>
      <c r="G1827" s="100"/>
      <c r="H1827" s="101"/>
      <c r="I1827" s="101"/>
      <c r="J1827" s="101"/>
      <c r="K1827" s="102"/>
    </row>
    <row r="1828" spans="1:12" s="212" customFormat="1" ht="18" customHeight="1" x14ac:dyDescent="0.25">
      <c r="A1828" s="154"/>
      <c r="B1828" s="1107"/>
      <c r="C1828" s="44" t="s">
        <v>959</v>
      </c>
      <c r="D1828" s="402"/>
      <c r="E1828" s="403"/>
      <c r="F1828" s="1108"/>
      <c r="G1828" s="100" t="s">
        <v>165</v>
      </c>
      <c r="H1828" s="102"/>
      <c r="I1828" s="1154"/>
      <c r="J1828" s="1154"/>
      <c r="K1828" s="1154"/>
      <c r="L1828" s="207"/>
    </row>
    <row r="1829" spans="1:12" s="212" customFormat="1" ht="18" customHeight="1" x14ac:dyDescent="0.25">
      <c r="A1829" s="154"/>
      <c r="B1829" s="1107"/>
      <c r="C1829" s="44" t="s">
        <v>805</v>
      </c>
      <c r="D1829" s="402"/>
      <c r="E1829" s="403"/>
      <c r="F1829" s="1108"/>
      <c r="G1829" s="100" t="s">
        <v>167</v>
      </c>
      <c r="H1829" s="102"/>
      <c r="I1829" s="1154"/>
      <c r="J1829" s="1154"/>
      <c r="K1829" s="1154"/>
      <c r="L1829" s="207"/>
    </row>
    <row r="1830" spans="1:12" s="212" customFormat="1" ht="18" customHeight="1" x14ac:dyDescent="0.25">
      <c r="A1830" s="154"/>
      <c r="B1830" s="1107"/>
      <c r="C1830" s="44" t="s">
        <v>864</v>
      </c>
      <c r="D1830" s="402"/>
      <c r="E1830" s="403"/>
      <c r="F1830" s="1108"/>
      <c r="G1830" s="100" t="s">
        <v>169</v>
      </c>
      <c r="H1830" s="102"/>
      <c r="I1830" s="1154"/>
      <c r="J1830" s="1154"/>
      <c r="K1830" s="1154"/>
      <c r="L1830" s="207"/>
    </row>
    <row r="1831" spans="1:12" s="212" customFormat="1" ht="18" customHeight="1" x14ac:dyDescent="0.25">
      <c r="A1831" s="154"/>
      <c r="B1831" s="1107"/>
      <c r="C1831" s="44" t="s">
        <v>873</v>
      </c>
      <c r="D1831" s="157"/>
      <c r="E1831" s="403"/>
      <c r="F1831" s="1108"/>
      <c r="G1831" s="100" t="s">
        <v>173</v>
      </c>
      <c r="H1831" s="102"/>
      <c r="I1831" s="1154"/>
      <c r="J1831" s="1154"/>
      <c r="K1831" s="1154"/>
      <c r="L1831" s="207"/>
    </row>
    <row r="1832" spans="1:12" s="212" customFormat="1" ht="18" x14ac:dyDescent="0.25">
      <c r="A1832" s="154"/>
      <c r="B1832" s="1107"/>
      <c r="C1832" s="44" t="s">
        <v>960</v>
      </c>
      <c r="D1832" s="402"/>
      <c r="E1832" s="403"/>
      <c r="F1832" s="1108"/>
      <c r="G1832" s="100" t="s">
        <v>179</v>
      </c>
      <c r="H1832" s="102"/>
      <c r="I1832" s="1154"/>
      <c r="J1832" s="1154"/>
      <c r="K1832" s="1154"/>
      <c r="L1832" s="207"/>
    </row>
    <row r="1833" spans="1:12" s="212" customFormat="1" ht="18" customHeight="1" x14ac:dyDescent="0.25">
      <c r="A1833" s="154"/>
      <c r="B1833" s="1107"/>
      <c r="C1833" s="44" t="s">
        <v>961</v>
      </c>
      <c r="D1833" s="402"/>
      <c r="E1833" s="403"/>
      <c r="F1833" s="1108"/>
      <c r="G1833" s="100" t="s">
        <v>183</v>
      </c>
      <c r="H1833" s="102"/>
      <c r="I1833" s="1154"/>
      <c r="J1833" s="1154"/>
      <c r="K1833" s="1154"/>
      <c r="L1833" s="207"/>
    </row>
    <row r="1834" spans="1:12" s="212" customFormat="1" ht="18" customHeight="1" x14ac:dyDescent="0.25">
      <c r="A1834" s="154"/>
      <c r="B1834" s="1107"/>
      <c r="C1834" s="44" t="s">
        <v>962</v>
      </c>
      <c r="D1834" s="402"/>
      <c r="E1834" s="402"/>
      <c r="F1834" s="1107"/>
      <c r="G1834" s="100" t="s">
        <v>356</v>
      </c>
      <c r="H1834" s="102"/>
      <c r="I1834" s="1154"/>
      <c r="J1834" s="1154"/>
      <c r="K1834" s="1154"/>
      <c r="L1834" s="207"/>
    </row>
    <row r="1835" spans="1:12" s="212" customFormat="1" ht="18" customHeight="1" x14ac:dyDescent="0.25">
      <c r="A1835" s="154"/>
      <c r="B1835" s="1107"/>
      <c r="C1835" s="44" t="s">
        <v>963</v>
      </c>
      <c r="D1835" s="402"/>
      <c r="E1835" s="402"/>
      <c r="F1835" s="1107"/>
      <c r="G1835" s="100" t="s">
        <v>199</v>
      </c>
      <c r="H1835" s="102"/>
      <c r="I1835" s="1154"/>
      <c r="J1835" s="1154"/>
      <c r="K1835" s="1154"/>
      <c r="L1835" s="207"/>
    </row>
    <row r="1836" spans="1:12" s="212" customFormat="1" ht="9.75" customHeight="1" x14ac:dyDescent="0.25">
      <c r="A1836" s="154"/>
      <c r="B1836" s="1107"/>
      <c r="C1836" s="44"/>
      <c r="D1836" s="402"/>
      <c r="E1836" s="402"/>
      <c r="F1836" s="1107"/>
      <c r="G1836" s="100"/>
      <c r="H1836" s="102"/>
      <c r="I1836" s="102"/>
      <c r="J1836" s="102"/>
      <c r="K1836" s="102"/>
      <c r="L1836" s="207"/>
    </row>
    <row r="1837" spans="1:12" ht="18" customHeight="1" x14ac:dyDescent="0.25">
      <c r="A1837" s="1105"/>
      <c r="B1837" s="1106"/>
      <c r="C1837" s="129" t="s">
        <v>1872</v>
      </c>
      <c r="D1837" s="152"/>
      <c r="E1837" s="152"/>
      <c r="F1837" s="152"/>
      <c r="G1837" s="186"/>
      <c r="H1837" s="102"/>
      <c r="I1837" s="102"/>
      <c r="J1837" s="102"/>
      <c r="K1837" s="102"/>
    </row>
    <row r="1838" spans="1:12" ht="18" customHeight="1" x14ac:dyDescent="0.25">
      <c r="A1838" s="1105"/>
      <c r="B1838" s="1106"/>
      <c r="C1838" s="44" t="s">
        <v>1328</v>
      </c>
      <c r="D1838" s="152"/>
      <c r="E1838" s="152"/>
      <c r="F1838" s="152"/>
      <c r="G1838" s="186"/>
      <c r="H1838" s="102"/>
      <c r="I1838" s="102"/>
      <c r="J1838" s="102"/>
      <c r="K1838" s="102"/>
    </row>
    <row r="1839" spans="1:12" ht="18" x14ac:dyDescent="0.25">
      <c r="A1839" s="1105"/>
      <c r="B1839" s="1106"/>
      <c r="C1839" s="1141" t="s">
        <v>1327</v>
      </c>
      <c r="D1839" s="1121"/>
      <c r="E1839" s="1121"/>
      <c r="F1839" s="1106"/>
      <c r="G1839" s="100"/>
      <c r="H1839" s="102"/>
      <c r="I1839" s="102"/>
      <c r="J1839" s="102"/>
      <c r="K1839" s="102"/>
    </row>
    <row r="1840" spans="1:12" ht="18" x14ac:dyDescent="0.25">
      <c r="A1840" s="1105"/>
      <c r="B1840" s="1106"/>
      <c r="C1840" s="1141" t="s">
        <v>964</v>
      </c>
      <c r="D1840" s="1121"/>
      <c r="E1840" s="1121"/>
      <c r="F1840" s="1106"/>
      <c r="G1840" s="100"/>
      <c r="H1840" s="102"/>
      <c r="I1840" s="102"/>
      <c r="J1840" s="102"/>
      <c r="K1840" s="102"/>
    </row>
    <row r="1841" spans="1:12" ht="18" x14ac:dyDescent="0.25">
      <c r="A1841" s="1105"/>
      <c r="B1841" s="1106"/>
      <c r="C1841" s="1141" t="s">
        <v>965</v>
      </c>
      <c r="D1841" s="1121"/>
      <c r="E1841" s="1121"/>
      <c r="F1841" s="1106"/>
      <c r="G1841" s="100"/>
      <c r="H1841" s="102"/>
      <c r="I1841" s="102"/>
      <c r="J1841" s="102"/>
      <c r="K1841" s="102"/>
    </row>
    <row r="1842" spans="1:12" ht="18" x14ac:dyDescent="0.25">
      <c r="A1842" s="1105"/>
      <c r="B1842" s="1106"/>
      <c r="C1842" s="1141" t="s">
        <v>966</v>
      </c>
      <c r="D1842" s="1121"/>
      <c r="E1842" s="1121"/>
      <c r="F1842" s="1106"/>
      <c r="G1842" s="100"/>
      <c r="H1842" s="102"/>
      <c r="I1842" s="102"/>
      <c r="J1842" s="102"/>
      <c r="K1842" s="102"/>
    </row>
    <row r="1843" spans="1:12" ht="18" x14ac:dyDescent="0.25">
      <c r="A1843" s="1105"/>
      <c r="B1843" s="1106"/>
      <c r="C1843" s="404" t="s">
        <v>15</v>
      </c>
      <c r="E1843" s="405"/>
      <c r="F1843" s="1102"/>
      <c r="G1843" s="100"/>
      <c r="H1843" s="119">
        <f>SUM(H1828:H1842)</f>
        <v>0</v>
      </c>
      <c r="I1843" s="119">
        <f>SUM(I1828:I1842)</f>
        <v>0</v>
      </c>
      <c r="J1843" s="119">
        <f>SUM(J1828:J1842)</f>
        <v>0</v>
      </c>
      <c r="K1843" s="150">
        <f>SUM(K1828:K1842)</f>
        <v>0</v>
      </c>
    </row>
    <row r="1844" spans="1:12" ht="12.75" customHeight="1" x14ac:dyDescent="0.25">
      <c r="A1844" s="1105"/>
      <c r="B1844" s="1106"/>
      <c r="C1844" s="43"/>
      <c r="D1844" s="404"/>
      <c r="E1844" s="405"/>
      <c r="F1844" s="1102"/>
      <c r="G1844" s="100"/>
      <c r="H1844" s="155"/>
      <c r="I1844" s="155"/>
      <c r="J1844" s="155"/>
      <c r="K1844" s="156"/>
    </row>
    <row r="1845" spans="1:12" ht="18" x14ac:dyDescent="0.25">
      <c r="A1845" s="1105"/>
      <c r="B1845" s="1106"/>
      <c r="C1845" s="1620" t="s">
        <v>977</v>
      </c>
      <c r="D1845" s="1620"/>
      <c r="E1845" s="1620"/>
      <c r="F1845" s="1621"/>
      <c r="G1845" s="100"/>
      <c r="H1845" s="101"/>
      <c r="I1845" s="101"/>
      <c r="J1845" s="101"/>
      <c r="K1845" s="102"/>
    </row>
    <row r="1846" spans="1:12" ht="18" x14ac:dyDescent="0.25">
      <c r="A1846" s="1105"/>
      <c r="B1846" s="1106"/>
      <c r="C1846" s="1107" t="s">
        <v>1915</v>
      </c>
      <c r="D1846" s="1111"/>
      <c r="E1846" s="1111"/>
      <c r="F1846" s="1112"/>
      <c r="G1846" s="100"/>
      <c r="H1846" s="101"/>
      <c r="I1846" s="101"/>
      <c r="J1846" s="101"/>
      <c r="K1846" s="102">
        <v>150000</v>
      </c>
    </row>
    <row r="1847" spans="1:12" ht="18" x14ac:dyDescent="0.25">
      <c r="A1847" s="1105"/>
      <c r="B1847" s="1106"/>
      <c r="C1847" s="1141" t="s">
        <v>978</v>
      </c>
      <c r="D1847" s="1106"/>
      <c r="E1847" s="1106"/>
      <c r="F1847" s="1102"/>
      <c r="G1847" s="100"/>
      <c r="H1847" s="102"/>
      <c r="I1847" s="1154"/>
      <c r="J1847" s="1154"/>
      <c r="K1847" s="102">
        <v>5000000</v>
      </c>
    </row>
    <row r="1848" spans="1:12" ht="18" x14ac:dyDescent="0.25">
      <c r="A1848" s="1105"/>
      <c r="B1848" s="1106"/>
      <c r="C1848" s="38" t="s">
        <v>979</v>
      </c>
      <c r="D1848" s="198"/>
      <c r="E1848" s="198"/>
      <c r="F1848" s="1102"/>
      <c r="G1848" s="100"/>
      <c r="H1848" s="102"/>
      <c r="I1848" s="1154"/>
      <c r="J1848" s="1154"/>
      <c r="K1848" s="102">
        <v>300000</v>
      </c>
    </row>
    <row r="1849" spans="1:12" s="415" customFormat="1" ht="18" x14ac:dyDescent="0.25">
      <c r="A1849" s="1105"/>
      <c r="B1849" s="1106"/>
      <c r="C1849" s="38" t="s">
        <v>980</v>
      </c>
      <c r="D1849" s="199"/>
      <c r="E1849" s="199"/>
      <c r="F1849" s="1102"/>
      <c r="G1849" s="100"/>
      <c r="H1849" s="102"/>
      <c r="I1849" s="1154"/>
      <c r="J1849" s="1154"/>
      <c r="K1849" s="102">
        <v>6739000</v>
      </c>
      <c r="L1849" s="10"/>
    </row>
    <row r="1850" spans="1:12" ht="18" x14ac:dyDescent="0.25">
      <c r="A1850" s="1105"/>
      <c r="B1850" s="1106"/>
      <c r="C1850" s="38" t="s">
        <v>981</v>
      </c>
      <c r="D1850" s="199"/>
      <c r="E1850" s="199"/>
      <c r="F1850" s="1102"/>
      <c r="G1850" s="100"/>
      <c r="H1850" s="102"/>
      <c r="I1850" s="1154"/>
      <c r="J1850" s="1154"/>
      <c r="K1850" s="102">
        <v>200000</v>
      </c>
    </row>
    <row r="1851" spans="1:12" ht="18" x14ac:dyDescent="0.25">
      <c r="A1851" s="1105"/>
      <c r="B1851" s="1106"/>
      <c r="C1851" s="404" t="s">
        <v>15</v>
      </c>
      <c r="E1851" s="1106"/>
      <c r="F1851" s="1102"/>
      <c r="G1851" s="100"/>
      <c r="H1851" s="119">
        <f>SUM(H1845:H1850)</f>
        <v>0</v>
      </c>
      <c r="I1851" s="119">
        <f>SUM(I1845:I1850)</f>
        <v>0</v>
      </c>
      <c r="J1851" s="119">
        <f>SUM(J1845:J1850)</f>
        <v>0</v>
      </c>
      <c r="K1851" s="150">
        <f>SUM(K1845:K1850)</f>
        <v>12389000</v>
      </c>
    </row>
    <row r="1852" spans="1:12" ht="11.25" customHeight="1" x14ac:dyDescent="0.25">
      <c r="A1852" s="1105"/>
      <c r="B1852" s="1106"/>
      <c r="C1852" s="1098"/>
      <c r="D1852" s="404"/>
      <c r="E1852" s="1106"/>
      <c r="F1852" s="1106"/>
      <c r="G1852" s="100"/>
      <c r="H1852" s="155"/>
      <c r="I1852" s="155"/>
      <c r="J1852" s="155"/>
      <c r="K1852" s="156"/>
    </row>
    <row r="1853" spans="1:12" ht="18" x14ac:dyDescent="0.25">
      <c r="A1853" s="1105"/>
      <c r="B1853" s="1106"/>
      <c r="C1853" s="36" t="s">
        <v>983</v>
      </c>
      <c r="D1853" s="199"/>
      <c r="E1853" s="199"/>
      <c r="F1853" s="184"/>
      <c r="G1853" s="100"/>
      <c r="H1853" s="101"/>
      <c r="I1853" s="101"/>
      <c r="J1853" s="101"/>
      <c r="K1853" s="102"/>
    </row>
    <row r="1854" spans="1:12" ht="18" x14ac:dyDescent="0.25">
      <c r="A1854" s="1105"/>
      <c r="B1854" s="1106"/>
      <c r="C1854" s="407" t="s">
        <v>984</v>
      </c>
      <c r="D1854" s="199"/>
      <c r="E1854" s="199"/>
      <c r="F1854" s="184"/>
      <c r="G1854" s="100"/>
      <c r="H1854" s="101"/>
      <c r="I1854" s="1156"/>
      <c r="J1854" s="1156"/>
      <c r="K1854" s="1154"/>
    </row>
    <row r="1855" spans="1:12" ht="35.25" customHeight="1" x14ac:dyDescent="0.25">
      <c r="A1855" s="1105"/>
      <c r="B1855" s="1106"/>
      <c r="C1855" s="1652" t="s">
        <v>985</v>
      </c>
      <c r="D1855" s="1652"/>
      <c r="E1855" s="1652"/>
      <c r="F1855" s="184"/>
      <c r="G1855" s="100"/>
      <c r="H1855" s="101"/>
      <c r="I1855" s="1156"/>
      <c r="J1855" s="1156"/>
      <c r="K1855" s="1154"/>
    </row>
    <row r="1856" spans="1:12" ht="33.75" customHeight="1" x14ac:dyDescent="0.25">
      <c r="A1856" s="1105"/>
      <c r="B1856" s="1106"/>
      <c r="C1856" s="1652" t="s">
        <v>986</v>
      </c>
      <c r="D1856" s="1652"/>
      <c r="E1856" s="1652"/>
      <c r="F1856" s="184"/>
      <c r="G1856" s="100"/>
      <c r="H1856" s="101"/>
      <c r="I1856" s="1156"/>
      <c r="J1856" s="1156"/>
      <c r="K1856" s="1154"/>
    </row>
    <row r="1857" spans="1:12" ht="68.25" customHeight="1" x14ac:dyDescent="0.25">
      <c r="A1857" s="1105"/>
      <c r="B1857" s="1106"/>
      <c r="C1857" s="1652" t="s">
        <v>987</v>
      </c>
      <c r="D1857" s="1652"/>
      <c r="E1857" s="1652"/>
      <c r="F1857" s="184"/>
      <c r="G1857" s="100"/>
      <c r="H1857" s="101"/>
      <c r="I1857" s="1156"/>
      <c r="J1857" s="1156"/>
      <c r="K1857" s="1154"/>
    </row>
    <row r="1858" spans="1:12" ht="18" x14ac:dyDescent="0.25">
      <c r="A1858" s="1105"/>
      <c r="B1858" s="1106"/>
      <c r="C1858" s="38" t="s">
        <v>988</v>
      </c>
      <c r="D1858" s="125"/>
      <c r="E1858" s="199"/>
      <c r="F1858" s="184"/>
      <c r="G1858" s="100"/>
      <c r="H1858" s="101"/>
      <c r="I1858" s="101"/>
      <c r="J1858" s="101"/>
      <c r="K1858" s="102"/>
    </row>
    <row r="1859" spans="1:12" ht="18" x14ac:dyDescent="0.25">
      <c r="A1859" s="1105"/>
      <c r="B1859" s="1106"/>
      <c r="C1859" s="38" t="s">
        <v>1916</v>
      </c>
      <c r="D1859" s="125"/>
      <c r="E1859" s="199"/>
      <c r="F1859" s="184"/>
      <c r="G1859" s="100"/>
      <c r="H1859" s="101"/>
      <c r="I1859" s="101"/>
      <c r="J1859" s="101"/>
      <c r="K1859" s="102"/>
    </row>
    <row r="1860" spans="1:12" ht="36.75" customHeight="1" x14ac:dyDescent="0.25">
      <c r="A1860" s="1105"/>
      <c r="B1860" s="1106"/>
      <c r="C1860" s="1651" t="s">
        <v>989</v>
      </c>
      <c r="D1860" s="1651"/>
      <c r="E1860" s="199"/>
      <c r="F1860" s="184"/>
      <c r="G1860" s="100"/>
      <c r="H1860" s="101"/>
      <c r="I1860" s="1156"/>
      <c r="J1860" s="1156"/>
      <c r="K1860" s="1154"/>
    </row>
    <row r="1861" spans="1:12" ht="33.75" customHeight="1" x14ac:dyDescent="0.25">
      <c r="A1861" s="1105"/>
      <c r="B1861" s="1106"/>
      <c r="C1861" s="1628" t="s">
        <v>990</v>
      </c>
      <c r="D1861" s="1628"/>
      <c r="E1861" s="199"/>
      <c r="F1861" s="184"/>
      <c r="G1861" s="100"/>
      <c r="H1861" s="101"/>
      <c r="I1861" s="1156"/>
      <c r="J1861" s="1156"/>
      <c r="K1861" s="1154"/>
    </row>
    <row r="1862" spans="1:12" ht="32.25" customHeight="1" x14ac:dyDescent="0.25">
      <c r="A1862" s="1105"/>
      <c r="B1862" s="1106"/>
      <c r="C1862" s="1650" t="s">
        <v>991</v>
      </c>
      <c r="D1862" s="1650"/>
      <c r="E1862" s="199"/>
      <c r="F1862" s="184"/>
      <c r="G1862" s="100"/>
      <c r="H1862" s="101"/>
      <c r="I1862" s="1156"/>
      <c r="J1862" s="1156"/>
      <c r="K1862" s="1154"/>
    </row>
    <row r="1863" spans="1:12" ht="39.75" customHeight="1" x14ac:dyDescent="0.25">
      <c r="A1863" s="1105"/>
      <c r="B1863" s="1106"/>
      <c r="C1863" s="1651" t="s">
        <v>992</v>
      </c>
      <c r="D1863" s="1651"/>
      <c r="E1863" s="199"/>
      <c r="F1863" s="184"/>
      <c r="G1863" s="100"/>
      <c r="H1863" s="101"/>
      <c r="I1863" s="1156"/>
      <c r="J1863" s="1156"/>
      <c r="K1863" s="1154"/>
    </row>
    <row r="1864" spans="1:12" ht="18.75" thickBot="1" x14ac:dyDescent="0.3">
      <c r="A1864" s="187"/>
      <c r="B1864" s="1226"/>
      <c r="C1864" s="583" t="s">
        <v>15</v>
      </c>
      <c r="D1864" s="556"/>
      <c r="E1864" s="1226"/>
      <c r="F1864" s="431"/>
      <c r="G1864" s="308"/>
      <c r="H1864" s="457">
        <f>SUM(H1854:H1863)</f>
        <v>0</v>
      </c>
      <c r="I1864" s="457">
        <f>SUM(I1854:I1863)</f>
        <v>0</v>
      </c>
      <c r="J1864" s="457">
        <f>SUM(J1854:J1863)</f>
        <v>0</v>
      </c>
      <c r="K1864" s="364">
        <f>SUM(K1854:K1863)</f>
        <v>0</v>
      </c>
    </row>
    <row r="1865" spans="1:12" s="146" customFormat="1" ht="18" x14ac:dyDescent="0.25">
      <c r="A1865" s="1106"/>
      <c r="B1865" s="1106"/>
      <c r="C1865" s="416"/>
      <c r="D1865" s="1125"/>
      <c r="E1865" s="153"/>
      <c r="F1865" s="153"/>
      <c r="G1865" s="381"/>
      <c r="H1865" s="141"/>
      <c r="I1865" s="141"/>
      <c r="J1865" s="141"/>
      <c r="K1865" s="122"/>
      <c r="L1865" s="10"/>
    </row>
    <row r="1866" spans="1:12" s="146" customFormat="1" ht="18" x14ac:dyDescent="0.25">
      <c r="A1866" s="1106"/>
      <c r="B1866" s="1106"/>
      <c r="C1866" s="416"/>
      <c r="D1866" s="1125"/>
      <c r="E1866" s="153"/>
      <c r="F1866" s="153"/>
      <c r="G1866" s="381"/>
      <c r="H1866" s="141"/>
      <c r="I1866" s="141"/>
      <c r="J1866" s="141"/>
      <c r="K1866" s="122"/>
      <c r="L1866" s="10"/>
    </row>
    <row r="1867" spans="1:12" s="146" customFormat="1" ht="18" x14ac:dyDescent="0.25">
      <c r="A1867" s="1106"/>
      <c r="B1867" s="1106"/>
      <c r="C1867" s="416"/>
      <c r="D1867" s="1125"/>
      <c r="E1867" s="153"/>
      <c r="F1867" s="153"/>
      <c r="G1867" s="381"/>
      <c r="H1867" s="141"/>
      <c r="I1867" s="141"/>
      <c r="J1867" s="141"/>
      <c r="K1867" s="122"/>
      <c r="L1867" s="10"/>
    </row>
    <row r="1868" spans="1:12" s="146" customFormat="1" ht="18" x14ac:dyDescent="0.25">
      <c r="A1868" s="1106"/>
      <c r="B1868" s="1106"/>
      <c r="C1868" s="416"/>
      <c r="D1868" s="1125"/>
      <c r="E1868" s="153"/>
      <c r="F1868" s="153"/>
      <c r="G1868" s="381"/>
      <c r="H1868" s="141"/>
      <c r="I1868" s="141"/>
      <c r="J1868" s="141"/>
      <c r="K1868" s="122"/>
      <c r="L1868" s="10"/>
    </row>
    <row r="1869" spans="1:12" s="191" customFormat="1" ht="18" customHeight="1" x14ac:dyDescent="0.25">
      <c r="A1869" s="8" t="s">
        <v>112</v>
      </c>
      <c r="B1869" s="8"/>
      <c r="C1869" s="9"/>
      <c r="D1869" s="8"/>
      <c r="E1869" s="8"/>
      <c r="F1869" s="8"/>
      <c r="G1869" s="8"/>
      <c r="H1869" s="4"/>
      <c r="I1869" s="4"/>
      <c r="J1869" s="4"/>
      <c r="K1869" s="5"/>
      <c r="L1869" s="10"/>
    </row>
    <row r="1870" spans="1:12" ht="18" customHeight="1" x14ac:dyDescent="0.25">
      <c r="A1870" s="8" t="s">
        <v>1027</v>
      </c>
    </row>
    <row r="1871" spans="1:12" ht="18" customHeight="1" x14ac:dyDescent="0.25">
      <c r="A1871" s="1636" t="s">
        <v>113</v>
      </c>
      <c r="B1871" s="1636"/>
      <c r="C1871" s="1636"/>
      <c r="D1871" s="1636"/>
      <c r="E1871" s="1636"/>
      <c r="F1871" s="1636"/>
      <c r="G1871" s="1636"/>
      <c r="H1871" s="1636"/>
      <c r="I1871" s="1636"/>
      <c r="J1871" s="1636"/>
      <c r="K1871" s="1101"/>
    </row>
    <row r="1872" spans="1:12" s="7" customFormat="1" ht="18" customHeight="1" x14ac:dyDescent="0.25">
      <c r="A1872" s="1624" t="s">
        <v>114</v>
      </c>
      <c r="B1872" s="1624"/>
      <c r="C1872" s="1624"/>
      <c r="D1872" s="1624"/>
      <c r="E1872" s="1624"/>
      <c r="F1872" s="1624"/>
      <c r="G1872" s="1624"/>
      <c r="H1872" s="1624"/>
      <c r="I1872" s="1624"/>
      <c r="J1872" s="1624"/>
      <c r="K1872" s="159"/>
      <c r="L1872" s="6"/>
    </row>
    <row r="1873" spans="1:12" s="7" customFormat="1" ht="18" customHeight="1" x14ac:dyDescent="0.25">
      <c r="A1873" s="1115"/>
      <c r="B1873" s="1115"/>
      <c r="C1873" s="1115"/>
      <c r="D1873" s="1115"/>
      <c r="E1873" s="1115"/>
      <c r="F1873" s="1115"/>
      <c r="G1873" s="1115"/>
      <c r="H1873" s="1115"/>
      <c r="I1873" s="1115"/>
      <c r="J1873" s="1115"/>
      <c r="K1873" s="159"/>
      <c r="L1873" s="6"/>
    </row>
    <row r="1874" spans="1:12" ht="18.75" thickBot="1" x14ac:dyDescent="0.3">
      <c r="A1874" s="41"/>
      <c r="B1874" s="41"/>
      <c r="C1874" s="63"/>
      <c r="D1874" s="41"/>
      <c r="E1874" s="41"/>
      <c r="F1874" s="41"/>
      <c r="G1874" s="41"/>
    </row>
    <row r="1875" spans="1:12" s="48" customFormat="1" ht="21.75" customHeight="1" thickBot="1" x14ac:dyDescent="0.3">
      <c r="A1875" s="1655" t="s">
        <v>115</v>
      </c>
      <c r="B1875" s="1655"/>
      <c r="C1875" s="1655"/>
      <c r="D1875" s="1655"/>
      <c r="E1875" s="1655"/>
      <c r="F1875" s="1655"/>
      <c r="G1875" s="1151"/>
      <c r="H1875" s="1708" t="s">
        <v>1537</v>
      </c>
      <c r="I1875" s="1710" t="s">
        <v>1538</v>
      </c>
      <c r="J1875" s="1710" t="s">
        <v>1539</v>
      </c>
      <c r="K1875" s="1710" t="s">
        <v>1540</v>
      </c>
      <c r="L1875" s="47"/>
    </row>
    <row r="1876" spans="1:12" s="1153" customFormat="1" ht="31.5" customHeight="1" thickBot="1" x14ac:dyDescent="0.3">
      <c r="A1876" s="1655"/>
      <c r="B1876" s="1655"/>
      <c r="C1876" s="1655"/>
      <c r="D1876" s="1655"/>
      <c r="E1876" s="1655"/>
      <c r="F1876" s="1655"/>
      <c r="G1876" s="1129" t="s">
        <v>116</v>
      </c>
      <c r="H1876" s="1709"/>
      <c r="I1876" s="1710"/>
      <c r="J1876" s="1710"/>
      <c r="K1876" s="1710"/>
      <c r="L1876" s="1152"/>
    </row>
    <row r="1877" spans="1:12" ht="18" x14ac:dyDescent="0.25">
      <c r="A1877" s="1105"/>
      <c r="B1877" s="1106"/>
      <c r="C1877" s="1104" t="s">
        <v>993</v>
      </c>
      <c r="D1877" s="199"/>
      <c r="E1877" s="199"/>
      <c r="F1877" s="393"/>
      <c r="G1877" s="100"/>
      <c r="H1877" s="101"/>
      <c r="I1877" s="101"/>
      <c r="J1877" s="101"/>
      <c r="K1877" s="102"/>
    </row>
    <row r="1878" spans="1:12" ht="18" x14ac:dyDescent="0.25">
      <c r="A1878" s="1105"/>
      <c r="B1878" s="1106"/>
      <c r="C1878" s="38" t="s">
        <v>994</v>
      </c>
      <c r="D1878" s="157"/>
      <c r="E1878" s="199"/>
      <c r="F1878" s="184"/>
      <c r="G1878" s="100"/>
      <c r="H1878" s="101"/>
      <c r="I1878" s="101"/>
      <c r="J1878" s="101"/>
      <c r="K1878" s="102"/>
    </row>
    <row r="1879" spans="1:12" ht="18" x14ac:dyDescent="0.25">
      <c r="A1879" s="1105"/>
      <c r="B1879" s="1106"/>
      <c r="C1879" s="38" t="s">
        <v>995</v>
      </c>
      <c r="D1879" s="157"/>
      <c r="E1879" s="199"/>
      <c r="F1879" s="184"/>
      <c r="G1879" s="100"/>
      <c r="H1879" s="101"/>
      <c r="I1879" s="101"/>
      <c r="J1879" s="101"/>
      <c r="K1879" s="102"/>
    </row>
    <row r="1880" spans="1:12" ht="18" x14ac:dyDescent="0.25">
      <c r="A1880" s="1105"/>
      <c r="B1880" s="1106"/>
      <c r="C1880" s="1126" t="s">
        <v>996</v>
      </c>
      <c r="D1880" s="157"/>
      <c r="E1880" s="157"/>
      <c r="F1880" s="393"/>
      <c r="G1880" s="100"/>
      <c r="H1880" s="101"/>
      <c r="I1880" s="101"/>
      <c r="J1880" s="101"/>
      <c r="K1880" s="102"/>
    </row>
    <row r="1881" spans="1:12" ht="18" x14ac:dyDescent="0.25">
      <c r="A1881" s="1105"/>
      <c r="B1881" s="1106"/>
      <c r="C1881" s="38" t="s">
        <v>997</v>
      </c>
      <c r="D1881" s="157"/>
      <c r="E1881" s="157"/>
      <c r="F1881" s="393"/>
      <c r="G1881" s="100"/>
      <c r="H1881" s="101"/>
      <c r="I1881" s="101"/>
      <c r="J1881" s="101"/>
      <c r="K1881" s="102"/>
    </row>
    <row r="1882" spans="1:12" ht="18" x14ac:dyDescent="0.25">
      <c r="A1882" s="1105"/>
      <c r="B1882" s="1106"/>
      <c r="C1882" s="38" t="s">
        <v>998</v>
      </c>
      <c r="D1882" s="303"/>
      <c r="E1882" s="303"/>
      <c r="F1882" s="393"/>
      <c r="G1882" s="100"/>
      <c r="H1882" s="101"/>
      <c r="I1882" s="101"/>
      <c r="J1882" s="101"/>
      <c r="K1882" s="102"/>
    </row>
    <row r="1883" spans="1:12" ht="18" x14ac:dyDescent="0.25">
      <c r="A1883" s="1105"/>
      <c r="B1883" s="1106"/>
      <c r="C1883" s="38" t="s">
        <v>999</v>
      </c>
      <c r="D1883" s="303"/>
      <c r="E1883" s="303"/>
      <c r="F1883" s="393"/>
      <c r="G1883" s="100"/>
      <c r="H1883" s="101"/>
      <c r="I1883" s="101"/>
      <c r="J1883" s="101"/>
      <c r="K1883" s="102"/>
    </row>
    <row r="1884" spans="1:12" ht="18" x14ac:dyDescent="0.25">
      <c r="A1884" s="1105"/>
      <c r="B1884" s="1106"/>
      <c r="C1884" s="38" t="s">
        <v>1000</v>
      </c>
      <c r="D1884" s="303"/>
      <c r="E1884" s="303"/>
      <c r="F1884" s="393"/>
      <c r="G1884" s="100"/>
      <c r="H1884" s="101"/>
      <c r="I1884" s="101"/>
      <c r="J1884" s="101"/>
      <c r="K1884" s="102"/>
    </row>
    <row r="1885" spans="1:12" ht="18" x14ac:dyDescent="0.25">
      <c r="A1885" s="1105"/>
      <c r="B1885" s="1106"/>
      <c r="C1885" s="38" t="s">
        <v>1002</v>
      </c>
      <c r="D1885" s="303"/>
      <c r="E1885" s="303"/>
      <c r="F1885" s="393"/>
      <c r="G1885" s="100"/>
      <c r="H1885" s="105"/>
      <c r="I1885" s="105"/>
      <c r="J1885" s="105"/>
      <c r="K1885" s="106"/>
    </row>
    <row r="1886" spans="1:12" s="146" customFormat="1" ht="18" x14ac:dyDescent="0.25">
      <c r="A1886" s="1105"/>
      <c r="B1886" s="1106"/>
      <c r="C1886" s="404" t="s">
        <v>15</v>
      </c>
      <c r="D1886" s="573"/>
      <c r="E1886" s="153"/>
      <c r="F1886" s="417"/>
      <c r="G1886" s="100"/>
      <c r="H1886" s="1158">
        <f>SUM(H1878:H1885)</f>
        <v>0</v>
      </c>
      <c r="I1886" s="1158">
        <f>SUM(I1878:I1885)</f>
        <v>0</v>
      </c>
      <c r="J1886" s="1158">
        <f>SUM(J1878:J1885)</f>
        <v>0</v>
      </c>
      <c r="K1886" s="1157">
        <f>SUM(K1878:K1885)</f>
        <v>0</v>
      </c>
      <c r="L1886" s="10"/>
    </row>
    <row r="1887" spans="1:12" s="146" customFormat="1" ht="18" x14ac:dyDescent="0.25">
      <c r="A1887" s="1105"/>
      <c r="B1887" s="1106"/>
      <c r="C1887" s="416"/>
      <c r="D1887" s="1125"/>
      <c r="E1887" s="153"/>
      <c r="F1887" s="153"/>
      <c r="G1887" s="195"/>
      <c r="H1887" s="101"/>
      <c r="I1887" s="101"/>
      <c r="J1887" s="101"/>
      <c r="K1887" s="102"/>
      <c r="L1887" s="10"/>
    </row>
    <row r="1888" spans="1:12" s="146" customFormat="1" ht="18" x14ac:dyDescent="0.25">
      <c r="A1888" s="1105"/>
      <c r="B1888" s="1106"/>
      <c r="C1888" s="1104" t="s">
        <v>1004</v>
      </c>
      <c r="D1888" s="199"/>
      <c r="E1888" s="199"/>
      <c r="F1888" s="393"/>
      <c r="G1888" s="100"/>
      <c r="H1888" s="101"/>
      <c r="I1888" s="101"/>
      <c r="J1888" s="101"/>
      <c r="K1888" s="102"/>
      <c r="L1888" s="10"/>
    </row>
    <row r="1889" spans="1:12" s="146" customFormat="1" ht="18" x14ac:dyDescent="0.25">
      <c r="A1889" s="1105"/>
      <c r="B1889" s="1106"/>
      <c r="C1889" s="38" t="s">
        <v>1005</v>
      </c>
      <c r="D1889" s="184"/>
      <c r="E1889" s="184"/>
      <c r="F1889" s="184"/>
      <c r="G1889" s="100"/>
      <c r="H1889" s="101"/>
      <c r="I1889" s="101"/>
      <c r="J1889" s="101"/>
      <c r="K1889" s="102"/>
      <c r="L1889" s="10"/>
    </row>
    <row r="1890" spans="1:12" s="146" customFormat="1" ht="18" x14ac:dyDescent="0.25">
      <c r="A1890" s="1105"/>
      <c r="B1890" s="1106"/>
      <c r="C1890" s="38" t="s">
        <v>1006</v>
      </c>
      <c r="D1890" s="421"/>
      <c r="E1890" s="184"/>
      <c r="F1890" s="421"/>
      <c r="G1890" s="100"/>
      <c r="H1890" s="101"/>
      <c r="I1890" s="101"/>
      <c r="J1890" s="101"/>
      <c r="K1890" s="102"/>
      <c r="L1890" s="10"/>
    </row>
    <row r="1891" spans="1:12" s="146" customFormat="1" ht="18" x14ac:dyDescent="0.25">
      <c r="A1891" s="1105"/>
      <c r="B1891" s="1106"/>
      <c r="C1891" s="38" t="s">
        <v>1007</v>
      </c>
      <c r="D1891" s="421"/>
      <c r="E1891" s="184"/>
      <c r="F1891" s="421"/>
      <c r="G1891" s="100"/>
      <c r="H1891" s="101"/>
      <c r="I1891" s="101"/>
      <c r="J1891" s="101"/>
      <c r="K1891" s="102"/>
      <c r="L1891" s="10"/>
    </row>
    <row r="1892" spans="1:12" s="146" customFormat="1" ht="18" x14ac:dyDescent="0.25">
      <c r="A1892" s="1105"/>
      <c r="B1892" s="1106"/>
      <c r="C1892" s="38" t="s">
        <v>1009</v>
      </c>
      <c r="D1892" s="204"/>
      <c r="E1892" s="184"/>
      <c r="F1892" s="204"/>
      <c r="G1892" s="100"/>
      <c r="H1892" s="101"/>
      <c r="I1892" s="101"/>
      <c r="J1892" s="101"/>
      <c r="K1892" s="102"/>
      <c r="L1892" s="10"/>
    </row>
    <row r="1893" spans="1:12" s="146" customFormat="1" ht="18" x14ac:dyDescent="0.25">
      <c r="A1893" s="1105"/>
      <c r="B1893" s="1106"/>
      <c r="C1893" s="1126" t="s">
        <v>1011</v>
      </c>
      <c r="D1893" s="204"/>
      <c r="E1893" s="422"/>
      <c r="F1893" s="204"/>
      <c r="G1893" s="100"/>
      <c r="H1893" s="101"/>
      <c r="I1893" s="101"/>
      <c r="J1893" s="101"/>
      <c r="K1893" s="102"/>
      <c r="L1893" s="10"/>
    </row>
    <row r="1894" spans="1:12" s="146" customFormat="1" ht="18" x14ac:dyDescent="0.25">
      <c r="A1894" s="1105"/>
      <c r="B1894" s="1106"/>
      <c r="C1894" s="1126" t="s">
        <v>1012</v>
      </c>
      <c r="D1894" s="204"/>
      <c r="E1894" s="422"/>
      <c r="F1894" s="204"/>
      <c r="G1894" s="100"/>
      <c r="H1894" s="101"/>
      <c r="I1894" s="101"/>
      <c r="J1894" s="101"/>
      <c r="K1894" s="102"/>
      <c r="L1894" s="10"/>
    </row>
    <row r="1895" spans="1:12" s="146" customFormat="1" ht="18" x14ac:dyDescent="0.25">
      <c r="A1895" s="1105"/>
      <c r="B1895" s="1106"/>
      <c r="C1895" s="38" t="s">
        <v>1015</v>
      </c>
      <c r="D1895" s="184"/>
      <c r="E1895" s="184"/>
      <c r="F1895" s="184"/>
      <c r="G1895" s="100"/>
      <c r="H1895" s="101"/>
      <c r="I1895" s="101"/>
      <c r="J1895" s="101"/>
      <c r="K1895" s="102"/>
      <c r="L1895" s="10"/>
    </row>
    <row r="1896" spans="1:12" s="146" customFormat="1" ht="18" x14ac:dyDescent="0.25">
      <c r="A1896" s="1105"/>
      <c r="B1896" s="1106"/>
      <c r="C1896" s="38" t="s">
        <v>1016</v>
      </c>
      <c r="D1896" s="204"/>
      <c r="E1896" s="184"/>
      <c r="F1896" s="204"/>
      <c r="G1896" s="100"/>
      <c r="H1896" s="101"/>
      <c r="I1896" s="101"/>
      <c r="J1896" s="101"/>
      <c r="K1896" s="102"/>
      <c r="L1896" s="10"/>
    </row>
    <row r="1897" spans="1:12" s="146" customFormat="1" ht="18" x14ac:dyDescent="0.25">
      <c r="A1897" s="1105"/>
      <c r="B1897" s="1106"/>
      <c r="C1897" s="38" t="s">
        <v>1017</v>
      </c>
      <c r="D1897" s="204"/>
      <c r="E1897" s="184"/>
      <c r="F1897" s="204"/>
      <c r="G1897" s="100"/>
      <c r="H1897" s="101"/>
      <c r="I1897" s="101"/>
      <c r="J1897" s="101"/>
      <c r="K1897" s="102"/>
      <c r="L1897" s="10"/>
    </row>
    <row r="1898" spans="1:12" s="146" customFormat="1" ht="18" x14ac:dyDescent="0.25">
      <c r="A1898" s="1105"/>
      <c r="B1898" s="1106"/>
      <c r="C1898" s="38" t="s">
        <v>1019</v>
      </c>
      <c r="D1898" s="393"/>
      <c r="E1898" s="184"/>
      <c r="F1898" s="393"/>
      <c r="G1898" s="100"/>
      <c r="H1898" s="101"/>
      <c r="I1898" s="101"/>
      <c r="J1898" s="101"/>
      <c r="K1898" s="102"/>
      <c r="L1898" s="10"/>
    </row>
    <row r="1899" spans="1:12" s="146" customFormat="1" ht="18" x14ac:dyDescent="0.25">
      <c r="A1899" s="1105"/>
      <c r="B1899" s="1106"/>
      <c r="C1899" s="38" t="s">
        <v>1020</v>
      </c>
      <c r="D1899" s="393"/>
      <c r="E1899" s="184"/>
      <c r="F1899" s="393"/>
      <c r="G1899" s="100"/>
      <c r="H1899" s="101"/>
      <c r="I1899" s="101"/>
      <c r="J1899" s="101"/>
      <c r="K1899" s="102"/>
      <c r="L1899" s="10"/>
    </row>
    <row r="1900" spans="1:12" ht="18" x14ac:dyDescent="0.25">
      <c r="A1900" s="1105"/>
      <c r="B1900" s="1106"/>
      <c r="C1900" s="404" t="s">
        <v>15</v>
      </c>
      <c r="E1900" s="113"/>
      <c r="F1900" s="114"/>
      <c r="G1900" s="100"/>
      <c r="H1900" s="119">
        <f>SUM(H1889:H1899)</f>
        <v>0</v>
      </c>
      <c r="I1900" s="119">
        <f>SUM(I1889:I1899)</f>
        <v>0</v>
      </c>
      <c r="J1900" s="119">
        <f>SUM(J1889:J1899)</f>
        <v>0</v>
      </c>
      <c r="K1900" s="150">
        <f>SUM(K1889:K1899)</f>
        <v>0</v>
      </c>
    </row>
    <row r="1901" spans="1:12" ht="18" x14ac:dyDescent="0.25">
      <c r="A1901" s="1105"/>
      <c r="B1901" s="1106"/>
      <c r="C1901" s="170"/>
      <c r="D1901" s="404"/>
      <c r="E1901" s="113"/>
      <c r="F1901" s="113"/>
      <c r="G1901" s="100"/>
      <c r="H1901" s="155"/>
      <c r="I1901" s="155"/>
      <c r="J1901" s="155"/>
      <c r="K1901" s="156"/>
    </row>
    <row r="1902" spans="1:12" ht="18" x14ac:dyDescent="0.25">
      <c r="A1902" s="1105"/>
      <c r="B1902" s="1106"/>
      <c r="C1902" s="1104" t="s">
        <v>1021</v>
      </c>
      <c r="D1902" s="199"/>
      <c r="E1902" s="199"/>
      <c r="F1902" s="393"/>
      <c r="G1902" s="100"/>
      <c r="H1902" s="101"/>
      <c r="I1902" s="101"/>
      <c r="J1902" s="101"/>
      <c r="K1902" s="102"/>
    </row>
    <row r="1903" spans="1:12" ht="39" customHeight="1" x14ac:dyDescent="0.25">
      <c r="A1903" s="1105"/>
      <c r="B1903" s="1106"/>
      <c r="C1903" s="1602" t="s">
        <v>1022</v>
      </c>
      <c r="D1903" s="1603"/>
      <c r="E1903" s="1603"/>
      <c r="F1903" s="1603"/>
      <c r="G1903" s="100"/>
      <c r="H1903" s="101"/>
      <c r="I1903" s="101"/>
      <c r="J1903" s="101"/>
      <c r="K1903" s="102"/>
    </row>
    <row r="1904" spans="1:12" s="179" customFormat="1" ht="21.75" customHeight="1" thickBot="1" x14ac:dyDescent="0.3">
      <c r="A1904" s="1135"/>
      <c r="B1904" s="1113"/>
      <c r="C1904" s="1648" t="s">
        <v>1023</v>
      </c>
      <c r="D1904" s="1649"/>
      <c r="E1904" s="1649"/>
      <c r="F1904" s="1649"/>
      <c r="G1904" s="423"/>
      <c r="H1904" s="182"/>
      <c r="I1904" s="182"/>
      <c r="J1904" s="182"/>
      <c r="K1904" s="183"/>
      <c r="L1904" s="193"/>
    </row>
    <row r="1905" spans="1:12" s="146" customFormat="1" ht="18" x14ac:dyDescent="0.25">
      <c r="A1905" s="1105"/>
      <c r="B1905" s="1106"/>
      <c r="C1905" s="404" t="s">
        <v>15</v>
      </c>
      <c r="D1905" s="573"/>
      <c r="E1905" s="1106"/>
      <c r="F1905" s="1102"/>
      <c r="G1905" s="100"/>
      <c r="H1905" s="155">
        <f>SUM(H1903:H1904)</f>
        <v>0</v>
      </c>
      <c r="I1905" s="155">
        <f>SUM(I1903:I1904)</f>
        <v>0</v>
      </c>
      <c r="J1905" s="155">
        <f>SUM(J1903:J1904)</f>
        <v>0</v>
      </c>
      <c r="K1905" s="156">
        <f>SUM(K1903:K1904)</f>
        <v>0</v>
      </c>
      <c r="L1905" s="10"/>
    </row>
    <row r="1906" spans="1:12" s="146" customFormat="1" ht="18" x14ac:dyDescent="0.25">
      <c r="A1906" s="1105"/>
      <c r="B1906" s="1106"/>
      <c r="C1906" s="1098"/>
      <c r="D1906" s="404"/>
      <c r="E1906" s="1106"/>
      <c r="F1906" s="1102"/>
      <c r="G1906" s="100"/>
      <c r="H1906" s="155"/>
      <c r="I1906" s="155"/>
      <c r="J1906" s="155"/>
      <c r="K1906" s="156"/>
      <c r="L1906" s="10"/>
    </row>
    <row r="1907" spans="1:12" s="146" customFormat="1" ht="18" x14ac:dyDescent="0.25">
      <c r="A1907" s="1105"/>
      <c r="B1907" s="1106"/>
      <c r="C1907" s="1104" t="s">
        <v>1028</v>
      </c>
      <c r="D1907" s="113"/>
      <c r="E1907" s="113"/>
      <c r="F1907" s="113"/>
      <c r="G1907" s="100"/>
      <c r="H1907" s="101"/>
      <c r="I1907" s="101"/>
      <c r="J1907" s="101"/>
      <c r="K1907" s="102"/>
      <c r="L1907" s="10"/>
    </row>
    <row r="1908" spans="1:12" s="313" customFormat="1" ht="18" x14ac:dyDescent="0.25">
      <c r="A1908" s="1135"/>
      <c r="B1908" s="1113"/>
      <c r="C1908" s="426" t="s">
        <v>1029</v>
      </c>
      <c r="D1908" s="174"/>
      <c r="E1908" s="174"/>
      <c r="F1908" s="174"/>
      <c r="G1908" s="423"/>
      <c r="H1908" s="102"/>
      <c r="I1908" s="102"/>
      <c r="J1908" s="102"/>
      <c r="K1908" s="102"/>
      <c r="L1908" s="193"/>
    </row>
    <row r="1909" spans="1:12" s="313" customFormat="1" ht="71.25" customHeight="1" x14ac:dyDescent="0.25">
      <c r="A1909" s="1135"/>
      <c r="B1909" s="1113"/>
      <c r="C1909" s="1638" t="s">
        <v>1030</v>
      </c>
      <c r="D1909" s="1638"/>
      <c r="E1909" s="174"/>
      <c r="F1909" s="174"/>
      <c r="G1909" s="423"/>
      <c r="H1909" s="102"/>
      <c r="I1909" s="102"/>
      <c r="J1909" s="102"/>
      <c r="K1909" s="102"/>
      <c r="L1909" s="193"/>
    </row>
    <row r="1910" spans="1:12" s="313" customFormat="1" ht="71.25" customHeight="1" x14ac:dyDescent="0.25">
      <c r="A1910" s="1135"/>
      <c r="B1910" s="1113"/>
      <c r="C1910" s="1638" t="s">
        <v>1031</v>
      </c>
      <c r="D1910" s="1638"/>
      <c r="E1910" s="174"/>
      <c r="F1910" s="174"/>
      <c r="G1910" s="423"/>
      <c r="H1910" s="102"/>
      <c r="I1910" s="102"/>
      <c r="J1910" s="102"/>
      <c r="K1910" s="102"/>
      <c r="L1910" s="193"/>
    </row>
    <row r="1911" spans="1:12" s="313" customFormat="1" ht="35.25" customHeight="1" x14ac:dyDescent="0.25">
      <c r="A1911" s="1135"/>
      <c r="B1911" s="1113"/>
      <c r="C1911" s="1628" t="s">
        <v>1032</v>
      </c>
      <c r="D1911" s="1628"/>
      <c r="E1911" s="174"/>
      <c r="F1911" s="175"/>
      <c r="G1911" s="423"/>
      <c r="H1911" s="102"/>
      <c r="I1911" s="102"/>
      <c r="J1911" s="102"/>
      <c r="K1911" s="102"/>
      <c r="L1911" s="193"/>
    </row>
    <row r="1912" spans="1:12" s="388" customFormat="1" ht="18" x14ac:dyDescent="0.25">
      <c r="A1912" s="1107"/>
      <c r="B1912" s="1107"/>
      <c r="C1912" s="426" t="s">
        <v>1917</v>
      </c>
      <c r="D1912" s="402"/>
      <c r="E1912" s="125"/>
      <c r="F1912" s="125"/>
      <c r="G1912" s="381"/>
      <c r="H1912" s="101"/>
      <c r="I1912" s="101"/>
      <c r="J1912" s="101"/>
      <c r="K1912" s="102"/>
      <c r="L1912" s="207"/>
    </row>
    <row r="1913" spans="1:12" s="313" customFormat="1" ht="34.5" customHeight="1" x14ac:dyDescent="0.25">
      <c r="A1913" s="1135"/>
      <c r="B1913" s="1113"/>
      <c r="C1913" s="1622" t="s">
        <v>1918</v>
      </c>
      <c r="D1913" s="1622"/>
      <c r="E1913" s="192"/>
      <c r="F1913" s="192"/>
      <c r="G1913" s="423"/>
      <c r="H1913" s="102"/>
      <c r="I1913" s="102"/>
      <c r="J1913" s="102"/>
      <c r="K1913" s="102"/>
      <c r="L1913" s="193"/>
    </row>
    <row r="1914" spans="1:12" s="313" customFormat="1" ht="37.5" customHeight="1" x14ac:dyDescent="0.25">
      <c r="A1914" s="1135"/>
      <c r="B1914" s="1113"/>
      <c r="C1914" s="1622" t="s">
        <v>1919</v>
      </c>
      <c r="D1914" s="1622"/>
      <c r="E1914" s="192"/>
      <c r="F1914" s="192"/>
      <c r="G1914" s="423"/>
      <c r="H1914" s="102"/>
      <c r="I1914" s="102"/>
      <c r="J1914" s="102"/>
      <c r="K1914" s="102"/>
      <c r="L1914" s="193"/>
    </row>
    <row r="1915" spans="1:12" s="313" customFormat="1" ht="18" customHeight="1" x14ac:dyDescent="0.25">
      <c r="A1915" s="1135"/>
      <c r="B1915" s="1113"/>
      <c r="C1915" s="1138" t="s">
        <v>1920</v>
      </c>
      <c r="D1915" s="652"/>
      <c r="E1915" s="192"/>
      <c r="F1915" s="192"/>
      <c r="G1915" s="423"/>
      <c r="H1915" s="102"/>
      <c r="I1915" s="102"/>
      <c r="J1915" s="102"/>
      <c r="K1915" s="102"/>
      <c r="L1915" s="193"/>
    </row>
    <row r="1916" spans="1:12" s="313" customFormat="1" ht="38.25" customHeight="1" x14ac:dyDescent="0.25">
      <c r="A1916" s="1135"/>
      <c r="B1916" s="1113"/>
      <c r="C1916" s="1622" t="s">
        <v>1921</v>
      </c>
      <c r="D1916" s="1622"/>
      <c r="E1916" s="192"/>
      <c r="F1916" s="192"/>
      <c r="G1916" s="423"/>
      <c r="H1916" s="102"/>
      <c r="I1916" s="102"/>
      <c r="J1916" s="102"/>
      <c r="K1916" s="102"/>
      <c r="L1916" s="193"/>
    </row>
    <row r="1917" spans="1:12" s="313" customFormat="1" ht="18.75" customHeight="1" x14ac:dyDescent="0.25">
      <c r="A1917" s="1135" t="s">
        <v>1040</v>
      </c>
      <c r="B1917" s="1113"/>
      <c r="C1917" s="225" t="s">
        <v>1922</v>
      </c>
      <c r="D1917" s="225"/>
      <c r="E1917" s="192"/>
      <c r="F1917" s="192"/>
      <c r="G1917" s="423"/>
      <c r="H1917" s="102"/>
      <c r="I1917" s="102"/>
      <c r="J1917" s="102"/>
      <c r="K1917" s="102"/>
      <c r="L1917" s="193"/>
    </row>
    <row r="1918" spans="1:12" s="146" customFormat="1" ht="18" x14ac:dyDescent="0.25">
      <c r="A1918" s="1105"/>
      <c r="B1918" s="1106"/>
      <c r="C1918" s="404" t="s">
        <v>15</v>
      </c>
      <c r="D1918" s="573"/>
      <c r="E1918" s="113"/>
      <c r="F1918" s="113"/>
      <c r="G1918" s="100"/>
      <c r="H1918" s="119">
        <f>SUM(H1909:H1917)</f>
        <v>0</v>
      </c>
      <c r="I1918" s="119">
        <f>SUM(I1909:I1917)</f>
        <v>0</v>
      </c>
      <c r="J1918" s="119">
        <f>SUM(J1909:J1917)</f>
        <v>0</v>
      </c>
      <c r="K1918" s="150">
        <f>SUM(K1909:K1917)</f>
        <v>0</v>
      </c>
      <c r="L1918" s="10"/>
    </row>
    <row r="1919" spans="1:12" s="146" customFormat="1" ht="18.75" thickBot="1" x14ac:dyDescent="0.3">
      <c r="A1919" s="187"/>
      <c r="B1919" s="1226"/>
      <c r="C1919" s="1258"/>
      <c r="D1919" s="718"/>
      <c r="E1919" s="718"/>
      <c r="F1919" s="718"/>
      <c r="G1919" s="414"/>
      <c r="H1919" s="1259"/>
      <c r="I1919" s="1259"/>
      <c r="J1919" s="1259"/>
      <c r="K1919" s="1260"/>
      <c r="L1919" s="10"/>
    </row>
    <row r="1920" spans="1:12" s="146" customFormat="1" ht="18" x14ac:dyDescent="0.25">
      <c r="A1920" s="1106"/>
      <c r="B1920" s="1106"/>
      <c r="C1920" s="170"/>
      <c r="D1920" s="113"/>
      <c r="E1920" s="113"/>
      <c r="F1920" s="113"/>
      <c r="G1920" s="381"/>
      <c r="H1920" s="141"/>
      <c r="I1920" s="141"/>
      <c r="J1920" s="141"/>
      <c r="K1920" s="122"/>
      <c r="L1920" s="10"/>
    </row>
    <row r="1921" spans="1:12" s="146" customFormat="1" ht="18" x14ac:dyDescent="0.25">
      <c r="A1921" s="1106"/>
      <c r="B1921" s="1106"/>
      <c r="C1921" s="170"/>
      <c r="D1921" s="113"/>
      <c r="E1921" s="113"/>
      <c r="F1921" s="113"/>
      <c r="G1921" s="381"/>
      <c r="H1921" s="141"/>
      <c r="I1921" s="141"/>
      <c r="J1921" s="141"/>
      <c r="K1921" s="122"/>
      <c r="L1921" s="10"/>
    </row>
    <row r="1922" spans="1:12" s="146" customFormat="1" ht="18" x14ac:dyDescent="0.25">
      <c r="A1922" s="1106"/>
      <c r="B1922" s="1106"/>
      <c r="C1922" s="170"/>
      <c r="D1922" s="113"/>
      <c r="E1922" s="113"/>
      <c r="F1922" s="113"/>
      <c r="G1922" s="381"/>
      <c r="H1922" s="141"/>
      <c r="I1922" s="141"/>
      <c r="J1922" s="141"/>
      <c r="K1922" s="122"/>
      <c r="L1922" s="10"/>
    </row>
    <row r="1923" spans="1:12" s="146" customFormat="1" ht="18" x14ac:dyDescent="0.25">
      <c r="A1923" s="1106"/>
      <c r="B1923" s="1106"/>
      <c r="C1923" s="170"/>
      <c r="D1923" s="113"/>
      <c r="E1923" s="113"/>
      <c r="F1923" s="113"/>
      <c r="G1923" s="381"/>
      <c r="H1923" s="141"/>
      <c r="I1923" s="141"/>
      <c r="J1923" s="141"/>
      <c r="K1923" s="122"/>
      <c r="L1923" s="10"/>
    </row>
    <row r="1924" spans="1:12" s="146" customFormat="1" ht="18" x14ac:dyDescent="0.25">
      <c r="A1924" s="1106"/>
      <c r="B1924" s="1106"/>
      <c r="C1924" s="170"/>
      <c r="D1924" s="113"/>
      <c r="E1924" s="113"/>
      <c r="F1924" s="113"/>
      <c r="G1924" s="381"/>
      <c r="H1924" s="141"/>
      <c r="I1924" s="141"/>
      <c r="J1924" s="141"/>
      <c r="K1924" s="122"/>
      <c r="L1924" s="10"/>
    </row>
    <row r="1925" spans="1:12" s="146" customFormat="1" ht="18" x14ac:dyDescent="0.25">
      <c r="A1925" s="1106"/>
      <c r="B1925" s="1106"/>
      <c r="C1925" s="170"/>
      <c r="D1925" s="113"/>
      <c r="E1925" s="113"/>
      <c r="F1925" s="113"/>
      <c r="G1925" s="381"/>
      <c r="H1925" s="141"/>
      <c r="I1925" s="141"/>
      <c r="J1925" s="141"/>
      <c r="K1925" s="122"/>
      <c r="L1925" s="10"/>
    </row>
    <row r="1926" spans="1:12" s="146" customFormat="1" ht="18" x14ac:dyDescent="0.25">
      <c r="A1926" s="1106"/>
      <c r="B1926" s="1106"/>
      <c r="C1926" s="170"/>
      <c r="D1926" s="113"/>
      <c r="E1926" s="113"/>
      <c r="F1926" s="113"/>
      <c r="G1926" s="381"/>
      <c r="H1926" s="141"/>
      <c r="I1926" s="141"/>
      <c r="J1926" s="141"/>
      <c r="K1926" s="122"/>
      <c r="L1926" s="10"/>
    </row>
    <row r="1927" spans="1:12" s="146" customFormat="1" ht="18" x14ac:dyDescent="0.25">
      <c r="A1927" s="1106"/>
      <c r="B1927" s="1106"/>
      <c r="C1927" s="170"/>
      <c r="D1927" s="113"/>
      <c r="E1927" s="113"/>
      <c r="F1927" s="113"/>
      <c r="G1927" s="381"/>
      <c r="H1927" s="141"/>
      <c r="I1927" s="141"/>
      <c r="J1927" s="141"/>
      <c r="K1927" s="122"/>
      <c r="L1927" s="10"/>
    </row>
    <row r="1928" spans="1:12" s="146" customFormat="1" ht="18" x14ac:dyDescent="0.25">
      <c r="A1928" s="1106"/>
      <c r="B1928" s="1106"/>
      <c r="C1928" s="170"/>
      <c r="D1928" s="113"/>
      <c r="E1928" s="113"/>
      <c r="F1928" s="113"/>
      <c r="G1928" s="381"/>
      <c r="H1928" s="141"/>
      <c r="I1928" s="141"/>
      <c r="J1928" s="141"/>
      <c r="K1928" s="122"/>
      <c r="L1928" s="10"/>
    </row>
    <row r="1929" spans="1:12" s="146" customFormat="1" ht="18" x14ac:dyDescent="0.25">
      <c r="A1929" s="1106"/>
      <c r="B1929" s="1106"/>
      <c r="C1929" s="170"/>
      <c r="D1929" s="113"/>
      <c r="E1929" s="113"/>
      <c r="F1929" s="113"/>
      <c r="G1929" s="381"/>
      <c r="H1929" s="141"/>
      <c r="I1929" s="141"/>
      <c r="J1929" s="141"/>
      <c r="K1929" s="122"/>
      <c r="L1929" s="10"/>
    </row>
    <row r="1930" spans="1:12" s="146" customFormat="1" ht="18" x14ac:dyDescent="0.25">
      <c r="A1930" s="1106"/>
      <c r="B1930" s="1106"/>
      <c r="C1930" s="170"/>
      <c r="D1930" s="113"/>
      <c r="E1930" s="113"/>
      <c r="F1930" s="113"/>
      <c r="G1930" s="381"/>
      <c r="H1930" s="141"/>
      <c r="I1930" s="141"/>
      <c r="J1930" s="141"/>
      <c r="K1930" s="122"/>
      <c r="L1930" s="10"/>
    </row>
    <row r="1931" spans="1:12" s="191" customFormat="1" ht="18" customHeight="1" x14ac:dyDescent="0.25">
      <c r="A1931" s="8" t="s">
        <v>112</v>
      </c>
      <c r="B1931" s="8"/>
      <c r="C1931" s="9"/>
      <c r="D1931" s="8"/>
      <c r="E1931" s="8"/>
      <c r="F1931" s="8"/>
      <c r="G1931" s="8"/>
      <c r="H1931" s="4"/>
      <c r="I1931" s="4"/>
      <c r="J1931" s="4"/>
      <c r="K1931" s="5"/>
      <c r="L1931" s="10"/>
    </row>
    <row r="1932" spans="1:12" ht="18" customHeight="1" x14ac:dyDescent="0.25">
      <c r="A1932" s="8" t="s">
        <v>1049</v>
      </c>
    </row>
    <row r="1933" spans="1:12" ht="18" customHeight="1" x14ac:dyDescent="0.25">
      <c r="A1933" s="1636" t="s">
        <v>113</v>
      </c>
      <c r="B1933" s="1636"/>
      <c r="C1933" s="1636"/>
      <c r="D1933" s="1636"/>
      <c r="E1933" s="1636"/>
      <c r="F1933" s="1636"/>
      <c r="G1933" s="1636"/>
      <c r="H1933" s="1636"/>
      <c r="I1933" s="1636"/>
      <c r="J1933" s="1636"/>
      <c r="K1933" s="1101"/>
    </row>
    <row r="1934" spans="1:12" s="7" customFormat="1" ht="18" customHeight="1" x14ac:dyDescent="0.25">
      <c r="A1934" s="1624" t="s">
        <v>114</v>
      </c>
      <c r="B1934" s="1624"/>
      <c r="C1934" s="1624"/>
      <c r="D1934" s="1624"/>
      <c r="E1934" s="1624"/>
      <c r="F1934" s="1624"/>
      <c r="G1934" s="1624"/>
      <c r="H1934" s="1624"/>
      <c r="I1934" s="1624"/>
      <c r="J1934" s="1624"/>
      <c r="K1934" s="159"/>
      <c r="L1934" s="6"/>
    </row>
    <row r="1935" spans="1:12" s="7" customFormat="1" ht="18" customHeight="1" x14ac:dyDescent="0.25">
      <c r="A1935" s="1115"/>
      <c r="B1935" s="1115"/>
      <c r="C1935" s="1115"/>
      <c r="D1935" s="1115"/>
      <c r="E1935" s="1115"/>
      <c r="F1935" s="1115"/>
      <c r="G1935" s="1115"/>
      <c r="H1935" s="1115"/>
      <c r="I1935" s="1115"/>
      <c r="J1935" s="1115"/>
      <c r="K1935" s="159"/>
      <c r="L1935" s="6"/>
    </row>
    <row r="1936" spans="1:12" ht="18.75" thickBot="1" x14ac:dyDescent="0.3">
      <c r="A1936" s="41"/>
      <c r="B1936" s="41"/>
      <c r="C1936" s="63"/>
      <c r="D1936" s="41"/>
      <c r="E1936" s="41"/>
      <c r="F1936" s="41"/>
      <c r="G1936" s="41"/>
    </row>
    <row r="1937" spans="1:12" s="48" customFormat="1" ht="21.75" customHeight="1" thickBot="1" x14ac:dyDescent="0.3">
      <c r="A1937" s="1655" t="s">
        <v>115</v>
      </c>
      <c r="B1937" s="1655"/>
      <c r="C1937" s="1655"/>
      <c r="D1937" s="1655"/>
      <c r="E1937" s="1655"/>
      <c r="F1937" s="1655"/>
      <c r="G1937" s="1151"/>
      <c r="H1937" s="1708" t="s">
        <v>1537</v>
      </c>
      <c r="I1937" s="1710" t="s">
        <v>1538</v>
      </c>
      <c r="J1937" s="1710" t="s">
        <v>1539</v>
      </c>
      <c r="K1937" s="1710" t="s">
        <v>1540</v>
      </c>
      <c r="L1937" s="47"/>
    </row>
    <row r="1938" spans="1:12" s="1153" customFormat="1" ht="31.5" customHeight="1" thickBot="1" x14ac:dyDescent="0.3">
      <c r="A1938" s="1655"/>
      <c r="B1938" s="1655"/>
      <c r="C1938" s="1655"/>
      <c r="D1938" s="1655"/>
      <c r="E1938" s="1655"/>
      <c r="F1938" s="1655"/>
      <c r="G1938" s="1129" t="s">
        <v>116</v>
      </c>
      <c r="H1938" s="1709"/>
      <c r="I1938" s="1710"/>
      <c r="J1938" s="1710"/>
      <c r="K1938" s="1710"/>
      <c r="L1938" s="1152"/>
    </row>
    <row r="1939" spans="1:12" s="146" customFormat="1" ht="18" x14ac:dyDescent="0.25">
      <c r="A1939" s="1105"/>
      <c r="B1939" s="1106"/>
      <c r="C1939" s="1104" t="s">
        <v>1043</v>
      </c>
      <c r="D1939" s="199"/>
      <c r="E1939" s="199"/>
      <c r="F1939" s="393"/>
      <c r="G1939" s="100"/>
      <c r="H1939" s="101"/>
      <c r="I1939" s="101"/>
      <c r="J1939" s="101"/>
      <c r="K1939" s="102"/>
      <c r="L1939" s="10"/>
    </row>
    <row r="1940" spans="1:12" s="146" customFormat="1" ht="18" customHeight="1" x14ac:dyDescent="0.25">
      <c r="A1940" s="1105"/>
      <c r="B1940" s="1106"/>
      <c r="C1940" s="1126" t="s">
        <v>1044</v>
      </c>
      <c r="D1940" s="1123"/>
      <c r="E1940" s="422"/>
      <c r="F1940" s="422"/>
      <c r="G1940" s="100"/>
      <c r="H1940" s="102"/>
      <c r="I1940" s="102"/>
      <c r="J1940" s="102"/>
      <c r="K1940" s="102"/>
      <c r="L1940" s="10"/>
    </row>
    <row r="1941" spans="1:12" s="146" customFormat="1" ht="18" customHeight="1" x14ac:dyDescent="0.25">
      <c r="A1941" s="1105" t="s">
        <v>1040</v>
      </c>
      <c r="B1941" s="1106"/>
      <c r="C1941" s="1126" t="s">
        <v>1045</v>
      </c>
      <c r="D1941" s="199"/>
      <c r="E1941" s="184"/>
      <c r="F1941" s="184"/>
      <c r="G1941" s="100"/>
      <c r="H1941" s="102"/>
      <c r="I1941" s="102"/>
      <c r="J1941" s="102"/>
      <c r="K1941" s="102"/>
      <c r="L1941" s="10"/>
    </row>
    <row r="1942" spans="1:12" s="146" customFormat="1" ht="18" customHeight="1" x14ac:dyDescent="0.25">
      <c r="A1942" s="1105"/>
      <c r="B1942" s="1106"/>
      <c r="C1942" s="1126" t="s">
        <v>1046</v>
      </c>
      <c r="D1942" s="1123"/>
      <c r="E1942" s="422"/>
      <c r="F1942" s="422"/>
      <c r="G1942" s="100"/>
      <c r="H1942" s="102"/>
      <c r="I1942" s="102"/>
      <c r="J1942" s="102"/>
      <c r="K1942" s="102"/>
      <c r="L1942" s="10"/>
    </row>
    <row r="1943" spans="1:12" s="146" customFormat="1" ht="18" customHeight="1" x14ac:dyDescent="0.25">
      <c r="A1943" s="1105"/>
      <c r="B1943" s="1106"/>
      <c r="C1943" s="1126" t="s">
        <v>1923</v>
      </c>
      <c r="D1943" s="1123"/>
      <c r="E1943" s="422"/>
      <c r="F1943" s="422"/>
      <c r="G1943" s="100"/>
      <c r="H1943" s="102"/>
      <c r="I1943" s="102"/>
      <c r="J1943" s="102"/>
      <c r="K1943" s="102"/>
      <c r="L1943" s="10"/>
    </row>
    <row r="1944" spans="1:12" s="146" customFormat="1" ht="18" customHeight="1" x14ac:dyDescent="0.25">
      <c r="A1944" s="1105"/>
      <c r="B1944" s="1106"/>
      <c r="C1944" s="1126" t="s">
        <v>1047</v>
      </c>
      <c r="D1944" s="199"/>
      <c r="E1944" s="184"/>
      <c r="F1944" s="184"/>
      <c r="G1944" s="100"/>
      <c r="H1944" s="102"/>
      <c r="I1944" s="102"/>
      <c r="J1944" s="102"/>
      <c r="K1944" s="102"/>
      <c r="L1944" s="10"/>
    </row>
    <row r="1945" spans="1:12" s="146" customFormat="1" ht="18" customHeight="1" x14ac:dyDescent="0.25">
      <c r="A1945" s="1105"/>
      <c r="B1945" s="1106"/>
      <c r="C1945" s="1126" t="s">
        <v>1048</v>
      </c>
      <c r="D1945" s="199"/>
      <c r="E1945" s="184"/>
      <c r="F1945" s="184"/>
      <c r="G1945" s="100"/>
      <c r="H1945" s="106"/>
      <c r="I1945" s="106"/>
      <c r="J1945" s="106"/>
      <c r="K1945" s="106"/>
      <c r="L1945" s="10"/>
    </row>
    <row r="1946" spans="1:12" s="146" customFormat="1" ht="18.75" thickBot="1" x14ac:dyDescent="0.3">
      <c r="A1946" s="1105"/>
      <c r="B1946" s="1106"/>
      <c r="C1946" s="404" t="s">
        <v>15</v>
      </c>
      <c r="E1946" s="113"/>
      <c r="F1946" s="114"/>
      <c r="G1946" s="308"/>
      <c r="H1946" s="182">
        <f>SUM(H1940:H1945)</f>
        <v>0</v>
      </c>
      <c r="I1946" s="182">
        <f>SUM(I1940:I1945)</f>
        <v>0</v>
      </c>
      <c r="J1946" s="182">
        <f>SUM(J1940:J1945)</f>
        <v>0</v>
      </c>
      <c r="K1946" s="183">
        <f>SUM(K1940:K1945)</f>
        <v>0</v>
      </c>
      <c r="L1946" s="10"/>
    </row>
    <row r="1947" spans="1:12" s="146" customFormat="1" ht="18" x14ac:dyDescent="0.25">
      <c r="A1947" s="1105"/>
      <c r="B1947" s="1106"/>
      <c r="C1947" s="170"/>
      <c r="D1947" s="113"/>
      <c r="E1947" s="113"/>
      <c r="F1947" s="114"/>
      <c r="G1947" s="100"/>
      <c r="H1947" s="101"/>
      <c r="I1947" s="101"/>
      <c r="J1947" s="101"/>
      <c r="K1947" s="102"/>
      <c r="L1947" s="10"/>
    </row>
    <row r="1948" spans="1:12" s="146" customFormat="1" ht="18" x14ac:dyDescent="0.25">
      <c r="A1948" s="1105"/>
      <c r="B1948" s="1106"/>
      <c r="C1948" s="1104" t="s">
        <v>1050</v>
      </c>
      <c r="D1948" s="199"/>
      <c r="E1948" s="199"/>
      <c r="F1948" s="393"/>
      <c r="G1948" s="100"/>
      <c r="H1948" s="101"/>
      <c r="I1948" s="101"/>
      <c r="J1948" s="101"/>
      <c r="K1948" s="102"/>
      <c r="L1948" s="10"/>
    </row>
    <row r="1949" spans="1:12" s="146" customFormat="1" ht="18" x14ac:dyDescent="0.25">
      <c r="A1949" s="1105"/>
      <c r="B1949" s="1106"/>
      <c r="C1949" s="1126" t="s">
        <v>1628</v>
      </c>
      <c r="D1949" s="199"/>
      <c r="E1949" s="199"/>
      <c r="F1949" s="393"/>
      <c r="G1949" s="100"/>
      <c r="H1949" s="101"/>
      <c r="I1949" s="101"/>
      <c r="J1949" s="101"/>
      <c r="K1949" s="102"/>
      <c r="L1949" s="10"/>
    </row>
    <row r="1950" spans="1:12" s="146" customFormat="1" ht="18" x14ac:dyDescent="0.25">
      <c r="A1950" s="1105"/>
      <c r="B1950" s="1106"/>
      <c r="C1950" s="38" t="s">
        <v>1924</v>
      </c>
      <c r="D1950" s="198"/>
      <c r="E1950" s="198"/>
      <c r="F1950" s="1102"/>
      <c r="G1950" s="100"/>
      <c r="H1950" s="101"/>
      <c r="I1950" s="101"/>
      <c r="J1950" s="101"/>
      <c r="K1950" s="102"/>
      <c r="L1950" s="10"/>
    </row>
    <row r="1951" spans="1:12" s="146" customFormat="1" ht="18" x14ac:dyDescent="0.25">
      <c r="A1951" s="1105"/>
      <c r="B1951" s="1106"/>
      <c r="C1951" s="38" t="s">
        <v>1052</v>
      </c>
      <c r="D1951" s="3"/>
      <c r="E1951" s="199"/>
      <c r="F1951" s="1102"/>
      <c r="G1951" s="100"/>
      <c r="H1951" s="101"/>
      <c r="I1951" s="101"/>
      <c r="J1951" s="101"/>
      <c r="K1951" s="102"/>
      <c r="L1951" s="10"/>
    </row>
    <row r="1952" spans="1:12" s="146" customFormat="1" ht="18" x14ac:dyDescent="0.25">
      <c r="A1952" s="1105"/>
      <c r="B1952" s="1106"/>
      <c r="C1952" s="38" t="s">
        <v>1053</v>
      </c>
      <c r="D1952" s="3"/>
      <c r="E1952" s="199"/>
      <c r="F1952" s="1102"/>
      <c r="G1952" s="100"/>
      <c r="H1952" s="101"/>
      <c r="I1952" s="101"/>
      <c r="J1952" s="101"/>
      <c r="K1952" s="102"/>
      <c r="L1952" s="10"/>
    </row>
    <row r="1953" spans="1:12" s="146" customFormat="1" ht="18" x14ac:dyDescent="0.25">
      <c r="A1953" s="1105"/>
      <c r="B1953" s="1106"/>
      <c r="C1953" s="1126" t="s">
        <v>1054</v>
      </c>
      <c r="D1953" s="3"/>
      <c r="E1953" s="199"/>
      <c r="F1953" s="1102"/>
      <c r="G1953" s="100"/>
      <c r="H1953" s="101"/>
      <c r="I1953" s="101"/>
      <c r="J1953" s="101"/>
      <c r="K1953" s="102"/>
      <c r="L1953" s="10"/>
    </row>
    <row r="1954" spans="1:12" s="146" customFormat="1" ht="18" x14ac:dyDescent="0.25">
      <c r="A1954" s="1105"/>
      <c r="B1954" s="1106"/>
      <c r="C1954" s="1126" t="s">
        <v>1055</v>
      </c>
      <c r="D1954" s="3"/>
      <c r="E1954" s="199"/>
      <c r="F1954" s="1102"/>
      <c r="G1954" s="100"/>
      <c r="H1954" s="101"/>
      <c r="I1954" s="101"/>
      <c r="J1954" s="101"/>
      <c r="K1954" s="102"/>
      <c r="L1954" s="10"/>
    </row>
    <row r="1955" spans="1:12" s="146" customFormat="1" ht="52.5" customHeight="1" x14ac:dyDescent="0.25">
      <c r="A1955" s="1105"/>
      <c r="B1955" s="1106"/>
      <c r="C1955" s="1634" t="s">
        <v>1925</v>
      </c>
      <c r="D1955" s="1634"/>
      <c r="E1955" s="428"/>
      <c r="F1955" s="1102"/>
      <c r="G1955" s="100"/>
      <c r="H1955" s="101"/>
      <c r="I1955" s="101"/>
      <c r="J1955" s="101"/>
      <c r="K1955" s="102"/>
      <c r="L1955" s="10"/>
    </row>
    <row r="1956" spans="1:12" s="146" customFormat="1" ht="18" x14ac:dyDescent="0.25">
      <c r="A1956" s="1105"/>
      <c r="B1956" s="1106"/>
      <c r="C1956" s="180" t="s">
        <v>1926</v>
      </c>
      <c r="D1956" s="225"/>
      <c r="E1956" s="225"/>
      <c r="F1956" s="1102"/>
      <c r="G1956" s="100"/>
      <c r="H1956" s="101"/>
      <c r="I1956" s="101"/>
      <c r="J1956" s="101"/>
      <c r="K1956" s="102"/>
      <c r="L1956" s="10"/>
    </row>
    <row r="1957" spans="1:12" s="146" customFormat="1" ht="18" x14ac:dyDescent="0.25">
      <c r="A1957" s="1105"/>
      <c r="B1957" s="1106"/>
      <c r="C1957" s="1639" t="s">
        <v>1927</v>
      </c>
      <c r="D1957" s="1639"/>
      <c r="E1957" s="1639"/>
      <c r="F1957" s="1102"/>
      <c r="G1957" s="100"/>
      <c r="H1957" s="101"/>
      <c r="I1957" s="101"/>
      <c r="J1957" s="101"/>
      <c r="K1957" s="102"/>
      <c r="L1957" s="10"/>
    </row>
    <row r="1958" spans="1:12" s="146" customFormat="1" ht="18" x14ac:dyDescent="0.25">
      <c r="A1958" s="1105"/>
      <c r="B1958" s="1106"/>
      <c r="C1958" s="1646" t="s">
        <v>1928</v>
      </c>
      <c r="D1958" s="1646"/>
      <c r="E1958" s="44"/>
      <c r="F1958" s="1110"/>
      <c r="G1958" s="205"/>
      <c r="H1958" s="102"/>
      <c r="I1958" s="102"/>
      <c r="J1958" s="102"/>
      <c r="K1958" s="102"/>
      <c r="L1958" s="10"/>
    </row>
    <row r="1959" spans="1:12" s="146" customFormat="1" ht="18.75" customHeight="1" x14ac:dyDescent="0.25">
      <c r="A1959" s="1105"/>
      <c r="B1959" s="1106"/>
      <c r="C1959" s="1628" t="s">
        <v>742</v>
      </c>
      <c r="D1959" s="1628"/>
      <c r="E1959" s="1628"/>
      <c r="F1959" s="1647"/>
      <c r="G1959" s="205"/>
      <c r="H1959" s="106"/>
      <c r="I1959" s="106"/>
      <c r="J1959" s="106"/>
      <c r="K1959" s="106"/>
      <c r="L1959" s="10"/>
    </row>
    <row r="1960" spans="1:12" s="146" customFormat="1" ht="18" x14ac:dyDescent="0.25">
      <c r="A1960" s="1105"/>
      <c r="B1960" s="1106"/>
      <c r="C1960" s="404" t="s">
        <v>15</v>
      </c>
      <c r="E1960" s="1106"/>
      <c r="F1960" s="1102"/>
      <c r="G1960" s="100"/>
      <c r="H1960" s="119">
        <f>SUM(H1949:H1959)</f>
        <v>0</v>
      </c>
      <c r="I1960" s="119">
        <f>SUM(I1949:I1959)</f>
        <v>0</v>
      </c>
      <c r="J1960" s="119">
        <f>SUM(J1949:J1959)</f>
        <v>0</v>
      </c>
      <c r="K1960" s="150">
        <f>SUM(K1949:K1959)</f>
        <v>0</v>
      </c>
      <c r="L1960" s="10"/>
    </row>
    <row r="1961" spans="1:12" s="146" customFormat="1" ht="18" x14ac:dyDescent="0.25">
      <c r="A1961" s="1105"/>
      <c r="B1961" s="1106"/>
      <c r="C1961" s="170"/>
      <c r="D1961" s="113"/>
      <c r="E1961" s="113"/>
      <c r="F1961" s="113"/>
      <c r="G1961" s="100"/>
      <c r="H1961" s="101"/>
      <c r="I1961" s="101"/>
      <c r="J1961" s="101"/>
      <c r="K1961" s="102"/>
      <c r="L1961" s="10"/>
    </row>
    <row r="1962" spans="1:12" ht="18" x14ac:dyDescent="0.25">
      <c r="A1962" s="1105"/>
      <c r="B1962" s="1106"/>
      <c r="C1962" s="1104" t="s">
        <v>1061</v>
      </c>
      <c r="D1962" s="199"/>
      <c r="E1962" s="199"/>
      <c r="F1962" s="393"/>
      <c r="G1962" s="100"/>
      <c r="H1962" s="101"/>
      <c r="I1962" s="101"/>
      <c r="J1962" s="101"/>
      <c r="K1962" s="102"/>
    </row>
    <row r="1963" spans="1:12" ht="18" x14ac:dyDescent="0.25">
      <c r="A1963" s="1105"/>
      <c r="B1963" s="1106"/>
      <c r="C1963" s="1634" t="s">
        <v>1062</v>
      </c>
      <c r="D1963" s="1634"/>
      <c r="E1963" s="199"/>
      <c r="F1963" s="393"/>
      <c r="G1963" s="195"/>
      <c r="H1963" s="101"/>
      <c r="I1963" s="101"/>
      <c r="J1963" s="101"/>
      <c r="K1963" s="102"/>
    </row>
    <row r="1964" spans="1:12" ht="55.5" customHeight="1" x14ac:dyDescent="0.25">
      <c r="A1964" s="1105"/>
      <c r="B1964" s="1106"/>
      <c r="C1964" s="1634" t="s">
        <v>1063</v>
      </c>
      <c r="D1964" s="1634"/>
      <c r="E1964" s="199"/>
      <c r="F1964" s="393"/>
      <c r="G1964" s="195"/>
      <c r="H1964" s="101"/>
      <c r="I1964" s="101"/>
      <c r="J1964" s="101"/>
      <c r="K1964" s="102"/>
    </row>
    <row r="1965" spans="1:12" ht="36" customHeight="1" x14ac:dyDescent="0.25">
      <c r="A1965" s="1105"/>
      <c r="B1965" s="1106"/>
      <c r="C1965" s="1634" t="s">
        <v>1064</v>
      </c>
      <c r="D1965" s="1634"/>
      <c r="E1965" s="199"/>
      <c r="F1965" s="393"/>
      <c r="G1965" s="195"/>
      <c r="H1965" s="101"/>
      <c r="I1965" s="101"/>
      <c r="J1965" s="101"/>
      <c r="K1965" s="102"/>
    </row>
    <row r="1966" spans="1:12" ht="18" x14ac:dyDescent="0.25">
      <c r="A1966" s="1105"/>
      <c r="B1966" s="1106"/>
      <c r="C1966" s="427" t="s">
        <v>1066</v>
      </c>
      <c r="D1966" s="427"/>
      <c r="E1966" s="199"/>
      <c r="F1966" s="393"/>
      <c r="G1966" s="195"/>
      <c r="H1966" s="101"/>
      <c r="I1966" s="101"/>
      <c r="J1966" s="101"/>
      <c r="K1966" s="102"/>
    </row>
    <row r="1967" spans="1:12" ht="18" x14ac:dyDescent="0.25">
      <c r="A1967" s="1105"/>
      <c r="B1967" s="1106"/>
      <c r="C1967" s="427" t="s">
        <v>1070</v>
      </c>
      <c r="D1967" s="427"/>
      <c r="E1967" s="199"/>
      <c r="F1967" s="393"/>
      <c r="G1967" s="195"/>
      <c r="H1967" s="101"/>
      <c r="I1967" s="101"/>
      <c r="J1967" s="101"/>
      <c r="K1967" s="102"/>
    </row>
    <row r="1968" spans="1:12" ht="104.25" customHeight="1" x14ac:dyDescent="0.25">
      <c r="A1968" s="1105"/>
      <c r="B1968" s="1106"/>
      <c r="C1968" s="1651" t="s">
        <v>1929</v>
      </c>
      <c r="D1968" s="1651"/>
      <c r="E1968" s="199"/>
      <c r="F1968" s="393"/>
      <c r="G1968" s="195"/>
      <c r="H1968" s="101"/>
      <c r="I1968" s="101"/>
      <c r="J1968" s="101"/>
      <c r="K1968" s="102"/>
    </row>
    <row r="1969" spans="1:12" ht="34.5" customHeight="1" x14ac:dyDescent="0.25">
      <c r="A1969" s="1105"/>
      <c r="B1969" s="1106"/>
      <c r="C1969" s="1617" t="s">
        <v>1930</v>
      </c>
      <c r="D1969" s="1617"/>
      <c r="E1969" s="199"/>
      <c r="F1969" s="393"/>
      <c r="G1969" s="195"/>
      <c r="H1969" s="101"/>
      <c r="I1969" s="101"/>
      <c r="J1969" s="101"/>
      <c r="K1969" s="102"/>
    </row>
    <row r="1970" spans="1:12" ht="18" x14ac:dyDescent="0.25">
      <c r="A1970" s="1105"/>
      <c r="B1970" s="1106"/>
      <c r="C1970" s="38" t="s">
        <v>1065</v>
      </c>
      <c r="D1970" s="199"/>
      <c r="E1970" s="1106"/>
      <c r="F1970" s="1102"/>
      <c r="G1970" s="195"/>
      <c r="H1970" s="101"/>
      <c r="I1970" s="101"/>
      <c r="J1970" s="101"/>
      <c r="K1970" s="102"/>
    </row>
    <row r="1971" spans="1:12" s="146" customFormat="1" ht="18" x14ac:dyDescent="0.25">
      <c r="A1971" s="1105"/>
      <c r="B1971" s="1106"/>
      <c r="C1971" s="38" t="s">
        <v>1068</v>
      </c>
      <c r="D1971" s="199"/>
      <c r="E1971" s="1106"/>
      <c r="F1971" s="1102"/>
      <c r="G1971" s="195"/>
      <c r="H1971" s="101"/>
      <c r="I1971" s="101"/>
      <c r="J1971" s="101"/>
      <c r="K1971" s="102"/>
      <c r="L1971" s="10"/>
    </row>
    <row r="1972" spans="1:12" s="146" customFormat="1" ht="18" x14ac:dyDescent="0.25">
      <c r="A1972" s="1105"/>
      <c r="B1972" s="1106"/>
      <c r="C1972" s="38" t="s">
        <v>1069</v>
      </c>
      <c r="D1972" s="199"/>
      <c r="E1972" s="1106"/>
      <c r="F1972" s="1102"/>
      <c r="G1972" s="195"/>
      <c r="H1972" s="101"/>
      <c r="I1972" s="101"/>
      <c r="J1972" s="101"/>
      <c r="K1972" s="102"/>
      <c r="L1972" s="10"/>
    </row>
    <row r="1973" spans="1:12" s="146" customFormat="1" ht="18" x14ac:dyDescent="0.25">
      <c r="A1973" s="1105"/>
      <c r="B1973" s="1106"/>
      <c r="C1973" s="1611" t="s">
        <v>1071</v>
      </c>
      <c r="D1973" s="1611"/>
      <c r="E1973" s="1611"/>
      <c r="F1973" s="1602"/>
      <c r="G1973" s="195"/>
      <c r="H1973" s="101"/>
      <c r="I1973" s="101"/>
      <c r="J1973" s="101"/>
      <c r="K1973" s="102"/>
      <c r="L1973" s="10"/>
    </row>
    <row r="1974" spans="1:12" s="146" customFormat="1" ht="90.75" customHeight="1" x14ac:dyDescent="0.25">
      <c r="A1974" s="1105"/>
      <c r="B1974" s="1106"/>
      <c r="C1974" s="1622" t="s">
        <v>1931</v>
      </c>
      <c r="D1974" s="1622"/>
      <c r="E1974" s="1106"/>
      <c r="F1974" s="1102"/>
      <c r="G1974" s="100"/>
      <c r="H1974" s="101"/>
      <c r="I1974" s="101"/>
      <c r="J1974" s="101"/>
      <c r="K1974" s="102"/>
      <c r="L1974" s="10"/>
    </row>
    <row r="1975" spans="1:12" s="146" customFormat="1" ht="18" customHeight="1" x14ac:dyDescent="0.25">
      <c r="A1975" s="1105"/>
      <c r="B1975" s="1106"/>
      <c r="C1975" s="429" t="s">
        <v>1074</v>
      </c>
      <c r="D1975" s="1121"/>
      <c r="E1975" s="1121"/>
      <c r="F1975" s="1102"/>
      <c r="G1975" s="100"/>
      <c r="H1975" s="101"/>
      <c r="I1975" s="101"/>
      <c r="J1975" s="101"/>
      <c r="K1975" s="102"/>
      <c r="L1975" s="10"/>
    </row>
    <row r="1976" spans="1:12" s="146" customFormat="1" ht="18" customHeight="1" x14ac:dyDescent="0.25">
      <c r="A1976" s="1105"/>
      <c r="B1976" s="1106"/>
      <c r="C1976" s="429" t="s">
        <v>1075</v>
      </c>
      <c r="D1976" s="1121"/>
      <c r="E1976" s="1121"/>
      <c r="F1976" s="1102"/>
      <c r="G1976" s="100"/>
      <c r="H1976" s="101"/>
      <c r="I1976" s="101"/>
      <c r="J1976" s="101"/>
      <c r="K1976" s="102"/>
      <c r="L1976" s="10"/>
    </row>
    <row r="1977" spans="1:12" s="146" customFormat="1" ht="18" customHeight="1" x14ac:dyDescent="0.25">
      <c r="A1977" s="1105"/>
      <c r="B1977" s="1106"/>
      <c r="C1977" s="429" t="s">
        <v>1077</v>
      </c>
      <c r="D1977" s="1121"/>
      <c r="E1977" s="1121"/>
      <c r="F1977" s="1124"/>
      <c r="G1977" s="100"/>
      <c r="H1977" s="101"/>
      <c r="I1977" s="101"/>
      <c r="J1977" s="101"/>
      <c r="K1977" s="102"/>
      <c r="L1977" s="10"/>
    </row>
    <row r="1978" spans="1:12" s="146" customFormat="1" ht="18" customHeight="1" x14ac:dyDescent="0.25">
      <c r="A1978" s="1105"/>
      <c r="B1978" s="1106"/>
      <c r="C1978" s="1634" t="s">
        <v>1932</v>
      </c>
      <c r="D1978" s="1634"/>
      <c r="E1978" s="1121"/>
      <c r="F1978" s="1124"/>
      <c r="G1978" s="100"/>
      <c r="H1978" s="101"/>
      <c r="I1978" s="101"/>
      <c r="J1978" s="101"/>
      <c r="K1978" s="102"/>
      <c r="L1978" s="10"/>
    </row>
    <row r="1979" spans="1:12" s="146" customFormat="1" ht="18" customHeight="1" x14ac:dyDescent="0.25">
      <c r="A1979" s="1105"/>
      <c r="B1979" s="1106"/>
      <c r="C1979" s="429" t="s">
        <v>1078</v>
      </c>
      <c r="D1979" s="1121"/>
      <c r="E1979" s="1121"/>
      <c r="F1979" s="1124"/>
      <c r="G1979" s="100"/>
      <c r="H1979" s="102"/>
      <c r="I1979" s="102"/>
      <c r="J1979" s="102"/>
      <c r="K1979" s="102"/>
      <c r="L1979" s="10"/>
    </row>
    <row r="1980" spans="1:12" s="146" customFormat="1" ht="18" customHeight="1" x14ac:dyDescent="0.25">
      <c r="A1980" s="1105"/>
      <c r="B1980" s="1106"/>
      <c r="C1980" s="429" t="s">
        <v>1079</v>
      </c>
      <c r="D1980" s="1121"/>
      <c r="E1980" s="1121"/>
      <c r="F1980" s="1124"/>
      <c r="G1980" s="100"/>
      <c r="H1980" s="101"/>
      <c r="I1980" s="101"/>
      <c r="J1980" s="101"/>
      <c r="K1980" s="102"/>
      <c r="L1980" s="10"/>
    </row>
    <row r="1981" spans="1:12" s="146" customFormat="1" ht="35.25" customHeight="1" x14ac:dyDescent="0.25">
      <c r="A1981" s="1105"/>
      <c r="B1981" s="1106"/>
      <c r="C1981" s="1637" t="s">
        <v>1080</v>
      </c>
      <c r="D1981" s="1637"/>
      <c r="E1981" s="1121"/>
      <c r="F1981" s="1124"/>
      <c r="G1981" s="100"/>
      <c r="H1981" s="101"/>
      <c r="I1981" s="101"/>
      <c r="J1981" s="101"/>
      <c r="K1981" s="102"/>
      <c r="L1981" s="10"/>
    </row>
    <row r="1982" spans="1:12" s="146" customFormat="1" ht="18" x14ac:dyDescent="0.25">
      <c r="A1982" s="1105"/>
      <c r="B1982" s="1106"/>
      <c r="C1982" s="153" t="s">
        <v>15</v>
      </c>
      <c r="E1982" s="1106"/>
      <c r="F1982" s="1102"/>
      <c r="G1982" s="100"/>
      <c r="H1982" s="1158">
        <f>SUM(H1963:H1981)</f>
        <v>0</v>
      </c>
      <c r="I1982" s="1158">
        <f>SUM(I1963:I1981)</f>
        <v>0</v>
      </c>
      <c r="J1982" s="1158">
        <f>SUM(J1963:J1981)</f>
        <v>0</v>
      </c>
      <c r="K1982" s="1157">
        <f>SUM(K1963:K1981)</f>
        <v>0</v>
      </c>
      <c r="L1982" s="10"/>
    </row>
    <row r="1983" spans="1:12" s="146" customFormat="1" ht="17.45" customHeight="1" x14ac:dyDescent="0.25">
      <c r="A1983" s="1105"/>
      <c r="B1983" s="1106"/>
      <c r="C1983" s="652"/>
      <c r="D1983" s="1113"/>
      <c r="E1983" s="1106"/>
      <c r="F1983" s="1106"/>
      <c r="G1983" s="381"/>
      <c r="H1983" s="101"/>
      <c r="I1983" s="101"/>
      <c r="J1983" s="101"/>
      <c r="K1983" s="102"/>
      <c r="L1983" s="10"/>
    </row>
    <row r="1984" spans="1:12" s="146" customFormat="1" ht="17.45" customHeight="1" x14ac:dyDescent="0.25">
      <c r="A1984" s="1105"/>
      <c r="B1984" s="1106"/>
      <c r="C1984" s="652"/>
      <c r="D1984" s="1113"/>
      <c r="E1984" s="1106"/>
      <c r="F1984" s="1106"/>
      <c r="G1984" s="381"/>
      <c r="H1984" s="101"/>
      <c r="I1984" s="101"/>
      <c r="J1984" s="101"/>
      <c r="K1984" s="102"/>
      <c r="L1984" s="10"/>
    </row>
    <row r="1985" spans="1:12" s="146" customFormat="1" ht="17.45" customHeight="1" thickBot="1" x14ac:dyDescent="0.3">
      <c r="A1985" s="187"/>
      <c r="B1985" s="1226"/>
      <c r="C1985" s="999"/>
      <c r="D1985" s="1261"/>
      <c r="E1985" s="1226"/>
      <c r="F1985" s="1226"/>
      <c r="G1985" s="414"/>
      <c r="H1985" s="219"/>
      <c r="I1985" s="219"/>
      <c r="J1985" s="219"/>
      <c r="K1985" s="220"/>
      <c r="L1985" s="10"/>
    </row>
    <row r="1986" spans="1:12" s="146" customFormat="1" ht="17.45" customHeight="1" x14ac:dyDescent="0.25">
      <c r="A1986" s="1106"/>
      <c r="B1986" s="1106"/>
      <c r="C1986" s="652"/>
      <c r="D1986" s="1113"/>
      <c r="E1986" s="1106"/>
      <c r="F1986" s="1106"/>
      <c r="G1986" s="381"/>
      <c r="H1986" s="141"/>
      <c r="I1986" s="141"/>
      <c r="J1986" s="141"/>
      <c r="K1986" s="122"/>
      <c r="L1986" s="10"/>
    </row>
    <row r="1987" spans="1:12" s="146" customFormat="1" ht="17.45" customHeight="1" x14ac:dyDescent="0.25">
      <c r="A1987" s="1106"/>
      <c r="B1987" s="1106"/>
      <c r="C1987" s="652"/>
      <c r="D1987" s="1113"/>
      <c r="E1987" s="1106"/>
      <c r="F1987" s="1106"/>
      <c r="G1987" s="381"/>
      <c r="H1987" s="141"/>
      <c r="I1987" s="141"/>
      <c r="J1987" s="141"/>
      <c r="K1987" s="122"/>
      <c r="L1987" s="10"/>
    </row>
    <row r="1988" spans="1:12" s="146" customFormat="1" ht="17.45" customHeight="1" x14ac:dyDescent="0.25">
      <c r="A1988" s="1106"/>
      <c r="B1988" s="1106"/>
      <c r="C1988" s="652"/>
      <c r="D1988" s="1113"/>
      <c r="E1988" s="1106"/>
      <c r="F1988" s="1106"/>
      <c r="G1988" s="381"/>
      <c r="H1988" s="141"/>
      <c r="I1988" s="141"/>
      <c r="J1988" s="141"/>
      <c r="K1988" s="122"/>
      <c r="L1988" s="10"/>
    </row>
    <row r="1989" spans="1:12" ht="18" customHeight="1" x14ac:dyDescent="0.25">
      <c r="A1989" s="8" t="s">
        <v>112</v>
      </c>
    </row>
    <row r="1990" spans="1:12" ht="18" customHeight="1" x14ac:dyDescent="0.25">
      <c r="A1990" s="8" t="s">
        <v>1098</v>
      </c>
    </row>
    <row r="1991" spans="1:12" ht="18" customHeight="1" x14ac:dyDescent="0.25">
      <c r="A1991" s="1636" t="s">
        <v>113</v>
      </c>
      <c r="B1991" s="1636"/>
      <c r="C1991" s="1636"/>
      <c r="D1991" s="1636"/>
      <c r="E1991" s="1636"/>
      <c r="F1991" s="1636"/>
      <c r="G1991" s="1636"/>
      <c r="H1991" s="1636"/>
      <c r="I1991" s="1636"/>
      <c r="J1991" s="1636"/>
      <c r="K1991" s="1101"/>
    </row>
    <row r="1992" spans="1:12" s="7" customFormat="1" ht="18" customHeight="1" x14ac:dyDescent="0.25">
      <c r="A1992" s="1624" t="s">
        <v>114</v>
      </c>
      <c r="B1992" s="1624"/>
      <c r="C1992" s="1624"/>
      <c r="D1992" s="1624"/>
      <c r="E1992" s="1624"/>
      <c r="F1992" s="1624"/>
      <c r="G1992" s="1624"/>
      <c r="H1992" s="1624"/>
      <c r="I1992" s="1624"/>
      <c r="J1992" s="1624"/>
      <c r="K1992" s="159"/>
      <c r="L1992" s="6"/>
    </row>
    <row r="1993" spans="1:12" s="7" customFormat="1" ht="12" customHeight="1" x14ac:dyDescent="0.25">
      <c r="A1993" s="1115"/>
      <c r="B1993" s="1115"/>
      <c r="C1993" s="1115"/>
      <c r="D1993" s="1115"/>
      <c r="E1993" s="1115"/>
      <c r="F1993" s="1115"/>
      <c r="G1993" s="1115"/>
      <c r="H1993" s="1115"/>
      <c r="I1993" s="1115"/>
      <c r="J1993" s="1115"/>
      <c r="K1993" s="159"/>
      <c r="L1993" s="6"/>
    </row>
    <row r="1994" spans="1:12" ht="12" customHeight="1" thickBot="1" x14ac:dyDescent="0.3">
      <c r="A1994" s="41"/>
      <c r="B1994" s="41"/>
      <c r="C1994" s="63"/>
      <c r="D1994" s="41"/>
      <c r="E1994" s="41"/>
      <c r="F1994" s="41"/>
      <c r="G1994" s="41"/>
    </row>
    <row r="1995" spans="1:12" s="48" customFormat="1" ht="21.75" customHeight="1" thickBot="1" x14ac:dyDescent="0.3">
      <c r="A1995" s="1655" t="s">
        <v>115</v>
      </c>
      <c r="B1995" s="1655"/>
      <c r="C1995" s="1655"/>
      <c r="D1995" s="1655"/>
      <c r="E1995" s="1655"/>
      <c r="F1995" s="1655"/>
      <c r="G1995" s="1151"/>
      <c r="H1995" s="1708" t="s">
        <v>1537</v>
      </c>
      <c r="I1995" s="1710" t="s">
        <v>1538</v>
      </c>
      <c r="J1995" s="1710" t="s">
        <v>1539</v>
      </c>
      <c r="K1995" s="1710" t="s">
        <v>1540</v>
      </c>
      <c r="L1995" s="47"/>
    </row>
    <row r="1996" spans="1:12" s="1153" customFormat="1" ht="31.5" customHeight="1" thickBot="1" x14ac:dyDescent="0.3">
      <c r="A1996" s="1655"/>
      <c r="B1996" s="1655"/>
      <c r="C1996" s="1655"/>
      <c r="D1996" s="1655"/>
      <c r="E1996" s="1655"/>
      <c r="F1996" s="1655"/>
      <c r="G1996" s="1129" t="s">
        <v>116</v>
      </c>
      <c r="H1996" s="1709"/>
      <c r="I1996" s="1710"/>
      <c r="J1996" s="1710"/>
      <c r="K1996" s="1710"/>
      <c r="L1996" s="1152"/>
    </row>
    <row r="1997" spans="1:12" ht="18" x14ac:dyDescent="0.25">
      <c r="A1997" s="1105"/>
      <c r="B1997" s="1106"/>
      <c r="C1997" s="1104" t="s">
        <v>1360</v>
      </c>
      <c r="D1997" s="199"/>
      <c r="E1997" s="199"/>
      <c r="F1997" s="393"/>
      <c r="G1997" s="100"/>
      <c r="H1997" s="101"/>
      <c r="I1997" s="101"/>
      <c r="J1997" s="101"/>
      <c r="K1997" s="102"/>
    </row>
    <row r="1998" spans="1:12" ht="21.75" customHeight="1" x14ac:dyDescent="0.25">
      <c r="A1998" s="1105"/>
      <c r="B1998" s="1106"/>
      <c r="C1998" s="1622" t="s">
        <v>1933</v>
      </c>
      <c r="D1998" s="1622"/>
      <c r="E1998" s="199"/>
      <c r="F1998" s="393"/>
      <c r="G1998" s="100"/>
      <c r="H1998" s="101"/>
      <c r="I1998" s="101"/>
      <c r="J1998" s="101"/>
      <c r="K1998" s="102"/>
    </row>
    <row r="1999" spans="1:12" ht="18" x14ac:dyDescent="0.25">
      <c r="A1999" s="1105"/>
      <c r="B1999" s="1106"/>
      <c r="C1999" s="271" t="s">
        <v>1934</v>
      </c>
      <c r="D1999" s="199"/>
      <c r="E1999" s="199"/>
      <c r="F1999" s="393"/>
      <c r="G1999" s="100"/>
      <c r="H1999" s="101"/>
      <c r="I1999" s="101"/>
      <c r="J1999" s="101"/>
      <c r="K1999" s="102"/>
    </row>
    <row r="2000" spans="1:12" s="146" customFormat="1" ht="18" x14ac:dyDescent="0.25">
      <c r="A2000" s="1105"/>
      <c r="B2000" s="1106"/>
      <c r="C2000" s="36" t="s">
        <v>1093</v>
      </c>
      <c r="D2000" s="199"/>
      <c r="E2000" s="199"/>
      <c r="F2000" s="1102"/>
      <c r="G2000" s="100"/>
      <c r="H2000" s="101"/>
      <c r="I2000" s="101"/>
      <c r="J2000" s="101"/>
      <c r="K2000" s="102"/>
      <c r="L2000" s="10"/>
    </row>
    <row r="2001" spans="1:12" s="146" customFormat="1" ht="17.45" customHeight="1" x14ac:dyDescent="0.25">
      <c r="A2001" s="1105"/>
      <c r="B2001" s="1106"/>
      <c r="C2001" s="38" t="s">
        <v>1094</v>
      </c>
      <c r="D2001" s="199"/>
      <c r="E2001" s="199"/>
      <c r="F2001" s="1102"/>
      <c r="G2001" s="100"/>
      <c r="H2001" s="101"/>
      <c r="I2001" s="101"/>
      <c r="J2001" s="101"/>
      <c r="K2001" s="102"/>
      <c r="L2001" s="10"/>
    </row>
    <row r="2002" spans="1:12" s="146" customFormat="1" ht="17.45" customHeight="1" x14ac:dyDescent="0.25">
      <c r="A2002" s="1105"/>
      <c r="B2002" s="1106"/>
      <c r="C2002" s="38" t="s">
        <v>1095</v>
      </c>
      <c r="D2002" s="199"/>
      <c r="E2002" s="199"/>
      <c r="F2002" s="1102"/>
      <c r="G2002" s="100"/>
      <c r="H2002" s="101"/>
      <c r="I2002" s="101"/>
      <c r="J2002" s="101"/>
      <c r="K2002" s="102"/>
      <c r="L2002" s="10"/>
    </row>
    <row r="2003" spans="1:12" s="146" customFormat="1" ht="36.75" customHeight="1" x14ac:dyDescent="0.25">
      <c r="A2003" s="1105"/>
      <c r="B2003" s="1106"/>
      <c r="C2003" s="1623" t="s">
        <v>1096</v>
      </c>
      <c r="D2003" s="1623"/>
      <c r="E2003" s="199"/>
      <c r="F2003" s="1102"/>
      <c r="G2003" s="100"/>
      <c r="H2003" s="101"/>
      <c r="I2003" s="101"/>
      <c r="J2003" s="101"/>
      <c r="K2003" s="102"/>
      <c r="L2003" s="10"/>
    </row>
    <row r="2004" spans="1:12" s="146" customFormat="1" ht="17.45" customHeight="1" x14ac:dyDescent="0.25">
      <c r="A2004" s="1105"/>
      <c r="B2004" s="1106"/>
      <c r="C2004" s="38" t="s">
        <v>1097</v>
      </c>
      <c r="D2004" s="199"/>
      <c r="E2004" s="199"/>
      <c r="F2004" s="1102"/>
      <c r="G2004" s="195"/>
      <c r="H2004" s="101"/>
      <c r="I2004" s="101"/>
      <c r="J2004" s="101"/>
      <c r="K2004" s="102"/>
      <c r="L2004" s="10"/>
    </row>
    <row r="2005" spans="1:12" s="146" customFormat="1" ht="17.45" customHeight="1" x14ac:dyDescent="0.25">
      <c r="A2005" s="1105"/>
      <c r="B2005" s="1106"/>
      <c r="C2005" s="38" t="s">
        <v>1099</v>
      </c>
      <c r="D2005" s="199"/>
      <c r="E2005" s="199"/>
      <c r="F2005" s="1102"/>
      <c r="G2005" s="100"/>
      <c r="H2005" s="101"/>
      <c r="I2005" s="101"/>
      <c r="J2005" s="101"/>
      <c r="K2005" s="102"/>
      <c r="L2005" s="10"/>
    </row>
    <row r="2006" spans="1:12" s="146" customFormat="1" ht="36" customHeight="1" x14ac:dyDescent="0.25">
      <c r="A2006" s="1105"/>
      <c r="B2006" s="1106"/>
      <c r="C2006" s="1623" t="s">
        <v>1100</v>
      </c>
      <c r="D2006" s="1623"/>
      <c r="E2006" s="199"/>
      <c r="F2006" s="1102"/>
      <c r="G2006" s="100"/>
      <c r="H2006" s="101"/>
      <c r="I2006" s="101"/>
      <c r="J2006" s="101"/>
      <c r="K2006" s="102"/>
      <c r="L2006" s="10"/>
    </row>
    <row r="2007" spans="1:12" s="146" customFormat="1" ht="18" x14ac:dyDescent="0.25">
      <c r="A2007" s="1105"/>
      <c r="B2007" s="1106"/>
      <c r="C2007" s="38" t="s">
        <v>1101</v>
      </c>
      <c r="D2007" s="199"/>
      <c r="E2007" s="199"/>
      <c r="F2007" s="1102"/>
      <c r="G2007" s="100"/>
      <c r="H2007" s="101"/>
      <c r="I2007" s="101"/>
      <c r="J2007" s="101"/>
      <c r="K2007" s="102"/>
      <c r="L2007" s="10"/>
    </row>
    <row r="2008" spans="1:12" s="146" customFormat="1" ht="35.25" customHeight="1" x14ac:dyDescent="0.25">
      <c r="A2008" s="1105"/>
      <c r="B2008" s="1106"/>
      <c r="C2008" s="1623" t="s">
        <v>1102</v>
      </c>
      <c r="D2008" s="1623"/>
      <c r="E2008" s="199"/>
      <c r="F2008" s="1102"/>
      <c r="G2008" s="100"/>
      <c r="H2008" s="101"/>
      <c r="I2008" s="101"/>
      <c r="J2008" s="101"/>
      <c r="K2008" s="102"/>
      <c r="L2008" s="10"/>
    </row>
    <row r="2009" spans="1:12" s="146" customFormat="1" ht="36.75" customHeight="1" x14ac:dyDescent="0.25">
      <c r="A2009" s="1105"/>
      <c r="B2009" s="1106"/>
      <c r="C2009" s="1623" t="s">
        <v>1103</v>
      </c>
      <c r="D2009" s="1623"/>
      <c r="E2009" s="199"/>
      <c r="F2009" s="1102"/>
      <c r="G2009" s="100"/>
      <c r="H2009" s="101"/>
      <c r="I2009" s="101"/>
      <c r="J2009" s="101"/>
      <c r="K2009" s="102"/>
      <c r="L2009" s="10"/>
    </row>
    <row r="2010" spans="1:12" s="146" customFormat="1" ht="18" x14ac:dyDescent="0.25">
      <c r="A2010" s="1105"/>
      <c r="B2010" s="1106"/>
      <c r="C2010" s="38" t="s">
        <v>1104</v>
      </c>
      <c r="D2010" s="199"/>
      <c r="E2010" s="199"/>
      <c r="F2010" s="1102"/>
      <c r="G2010" s="100"/>
      <c r="H2010" s="101"/>
      <c r="I2010" s="101"/>
      <c r="J2010" s="101"/>
      <c r="K2010" s="102"/>
      <c r="L2010" s="10"/>
    </row>
    <row r="2011" spans="1:12" s="146" customFormat="1" ht="18" x14ac:dyDescent="0.25">
      <c r="A2011" s="1105"/>
      <c r="B2011" s="1106"/>
      <c r="C2011" s="38" t="s">
        <v>1105</v>
      </c>
      <c r="D2011" s="199"/>
      <c r="E2011" s="199"/>
      <c r="F2011" s="1102"/>
      <c r="G2011" s="100"/>
      <c r="H2011" s="101"/>
      <c r="I2011" s="101"/>
      <c r="J2011" s="101"/>
      <c r="K2011" s="102"/>
      <c r="L2011" s="10"/>
    </row>
    <row r="2012" spans="1:12" s="146" customFormat="1" ht="18" x14ac:dyDescent="0.25">
      <c r="A2012" s="1105"/>
      <c r="B2012" s="1106"/>
      <c r="C2012" s="36" t="s">
        <v>1106</v>
      </c>
      <c r="D2012" s="199"/>
      <c r="E2012" s="199"/>
      <c r="F2012" s="1102"/>
      <c r="G2012" s="100"/>
      <c r="H2012" s="101"/>
      <c r="I2012" s="101"/>
      <c r="J2012" s="101"/>
      <c r="K2012" s="102"/>
      <c r="L2012" s="10"/>
    </row>
    <row r="2013" spans="1:12" s="146" customFormat="1" ht="17.45" customHeight="1" x14ac:dyDescent="0.25">
      <c r="A2013" s="1105"/>
      <c r="B2013" s="1106"/>
      <c r="C2013" s="38" t="s">
        <v>1107</v>
      </c>
      <c r="D2013" s="199"/>
      <c r="E2013" s="199"/>
      <c r="F2013" s="1102"/>
      <c r="G2013" s="100"/>
      <c r="H2013" s="101"/>
      <c r="I2013" s="101"/>
      <c r="J2013" s="101"/>
      <c r="K2013" s="102"/>
      <c r="L2013" s="10"/>
    </row>
    <row r="2014" spans="1:12" s="146" customFormat="1" ht="17.45" customHeight="1" x14ac:dyDescent="0.25">
      <c r="A2014" s="1105"/>
      <c r="B2014" s="1106"/>
      <c r="C2014" s="38" t="s">
        <v>1108</v>
      </c>
      <c r="D2014" s="199"/>
      <c r="E2014" s="199"/>
      <c r="F2014" s="1102"/>
      <c r="G2014" s="100"/>
      <c r="H2014" s="101"/>
      <c r="I2014" s="101"/>
      <c r="J2014" s="101"/>
      <c r="K2014" s="102"/>
      <c r="L2014" s="10"/>
    </row>
    <row r="2015" spans="1:12" s="146" customFormat="1" ht="17.45" customHeight="1" x14ac:dyDescent="0.25">
      <c r="A2015" s="1105"/>
      <c r="B2015" s="1106"/>
      <c r="C2015" s="38" t="s">
        <v>1109</v>
      </c>
      <c r="D2015" s="199"/>
      <c r="E2015" s="199"/>
      <c r="F2015" s="1102"/>
      <c r="G2015" s="716"/>
      <c r="H2015" s="101"/>
      <c r="I2015" s="101"/>
      <c r="J2015" s="101"/>
      <c r="K2015" s="102"/>
      <c r="L2015" s="10"/>
    </row>
    <row r="2016" spans="1:12" s="146" customFormat="1" ht="17.45" customHeight="1" x14ac:dyDescent="0.25">
      <c r="A2016" s="1105"/>
      <c r="B2016" s="1106"/>
      <c r="C2016" s="38" t="s">
        <v>1110</v>
      </c>
      <c r="D2016" s="199"/>
      <c r="E2016" s="199"/>
      <c r="F2016" s="1102"/>
      <c r="G2016" s="716"/>
      <c r="H2016" s="101"/>
      <c r="I2016" s="101"/>
      <c r="J2016" s="101"/>
      <c r="K2016" s="102"/>
      <c r="L2016" s="10"/>
    </row>
    <row r="2017" spans="1:12" s="146" customFormat="1" ht="17.45" customHeight="1" x14ac:dyDescent="0.25">
      <c r="A2017" s="1105"/>
      <c r="B2017" s="1106"/>
      <c r="C2017" s="38" t="s">
        <v>1935</v>
      </c>
      <c r="D2017" s="199"/>
      <c r="E2017" s="199"/>
      <c r="F2017" s="1102"/>
      <c r="G2017" s="716"/>
      <c r="H2017" s="101"/>
      <c r="I2017" s="101"/>
      <c r="J2017" s="101"/>
      <c r="K2017" s="102"/>
      <c r="L2017" s="10"/>
    </row>
    <row r="2018" spans="1:12" s="146" customFormat="1" ht="17.45" customHeight="1" x14ac:dyDescent="0.25">
      <c r="A2018" s="1105"/>
      <c r="B2018" s="1106"/>
      <c r="C2018" s="38" t="s">
        <v>1111</v>
      </c>
      <c r="D2018" s="199"/>
      <c r="E2018" s="199"/>
      <c r="F2018" s="1102"/>
      <c r="G2018" s="716"/>
      <c r="H2018" s="101"/>
      <c r="I2018" s="101"/>
      <c r="J2018" s="101"/>
      <c r="K2018" s="102"/>
      <c r="L2018" s="10"/>
    </row>
    <row r="2019" spans="1:12" s="146" customFormat="1" ht="17.45" customHeight="1" x14ac:dyDescent="0.25">
      <c r="A2019" s="1105"/>
      <c r="B2019" s="1106"/>
      <c r="C2019" s="38" t="s">
        <v>1112</v>
      </c>
      <c r="D2019" s="199"/>
      <c r="E2019" s="199"/>
      <c r="F2019" s="1102"/>
      <c r="G2019" s="716"/>
      <c r="H2019" s="101"/>
      <c r="I2019" s="101"/>
      <c r="J2019" s="101"/>
      <c r="K2019" s="102"/>
      <c r="L2019" s="10"/>
    </row>
    <row r="2020" spans="1:12" s="146" customFormat="1" ht="17.45" customHeight="1" x14ac:dyDescent="0.25">
      <c r="A2020" s="1105"/>
      <c r="B2020" s="1106"/>
      <c r="C2020" s="38" t="s">
        <v>1113</v>
      </c>
      <c r="D2020" s="199"/>
      <c r="E2020" s="199"/>
      <c r="F2020" s="1102"/>
      <c r="G2020" s="716"/>
      <c r="H2020" s="101"/>
      <c r="I2020" s="101"/>
      <c r="J2020" s="101"/>
      <c r="K2020" s="102"/>
      <c r="L2020" s="10"/>
    </row>
    <row r="2021" spans="1:12" s="146" customFormat="1" ht="17.45" customHeight="1" x14ac:dyDescent="0.25">
      <c r="A2021" s="1105"/>
      <c r="B2021" s="1106"/>
      <c r="C2021" s="38" t="s">
        <v>1114</v>
      </c>
      <c r="D2021" s="199"/>
      <c r="E2021" s="199"/>
      <c r="F2021" s="1102"/>
      <c r="G2021" s="716"/>
      <c r="H2021" s="101"/>
      <c r="I2021" s="101"/>
      <c r="J2021" s="101"/>
      <c r="K2021" s="102"/>
      <c r="L2021" s="10"/>
    </row>
    <row r="2022" spans="1:12" s="146" customFormat="1" ht="17.45" customHeight="1" x14ac:dyDescent="0.25">
      <c r="A2022" s="1105"/>
      <c r="B2022" s="1106"/>
      <c r="C2022" s="38" t="s">
        <v>1115</v>
      </c>
      <c r="D2022" s="199"/>
      <c r="E2022" s="199"/>
      <c r="F2022" s="1102"/>
      <c r="G2022" s="716"/>
      <c r="H2022" s="101"/>
      <c r="I2022" s="101"/>
      <c r="J2022" s="101"/>
      <c r="K2022" s="102"/>
      <c r="L2022" s="10"/>
    </row>
    <row r="2023" spans="1:12" s="146" customFormat="1" ht="17.45" customHeight="1" x14ac:dyDescent="0.25">
      <c r="A2023" s="1105"/>
      <c r="B2023" s="1106"/>
      <c r="C2023" s="38" t="s">
        <v>1116</v>
      </c>
      <c r="D2023" s="199"/>
      <c r="E2023" s="199"/>
      <c r="F2023" s="1102"/>
      <c r="G2023" s="716"/>
      <c r="H2023" s="101"/>
      <c r="I2023" s="101"/>
      <c r="J2023" s="101"/>
      <c r="K2023" s="102"/>
      <c r="L2023" s="10"/>
    </row>
    <row r="2024" spans="1:12" s="146" customFormat="1" ht="17.100000000000001" customHeight="1" x14ac:dyDescent="0.25">
      <c r="A2024" s="1105"/>
      <c r="B2024" s="1106"/>
      <c r="C2024" s="153" t="s">
        <v>15</v>
      </c>
      <c r="D2024" s="573"/>
      <c r="E2024" s="1106"/>
      <c r="F2024" s="1102"/>
      <c r="G2024" s="716"/>
      <c r="H2024" s="119">
        <f>SUM(H1998:H2023)</f>
        <v>0</v>
      </c>
      <c r="I2024" s="119">
        <f>SUM(I1998:I2023)</f>
        <v>0</v>
      </c>
      <c r="J2024" s="119">
        <f>SUM(J1998:J2023)</f>
        <v>0</v>
      </c>
      <c r="K2024" s="150">
        <f>SUM(K1998:K2023)</f>
        <v>0</v>
      </c>
      <c r="L2024" s="10"/>
    </row>
    <row r="2025" spans="1:12" s="146" customFormat="1" ht="11.25" customHeight="1" x14ac:dyDescent="0.25">
      <c r="A2025" s="1105"/>
      <c r="B2025" s="1106"/>
      <c r="C2025" s="153"/>
      <c r="D2025" s="573"/>
      <c r="E2025" s="1106"/>
      <c r="F2025" s="1106"/>
      <c r="G2025" s="381"/>
      <c r="H2025" s="1157"/>
      <c r="I2025" s="1157"/>
      <c r="J2025" s="1157"/>
      <c r="K2025" s="1157"/>
      <c r="L2025" s="10"/>
    </row>
    <row r="2026" spans="1:12" s="146" customFormat="1" ht="17.100000000000001" customHeight="1" x14ac:dyDescent="0.25">
      <c r="A2026" s="1105"/>
      <c r="B2026" s="1106"/>
      <c r="C2026" s="1100" t="s">
        <v>33</v>
      </c>
      <c r="D2026" s="153"/>
      <c r="E2026" s="1106"/>
      <c r="F2026" s="1102"/>
      <c r="G2026" s="716"/>
      <c r="H2026" s="155"/>
      <c r="I2026" s="155"/>
      <c r="J2026" s="155"/>
      <c r="K2026" s="156"/>
      <c r="L2026" s="10"/>
    </row>
    <row r="2027" spans="1:12" s="203" customFormat="1" ht="38.25" customHeight="1" x14ac:dyDescent="0.25">
      <c r="A2027" s="1105"/>
      <c r="B2027" s="1106"/>
      <c r="C2027" s="1628" t="s">
        <v>1117</v>
      </c>
      <c r="D2027" s="1628"/>
      <c r="E2027" s="1106"/>
      <c r="F2027" s="1102"/>
      <c r="G2027" s="716"/>
      <c r="H2027" s="101"/>
      <c r="I2027" s="101"/>
      <c r="J2027" s="101"/>
      <c r="K2027" s="102"/>
      <c r="L2027" s="10"/>
    </row>
    <row r="2028" spans="1:12" s="203" customFormat="1" ht="36" customHeight="1" x14ac:dyDescent="0.25">
      <c r="A2028" s="1105"/>
      <c r="B2028" s="1106"/>
      <c r="C2028" s="1574" t="s">
        <v>1118</v>
      </c>
      <c r="D2028" s="1574"/>
      <c r="E2028" s="1106"/>
      <c r="F2028" s="1102"/>
      <c r="G2028" s="100"/>
      <c r="H2028" s="101"/>
      <c r="I2028" s="101"/>
      <c r="J2028" s="101"/>
      <c r="K2028" s="102"/>
      <c r="L2028" s="10"/>
    </row>
    <row r="2029" spans="1:12" s="146" customFormat="1" ht="18" x14ac:dyDescent="0.25">
      <c r="A2029" s="1105"/>
      <c r="B2029" s="1106"/>
      <c r="C2029" s="1141" t="s">
        <v>1119</v>
      </c>
      <c r="D2029" s="153"/>
      <c r="E2029" s="1106"/>
      <c r="F2029" s="1102"/>
      <c r="G2029" s="100"/>
      <c r="H2029" s="106"/>
      <c r="I2029" s="106"/>
      <c r="J2029" s="106"/>
      <c r="K2029" s="106"/>
      <c r="L2029" s="10"/>
    </row>
    <row r="2030" spans="1:12" s="146" customFormat="1" ht="17.100000000000001" customHeight="1" x14ac:dyDescent="0.25">
      <c r="A2030" s="1105"/>
      <c r="B2030" s="1106"/>
      <c r="C2030" s="153" t="s">
        <v>15</v>
      </c>
      <c r="D2030" s="573"/>
      <c r="E2030" s="1106"/>
      <c r="F2030" s="1102"/>
      <c r="G2030" s="716"/>
      <c r="H2030" s="156">
        <f>SUM(H2027:H2029)</f>
        <v>0</v>
      </c>
      <c r="I2030" s="156">
        <f>SUM(I2027:I2029)</f>
        <v>0</v>
      </c>
      <c r="J2030" s="156">
        <f>SUM(J2027:J2029)</f>
        <v>0</v>
      </c>
      <c r="K2030" s="156">
        <f>SUM(K2027:K2029)</f>
        <v>0</v>
      </c>
      <c r="L2030" s="10"/>
    </row>
    <row r="2031" spans="1:12" s="146" customFormat="1" ht="11.25" customHeight="1" x14ac:dyDescent="0.25">
      <c r="A2031" s="1105"/>
      <c r="B2031" s="1106"/>
      <c r="C2031" s="153"/>
      <c r="D2031" s="573"/>
      <c r="E2031" s="1106"/>
      <c r="F2031" s="1102"/>
      <c r="G2031" s="716"/>
      <c r="H2031" s="156"/>
      <c r="I2031" s="156"/>
      <c r="J2031" s="156"/>
      <c r="K2031" s="156"/>
      <c r="L2031" s="10"/>
    </row>
    <row r="2032" spans="1:12" s="146" customFormat="1" ht="18" x14ac:dyDescent="0.25">
      <c r="A2032" s="1105"/>
      <c r="B2032" s="1106"/>
      <c r="C2032" s="1104" t="s">
        <v>1120</v>
      </c>
      <c r="D2032" s="199"/>
      <c r="E2032" s="199"/>
      <c r="F2032" s="432"/>
      <c r="G2032" s="100"/>
      <c r="H2032" s="101"/>
      <c r="I2032" s="101"/>
      <c r="J2032" s="101"/>
      <c r="K2032" s="102"/>
      <c r="L2032" s="10"/>
    </row>
    <row r="2033" spans="1:12" s="146" customFormat="1" ht="18" x14ac:dyDescent="0.25">
      <c r="A2033" s="1105"/>
      <c r="B2033" s="1106"/>
      <c r="C2033" s="36" t="s">
        <v>1121</v>
      </c>
      <c r="D2033" s="1123"/>
      <c r="E2033" s="1106"/>
      <c r="F2033" s="1102"/>
      <c r="G2033" s="100"/>
      <c r="H2033" s="101"/>
      <c r="I2033" s="101"/>
      <c r="J2033" s="101"/>
      <c r="K2033" s="102"/>
      <c r="L2033" s="10"/>
    </row>
    <row r="2034" spans="1:12" s="146" customFormat="1" ht="17.45" customHeight="1" x14ac:dyDescent="0.25">
      <c r="A2034" s="1105"/>
      <c r="B2034" s="1106"/>
      <c r="C2034" s="1126" t="s">
        <v>1936</v>
      </c>
      <c r="D2034" s="3"/>
      <c r="E2034" s="1106"/>
      <c r="F2034" s="1102"/>
      <c r="G2034" s="100"/>
      <c r="H2034" s="101"/>
      <c r="I2034" s="101"/>
      <c r="J2034" s="101"/>
      <c r="K2034" s="102"/>
      <c r="L2034" s="10"/>
    </row>
    <row r="2035" spans="1:12" s="146" customFormat="1" ht="17.45" customHeight="1" x14ac:dyDescent="0.25">
      <c r="A2035" s="1105"/>
      <c r="B2035" s="1106"/>
      <c r="C2035" s="1126" t="s">
        <v>1937</v>
      </c>
      <c r="D2035" s="3"/>
      <c r="E2035" s="1106"/>
      <c r="F2035" s="1102"/>
      <c r="G2035" s="100"/>
      <c r="H2035" s="101"/>
      <c r="I2035" s="101"/>
      <c r="J2035" s="101"/>
      <c r="K2035" s="102"/>
      <c r="L2035" s="10"/>
    </row>
    <row r="2036" spans="1:12" s="146" customFormat="1" ht="17.45" customHeight="1" x14ac:dyDescent="0.25">
      <c r="A2036" s="1105"/>
      <c r="B2036" s="1106"/>
      <c r="C2036" s="1126" t="s">
        <v>1938</v>
      </c>
      <c r="D2036" s="3"/>
      <c r="E2036" s="1106"/>
      <c r="F2036" s="1102"/>
      <c r="G2036" s="100"/>
      <c r="H2036" s="101"/>
      <c r="I2036" s="101"/>
      <c r="J2036" s="101"/>
      <c r="K2036" s="102"/>
      <c r="L2036" s="10"/>
    </row>
    <row r="2037" spans="1:12" s="146" customFormat="1" ht="17.45" customHeight="1" x14ac:dyDescent="0.25">
      <c r="A2037" s="1105"/>
      <c r="B2037" s="1106"/>
      <c r="C2037" s="1126" t="s">
        <v>1939</v>
      </c>
      <c r="D2037" s="3"/>
      <c r="E2037" s="1106"/>
      <c r="F2037" s="1102"/>
      <c r="G2037" s="100"/>
      <c r="H2037" s="101"/>
      <c r="I2037" s="101"/>
      <c r="J2037" s="101"/>
      <c r="K2037" s="102"/>
      <c r="L2037" s="10"/>
    </row>
    <row r="2038" spans="1:12" s="146" customFormat="1" ht="17.45" customHeight="1" x14ac:dyDescent="0.25">
      <c r="A2038" s="1105"/>
      <c r="B2038" s="1106"/>
      <c r="C2038" s="1126" t="s">
        <v>1940</v>
      </c>
      <c r="D2038" s="125"/>
      <c r="E2038" s="1106"/>
      <c r="F2038" s="1102"/>
      <c r="G2038" s="100"/>
      <c r="H2038" s="101"/>
      <c r="I2038" s="101"/>
      <c r="J2038" s="101"/>
      <c r="K2038" s="102"/>
      <c r="L2038" s="10"/>
    </row>
    <row r="2039" spans="1:12" s="146" customFormat="1" ht="17.45" customHeight="1" x14ac:dyDescent="0.25">
      <c r="A2039" s="1105"/>
      <c r="B2039" s="1106"/>
      <c r="C2039" s="1126" t="s">
        <v>1941</v>
      </c>
      <c r="D2039" s="44"/>
      <c r="E2039" s="1106"/>
      <c r="F2039" s="1102"/>
      <c r="G2039" s="100"/>
      <c r="H2039" s="101"/>
      <c r="I2039" s="101"/>
      <c r="J2039" s="101"/>
      <c r="K2039" s="102"/>
      <c r="L2039" s="10"/>
    </row>
    <row r="2040" spans="1:12" s="146" customFormat="1" ht="17.45" customHeight="1" x14ac:dyDescent="0.25">
      <c r="A2040" s="1105"/>
      <c r="B2040" s="1106"/>
      <c r="C2040" s="1126" t="s">
        <v>1942</v>
      </c>
      <c r="D2040" s="125"/>
      <c r="E2040" s="1106"/>
      <c r="F2040" s="1102"/>
      <c r="G2040" s="100"/>
      <c r="H2040" s="101"/>
      <c r="I2040" s="101"/>
      <c r="J2040" s="101"/>
      <c r="K2040" s="102"/>
      <c r="L2040" s="10"/>
    </row>
    <row r="2041" spans="1:12" s="146" customFormat="1" ht="17.45" customHeight="1" x14ac:dyDescent="0.25">
      <c r="A2041" s="1105"/>
      <c r="B2041" s="1106"/>
      <c r="C2041" s="1126" t="s">
        <v>1943</v>
      </c>
      <c r="D2041" s="125"/>
      <c r="E2041" s="1106"/>
      <c r="F2041" s="1102"/>
      <c r="G2041" s="100"/>
      <c r="H2041" s="101"/>
      <c r="I2041" s="101"/>
      <c r="J2041" s="101"/>
      <c r="K2041" s="102"/>
      <c r="L2041" s="10"/>
    </row>
    <row r="2042" spans="1:12" s="146" customFormat="1" ht="18" x14ac:dyDescent="0.25">
      <c r="A2042" s="1105"/>
      <c r="B2042" s="1106"/>
      <c r="C2042" s="36" t="s">
        <v>1138</v>
      </c>
      <c r="D2042" s="1123"/>
      <c r="E2042" s="1106"/>
      <c r="F2042" s="1102"/>
      <c r="G2042" s="100"/>
      <c r="H2042" s="101"/>
      <c r="I2042" s="101"/>
      <c r="J2042" s="101"/>
      <c r="K2042" s="102"/>
      <c r="L2042" s="10"/>
    </row>
    <row r="2043" spans="1:12" s="146" customFormat="1" ht="18" x14ac:dyDescent="0.25">
      <c r="A2043" s="1105"/>
      <c r="B2043" s="1106"/>
      <c r="C2043" s="38" t="s">
        <v>1944</v>
      </c>
      <c r="D2043" s="1123"/>
      <c r="E2043" s="1106"/>
      <c r="F2043" s="1102"/>
      <c r="G2043" s="100"/>
      <c r="H2043" s="101"/>
      <c r="I2043" s="101"/>
      <c r="J2043" s="101"/>
      <c r="K2043" s="102"/>
      <c r="L2043" s="10"/>
    </row>
    <row r="2044" spans="1:12" s="146" customFormat="1" ht="36" customHeight="1" x14ac:dyDescent="0.25">
      <c r="A2044" s="1105"/>
      <c r="B2044" s="1106"/>
      <c r="C2044" s="1623" t="s">
        <v>1945</v>
      </c>
      <c r="D2044" s="1623"/>
      <c r="E2044" s="1106"/>
      <c r="F2044" s="1102"/>
      <c r="G2044" s="100"/>
      <c r="H2044" s="101"/>
      <c r="I2044" s="101"/>
      <c r="J2044" s="101"/>
      <c r="K2044" s="102"/>
      <c r="L2044" s="10"/>
    </row>
    <row r="2045" spans="1:12" s="146" customFormat="1" ht="18" x14ac:dyDescent="0.25">
      <c r="A2045" s="1105"/>
      <c r="B2045" s="1106"/>
      <c r="C2045" s="1126" t="s">
        <v>1946</v>
      </c>
      <c r="D2045" s="3"/>
      <c r="E2045" s="1106"/>
      <c r="F2045" s="1102"/>
      <c r="G2045" s="100"/>
      <c r="H2045" s="101"/>
      <c r="I2045" s="101"/>
      <c r="J2045" s="101"/>
      <c r="K2045" s="102"/>
      <c r="L2045" s="10"/>
    </row>
    <row r="2046" spans="1:12" s="146" customFormat="1" ht="18" x14ac:dyDescent="0.25">
      <c r="A2046" s="1105"/>
      <c r="B2046" s="1106"/>
      <c r="C2046" s="1126" t="s">
        <v>1947</v>
      </c>
      <c r="D2046" s="3"/>
      <c r="E2046" s="1106"/>
      <c r="F2046" s="1102"/>
      <c r="G2046" s="100"/>
      <c r="H2046" s="101"/>
      <c r="I2046" s="101"/>
      <c r="J2046" s="101"/>
      <c r="K2046" s="102"/>
      <c r="L2046" s="10"/>
    </row>
    <row r="2047" spans="1:12" s="146" customFormat="1" ht="18" x14ac:dyDescent="0.25">
      <c r="A2047" s="1105"/>
      <c r="B2047" s="1106"/>
      <c r="C2047" s="1126" t="s">
        <v>1948</v>
      </c>
      <c r="D2047" s="3"/>
      <c r="E2047" s="1106"/>
      <c r="F2047" s="1102"/>
      <c r="G2047" s="100"/>
      <c r="H2047" s="101"/>
      <c r="I2047" s="101"/>
      <c r="J2047" s="101"/>
      <c r="K2047" s="102"/>
      <c r="L2047" s="10"/>
    </row>
    <row r="2048" spans="1:12" s="146" customFormat="1" ht="18" x14ac:dyDescent="0.25">
      <c r="A2048" s="1105"/>
      <c r="B2048" s="1106"/>
      <c r="C2048" s="1639" t="s">
        <v>1949</v>
      </c>
      <c r="D2048" s="1639"/>
      <c r="E2048" s="1639"/>
      <c r="F2048" s="1640"/>
      <c r="G2048" s="100"/>
      <c r="H2048" s="101"/>
      <c r="I2048" s="101"/>
      <c r="J2048" s="101"/>
      <c r="K2048" s="102"/>
      <c r="L2048" s="10"/>
    </row>
    <row r="2049" spans="1:12" s="146" customFormat="1" ht="18" x14ac:dyDescent="0.25">
      <c r="A2049" s="1105"/>
      <c r="B2049" s="1106"/>
      <c r="C2049" s="1126" t="s">
        <v>1950</v>
      </c>
      <c r="D2049" s="125"/>
      <c r="E2049" s="1106"/>
      <c r="F2049" s="1102"/>
      <c r="G2049" s="100"/>
      <c r="H2049" s="101"/>
      <c r="I2049" s="101"/>
      <c r="J2049" s="101"/>
      <c r="K2049" s="102"/>
      <c r="L2049" s="10"/>
    </row>
    <row r="2050" spans="1:12" s="146" customFormat="1" ht="18" x14ac:dyDescent="0.25">
      <c r="A2050" s="1105"/>
      <c r="B2050" s="1106"/>
      <c r="C2050" s="1126" t="s">
        <v>1951</v>
      </c>
      <c r="D2050" s="125"/>
      <c r="E2050" s="1106"/>
      <c r="F2050" s="1102"/>
      <c r="G2050" s="100"/>
      <c r="H2050" s="101"/>
      <c r="I2050" s="101"/>
      <c r="J2050" s="101"/>
      <c r="K2050" s="102"/>
      <c r="L2050" s="10"/>
    </row>
    <row r="2051" spans="1:12" ht="18" x14ac:dyDescent="0.25">
      <c r="A2051" s="1105"/>
      <c r="B2051" s="1106"/>
      <c r="C2051" s="38" t="s">
        <v>1152</v>
      </c>
      <c r="D2051" s="199"/>
      <c r="E2051" s="1106"/>
      <c r="F2051" s="1102"/>
      <c r="G2051" s="100"/>
      <c r="H2051" s="101"/>
      <c r="I2051" s="101"/>
      <c r="J2051" s="101"/>
      <c r="K2051" s="102"/>
    </row>
    <row r="2052" spans="1:12" ht="18" x14ac:dyDescent="0.25">
      <c r="A2052" s="1105"/>
      <c r="B2052" s="1106"/>
      <c r="C2052" s="38" t="s">
        <v>1952</v>
      </c>
      <c r="D2052" s="199"/>
      <c r="E2052" s="1106"/>
      <c r="F2052" s="1102"/>
      <c r="G2052" s="100"/>
      <c r="H2052" s="101"/>
      <c r="I2052" s="101"/>
      <c r="J2052" s="101"/>
      <c r="K2052" s="102"/>
    </row>
    <row r="2053" spans="1:12" s="191" customFormat="1" ht="18" x14ac:dyDescent="0.25">
      <c r="A2053" s="433"/>
      <c r="B2053" s="435"/>
      <c r="C2053" s="240" t="s">
        <v>1153</v>
      </c>
      <c r="D2053" s="434"/>
      <c r="E2053" s="435"/>
      <c r="F2053" s="436"/>
      <c r="G2053" s="437"/>
      <c r="H2053" s="438"/>
      <c r="I2053" s="438"/>
      <c r="J2053" s="438"/>
      <c r="K2053" s="439"/>
      <c r="L2053" s="10"/>
    </row>
    <row r="2054" spans="1:12" s="191" customFormat="1" ht="18" x14ac:dyDescent="0.25">
      <c r="A2054" s="433"/>
      <c r="B2054" s="435"/>
      <c r="C2054" s="240" t="s">
        <v>1154</v>
      </c>
      <c r="D2054" s="434"/>
      <c r="E2054" s="435"/>
      <c r="F2054" s="436"/>
      <c r="G2054" s="437"/>
      <c r="H2054" s="438"/>
      <c r="I2054" s="438"/>
      <c r="J2054" s="438"/>
      <c r="K2054" s="439"/>
      <c r="L2054" s="10"/>
    </row>
    <row r="2055" spans="1:12" s="191" customFormat="1" ht="18" x14ac:dyDescent="0.25">
      <c r="A2055" s="433"/>
      <c r="B2055" s="435"/>
      <c r="C2055" s="240" t="s">
        <v>1155</v>
      </c>
      <c r="D2055" s="434"/>
      <c r="E2055" s="435"/>
      <c r="F2055" s="436"/>
      <c r="G2055" s="437"/>
      <c r="H2055" s="440"/>
      <c r="I2055" s="440"/>
      <c r="J2055" s="440"/>
      <c r="K2055" s="441"/>
      <c r="L2055" s="10"/>
    </row>
    <row r="2056" spans="1:12" ht="18.75" thickBot="1" x14ac:dyDescent="0.3">
      <c r="A2056" s="187"/>
      <c r="B2056" s="1226"/>
      <c r="C2056" s="420" t="s">
        <v>15</v>
      </c>
      <c r="D2056" s="556"/>
      <c r="E2056" s="1226"/>
      <c r="F2056" s="431"/>
      <c r="G2056" s="308"/>
      <c r="H2056" s="123">
        <f>SUM(H2033:H2055)</f>
        <v>0</v>
      </c>
      <c r="I2056" s="123">
        <f>SUM(I2033:I2055)</f>
        <v>0</v>
      </c>
      <c r="J2056" s="123">
        <f>SUM(J2033:J2055)</f>
        <v>0</v>
      </c>
      <c r="K2056" s="158">
        <f>SUM(K2033:K2055)</f>
        <v>0</v>
      </c>
    </row>
    <row r="2057" spans="1:12" s="146" customFormat="1" ht="17.100000000000001" customHeight="1" x14ac:dyDescent="0.25">
      <c r="A2057" s="1106"/>
      <c r="B2057" s="1106"/>
      <c r="C2057" s="153"/>
      <c r="D2057" s="573"/>
      <c r="E2057" s="1106"/>
      <c r="F2057" s="1106"/>
      <c r="G2057" s="381"/>
      <c r="H2057" s="127"/>
      <c r="I2057" s="127"/>
      <c r="J2057" s="127"/>
      <c r="K2057" s="127"/>
      <c r="L2057" s="10"/>
    </row>
    <row r="2058" spans="1:12" ht="18" customHeight="1" x14ac:dyDescent="0.25">
      <c r="A2058" s="8" t="s">
        <v>112</v>
      </c>
    </row>
    <row r="2059" spans="1:12" ht="18" customHeight="1" x14ac:dyDescent="0.25">
      <c r="A2059" s="8" t="s">
        <v>1137</v>
      </c>
    </row>
    <row r="2060" spans="1:12" ht="18" customHeight="1" x14ac:dyDescent="0.25">
      <c r="A2060" s="1636" t="s">
        <v>113</v>
      </c>
      <c r="B2060" s="1636"/>
      <c r="C2060" s="1636"/>
      <c r="D2060" s="1636"/>
      <c r="E2060" s="1636"/>
      <c r="F2060" s="1636"/>
      <c r="G2060" s="1636"/>
      <c r="H2060" s="1636"/>
      <c r="I2060" s="1636"/>
      <c r="J2060" s="1636"/>
      <c r="K2060" s="1101"/>
    </row>
    <row r="2061" spans="1:12" s="7" customFormat="1" ht="18" customHeight="1" x14ac:dyDescent="0.25">
      <c r="A2061" s="1624" t="s">
        <v>114</v>
      </c>
      <c r="B2061" s="1624"/>
      <c r="C2061" s="1624"/>
      <c r="D2061" s="1624"/>
      <c r="E2061" s="1624"/>
      <c r="F2061" s="1624"/>
      <c r="G2061" s="1624"/>
      <c r="H2061" s="1624"/>
      <c r="I2061" s="1624"/>
      <c r="J2061" s="1624"/>
      <c r="K2061" s="159"/>
      <c r="L2061" s="6"/>
    </row>
    <row r="2062" spans="1:12" s="7" customFormat="1" ht="18" customHeight="1" x14ac:dyDescent="0.25">
      <c r="A2062" s="1115"/>
      <c r="B2062" s="1115"/>
      <c r="C2062" s="1115"/>
      <c r="D2062" s="1115"/>
      <c r="E2062" s="1115"/>
      <c r="F2062" s="1115"/>
      <c r="G2062" s="1115"/>
      <c r="H2062" s="1115"/>
      <c r="I2062" s="1115"/>
      <c r="J2062" s="1115"/>
      <c r="K2062" s="159"/>
      <c r="L2062" s="6"/>
    </row>
    <row r="2063" spans="1:12" ht="18.75" thickBot="1" x14ac:dyDescent="0.3">
      <c r="A2063" s="41"/>
      <c r="B2063" s="41"/>
      <c r="C2063" s="63"/>
      <c r="D2063" s="41"/>
      <c r="E2063" s="41"/>
      <c r="F2063" s="41"/>
      <c r="G2063" s="41"/>
    </row>
    <row r="2064" spans="1:12" s="48" customFormat="1" ht="21.75" customHeight="1" thickBot="1" x14ac:dyDescent="0.3">
      <c r="A2064" s="1655" t="s">
        <v>115</v>
      </c>
      <c r="B2064" s="1655"/>
      <c r="C2064" s="1655"/>
      <c r="D2064" s="1655"/>
      <c r="E2064" s="1655"/>
      <c r="F2064" s="1655"/>
      <c r="G2064" s="1151"/>
      <c r="H2064" s="1708" t="s">
        <v>1537</v>
      </c>
      <c r="I2064" s="1710" t="s">
        <v>1538</v>
      </c>
      <c r="J2064" s="1710" t="s">
        <v>1539</v>
      </c>
      <c r="K2064" s="1710" t="s">
        <v>1540</v>
      </c>
      <c r="L2064" s="47"/>
    </row>
    <row r="2065" spans="1:12" s="1153" customFormat="1" ht="31.5" customHeight="1" thickBot="1" x14ac:dyDescent="0.3">
      <c r="A2065" s="1655"/>
      <c r="B2065" s="1655"/>
      <c r="C2065" s="1655"/>
      <c r="D2065" s="1655"/>
      <c r="E2065" s="1655"/>
      <c r="F2065" s="1655"/>
      <c r="G2065" s="1129" t="s">
        <v>116</v>
      </c>
      <c r="H2065" s="1709"/>
      <c r="I2065" s="1710"/>
      <c r="J2065" s="1710"/>
      <c r="K2065" s="1710"/>
      <c r="L2065" s="1152"/>
    </row>
    <row r="2066" spans="1:12" ht="18" x14ac:dyDescent="0.25">
      <c r="A2066" s="1105"/>
      <c r="B2066" s="1106"/>
      <c r="C2066" s="1104" t="s">
        <v>1156</v>
      </c>
      <c r="D2066" s="199"/>
      <c r="E2066" s="199"/>
      <c r="F2066" s="393"/>
      <c r="G2066" s="100"/>
      <c r="H2066" s="101"/>
      <c r="I2066" s="101"/>
      <c r="J2066" s="101"/>
      <c r="K2066" s="102"/>
    </row>
    <row r="2067" spans="1:12" ht="18" x14ac:dyDescent="0.25">
      <c r="A2067" s="1105"/>
      <c r="B2067" s="1106"/>
      <c r="C2067" s="442" t="s">
        <v>1953</v>
      </c>
      <c r="D2067" s="199"/>
      <c r="E2067" s="199"/>
      <c r="F2067" s="393"/>
      <c r="G2067" s="100"/>
      <c r="H2067" s="101"/>
      <c r="I2067" s="101"/>
      <c r="J2067" s="101"/>
      <c r="K2067" s="102"/>
    </row>
    <row r="2068" spans="1:12" ht="18" x14ac:dyDescent="0.25">
      <c r="A2068" s="1105"/>
      <c r="B2068" s="1106"/>
      <c r="C2068" s="38" t="s">
        <v>1158</v>
      </c>
      <c r="D2068" s="1106"/>
      <c r="E2068" s="1106"/>
      <c r="F2068" s="1102"/>
      <c r="G2068" s="100"/>
      <c r="H2068" s="101"/>
      <c r="I2068" s="101"/>
      <c r="J2068" s="101"/>
      <c r="K2068" s="102"/>
      <c r="L2068" s="444"/>
    </row>
    <row r="2069" spans="1:12" ht="18" x14ac:dyDescent="0.25">
      <c r="A2069" s="1105"/>
      <c r="B2069" s="1106"/>
      <c r="C2069" s="38" t="s">
        <v>1159</v>
      </c>
      <c r="D2069" s="1106"/>
      <c r="E2069" s="1106"/>
      <c r="F2069" s="1102"/>
      <c r="G2069" s="100"/>
      <c r="H2069" s="101"/>
      <c r="I2069" s="101"/>
      <c r="J2069" s="101"/>
      <c r="K2069" s="102"/>
      <c r="L2069" s="444"/>
    </row>
    <row r="2070" spans="1:12" ht="36" customHeight="1" x14ac:dyDescent="0.25">
      <c r="A2070" s="1105"/>
      <c r="B2070" s="1106"/>
      <c r="C2070" s="1623" t="s">
        <v>1160</v>
      </c>
      <c r="D2070" s="1623"/>
      <c r="E2070" s="1106"/>
      <c r="F2070" s="1102"/>
      <c r="G2070" s="100"/>
      <c r="H2070" s="101"/>
      <c r="I2070" s="101"/>
      <c r="J2070" s="101"/>
      <c r="K2070" s="102"/>
    </row>
    <row r="2071" spans="1:12" ht="39" customHeight="1" x14ac:dyDescent="0.25">
      <c r="A2071" s="1105"/>
      <c r="B2071" s="1106"/>
      <c r="C2071" s="1637" t="s">
        <v>1162</v>
      </c>
      <c r="D2071" s="1637"/>
      <c r="E2071" s="1637"/>
      <c r="F2071" s="1641"/>
      <c r="G2071" s="100"/>
      <c r="H2071" s="101"/>
      <c r="I2071" s="101"/>
      <c r="J2071" s="101"/>
      <c r="K2071" s="102"/>
    </row>
    <row r="2072" spans="1:12" ht="18" x14ac:dyDescent="0.25">
      <c r="A2072" s="1105"/>
      <c r="B2072" s="1106"/>
      <c r="C2072" s="153" t="s">
        <v>200</v>
      </c>
      <c r="D2072" s="235"/>
      <c r="E2072" s="1106"/>
      <c r="F2072" s="1102"/>
      <c r="G2072" s="100"/>
      <c r="H2072" s="119">
        <f>SUM(H2068:H2071)</f>
        <v>0</v>
      </c>
      <c r="I2072" s="119">
        <f>SUM(I2068:I2071)</f>
        <v>0</v>
      </c>
      <c r="J2072" s="119">
        <f>SUM(J2068:J2071)</f>
        <v>0</v>
      </c>
      <c r="K2072" s="150">
        <f>SUM(K2068:K2071)</f>
        <v>0</v>
      </c>
    </row>
    <row r="2073" spans="1:12" ht="18" x14ac:dyDescent="0.25">
      <c r="A2073" s="1105"/>
      <c r="B2073" s="1106"/>
      <c r="C2073" s="153"/>
      <c r="D2073" s="235"/>
      <c r="E2073" s="1106"/>
      <c r="F2073" s="1102"/>
      <c r="G2073" s="100"/>
      <c r="H2073" s="155"/>
      <c r="I2073" s="155"/>
      <c r="J2073" s="155"/>
      <c r="K2073" s="156"/>
    </row>
    <row r="2074" spans="1:12" ht="18" x14ac:dyDescent="0.25">
      <c r="A2074" s="1105"/>
      <c r="B2074" s="1106"/>
      <c r="C2074" s="36" t="s">
        <v>1676</v>
      </c>
      <c r="D2074" s="1106"/>
      <c r="E2074" s="1106"/>
      <c r="F2074" s="1102"/>
      <c r="G2074" s="100"/>
      <c r="H2074" s="101"/>
      <c r="I2074" s="101"/>
      <c r="J2074" s="101"/>
      <c r="K2074" s="102"/>
    </row>
    <row r="2075" spans="1:12" ht="18" x14ac:dyDescent="0.25">
      <c r="A2075" s="1105"/>
      <c r="B2075" s="1106"/>
      <c r="C2075" s="38" t="s">
        <v>1165</v>
      </c>
      <c r="D2075" s="199"/>
      <c r="E2075" s="199"/>
      <c r="F2075" s="1102"/>
      <c r="G2075" s="100"/>
      <c r="H2075" s="101"/>
      <c r="I2075" s="101"/>
      <c r="J2075" s="101"/>
      <c r="K2075" s="102"/>
    </row>
    <row r="2076" spans="1:12" ht="36.75" customHeight="1" x14ac:dyDescent="0.25">
      <c r="A2076" s="1105"/>
      <c r="B2076" s="1106"/>
      <c r="C2076" s="1623" t="s">
        <v>1954</v>
      </c>
      <c r="D2076" s="1623"/>
      <c r="E2076" s="199"/>
      <c r="F2076" s="1102"/>
      <c r="G2076" s="100"/>
      <c r="H2076" s="101"/>
      <c r="I2076" s="101"/>
      <c r="J2076" s="101"/>
      <c r="K2076" s="102"/>
    </row>
    <row r="2077" spans="1:12" ht="17.45" customHeight="1" x14ac:dyDescent="0.25">
      <c r="A2077" s="1105"/>
      <c r="B2077" s="1106"/>
      <c r="C2077" s="38" t="s">
        <v>1677</v>
      </c>
      <c r="D2077" s="1114"/>
      <c r="E2077" s="199"/>
      <c r="F2077" s="1102"/>
      <c r="G2077" s="100"/>
      <c r="H2077" s="101"/>
      <c r="I2077" s="101"/>
      <c r="J2077" s="101"/>
      <c r="K2077" s="102"/>
    </row>
    <row r="2078" spans="1:12" s="146" customFormat="1" ht="18" x14ac:dyDescent="0.25">
      <c r="A2078" s="1105"/>
      <c r="B2078" s="1106"/>
      <c r="C2078" s="38" t="s">
        <v>1678</v>
      </c>
      <c r="D2078" s="199"/>
      <c r="E2078" s="199"/>
      <c r="F2078" s="1102"/>
      <c r="G2078" s="100"/>
      <c r="H2078" s="101"/>
      <c r="I2078" s="1180"/>
      <c r="J2078" s="1180"/>
      <c r="K2078" s="1180"/>
      <c r="L2078" s="10"/>
    </row>
    <row r="2079" spans="1:12" s="146" customFormat="1" ht="18" x14ac:dyDescent="0.25">
      <c r="A2079" s="1105"/>
      <c r="B2079" s="1106"/>
      <c r="C2079" s="38" t="s">
        <v>1679</v>
      </c>
      <c r="D2079" s="199"/>
      <c r="E2079" s="199"/>
      <c r="F2079" s="1102"/>
      <c r="G2079" s="100"/>
      <c r="H2079" s="102"/>
      <c r="I2079" s="102"/>
      <c r="J2079" s="102"/>
      <c r="K2079" s="102"/>
      <c r="L2079" s="10"/>
    </row>
    <row r="2080" spans="1:12" s="146" customFormat="1" ht="18" x14ac:dyDescent="0.25">
      <c r="A2080" s="1105"/>
      <c r="B2080" s="1106"/>
      <c r="C2080" s="38" t="s">
        <v>1955</v>
      </c>
      <c r="D2080" s="199"/>
      <c r="E2080" s="199"/>
      <c r="F2080" s="1102"/>
      <c r="G2080" s="100"/>
      <c r="H2080" s="102"/>
      <c r="I2080" s="102"/>
      <c r="J2080" s="102"/>
      <c r="K2080" s="102"/>
      <c r="L2080" s="10"/>
    </row>
    <row r="2081" spans="1:12" s="146" customFormat="1" ht="18" x14ac:dyDescent="0.25">
      <c r="A2081" s="1105"/>
      <c r="B2081" s="1106"/>
      <c r="C2081" s="38" t="s">
        <v>1956</v>
      </c>
      <c r="D2081" s="199"/>
      <c r="E2081" s="199"/>
      <c r="F2081" s="1102"/>
      <c r="G2081" s="100"/>
      <c r="H2081" s="102"/>
      <c r="I2081" s="102"/>
      <c r="J2081" s="102"/>
      <c r="K2081" s="102"/>
      <c r="L2081" s="10"/>
    </row>
    <row r="2082" spans="1:12" s="146" customFormat="1" ht="18" x14ac:dyDescent="0.25">
      <c r="A2082" s="1105"/>
      <c r="B2082" s="1106"/>
      <c r="C2082" s="38" t="s">
        <v>1957</v>
      </c>
      <c r="D2082" s="199"/>
      <c r="E2082" s="199"/>
      <c r="F2082" s="1102"/>
      <c r="G2082" s="100"/>
      <c r="H2082" s="102"/>
      <c r="I2082" s="102"/>
      <c r="J2082" s="102"/>
      <c r="K2082" s="102"/>
      <c r="L2082" s="10"/>
    </row>
    <row r="2083" spans="1:12" s="146" customFormat="1" ht="18" x14ac:dyDescent="0.25">
      <c r="A2083" s="1105"/>
      <c r="B2083" s="1106"/>
      <c r="C2083" s="38" t="s">
        <v>1958</v>
      </c>
      <c r="D2083" s="199"/>
      <c r="E2083" s="199"/>
      <c r="F2083" s="1102"/>
      <c r="G2083" s="100"/>
      <c r="H2083" s="101"/>
      <c r="I2083" s="101"/>
      <c r="J2083" s="101"/>
      <c r="K2083" s="102"/>
      <c r="L2083" s="10"/>
    </row>
    <row r="2084" spans="1:12" s="146" customFormat="1" ht="18" x14ac:dyDescent="0.25">
      <c r="A2084" s="1105"/>
      <c r="B2084" s="1106"/>
      <c r="C2084" s="38" t="s">
        <v>1959</v>
      </c>
      <c r="D2084" s="199"/>
      <c r="E2084" s="199"/>
      <c r="F2084" s="1102"/>
      <c r="G2084" s="100"/>
      <c r="H2084" s="101"/>
      <c r="I2084" s="101"/>
      <c r="J2084" s="101"/>
      <c r="K2084" s="102"/>
      <c r="L2084" s="10"/>
    </row>
    <row r="2085" spans="1:12" s="146" customFormat="1" ht="36.75" customHeight="1" x14ac:dyDescent="0.25">
      <c r="A2085" s="1105"/>
      <c r="B2085" s="1106"/>
      <c r="C2085" s="1623" t="s">
        <v>1960</v>
      </c>
      <c r="D2085" s="1623"/>
      <c r="E2085" s="199"/>
      <c r="F2085" s="1102"/>
      <c r="G2085" s="100"/>
      <c r="H2085" s="101"/>
      <c r="I2085" s="101"/>
      <c r="J2085" s="101"/>
      <c r="K2085" s="102"/>
      <c r="L2085" s="10"/>
    </row>
    <row r="2086" spans="1:12" s="146" customFormat="1" ht="18.75" customHeight="1" x14ac:dyDescent="0.25">
      <c r="A2086" s="1105"/>
      <c r="B2086" s="1106"/>
      <c r="C2086" s="1123" t="s">
        <v>1680</v>
      </c>
      <c r="D2086" s="1114"/>
      <c r="E2086" s="199"/>
      <c r="F2086" s="1102"/>
      <c r="G2086" s="100"/>
      <c r="H2086" s="101"/>
      <c r="I2086" s="101"/>
      <c r="J2086" s="101"/>
      <c r="K2086" s="102"/>
      <c r="L2086" s="10"/>
    </row>
    <row r="2087" spans="1:12" s="146" customFormat="1" ht="18.75" customHeight="1" x14ac:dyDescent="0.25">
      <c r="A2087" s="1105"/>
      <c r="B2087" s="1106"/>
      <c r="C2087" s="1123" t="s">
        <v>1681</v>
      </c>
      <c r="D2087" s="1114"/>
      <c r="E2087" s="199"/>
      <c r="F2087" s="1102"/>
      <c r="G2087" s="100"/>
      <c r="H2087" s="101"/>
      <c r="I2087" s="101"/>
      <c r="J2087" s="101"/>
      <c r="K2087" s="102"/>
      <c r="L2087" s="10"/>
    </row>
    <row r="2088" spans="1:12" s="146" customFormat="1" ht="18" x14ac:dyDescent="0.25">
      <c r="A2088" s="1105"/>
      <c r="B2088" s="1106"/>
      <c r="C2088" s="38" t="s">
        <v>1682</v>
      </c>
      <c r="D2088" s="199"/>
      <c r="E2088" s="199"/>
      <c r="F2088" s="1102"/>
      <c r="G2088" s="100"/>
      <c r="H2088" s="101"/>
      <c r="I2088" s="101"/>
      <c r="J2088" s="101"/>
      <c r="K2088" s="102"/>
      <c r="L2088" s="10"/>
    </row>
    <row r="2089" spans="1:12" s="146" customFormat="1" ht="36" customHeight="1" x14ac:dyDescent="0.25">
      <c r="A2089" s="1105"/>
      <c r="B2089" s="1106"/>
      <c r="C2089" s="1623" t="s">
        <v>1683</v>
      </c>
      <c r="D2089" s="1623"/>
      <c r="E2089" s="199"/>
      <c r="F2089" s="1102"/>
      <c r="G2089" s="100"/>
      <c r="H2089" s="101"/>
      <c r="I2089" s="101"/>
      <c r="J2089" s="101"/>
      <c r="K2089" s="102"/>
      <c r="L2089" s="10"/>
    </row>
    <row r="2090" spans="1:12" s="146" customFormat="1" ht="18" x14ac:dyDescent="0.25">
      <c r="A2090" s="1105"/>
      <c r="B2090" s="1106"/>
      <c r="C2090" s="38" t="s">
        <v>1961</v>
      </c>
      <c r="D2090" s="199"/>
      <c r="E2090" s="199"/>
      <c r="F2090" s="1102"/>
      <c r="G2090" s="100"/>
      <c r="H2090" s="101"/>
      <c r="I2090" s="101"/>
      <c r="J2090" s="101"/>
      <c r="K2090" s="102"/>
      <c r="L2090" s="10"/>
    </row>
    <row r="2091" spans="1:12" s="146" customFormat="1" ht="36.75" customHeight="1" x14ac:dyDescent="0.25">
      <c r="A2091" s="1105"/>
      <c r="B2091" s="1106"/>
      <c r="C2091" s="1623" t="s">
        <v>1684</v>
      </c>
      <c r="D2091" s="1623"/>
      <c r="E2091" s="199"/>
      <c r="F2091" s="1102"/>
      <c r="G2091" s="100"/>
      <c r="H2091" s="101"/>
      <c r="I2091" s="101"/>
      <c r="J2091" s="101"/>
      <c r="K2091" s="102"/>
      <c r="L2091" s="10"/>
    </row>
    <row r="2092" spans="1:12" s="146" customFormat="1" ht="18" x14ac:dyDescent="0.25">
      <c r="A2092" s="1105"/>
      <c r="B2092" s="1106"/>
      <c r="C2092" s="38" t="s">
        <v>1685</v>
      </c>
      <c r="D2092" s="199"/>
      <c r="E2092" s="199"/>
      <c r="F2092" s="1102"/>
      <c r="G2092" s="100"/>
      <c r="H2092" s="101"/>
      <c r="I2092" s="101"/>
      <c r="J2092" s="101"/>
      <c r="K2092" s="102"/>
      <c r="L2092" s="10"/>
    </row>
    <row r="2093" spans="1:12" s="146" customFormat="1" ht="18" customHeight="1" x14ac:dyDescent="0.25">
      <c r="A2093" s="1105"/>
      <c r="B2093" s="1106"/>
      <c r="C2093" s="1634" t="s">
        <v>1962</v>
      </c>
      <c r="D2093" s="1634"/>
      <c r="E2093" s="199"/>
      <c r="F2093" s="1102"/>
      <c r="G2093" s="100"/>
      <c r="H2093" s="101"/>
      <c r="I2093" s="101"/>
      <c r="J2093" s="101"/>
      <c r="K2093" s="102"/>
      <c r="L2093" s="10"/>
    </row>
    <row r="2094" spans="1:12" s="146" customFormat="1" ht="36.75" customHeight="1" x14ac:dyDescent="0.25">
      <c r="A2094" s="1105"/>
      <c r="B2094" s="1106"/>
      <c r="C2094" s="1634" t="s">
        <v>1687</v>
      </c>
      <c r="D2094" s="1634"/>
      <c r="E2094" s="199"/>
      <c r="F2094" s="1102"/>
      <c r="G2094" s="100"/>
      <c r="H2094" s="101"/>
      <c r="I2094" s="101"/>
      <c r="J2094" s="101"/>
      <c r="K2094" s="102"/>
      <c r="L2094" s="10"/>
    </row>
    <row r="2095" spans="1:12" s="146" customFormat="1" ht="17.45" customHeight="1" x14ac:dyDescent="0.25">
      <c r="A2095" s="1105"/>
      <c r="B2095" s="1106"/>
      <c r="C2095" s="1183" t="s">
        <v>1963</v>
      </c>
      <c r="D2095" s="1120"/>
      <c r="E2095" s="199"/>
      <c r="F2095" s="1102"/>
      <c r="G2095" s="100"/>
      <c r="H2095" s="105"/>
      <c r="I2095" s="105"/>
      <c r="J2095" s="105"/>
      <c r="K2095" s="106"/>
      <c r="L2095" s="10"/>
    </row>
    <row r="2096" spans="1:12" s="146" customFormat="1" ht="18" x14ac:dyDescent="0.25">
      <c r="A2096" s="1105"/>
      <c r="B2096" s="1106"/>
      <c r="C2096" s="153" t="s">
        <v>200</v>
      </c>
      <c r="E2096" s="1106"/>
      <c r="F2096" s="1102"/>
      <c r="G2096" s="100"/>
      <c r="H2096" s="119">
        <f>SUM(H2075:H2095)</f>
        <v>0</v>
      </c>
      <c r="I2096" s="119">
        <f>SUM(I2075:I2095)</f>
        <v>0</v>
      </c>
      <c r="J2096" s="119">
        <f>SUM(J2075:J2095)</f>
        <v>0</v>
      </c>
      <c r="K2096" s="150">
        <f>SUM(K2075:K2095)</f>
        <v>0</v>
      </c>
      <c r="L2096" s="446"/>
    </row>
    <row r="2097" spans="1:12" s="146" customFormat="1" ht="18" x14ac:dyDescent="0.25">
      <c r="A2097" s="1105"/>
      <c r="B2097" s="1106"/>
      <c r="C2097" s="38"/>
      <c r="D2097" s="153"/>
      <c r="E2097" s="1106"/>
      <c r="F2097" s="1102"/>
      <c r="G2097" s="100"/>
      <c r="H2097" s="155"/>
      <c r="I2097" s="155"/>
      <c r="J2097" s="155"/>
      <c r="K2097" s="156"/>
      <c r="L2097" s="10"/>
    </row>
    <row r="2098" spans="1:12" s="146" customFormat="1" ht="18" x14ac:dyDescent="0.25">
      <c r="A2098" s="1105"/>
      <c r="B2098" s="1106"/>
      <c r="C2098" s="152" t="s">
        <v>1964</v>
      </c>
      <c r="D2098" s="152"/>
      <c r="E2098" s="152"/>
      <c r="F2098" s="295"/>
      <c r="G2098" s="100"/>
      <c r="H2098" s="101"/>
      <c r="I2098" s="101"/>
      <c r="J2098" s="101"/>
      <c r="K2098" s="102"/>
      <c r="L2098" s="10"/>
    </row>
    <row r="2099" spans="1:12" s="146" customFormat="1" ht="18" x14ac:dyDescent="0.25">
      <c r="A2099" s="1105"/>
      <c r="B2099" s="1106"/>
      <c r="C2099" s="38" t="s">
        <v>1185</v>
      </c>
      <c r="D2099" s="199"/>
      <c r="E2099" s="199"/>
      <c r="F2099" s="1102"/>
      <c r="G2099" s="100"/>
      <c r="H2099" s="101"/>
      <c r="I2099" s="101"/>
      <c r="J2099" s="101"/>
      <c r="K2099" s="102"/>
      <c r="L2099" s="10"/>
    </row>
    <row r="2100" spans="1:12" s="146" customFormat="1" ht="18.75" customHeight="1" x14ac:dyDescent="0.25">
      <c r="A2100" s="1105"/>
      <c r="B2100" s="1106"/>
      <c r="C2100" s="1138" t="s">
        <v>1187</v>
      </c>
      <c r="D2100" s="1120"/>
      <c r="E2100" s="199"/>
      <c r="F2100" s="1102"/>
      <c r="G2100" s="100"/>
      <c r="H2100" s="101"/>
      <c r="I2100" s="101"/>
      <c r="J2100" s="101"/>
      <c r="K2100" s="102"/>
      <c r="L2100" s="10"/>
    </row>
    <row r="2101" spans="1:12" s="146" customFormat="1" ht="18.75" customHeight="1" x14ac:dyDescent="0.25">
      <c r="A2101" s="1105"/>
      <c r="B2101" s="1106"/>
      <c r="C2101" s="1138" t="s">
        <v>1188</v>
      </c>
      <c r="D2101" s="1120"/>
      <c r="E2101" s="199"/>
      <c r="F2101" s="1102"/>
      <c r="G2101" s="100"/>
      <c r="H2101" s="101"/>
      <c r="I2101" s="101"/>
      <c r="J2101" s="101"/>
      <c r="K2101" s="102"/>
      <c r="L2101" s="10"/>
    </row>
    <row r="2102" spans="1:12" s="146" customFormat="1" ht="18.75" customHeight="1" x14ac:dyDescent="0.25">
      <c r="A2102" s="1105"/>
      <c r="B2102" s="1106"/>
      <c r="C2102" s="1138" t="s">
        <v>1189</v>
      </c>
      <c r="D2102" s="1120"/>
      <c r="E2102" s="199"/>
      <c r="F2102" s="1102"/>
      <c r="G2102" s="100"/>
      <c r="H2102" s="101"/>
      <c r="I2102" s="101"/>
      <c r="J2102" s="101"/>
      <c r="K2102" s="102"/>
      <c r="L2102" s="10"/>
    </row>
    <row r="2103" spans="1:12" s="146" customFormat="1" ht="18.75" customHeight="1" x14ac:dyDescent="0.25">
      <c r="A2103" s="1105"/>
      <c r="B2103" s="1106"/>
      <c r="C2103" s="1138" t="s">
        <v>1688</v>
      </c>
      <c r="D2103" s="1120"/>
      <c r="E2103" s="199"/>
      <c r="F2103" s="1102"/>
      <c r="G2103" s="100"/>
      <c r="H2103" s="101"/>
      <c r="I2103" s="101"/>
      <c r="J2103" s="101"/>
      <c r="K2103" s="102"/>
      <c r="L2103" s="10"/>
    </row>
    <row r="2104" spans="1:12" s="146" customFormat="1" ht="18.75" customHeight="1" x14ac:dyDescent="0.25">
      <c r="A2104" s="1105"/>
      <c r="B2104" s="1106"/>
      <c r="C2104" s="1138" t="s">
        <v>1190</v>
      </c>
      <c r="D2104" s="1120"/>
      <c r="E2104" s="199"/>
      <c r="F2104" s="1102"/>
      <c r="G2104" s="100"/>
      <c r="H2104" s="101"/>
      <c r="I2104" s="101"/>
      <c r="J2104" s="101"/>
      <c r="K2104" s="102"/>
      <c r="L2104" s="10"/>
    </row>
    <row r="2105" spans="1:12" s="146" customFormat="1" ht="18.75" customHeight="1" x14ac:dyDescent="0.25">
      <c r="A2105" s="1105"/>
      <c r="B2105" s="1106"/>
      <c r="C2105" s="1634" t="s">
        <v>1191</v>
      </c>
      <c r="D2105" s="1634"/>
      <c r="E2105" s="199"/>
      <c r="F2105" s="1102"/>
      <c r="G2105" s="100"/>
      <c r="H2105" s="101"/>
      <c r="I2105" s="101"/>
      <c r="J2105" s="101"/>
      <c r="K2105" s="102"/>
      <c r="L2105" s="10"/>
    </row>
    <row r="2106" spans="1:12" s="146" customFormat="1" ht="33.75" customHeight="1" x14ac:dyDescent="0.25">
      <c r="A2106" s="1105"/>
      <c r="B2106" s="1106"/>
      <c r="C2106" s="1638" t="s">
        <v>1689</v>
      </c>
      <c r="D2106" s="1638"/>
      <c r="E2106" s="1109"/>
      <c r="F2106" s="1110"/>
      <c r="G2106" s="205"/>
      <c r="H2106" s="102"/>
      <c r="I2106" s="102"/>
      <c r="J2106" s="102"/>
      <c r="K2106" s="102"/>
      <c r="L2106" s="10"/>
    </row>
    <row r="2107" spans="1:12" s="146" customFormat="1" ht="21" customHeight="1" x14ac:dyDescent="0.25">
      <c r="A2107" s="1105"/>
      <c r="B2107" s="1106"/>
      <c r="C2107" s="1623" t="s">
        <v>1690</v>
      </c>
      <c r="D2107" s="1623"/>
      <c r="E2107" s="1114"/>
      <c r="F2107" s="1102"/>
      <c r="G2107" s="100"/>
      <c r="H2107" s="101"/>
      <c r="I2107" s="101"/>
      <c r="J2107" s="101"/>
      <c r="K2107" s="102"/>
      <c r="L2107" s="10"/>
    </row>
    <row r="2108" spans="1:12" s="146" customFormat="1" ht="19.5" customHeight="1" x14ac:dyDescent="0.25">
      <c r="A2108" s="1105"/>
      <c r="B2108" s="1106"/>
      <c r="C2108" s="1623" t="s">
        <v>1691</v>
      </c>
      <c r="D2108" s="1623"/>
      <c r="E2108" s="1114"/>
      <c r="F2108" s="1102"/>
      <c r="G2108" s="100"/>
      <c r="H2108" s="101"/>
      <c r="I2108" s="101"/>
      <c r="J2108" s="101"/>
      <c r="K2108" s="102"/>
      <c r="L2108" s="10"/>
    </row>
    <row r="2109" spans="1:12" s="146" customFormat="1" ht="19.5" customHeight="1" x14ac:dyDescent="0.25">
      <c r="A2109" s="1105"/>
      <c r="B2109" s="1106"/>
      <c r="C2109" s="1126" t="s">
        <v>1692</v>
      </c>
      <c r="D2109" s="1114"/>
      <c r="E2109" s="1114"/>
      <c r="F2109" s="1102"/>
      <c r="G2109" s="100"/>
      <c r="H2109" s="101"/>
      <c r="I2109" s="101"/>
      <c r="J2109" s="101"/>
      <c r="K2109" s="102"/>
      <c r="L2109" s="10"/>
    </row>
    <row r="2110" spans="1:12" s="313" customFormat="1" ht="60" customHeight="1" x14ac:dyDescent="0.25">
      <c r="A2110" s="1135"/>
      <c r="B2110" s="1113"/>
      <c r="C2110" s="1628" t="s">
        <v>1693</v>
      </c>
      <c r="D2110" s="1628"/>
      <c r="E2110" s="1120"/>
      <c r="F2110" s="1127"/>
      <c r="G2110" s="423"/>
      <c r="H2110" s="101"/>
      <c r="I2110" s="101"/>
      <c r="J2110" s="101"/>
      <c r="K2110" s="102"/>
      <c r="L2110" s="193"/>
    </row>
    <row r="2111" spans="1:12" s="146" customFormat="1" ht="19.5" customHeight="1" x14ac:dyDescent="0.25">
      <c r="A2111" s="1105"/>
      <c r="B2111" s="1106"/>
      <c r="C2111" s="1138" t="s">
        <v>1694</v>
      </c>
      <c r="D2111" s="1114"/>
      <c r="E2111" s="1114"/>
      <c r="F2111" s="1102"/>
      <c r="G2111" s="100"/>
      <c r="H2111" s="101"/>
      <c r="I2111" s="101"/>
      <c r="J2111" s="101"/>
      <c r="K2111" s="102"/>
      <c r="L2111" s="10"/>
    </row>
    <row r="2112" spans="1:12" s="146" customFormat="1" ht="38.25" customHeight="1" x14ac:dyDescent="0.25">
      <c r="A2112" s="1105"/>
      <c r="B2112" s="1106"/>
      <c r="C2112" s="1622" t="s">
        <v>1197</v>
      </c>
      <c r="D2112" s="1622"/>
      <c r="E2112" s="1114"/>
      <c r="F2112" s="1102"/>
      <c r="G2112" s="100"/>
      <c r="H2112" s="101"/>
      <c r="I2112" s="101"/>
      <c r="J2112" s="101"/>
      <c r="K2112" s="102"/>
      <c r="L2112" s="10"/>
    </row>
    <row r="2113" spans="1:12" s="146" customFormat="1" ht="18.75" thickBot="1" x14ac:dyDescent="0.3">
      <c r="A2113" s="187"/>
      <c r="B2113" s="1226"/>
      <c r="C2113" s="420" t="s">
        <v>200</v>
      </c>
      <c r="D2113" s="561"/>
      <c r="E2113" s="1226"/>
      <c r="F2113" s="431"/>
      <c r="G2113" s="308"/>
      <c r="H2113" s="123">
        <f>SUM(H2099:H2112)</f>
        <v>0</v>
      </c>
      <c r="I2113" s="123">
        <f>SUM(I2099:I2112)</f>
        <v>0</v>
      </c>
      <c r="J2113" s="123">
        <f>SUM(J2099:J2112)</f>
        <v>0</v>
      </c>
      <c r="K2113" s="158">
        <f>SUM(K2099:K2112)</f>
        <v>0</v>
      </c>
      <c r="L2113" s="156"/>
    </row>
    <row r="2114" spans="1:12" s="146" customFormat="1" ht="18" x14ac:dyDescent="0.25">
      <c r="A2114" s="1106"/>
      <c r="B2114" s="1106"/>
      <c r="C2114" s="153"/>
      <c r="E2114" s="1106"/>
      <c r="F2114" s="1106"/>
      <c r="G2114" s="381"/>
      <c r="H2114" s="126"/>
      <c r="I2114" s="126"/>
      <c r="J2114" s="126"/>
      <c r="K2114" s="127"/>
      <c r="L2114" s="127"/>
    </row>
    <row r="2115" spans="1:12" s="146" customFormat="1" ht="18" x14ac:dyDescent="0.25">
      <c r="A2115" s="1106"/>
      <c r="B2115" s="1106"/>
      <c r="C2115" s="153"/>
      <c r="E2115" s="1106"/>
      <c r="F2115" s="1106"/>
      <c r="G2115" s="381"/>
      <c r="H2115" s="126"/>
      <c r="I2115" s="126"/>
      <c r="J2115" s="126"/>
      <c r="K2115" s="127"/>
      <c r="L2115" s="127"/>
    </row>
    <row r="2116" spans="1:12" s="146" customFormat="1" ht="18" x14ac:dyDescent="0.25">
      <c r="A2116" s="1106"/>
      <c r="B2116" s="1106"/>
      <c r="C2116" s="153"/>
      <c r="E2116" s="1106"/>
      <c r="F2116" s="1106"/>
      <c r="G2116" s="381"/>
      <c r="H2116" s="126"/>
      <c r="I2116" s="126"/>
      <c r="J2116" s="126"/>
      <c r="K2116" s="127"/>
      <c r="L2116" s="127"/>
    </row>
    <row r="2117" spans="1:12" s="146" customFormat="1" ht="18" x14ac:dyDescent="0.25">
      <c r="A2117" s="1106"/>
      <c r="B2117" s="1106"/>
      <c r="C2117" s="153"/>
      <c r="E2117" s="1106"/>
      <c r="F2117" s="1106"/>
      <c r="G2117" s="381"/>
      <c r="H2117" s="126"/>
      <c r="I2117" s="126"/>
      <c r="J2117" s="126"/>
      <c r="K2117" s="127"/>
      <c r="L2117" s="127"/>
    </row>
    <row r="2118" spans="1:12" s="146" customFormat="1" ht="18" x14ac:dyDescent="0.25">
      <c r="A2118" s="1106"/>
      <c r="B2118" s="1106"/>
      <c r="C2118" s="153"/>
      <c r="E2118" s="1106"/>
      <c r="F2118" s="1106"/>
      <c r="G2118" s="381"/>
      <c r="H2118" s="126"/>
      <c r="I2118" s="126"/>
      <c r="J2118" s="126"/>
      <c r="K2118" s="127"/>
      <c r="L2118" s="127"/>
    </row>
    <row r="2119" spans="1:12" ht="18" customHeight="1" x14ac:dyDescent="0.25">
      <c r="A2119" s="8" t="s">
        <v>112</v>
      </c>
    </row>
    <row r="2120" spans="1:12" ht="18" customHeight="1" x14ac:dyDescent="0.25">
      <c r="A2120" s="8" t="s">
        <v>1174</v>
      </c>
    </row>
    <row r="2121" spans="1:12" ht="18" customHeight="1" x14ac:dyDescent="0.25">
      <c r="A2121" s="1636" t="s">
        <v>113</v>
      </c>
      <c r="B2121" s="1636"/>
      <c r="C2121" s="1636"/>
      <c r="D2121" s="1636"/>
      <c r="E2121" s="1636"/>
      <c r="F2121" s="1636"/>
      <c r="G2121" s="1636"/>
      <c r="H2121" s="1636"/>
      <c r="I2121" s="1636"/>
      <c r="J2121" s="1636"/>
      <c r="K2121" s="1101"/>
    </row>
    <row r="2122" spans="1:12" s="7" customFormat="1" ht="18" customHeight="1" x14ac:dyDescent="0.25">
      <c r="A2122" s="1624" t="s">
        <v>114</v>
      </c>
      <c r="B2122" s="1624"/>
      <c r="C2122" s="1624"/>
      <c r="D2122" s="1624"/>
      <c r="E2122" s="1624"/>
      <c r="F2122" s="1624"/>
      <c r="G2122" s="1624"/>
      <c r="H2122" s="1624"/>
      <c r="I2122" s="1624"/>
      <c r="J2122" s="1624"/>
      <c r="K2122" s="159"/>
      <c r="L2122" s="6"/>
    </row>
    <row r="2123" spans="1:12" s="7" customFormat="1" ht="18" customHeight="1" x14ac:dyDescent="0.25">
      <c r="A2123" s="1115"/>
      <c r="B2123" s="1115"/>
      <c r="C2123" s="1115"/>
      <c r="D2123" s="1115"/>
      <c r="E2123" s="1115"/>
      <c r="F2123" s="1115"/>
      <c r="G2123" s="1115"/>
      <c r="H2123" s="1115"/>
      <c r="I2123" s="1115"/>
      <c r="J2123" s="1115"/>
      <c r="K2123" s="159"/>
      <c r="L2123" s="6"/>
    </row>
    <row r="2124" spans="1:12" ht="18.75" thickBot="1" x14ac:dyDescent="0.3">
      <c r="A2124" s="41"/>
      <c r="B2124" s="41"/>
      <c r="C2124" s="63"/>
      <c r="D2124" s="41"/>
      <c r="E2124" s="41"/>
      <c r="F2124" s="41"/>
      <c r="G2124" s="41"/>
    </row>
    <row r="2125" spans="1:12" s="48" customFormat="1" ht="21.75" customHeight="1" thickBot="1" x14ac:dyDescent="0.3">
      <c r="A2125" s="1655" t="s">
        <v>115</v>
      </c>
      <c r="B2125" s="1655"/>
      <c r="C2125" s="1655"/>
      <c r="D2125" s="1655"/>
      <c r="E2125" s="1655"/>
      <c r="F2125" s="1655"/>
      <c r="G2125" s="1151"/>
      <c r="H2125" s="1708" t="s">
        <v>1537</v>
      </c>
      <c r="I2125" s="1710" t="s">
        <v>1538</v>
      </c>
      <c r="J2125" s="1710" t="s">
        <v>1539</v>
      </c>
      <c r="K2125" s="1710" t="s">
        <v>1540</v>
      </c>
      <c r="L2125" s="47"/>
    </row>
    <row r="2126" spans="1:12" s="1153" customFormat="1" ht="31.5" customHeight="1" thickBot="1" x14ac:dyDescent="0.3">
      <c r="A2126" s="1655"/>
      <c r="B2126" s="1655"/>
      <c r="C2126" s="1655"/>
      <c r="D2126" s="1655"/>
      <c r="E2126" s="1655"/>
      <c r="F2126" s="1655"/>
      <c r="G2126" s="1129" t="s">
        <v>116</v>
      </c>
      <c r="H2126" s="1709"/>
      <c r="I2126" s="1710"/>
      <c r="J2126" s="1710"/>
      <c r="K2126" s="1710"/>
      <c r="L2126" s="1152"/>
    </row>
    <row r="2127" spans="1:12" s="146" customFormat="1" ht="18" x14ac:dyDescent="0.25">
      <c r="A2127" s="1105"/>
      <c r="B2127" s="1106"/>
      <c r="C2127" s="36" t="s">
        <v>1965</v>
      </c>
      <c r="D2127" s="184"/>
      <c r="E2127" s="184"/>
      <c r="F2127" s="184"/>
      <c r="G2127" s="100"/>
      <c r="H2127" s="101"/>
      <c r="I2127" s="101"/>
      <c r="J2127" s="101"/>
      <c r="K2127" s="102"/>
      <c r="L2127" s="10"/>
    </row>
    <row r="2128" spans="1:12" s="146" customFormat="1" ht="18" x14ac:dyDescent="0.25">
      <c r="A2128" s="1105"/>
      <c r="B2128" s="1106"/>
      <c r="C2128" s="1104" t="s">
        <v>1202</v>
      </c>
      <c r="D2128" s="3"/>
      <c r="E2128" s="1123"/>
      <c r="F2128" s="422"/>
      <c r="G2128" s="100"/>
      <c r="H2128" s="101"/>
      <c r="I2128" s="101"/>
      <c r="J2128" s="101"/>
      <c r="K2128" s="102"/>
      <c r="L2128" s="203"/>
    </row>
    <row r="2129" spans="1:12" s="146" customFormat="1" ht="36.75" customHeight="1" x14ac:dyDescent="0.25">
      <c r="A2129" s="1105"/>
      <c r="B2129" s="1106"/>
      <c r="C2129" s="1637" t="s">
        <v>1204</v>
      </c>
      <c r="D2129" s="1637"/>
      <c r="E2129" s="1121"/>
      <c r="F2129" s="400"/>
      <c r="G2129" s="100"/>
      <c r="H2129" s="101"/>
      <c r="I2129" s="101"/>
      <c r="J2129" s="101"/>
      <c r="K2129" s="102"/>
      <c r="L2129" s="10"/>
    </row>
    <row r="2130" spans="1:12" s="146" customFormat="1" ht="18" customHeight="1" x14ac:dyDescent="0.25">
      <c r="A2130" s="1105"/>
      <c r="B2130" s="1106"/>
      <c r="C2130" s="1141" t="s">
        <v>1205</v>
      </c>
      <c r="D2130" s="1121"/>
      <c r="E2130" s="1121"/>
      <c r="F2130" s="400"/>
      <c r="G2130" s="100"/>
      <c r="H2130" s="102"/>
      <c r="I2130" s="102"/>
      <c r="J2130" s="102"/>
      <c r="K2130" s="102"/>
      <c r="L2130" s="10"/>
    </row>
    <row r="2131" spans="1:12" s="146" customFormat="1" ht="18" customHeight="1" x14ac:dyDescent="0.25">
      <c r="A2131" s="1105"/>
      <c r="B2131" s="1106"/>
      <c r="C2131" s="1141" t="s">
        <v>1206</v>
      </c>
      <c r="D2131" s="1121"/>
      <c r="E2131" s="1121"/>
      <c r="F2131" s="400"/>
      <c r="G2131" s="100"/>
      <c r="H2131" s="102"/>
      <c r="I2131" s="102"/>
      <c r="J2131" s="102"/>
      <c r="K2131" s="102"/>
      <c r="L2131" s="10"/>
    </row>
    <row r="2132" spans="1:12" s="146" customFormat="1" ht="18" customHeight="1" x14ac:dyDescent="0.25">
      <c r="A2132" s="1105"/>
      <c r="B2132" s="1106"/>
      <c r="C2132" s="1141" t="s">
        <v>1207</v>
      </c>
      <c r="D2132" s="1121"/>
      <c r="E2132" s="1121"/>
      <c r="F2132" s="400"/>
      <c r="G2132" s="100"/>
      <c r="H2132" s="102"/>
      <c r="I2132" s="102"/>
      <c r="J2132" s="102"/>
      <c r="K2132" s="102"/>
      <c r="L2132" s="10"/>
    </row>
    <row r="2133" spans="1:12" s="146" customFormat="1" ht="18" customHeight="1" x14ac:dyDescent="0.25">
      <c r="A2133" s="1105"/>
      <c r="B2133" s="1106"/>
      <c r="C2133" s="1141" t="s">
        <v>1208</v>
      </c>
      <c r="D2133" s="1121"/>
      <c r="E2133" s="1121"/>
      <c r="F2133" s="400"/>
      <c r="G2133" s="100"/>
      <c r="H2133" s="102"/>
      <c r="I2133" s="102"/>
      <c r="J2133" s="102"/>
      <c r="K2133" s="102"/>
      <c r="L2133" s="10"/>
    </row>
    <row r="2134" spans="1:12" s="146" customFormat="1" ht="18" customHeight="1" x14ac:dyDescent="0.25">
      <c r="A2134" s="1105"/>
      <c r="B2134" s="1106"/>
      <c r="C2134" s="1141" t="s">
        <v>1209</v>
      </c>
      <c r="D2134" s="1121"/>
      <c r="E2134" s="1121"/>
      <c r="F2134" s="400"/>
      <c r="G2134" s="100"/>
      <c r="H2134" s="102"/>
      <c r="I2134" s="102"/>
      <c r="J2134" s="102"/>
      <c r="K2134" s="102"/>
      <c r="L2134" s="10"/>
    </row>
    <row r="2135" spans="1:12" s="146" customFormat="1" ht="18" customHeight="1" x14ac:dyDescent="0.25">
      <c r="A2135" s="1105"/>
      <c r="B2135" s="1106"/>
      <c r="C2135" s="1141" t="s">
        <v>1210</v>
      </c>
      <c r="D2135" s="1121"/>
      <c r="E2135" s="1121"/>
      <c r="F2135" s="400"/>
      <c r="G2135" s="100"/>
      <c r="H2135" s="102"/>
      <c r="I2135" s="102"/>
      <c r="J2135" s="102"/>
      <c r="K2135" s="102"/>
      <c r="L2135" s="10"/>
    </row>
    <row r="2136" spans="1:12" s="146" customFormat="1" ht="18" customHeight="1" x14ac:dyDescent="0.25">
      <c r="A2136" s="1105"/>
      <c r="B2136" s="1106"/>
      <c r="C2136" s="1141" t="s">
        <v>1211</v>
      </c>
      <c r="D2136" s="1121"/>
      <c r="E2136" s="1121"/>
      <c r="F2136" s="400"/>
      <c r="G2136" s="100"/>
      <c r="H2136" s="102"/>
      <c r="I2136" s="102"/>
      <c r="J2136" s="102"/>
      <c r="K2136" s="102"/>
      <c r="L2136" s="10"/>
    </row>
    <row r="2137" spans="1:12" s="146" customFormat="1" ht="36" customHeight="1" x14ac:dyDescent="0.25">
      <c r="A2137" s="1105"/>
      <c r="B2137" s="1106"/>
      <c r="C2137" s="1574" t="s">
        <v>1212</v>
      </c>
      <c r="D2137" s="1574"/>
      <c r="E2137" s="1121"/>
      <c r="F2137" s="400"/>
      <c r="G2137" s="100"/>
      <c r="H2137" s="102"/>
      <c r="I2137" s="102"/>
      <c r="J2137" s="102"/>
      <c r="K2137" s="102"/>
      <c r="L2137" s="10"/>
    </row>
    <row r="2138" spans="1:12" s="146" customFormat="1" ht="18" customHeight="1" x14ac:dyDescent="0.25">
      <c r="A2138" s="1105"/>
      <c r="B2138" s="1106"/>
      <c r="C2138" s="1141" t="s">
        <v>1213</v>
      </c>
      <c r="D2138" s="1121"/>
      <c r="E2138" s="1121"/>
      <c r="F2138" s="400"/>
      <c r="G2138" s="100"/>
      <c r="H2138" s="101"/>
      <c r="I2138" s="101"/>
      <c r="J2138" s="101"/>
      <c r="K2138" s="102"/>
      <c r="L2138" s="10"/>
    </row>
    <row r="2139" spans="1:12" s="146" customFormat="1" ht="18" customHeight="1" x14ac:dyDescent="0.25">
      <c r="A2139" s="1105"/>
      <c r="B2139" s="1106"/>
      <c r="C2139" s="1141" t="s">
        <v>1216</v>
      </c>
      <c r="D2139" s="1121"/>
      <c r="E2139" s="1121"/>
      <c r="F2139" s="400"/>
      <c r="G2139" s="100"/>
      <c r="H2139" s="101"/>
      <c r="I2139" s="101"/>
      <c r="J2139" s="101"/>
      <c r="K2139" s="102"/>
      <c r="L2139" s="10"/>
    </row>
    <row r="2140" spans="1:12" s="146" customFormat="1" ht="54.75" customHeight="1" x14ac:dyDescent="0.25">
      <c r="A2140" s="1105"/>
      <c r="B2140" s="1106"/>
      <c r="C2140" s="1637" t="s">
        <v>1217</v>
      </c>
      <c r="D2140" s="1637"/>
      <c r="E2140" s="1121"/>
      <c r="F2140" s="400"/>
      <c r="G2140" s="100"/>
      <c r="H2140" s="101"/>
      <c r="I2140" s="101"/>
      <c r="J2140" s="101"/>
      <c r="K2140" s="102"/>
      <c r="L2140" s="10"/>
    </row>
    <row r="2141" spans="1:12" s="146" customFormat="1" ht="18" customHeight="1" x14ac:dyDescent="0.25">
      <c r="A2141" s="1105"/>
      <c r="B2141" s="1106"/>
      <c r="C2141" s="1141" t="s">
        <v>1218</v>
      </c>
      <c r="D2141" s="1121"/>
      <c r="E2141" s="1121"/>
      <c r="F2141" s="400"/>
      <c r="G2141" s="100"/>
      <c r="H2141" s="101"/>
      <c r="I2141" s="101"/>
      <c r="J2141" s="101"/>
      <c r="K2141" s="102"/>
      <c r="L2141" s="10"/>
    </row>
    <row r="2142" spans="1:12" s="146" customFormat="1" ht="37.5" customHeight="1" x14ac:dyDescent="0.25">
      <c r="A2142" s="1105"/>
      <c r="B2142" s="1106"/>
      <c r="C2142" s="1637" t="s">
        <v>1219</v>
      </c>
      <c r="D2142" s="1637"/>
      <c r="E2142" s="1121"/>
      <c r="F2142" s="400"/>
      <c r="G2142" s="100"/>
      <c r="H2142" s="101"/>
      <c r="I2142" s="101"/>
      <c r="J2142" s="101"/>
      <c r="K2142" s="102"/>
      <c r="L2142" s="10"/>
    </row>
    <row r="2143" spans="1:12" s="146" customFormat="1" ht="19.5" customHeight="1" x14ac:dyDescent="0.25">
      <c r="A2143" s="1105"/>
      <c r="B2143" s="1106"/>
      <c r="C2143" s="1184" t="s">
        <v>1697</v>
      </c>
      <c r="D2143" s="1183"/>
      <c r="E2143" s="1121"/>
      <c r="F2143" s="400"/>
      <c r="G2143" s="100"/>
      <c r="H2143" s="101"/>
      <c r="I2143" s="101"/>
      <c r="J2143" s="101"/>
      <c r="K2143" s="102"/>
      <c r="L2143" s="10"/>
    </row>
    <row r="2144" spans="1:12" s="146" customFormat="1" ht="18" customHeight="1" x14ac:dyDescent="0.25">
      <c r="A2144" s="1105"/>
      <c r="B2144" s="1106"/>
      <c r="C2144" s="1141" t="s">
        <v>1220</v>
      </c>
      <c r="D2144" s="1121"/>
      <c r="E2144" s="1121"/>
      <c r="F2144" s="400"/>
      <c r="G2144" s="100"/>
      <c r="H2144" s="102"/>
      <c r="I2144" s="102"/>
      <c r="J2144" s="102"/>
      <c r="K2144" s="102"/>
      <c r="L2144" s="10"/>
    </row>
    <row r="2145" spans="1:12" s="146" customFormat="1" ht="18" customHeight="1" x14ac:dyDescent="0.25">
      <c r="A2145" s="1105"/>
      <c r="B2145" s="1106"/>
      <c r="C2145" s="1141" t="s">
        <v>1966</v>
      </c>
      <c r="D2145" s="1121"/>
      <c r="E2145" s="1121"/>
      <c r="F2145" s="400"/>
      <c r="G2145" s="100"/>
      <c r="H2145" s="102"/>
      <c r="I2145" s="102"/>
      <c r="J2145" s="102"/>
      <c r="K2145" s="102"/>
      <c r="L2145" s="10"/>
    </row>
    <row r="2146" spans="1:12" s="146" customFormat="1" ht="18" customHeight="1" x14ac:dyDescent="0.25">
      <c r="A2146" s="1105"/>
      <c r="B2146" s="1106"/>
      <c r="C2146" s="1141" t="s">
        <v>1221</v>
      </c>
      <c r="D2146" s="1121"/>
      <c r="E2146" s="1121"/>
      <c r="F2146" s="400"/>
      <c r="G2146" s="100"/>
      <c r="H2146" s="101"/>
      <c r="I2146" s="101"/>
      <c r="J2146" s="101"/>
      <c r="K2146" s="102"/>
      <c r="L2146" s="10"/>
    </row>
    <row r="2147" spans="1:12" s="146" customFormat="1" ht="18" customHeight="1" x14ac:dyDescent="0.25">
      <c r="A2147" s="1105"/>
      <c r="B2147" s="1106"/>
      <c r="C2147" s="1141" t="s">
        <v>1222</v>
      </c>
      <c r="D2147" s="1121"/>
      <c r="E2147" s="1121"/>
      <c r="F2147" s="400"/>
      <c r="G2147" s="100"/>
      <c r="H2147" s="101"/>
      <c r="I2147" s="101"/>
      <c r="J2147" s="101"/>
      <c r="K2147" s="102"/>
      <c r="L2147" s="10"/>
    </row>
    <row r="2148" spans="1:12" s="146" customFormat="1" ht="18" customHeight="1" x14ac:dyDescent="0.25">
      <c r="A2148" s="1105"/>
      <c r="B2148" s="1106"/>
      <c r="C2148" s="1141" t="s">
        <v>1699</v>
      </c>
      <c r="D2148" s="1121"/>
      <c r="E2148" s="1121"/>
      <c r="F2148" s="400"/>
      <c r="G2148" s="100"/>
      <c r="H2148" s="101"/>
      <c r="I2148" s="101"/>
      <c r="J2148" s="101"/>
      <c r="K2148" s="102"/>
      <c r="L2148" s="10"/>
    </row>
    <row r="2149" spans="1:12" s="146" customFormat="1" ht="18" customHeight="1" x14ac:dyDescent="0.25">
      <c r="A2149" s="1105"/>
      <c r="B2149" s="1106"/>
      <c r="C2149" s="1141" t="s">
        <v>1223</v>
      </c>
      <c r="D2149" s="1121"/>
      <c r="E2149" s="1121"/>
      <c r="F2149" s="400"/>
      <c r="G2149" s="100"/>
      <c r="H2149" s="102"/>
      <c r="I2149" s="102"/>
      <c r="J2149" s="102"/>
      <c r="K2149" s="102"/>
      <c r="L2149" s="10"/>
    </row>
    <row r="2150" spans="1:12" s="146" customFormat="1" ht="36.75" customHeight="1" x14ac:dyDescent="0.25">
      <c r="A2150" s="1105"/>
      <c r="B2150" s="1106"/>
      <c r="C2150" s="1637" t="s">
        <v>1224</v>
      </c>
      <c r="D2150" s="1637"/>
      <c r="E2150" s="1121"/>
      <c r="F2150" s="400"/>
      <c r="G2150" s="100"/>
      <c r="H2150" s="102"/>
      <c r="I2150" s="102"/>
      <c r="J2150" s="102"/>
      <c r="K2150" s="102"/>
      <c r="L2150" s="10"/>
    </row>
    <row r="2151" spans="1:12" s="146" customFormat="1" ht="18" customHeight="1" x14ac:dyDescent="0.25">
      <c r="A2151" s="1105"/>
      <c r="B2151" s="1106"/>
      <c r="C2151" s="1141" t="s">
        <v>1225</v>
      </c>
      <c r="D2151" s="1121"/>
      <c r="E2151" s="1121"/>
      <c r="F2151" s="400"/>
      <c r="G2151" s="100"/>
      <c r="H2151" s="101"/>
      <c r="I2151" s="101"/>
      <c r="J2151" s="101"/>
      <c r="K2151" s="102"/>
      <c r="L2151" s="10"/>
    </row>
    <row r="2152" spans="1:12" s="146" customFormat="1" ht="18" x14ac:dyDescent="0.25">
      <c r="A2152" s="1105"/>
      <c r="B2152" s="1106"/>
      <c r="C2152" s="153" t="s">
        <v>200</v>
      </c>
      <c r="E2152" s="1106"/>
      <c r="F2152" s="1102"/>
      <c r="G2152" s="100"/>
      <c r="H2152" s="119">
        <f>SUM(H2128:H2151)</f>
        <v>0</v>
      </c>
      <c r="I2152" s="119">
        <f>SUM(I2128:I2151)</f>
        <v>0</v>
      </c>
      <c r="J2152" s="119">
        <f>SUM(J2128:J2151)</f>
        <v>0</v>
      </c>
      <c r="K2152" s="150">
        <f>SUM(K2128:K2151)</f>
        <v>0</v>
      </c>
      <c r="L2152" s="10"/>
    </row>
    <row r="2153" spans="1:12" s="146" customFormat="1" ht="18" x14ac:dyDescent="0.25">
      <c r="A2153" s="1105"/>
      <c r="B2153" s="1106"/>
      <c r="C2153" s="1098"/>
      <c r="D2153" s="153"/>
      <c r="E2153" s="1106"/>
      <c r="F2153" s="1106"/>
      <c r="G2153" s="100"/>
      <c r="H2153" s="155"/>
      <c r="I2153" s="155"/>
      <c r="J2153" s="155"/>
      <c r="K2153" s="156"/>
      <c r="L2153" s="10"/>
    </row>
    <row r="2154" spans="1:12" s="146" customFormat="1" ht="18" x14ac:dyDescent="0.25">
      <c r="A2154" s="1105"/>
      <c r="B2154" s="1106"/>
      <c r="C2154" s="369" t="s">
        <v>1226</v>
      </c>
      <c r="D2154" s="153"/>
      <c r="E2154" s="1106"/>
      <c r="F2154" s="1106"/>
      <c r="G2154" s="100"/>
      <c r="H2154" s="155"/>
      <c r="I2154" s="155"/>
      <c r="J2154" s="155"/>
      <c r="K2154" s="156"/>
      <c r="L2154" s="10"/>
    </row>
    <row r="2155" spans="1:12" s="146" customFormat="1" ht="18" x14ac:dyDescent="0.25">
      <c r="A2155" s="1105"/>
      <c r="B2155" s="1106"/>
      <c r="C2155" s="1141" t="s">
        <v>1227</v>
      </c>
      <c r="D2155" s="153"/>
      <c r="E2155" s="1106"/>
      <c r="F2155" s="1106"/>
      <c r="G2155" s="100"/>
      <c r="H2155" s="101"/>
      <c r="I2155" s="101"/>
      <c r="J2155" s="101"/>
      <c r="K2155" s="102"/>
      <c r="L2155" s="10"/>
    </row>
    <row r="2156" spans="1:12" s="146" customFormat="1" ht="18" x14ac:dyDescent="0.25">
      <c r="A2156" s="1105"/>
      <c r="B2156" s="1106"/>
      <c r="C2156" s="153" t="s">
        <v>200</v>
      </c>
      <c r="E2156" s="1106"/>
      <c r="F2156" s="1106"/>
      <c r="G2156" s="100"/>
      <c r="H2156" s="119">
        <f>SUM(H2155:H2155)</f>
        <v>0</v>
      </c>
      <c r="I2156" s="119">
        <f>SUM(I2155:I2155)</f>
        <v>0</v>
      </c>
      <c r="J2156" s="119">
        <f>SUM(J2155:J2155)</f>
        <v>0</v>
      </c>
      <c r="K2156" s="150">
        <f>SUM(K2155:K2155)</f>
        <v>0</v>
      </c>
      <c r="L2156" s="10"/>
    </row>
    <row r="2157" spans="1:12" s="146" customFormat="1" ht="18" x14ac:dyDescent="0.25">
      <c r="A2157" s="1105"/>
      <c r="B2157" s="1106"/>
      <c r="C2157" s="153"/>
      <c r="E2157" s="1106"/>
      <c r="F2157" s="1106"/>
      <c r="G2157" s="100"/>
      <c r="H2157" s="155"/>
      <c r="I2157" s="155"/>
      <c r="J2157" s="155"/>
      <c r="K2157" s="156"/>
      <c r="L2157" s="10"/>
    </row>
    <row r="2158" spans="1:12" s="146" customFormat="1" ht="18" x14ac:dyDescent="0.25">
      <c r="A2158" s="1105"/>
      <c r="B2158" s="1106"/>
      <c r="C2158" s="36" t="s">
        <v>1228</v>
      </c>
      <c r="D2158" s="450"/>
      <c r="E2158" s="400"/>
      <c r="F2158" s="400"/>
      <c r="G2158" s="100"/>
      <c r="H2158" s="101"/>
      <c r="I2158" s="101"/>
      <c r="J2158" s="101"/>
      <c r="K2158" s="102"/>
      <c r="L2158" s="10"/>
    </row>
    <row r="2159" spans="1:12" s="146" customFormat="1" ht="18" x14ac:dyDescent="0.25">
      <c r="A2159" s="1105"/>
      <c r="B2159" s="1106"/>
      <c r="C2159" s="1141" t="s">
        <v>1229</v>
      </c>
      <c r="D2159" s="157"/>
      <c r="E2159" s="400"/>
      <c r="F2159" s="400"/>
      <c r="G2159" s="100"/>
      <c r="H2159" s="101"/>
      <c r="I2159" s="101"/>
      <c r="J2159" s="101"/>
      <c r="K2159" s="102"/>
      <c r="L2159" s="10"/>
    </row>
    <row r="2160" spans="1:12" s="146" customFormat="1" ht="18" x14ac:dyDescent="0.25">
      <c r="A2160" s="1105"/>
      <c r="B2160" s="1106"/>
      <c r="C2160" s="1141" t="s">
        <v>1230</v>
      </c>
      <c r="D2160" s="157"/>
      <c r="E2160" s="400"/>
      <c r="F2160" s="400"/>
      <c r="G2160" s="100"/>
      <c r="H2160" s="101"/>
      <c r="I2160" s="101"/>
      <c r="J2160" s="101"/>
      <c r="K2160" s="102"/>
      <c r="L2160" s="10"/>
    </row>
    <row r="2161" spans="1:13" s="146" customFormat="1" ht="18" x14ac:dyDescent="0.25">
      <c r="A2161" s="1105"/>
      <c r="B2161" s="1106"/>
      <c r="C2161" s="1141" t="s">
        <v>1231</v>
      </c>
      <c r="D2161" s="157"/>
      <c r="E2161" s="400"/>
      <c r="F2161" s="400"/>
      <c r="G2161" s="100"/>
      <c r="H2161" s="101"/>
      <c r="I2161" s="101"/>
      <c r="J2161" s="101"/>
      <c r="K2161" s="102"/>
      <c r="L2161" s="10"/>
    </row>
    <row r="2162" spans="1:13" s="146" customFormat="1" ht="18" x14ac:dyDescent="0.25">
      <c r="A2162" s="1105"/>
      <c r="B2162" s="1106"/>
      <c r="C2162" s="1141" t="s">
        <v>1232</v>
      </c>
      <c r="D2162" s="157"/>
      <c r="E2162" s="400"/>
      <c r="F2162" s="400"/>
      <c r="G2162" s="100"/>
      <c r="H2162" s="101"/>
      <c r="I2162" s="101"/>
      <c r="J2162" s="101"/>
      <c r="K2162" s="102"/>
      <c r="L2162" s="10"/>
    </row>
    <row r="2163" spans="1:13" s="146" customFormat="1" ht="18" x14ac:dyDescent="0.25">
      <c r="A2163" s="1105"/>
      <c r="B2163" s="1106"/>
      <c r="C2163" s="1141" t="s">
        <v>1233</v>
      </c>
      <c r="D2163" s="157"/>
      <c r="E2163" s="400"/>
      <c r="F2163" s="400"/>
      <c r="G2163" s="100"/>
      <c r="H2163" s="101"/>
      <c r="I2163" s="101"/>
      <c r="J2163" s="101"/>
      <c r="K2163" s="102"/>
      <c r="L2163" s="10"/>
    </row>
    <row r="2164" spans="1:13" s="146" customFormat="1" ht="18" x14ac:dyDescent="0.25">
      <c r="A2164" s="1105"/>
      <c r="B2164" s="1106"/>
      <c r="C2164" s="1141" t="s">
        <v>1234</v>
      </c>
      <c r="D2164" s="157"/>
      <c r="E2164" s="400"/>
      <c r="F2164" s="400"/>
      <c r="G2164" s="100"/>
      <c r="H2164" s="101"/>
      <c r="I2164" s="101"/>
      <c r="J2164" s="101"/>
      <c r="K2164" s="102"/>
      <c r="L2164" s="10"/>
    </row>
    <row r="2165" spans="1:13" s="146" customFormat="1" ht="18" x14ac:dyDescent="0.25">
      <c r="A2165" s="1105"/>
      <c r="B2165" s="1106"/>
      <c r="C2165" s="1141" t="s">
        <v>1235</v>
      </c>
      <c r="D2165" s="157"/>
      <c r="E2165" s="400"/>
      <c r="F2165" s="400"/>
      <c r="G2165" s="100"/>
      <c r="H2165" s="105"/>
      <c r="I2165" s="105"/>
      <c r="J2165" s="105"/>
      <c r="K2165" s="106"/>
      <c r="L2165" s="10"/>
    </row>
    <row r="2166" spans="1:13" s="146" customFormat="1" ht="18" x14ac:dyDescent="0.25">
      <c r="A2166" s="1105"/>
      <c r="B2166" s="1106"/>
      <c r="C2166" s="153" t="s">
        <v>200</v>
      </c>
      <c r="E2166" s="1106"/>
      <c r="F2166" s="1102"/>
      <c r="G2166" s="100"/>
      <c r="H2166" s="119">
        <f>SUM(H2159:H2165)</f>
        <v>0</v>
      </c>
      <c r="I2166" s="119">
        <f>SUM(I2159:I2165)</f>
        <v>0</v>
      </c>
      <c r="J2166" s="119">
        <f>SUM(J2159:J2165)</f>
        <v>0</v>
      </c>
      <c r="K2166" s="150">
        <f>SUM(K2159:K2165)</f>
        <v>0</v>
      </c>
      <c r="L2166" s="10"/>
    </row>
    <row r="2167" spans="1:13" ht="18.75" thickBot="1" x14ac:dyDescent="0.3">
      <c r="A2167" s="1105"/>
      <c r="B2167" s="1106"/>
      <c r="C2167" s="1111" t="s">
        <v>15</v>
      </c>
      <c r="E2167" s="1106"/>
      <c r="F2167" s="1102"/>
      <c r="G2167" s="308"/>
      <c r="H2167" s="123">
        <f>H2166+H2152+H2113+H2096+H2072+H2156</f>
        <v>0</v>
      </c>
      <c r="I2167" s="123">
        <f>I2166+I2152+I2113+I2096+I2072+I2156</f>
        <v>0</v>
      </c>
      <c r="J2167" s="123">
        <f>J2166+J2152+J2113+J2096+J2072+J2156</f>
        <v>0</v>
      </c>
      <c r="K2167" s="158">
        <f>K2166+K2152+K2113+K2096+K2072+K2156</f>
        <v>0</v>
      </c>
    </row>
    <row r="2168" spans="1:13" s="10" customFormat="1" ht="18.75" thickBot="1" x14ac:dyDescent="0.3">
      <c r="A2168" s="1105"/>
      <c r="B2168" s="1106"/>
      <c r="C2168" s="1098"/>
      <c r="D2168" s="1111"/>
      <c r="E2168" s="1226"/>
      <c r="F2168" s="1106"/>
      <c r="G2168" s="100"/>
      <c r="H2168" s="155"/>
      <c r="I2168" s="155"/>
      <c r="J2168" s="155"/>
      <c r="K2168" s="156"/>
      <c r="M2168"/>
    </row>
    <row r="2169" spans="1:13" s="10" customFormat="1" ht="18" x14ac:dyDescent="0.25">
      <c r="A2169" s="1188"/>
      <c r="B2169" s="1188"/>
      <c r="C2169" s="1262"/>
      <c r="D2169" s="1130"/>
      <c r="E2169" s="1188"/>
      <c r="F2169" s="1188"/>
      <c r="G2169" s="1263"/>
      <c r="H2169" s="1189"/>
      <c r="I2169" s="1189"/>
      <c r="J2169" s="1189"/>
      <c r="K2169" s="1190"/>
      <c r="M2169"/>
    </row>
    <row r="2170" spans="1:13" s="10" customFormat="1" ht="18" x14ac:dyDescent="0.25">
      <c r="A2170" s="1106"/>
      <c r="B2170" s="1106"/>
      <c r="C2170" s="1098"/>
      <c r="D2170" s="1111"/>
      <c r="E2170" s="1106"/>
      <c r="F2170" s="1106"/>
      <c r="G2170" s="381"/>
      <c r="H2170" s="126"/>
      <c r="I2170" s="126"/>
      <c r="J2170" s="126"/>
      <c r="K2170" s="127"/>
      <c r="M2170"/>
    </row>
    <row r="2171" spans="1:13" s="10" customFormat="1" ht="18" x14ac:dyDescent="0.25">
      <c r="A2171" s="1106"/>
      <c r="B2171" s="1106"/>
      <c r="C2171" s="1098"/>
      <c r="D2171" s="1111"/>
      <c r="E2171" s="1106"/>
      <c r="F2171" s="1106"/>
      <c r="G2171" s="381"/>
      <c r="H2171" s="126"/>
      <c r="I2171" s="126"/>
      <c r="J2171" s="126"/>
      <c r="K2171" s="127"/>
      <c r="M2171"/>
    </row>
    <row r="2172" spans="1:13" s="10" customFormat="1" ht="18" x14ac:dyDescent="0.25">
      <c r="A2172" s="1106"/>
      <c r="B2172" s="1106"/>
      <c r="C2172" s="1098"/>
      <c r="D2172" s="1111"/>
      <c r="E2172" s="1106"/>
      <c r="F2172" s="1106"/>
      <c r="G2172" s="381"/>
      <c r="H2172" s="126"/>
      <c r="I2172" s="126"/>
      <c r="J2172" s="126"/>
      <c r="K2172" s="127"/>
      <c r="M2172"/>
    </row>
    <row r="2173" spans="1:13" s="10" customFormat="1" ht="18" x14ac:dyDescent="0.25">
      <c r="A2173" s="1106"/>
      <c r="B2173" s="1106"/>
      <c r="C2173" s="1098"/>
      <c r="D2173" s="1111"/>
      <c r="E2173" s="1106"/>
      <c r="F2173" s="1106"/>
      <c r="G2173" s="381"/>
      <c r="H2173" s="126"/>
      <c r="I2173" s="126"/>
      <c r="J2173" s="126"/>
      <c r="K2173" s="127"/>
      <c r="M2173"/>
    </row>
    <row r="2174" spans="1:13" s="10" customFormat="1" ht="18" x14ac:dyDescent="0.25">
      <c r="A2174" s="1106"/>
      <c r="B2174" s="1106"/>
      <c r="C2174" s="1098"/>
      <c r="D2174" s="1111"/>
      <c r="E2174" s="1106"/>
      <c r="F2174" s="1106"/>
      <c r="G2174" s="381"/>
      <c r="H2174" s="126"/>
      <c r="I2174" s="126"/>
      <c r="J2174" s="126"/>
      <c r="K2174" s="127"/>
      <c r="M2174"/>
    </row>
    <row r="2175" spans="1:13" s="10" customFormat="1" ht="18" x14ac:dyDescent="0.25">
      <c r="A2175" s="1106"/>
      <c r="B2175" s="1106"/>
      <c r="C2175" s="1098"/>
      <c r="D2175" s="1111"/>
      <c r="E2175" s="1106"/>
      <c r="F2175" s="1106"/>
      <c r="G2175" s="381"/>
      <c r="H2175" s="126"/>
      <c r="I2175" s="126"/>
      <c r="J2175" s="126"/>
      <c r="K2175" s="127"/>
      <c r="M2175"/>
    </row>
    <row r="2176" spans="1:13" s="10" customFormat="1" ht="18" x14ac:dyDescent="0.25">
      <c r="A2176" s="1106"/>
      <c r="B2176" s="1106"/>
      <c r="C2176" s="1098"/>
      <c r="D2176" s="1111"/>
      <c r="E2176" s="1106"/>
      <c r="F2176" s="1106"/>
      <c r="G2176" s="381"/>
      <c r="H2176" s="126"/>
      <c r="I2176" s="126"/>
      <c r="J2176" s="126"/>
      <c r="K2176" s="127"/>
      <c r="M2176"/>
    </row>
    <row r="2177" spans="1:13" s="10" customFormat="1" ht="18" x14ac:dyDescent="0.25">
      <c r="A2177" s="1106"/>
      <c r="B2177" s="1106"/>
      <c r="C2177" s="1098"/>
      <c r="D2177" s="1111"/>
      <c r="E2177" s="1106"/>
      <c r="F2177" s="1106"/>
      <c r="G2177" s="381"/>
      <c r="H2177" s="126"/>
      <c r="I2177" s="126"/>
      <c r="J2177" s="126"/>
      <c r="K2177" s="127"/>
      <c r="M2177"/>
    </row>
    <row r="2178" spans="1:13" s="10" customFormat="1" ht="18" x14ac:dyDescent="0.25">
      <c r="A2178" s="1106"/>
      <c r="B2178" s="1106"/>
      <c r="C2178" s="1098"/>
      <c r="D2178" s="1111"/>
      <c r="E2178" s="1106"/>
      <c r="F2178" s="1106"/>
      <c r="G2178" s="381"/>
      <c r="H2178" s="126"/>
      <c r="I2178" s="126"/>
      <c r="J2178" s="126"/>
      <c r="K2178" s="127"/>
      <c r="M2178"/>
    </row>
    <row r="2179" spans="1:13" s="10" customFormat="1" ht="18" x14ac:dyDescent="0.25">
      <c r="A2179" s="1106"/>
      <c r="B2179" s="1106"/>
      <c r="C2179" s="1098"/>
      <c r="D2179" s="1111"/>
      <c r="E2179" s="1106"/>
      <c r="F2179" s="1106"/>
      <c r="G2179" s="381"/>
      <c r="H2179" s="126"/>
      <c r="I2179" s="126"/>
      <c r="J2179" s="126"/>
      <c r="K2179" s="127"/>
      <c r="M2179"/>
    </row>
    <row r="2180" spans="1:13" s="10" customFormat="1" ht="18" x14ac:dyDescent="0.25">
      <c r="A2180" s="1106"/>
      <c r="B2180" s="1106"/>
      <c r="C2180" s="1098"/>
      <c r="D2180" s="1111"/>
      <c r="E2180" s="1106"/>
      <c r="F2180" s="1106"/>
      <c r="G2180" s="381"/>
      <c r="H2180" s="126"/>
      <c r="I2180" s="126"/>
      <c r="J2180" s="126"/>
      <c r="K2180" s="127"/>
      <c r="M2180"/>
    </row>
    <row r="2181" spans="1:13" s="10" customFormat="1" ht="18" x14ac:dyDescent="0.25">
      <c r="A2181" s="1106"/>
      <c r="B2181" s="1106"/>
      <c r="C2181" s="1098"/>
      <c r="D2181" s="1111"/>
      <c r="E2181" s="1106"/>
      <c r="F2181" s="1106"/>
      <c r="G2181" s="381"/>
      <c r="H2181" s="126"/>
      <c r="I2181" s="126"/>
      <c r="J2181" s="126"/>
      <c r="K2181" s="127"/>
      <c r="M2181"/>
    </row>
    <row r="2182" spans="1:13" s="10" customFormat="1" ht="18" x14ac:dyDescent="0.25">
      <c r="A2182" s="1106"/>
      <c r="B2182" s="1106"/>
      <c r="C2182" s="1098"/>
      <c r="D2182" s="1111"/>
      <c r="E2182" s="1106"/>
      <c r="F2182" s="1106"/>
      <c r="G2182" s="381"/>
      <c r="H2182" s="126"/>
      <c r="I2182" s="126"/>
      <c r="J2182" s="126"/>
      <c r="K2182" s="127"/>
      <c r="M2182"/>
    </row>
    <row r="2183" spans="1:13" s="10" customFormat="1" ht="18" x14ac:dyDescent="0.25">
      <c r="A2183" s="1106"/>
      <c r="B2183" s="1106"/>
      <c r="C2183" s="1098"/>
      <c r="D2183" s="1111"/>
      <c r="E2183" s="1106"/>
      <c r="F2183" s="1106"/>
      <c r="G2183" s="381"/>
      <c r="H2183" s="126"/>
      <c r="I2183" s="126"/>
      <c r="J2183" s="126"/>
      <c r="K2183" s="127"/>
      <c r="M2183"/>
    </row>
    <row r="2184" spans="1:13" ht="18" x14ac:dyDescent="0.25">
      <c r="A2184" s="1106"/>
      <c r="B2184" s="1106"/>
      <c r="C2184" s="1098"/>
      <c r="D2184" s="1111"/>
      <c r="E2184" s="1106"/>
      <c r="F2184" s="1106"/>
      <c r="G2184" s="381"/>
      <c r="H2184" s="126"/>
      <c r="I2184" s="126"/>
      <c r="J2184" s="126"/>
      <c r="K2184" s="127"/>
    </row>
    <row r="2185" spans="1:13" ht="18" x14ac:dyDescent="0.25">
      <c r="A2185" s="1106"/>
      <c r="B2185" s="1106"/>
      <c r="C2185" s="1098"/>
      <c r="D2185" s="1111"/>
      <c r="E2185" s="1106"/>
      <c r="F2185" s="1106"/>
      <c r="G2185" s="381"/>
      <c r="H2185" s="126"/>
      <c r="I2185" s="126"/>
      <c r="J2185" s="126"/>
      <c r="K2185" s="127"/>
    </row>
    <row r="2186" spans="1:13" ht="18" customHeight="1" x14ac:dyDescent="0.25">
      <c r="A2186" s="8" t="s">
        <v>112</v>
      </c>
    </row>
    <row r="2187" spans="1:13" ht="18" customHeight="1" x14ac:dyDescent="0.25">
      <c r="A2187" s="8" t="s">
        <v>1214</v>
      </c>
    </row>
    <row r="2188" spans="1:13" ht="18" customHeight="1" x14ac:dyDescent="0.25">
      <c r="A2188" s="1636" t="s">
        <v>113</v>
      </c>
      <c r="B2188" s="1636"/>
      <c r="C2188" s="1636"/>
      <c r="D2188" s="1636"/>
      <c r="E2188" s="1636"/>
      <c r="F2188" s="1636"/>
      <c r="G2188" s="1636"/>
      <c r="H2188" s="1636"/>
      <c r="I2188" s="1636"/>
      <c r="J2188" s="1636"/>
      <c r="K2188" s="1101"/>
    </row>
    <row r="2189" spans="1:13" s="7" customFormat="1" ht="18" customHeight="1" x14ac:dyDescent="0.25">
      <c r="A2189" s="1624" t="s">
        <v>114</v>
      </c>
      <c r="B2189" s="1624"/>
      <c r="C2189" s="1624"/>
      <c r="D2189" s="1624"/>
      <c r="E2189" s="1624"/>
      <c r="F2189" s="1624"/>
      <c r="G2189" s="1624"/>
      <c r="H2189" s="1624"/>
      <c r="I2189" s="1624"/>
      <c r="J2189" s="1624"/>
      <c r="K2189" s="159"/>
      <c r="L2189" s="6"/>
    </row>
    <row r="2190" spans="1:13" s="7" customFormat="1" ht="18" customHeight="1" x14ac:dyDescent="0.25">
      <c r="A2190" s="1115"/>
      <c r="B2190" s="1115"/>
      <c r="C2190" s="1115"/>
      <c r="D2190" s="1115"/>
      <c r="E2190" s="1115"/>
      <c r="F2190" s="1115"/>
      <c r="G2190" s="1115"/>
      <c r="H2190" s="1115"/>
      <c r="I2190" s="1115"/>
      <c r="J2190" s="1115"/>
      <c r="K2190" s="159"/>
      <c r="L2190" s="6"/>
    </row>
    <row r="2191" spans="1:13" ht="18.75" thickBot="1" x14ac:dyDescent="0.3">
      <c r="A2191" s="41"/>
      <c r="B2191" s="41"/>
      <c r="C2191" s="63"/>
      <c r="D2191" s="41"/>
      <c r="E2191" s="41"/>
      <c r="F2191" s="41"/>
      <c r="G2191" s="41"/>
    </row>
    <row r="2192" spans="1:13" s="48" customFormat="1" ht="21.75" customHeight="1" thickBot="1" x14ac:dyDescent="0.3">
      <c r="A2192" s="1655" t="s">
        <v>115</v>
      </c>
      <c r="B2192" s="1655"/>
      <c r="C2192" s="1655"/>
      <c r="D2192" s="1655"/>
      <c r="E2192" s="1655"/>
      <c r="F2192" s="1655"/>
      <c r="G2192" s="1151"/>
      <c r="H2192" s="1708" t="s">
        <v>1537</v>
      </c>
      <c r="I2192" s="1710" t="s">
        <v>1538</v>
      </c>
      <c r="J2192" s="1710" t="s">
        <v>1539</v>
      </c>
      <c r="K2192" s="1710" t="s">
        <v>1540</v>
      </c>
      <c r="L2192" s="47"/>
    </row>
    <row r="2193" spans="1:12" s="1153" customFormat="1" ht="31.5" customHeight="1" thickBot="1" x14ac:dyDescent="0.3">
      <c r="A2193" s="1655"/>
      <c r="B2193" s="1655"/>
      <c r="C2193" s="1655"/>
      <c r="D2193" s="1655"/>
      <c r="E2193" s="1655"/>
      <c r="F2193" s="1655"/>
      <c r="G2193" s="1129" t="s">
        <v>116</v>
      </c>
      <c r="H2193" s="1709"/>
      <c r="I2193" s="1710"/>
      <c r="J2193" s="1710"/>
      <c r="K2193" s="1710"/>
      <c r="L2193" s="1152"/>
    </row>
    <row r="2194" spans="1:12" ht="18" x14ac:dyDescent="0.25">
      <c r="A2194" s="1105"/>
      <c r="B2194" s="1106"/>
      <c r="C2194" s="36" t="s">
        <v>1236</v>
      </c>
      <c r="D2194" s="199"/>
      <c r="E2194" s="199"/>
      <c r="F2194" s="199"/>
      <c r="G2194" s="100"/>
      <c r="H2194" s="101"/>
      <c r="I2194" s="101"/>
      <c r="J2194" s="101"/>
      <c r="K2194" s="102"/>
    </row>
    <row r="2195" spans="1:12" ht="18" customHeight="1" x14ac:dyDescent="0.25">
      <c r="A2195" s="1105"/>
      <c r="B2195" s="1106"/>
      <c r="C2195" s="1622" t="s">
        <v>1967</v>
      </c>
      <c r="D2195" s="1622"/>
      <c r="E2195" s="199"/>
      <c r="F2195" s="199"/>
      <c r="G2195" s="100"/>
      <c r="H2195" s="101"/>
      <c r="I2195" s="101"/>
      <c r="J2195" s="101"/>
      <c r="K2195" s="102"/>
    </row>
    <row r="2196" spans="1:12" ht="18" customHeight="1" x14ac:dyDescent="0.25">
      <c r="A2196" s="1105"/>
      <c r="B2196" s="1106"/>
      <c r="C2196" s="1622" t="s">
        <v>1968</v>
      </c>
      <c r="D2196" s="1622"/>
      <c r="E2196" s="199"/>
      <c r="F2196" s="199"/>
      <c r="G2196" s="100"/>
      <c r="H2196" s="101"/>
      <c r="I2196" s="101"/>
      <c r="J2196" s="101"/>
      <c r="K2196" s="102"/>
    </row>
    <row r="2197" spans="1:12" ht="18" customHeight="1" x14ac:dyDescent="0.25">
      <c r="A2197" s="1105"/>
      <c r="B2197" s="1106"/>
      <c r="C2197" s="1622" t="s">
        <v>1969</v>
      </c>
      <c r="D2197" s="1622"/>
      <c r="E2197" s="199"/>
      <c r="F2197" s="199"/>
      <c r="G2197" s="100"/>
      <c r="H2197" s="101"/>
      <c r="I2197" s="101"/>
      <c r="J2197" s="101"/>
      <c r="K2197" s="102"/>
    </row>
    <row r="2198" spans="1:12" ht="18" customHeight="1" x14ac:dyDescent="0.25">
      <c r="A2198" s="1105"/>
      <c r="B2198" s="1106"/>
      <c r="C2198" s="1622" t="s">
        <v>1970</v>
      </c>
      <c r="D2198" s="1622"/>
      <c r="E2198" s="199"/>
      <c r="F2198" s="199"/>
      <c r="G2198" s="100"/>
      <c r="H2198" s="101"/>
      <c r="I2198" s="101"/>
      <c r="J2198" s="101"/>
      <c r="K2198" s="102"/>
    </row>
    <row r="2199" spans="1:12" ht="18" x14ac:dyDescent="0.25">
      <c r="A2199" s="1105"/>
      <c r="B2199" s="1106"/>
      <c r="C2199" s="1614" t="s">
        <v>1250</v>
      </c>
      <c r="D2199" s="1614"/>
      <c r="E2199" s="199"/>
      <c r="F2199" s="199"/>
      <c r="G2199" s="100"/>
      <c r="H2199" s="101"/>
      <c r="I2199" s="101"/>
      <c r="J2199" s="101"/>
      <c r="K2199" s="102"/>
    </row>
    <row r="2200" spans="1:12" ht="18" x14ac:dyDescent="0.25">
      <c r="A2200" s="1105"/>
      <c r="B2200" s="1106"/>
      <c r="C2200" s="1107" t="s">
        <v>1971</v>
      </c>
      <c r="D2200" s="1106"/>
      <c r="E2200" s="199"/>
      <c r="F2200" s="199"/>
      <c r="G2200" s="100"/>
      <c r="H2200" s="101"/>
      <c r="I2200" s="101"/>
      <c r="J2200" s="101"/>
      <c r="K2200" s="102"/>
    </row>
    <row r="2201" spans="1:12" ht="18" x14ac:dyDescent="0.25">
      <c r="A2201" s="1105"/>
      <c r="B2201" s="1106"/>
      <c r="C2201" s="1107" t="s">
        <v>1972</v>
      </c>
      <c r="D2201" s="1106"/>
      <c r="E2201" s="199"/>
      <c r="F2201" s="199"/>
      <c r="G2201" s="100"/>
      <c r="H2201" s="101"/>
      <c r="I2201" s="101"/>
      <c r="J2201" s="101"/>
      <c r="K2201" s="102"/>
    </row>
    <row r="2202" spans="1:12" ht="18" customHeight="1" x14ac:dyDescent="0.25">
      <c r="A2202" s="1105"/>
      <c r="B2202" s="1106"/>
      <c r="C2202" s="1622" t="s">
        <v>1973</v>
      </c>
      <c r="D2202" s="1622"/>
      <c r="E2202" s="199"/>
      <c r="F2202" s="199"/>
      <c r="G2202" s="100"/>
      <c r="H2202" s="101"/>
      <c r="I2202" s="101"/>
      <c r="J2202" s="101"/>
      <c r="K2202" s="102"/>
    </row>
    <row r="2203" spans="1:12" ht="18" x14ac:dyDescent="0.25">
      <c r="A2203" s="1105"/>
      <c r="B2203" s="1106"/>
      <c r="C2203" s="1107" t="s">
        <v>1974</v>
      </c>
      <c r="D2203" s="1106"/>
      <c r="E2203" s="199"/>
      <c r="F2203" s="199"/>
      <c r="G2203" s="100"/>
      <c r="H2203" s="101"/>
      <c r="I2203" s="101"/>
      <c r="J2203" s="101"/>
      <c r="K2203" s="102"/>
    </row>
    <row r="2204" spans="1:12" ht="18" x14ac:dyDescent="0.25">
      <c r="A2204" s="1105"/>
      <c r="B2204" s="1106"/>
      <c r="C2204" s="1107" t="s">
        <v>1975</v>
      </c>
      <c r="D2204" s="1106"/>
      <c r="E2204" s="199"/>
      <c r="F2204" s="199"/>
      <c r="G2204" s="100"/>
      <c r="H2204" s="101"/>
      <c r="I2204" s="101"/>
      <c r="J2204" s="101"/>
      <c r="K2204" s="102"/>
    </row>
    <row r="2205" spans="1:12" ht="18" customHeight="1" x14ac:dyDescent="0.25">
      <c r="A2205" s="1105"/>
      <c r="B2205" s="1106"/>
      <c r="C2205" s="1622" t="s">
        <v>1976</v>
      </c>
      <c r="D2205" s="1622"/>
      <c r="E2205" s="199"/>
      <c r="F2205" s="199"/>
      <c r="G2205" s="100"/>
      <c r="H2205" s="101"/>
      <c r="I2205" s="101"/>
      <c r="J2205" s="101"/>
      <c r="K2205" s="102"/>
    </row>
    <row r="2206" spans="1:12" s="146" customFormat="1" ht="15.75" customHeight="1" x14ac:dyDescent="0.25">
      <c r="A2206" s="1105"/>
      <c r="B2206" s="1106"/>
      <c r="C2206" s="38" t="s">
        <v>1237</v>
      </c>
      <c r="D2206" s="157"/>
      <c r="E2206" s="199"/>
      <c r="F2206" s="38"/>
      <c r="G2206" s="100"/>
      <c r="H2206" s="101"/>
      <c r="I2206" s="101"/>
      <c r="J2206" s="101"/>
      <c r="K2206" s="102"/>
      <c r="L2206" s="10"/>
    </row>
    <row r="2207" spans="1:12" s="146" customFormat="1" ht="18" x14ac:dyDescent="0.25">
      <c r="A2207" s="1105"/>
      <c r="B2207" s="1106"/>
      <c r="C2207" s="38" t="s">
        <v>1238</v>
      </c>
      <c r="D2207" s="157"/>
      <c r="E2207" s="199"/>
      <c r="F2207" s="199"/>
      <c r="G2207" s="100"/>
      <c r="H2207" s="101"/>
      <c r="I2207" s="101"/>
      <c r="J2207" s="101"/>
      <c r="K2207" s="102"/>
      <c r="L2207" s="10"/>
    </row>
    <row r="2208" spans="1:12" s="146" customFormat="1" ht="18" x14ac:dyDescent="0.25">
      <c r="A2208" s="1105"/>
      <c r="B2208" s="1106"/>
      <c r="C2208" s="38" t="s">
        <v>1239</v>
      </c>
      <c r="D2208" s="157"/>
      <c r="E2208" s="199"/>
      <c r="F2208" s="199"/>
      <c r="G2208" s="100"/>
      <c r="H2208" s="101"/>
      <c r="I2208" s="101"/>
      <c r="J2208" s="101"/>
      <c r="K2208" s="102"/>
      <c r="L2208" s="10"/>
    </row>
    <row r="2209" spans="1:12" s="146" customFormat="1" ht="18" x14ac:dyDescent="0.25">
      <c r="A2209" s="1105"/>
      <c r="B2209" s="1106"/>
      <c r="C2209" s="38" t="s">
        <v>1240</v>
      </c>
      <c r="D2209" s="157"/>
      <c r="E2209" s="199"/>
      <c r="F2209" s="199"/>
      <c r="G2209" s="100"/>
      <c r="H2209" s="101"/>
      <c r="I2209" s="101"/>
      <c r="J2209" s="101"/>
      <c r="K2209" s="102"/>
      <c r="L2209" s="10"/>
    </row>
    <row r="2210" spans="1:12" s="313" customFormat="1" ht="18" customHeight="1" x14ac:dyDescent="0.25">
      <c r="A2210" s="1135"/>
      <c r="B2210" s="1113"/>
      <c r="C2210" s="1138" t="s">
        <v>1241</v>
      </c>
      <c r="D2210" s="1120"/>
      <c r="E2210" s="427"/>
      <c r="F2210" s="427"/>
      <c r="G2210" s="423"/>
      <c r="H2210" s="101"/>
      <c r="I2210" s="101"/>
      <c r="J2210" s="101"/>
      <c r="K2210" s="102"/>
      <c r="L2210" s="193"/>
    </row>
    <row r="2211" spans="1:12" s="313" customFormat="1" ht="18" customHeight="1" x14ac:dyDescent="0.25">
      <c r="A2211" s="1135"/>
      <c r="B2211" s="1113"/>
      <c r="C2211" s="1138" t="s">
        <v>1242</v>
      </c>
      <c r="D2211" s="1120"/>
      <c r="E2211" s="427"/>
      <c r="F2211" s="427"/>
      <c r="G2211" s="423"/>
      <c r="H2211" s="101"/>
      <c r="I2211" s="101"/>
      <c r="J2211" s="101"/>
      <c r="K2211" s="102"/>
      <c r="L2211" s="193"/>
    </row>
    <row r="2212" spans="1:12" s="313" customFormat="1" ht="18" customHeight="1" x14ac:dyDescent="0.25">
      <c r="A2212" s="1135"/>
      <c r="B2212" s="1113"/>
      <c r="C2212" s="1138" t="s">
        <v>1243</v>
      </c>
      <c r="D2212" s="1120"/>
      <c r="E2212" s="427"/>
      <c r="F2212" s="427"/>
      <c r="G2212" s="423"/>
      <c r="H2212" s="101"/>
      <c r="I2212" s="101"/>
      <c r="J2212" s="101"/>
      <c r="K2212" s="102"/>
      <c r="L2212" s="193"/>
    </row>
    <row r="2213" spans="1:12" s="313" customFormat="1" ht="18.75" customHeight="1" x14ac:dyDescent="0.25">
      <c r="A2213" s="1135"/>
      <c r="B2213" s="1113"/>
      <c r="C2213" s="1628" t="s">
        <v>1244</v>
      </c>
      <c r="D2213" s="1628"/>
      <c r="E2213" s="427"/>
      <c r="F2213" s="427"/>
      <c r="G2213" s="423"/>
      <c r="H2213" s="101"/>
      <c r="I2213" s="101"/>
      <c r="J2213" s="101"/>
      <c r="K2213" s="102"/>
      <c r="L2213" s="193"/>
    </row>
    <row r="2214" spans="1:12" s="146" customFormat="1" ht="18" x14ac:dyDescent="0.25">
      <c r="A2214" s="1105"/>
      <c r="B2214" s="1106"/>
      <c r="C2214" s="38" t="s">
        <v>1371</v>
      </c>
      <c r="D2214" s="157"/>
      <c r="E2214" s="451"/>
      <c r="F2214" s="199"/>
      <c r="G2214" s="100"/>
      <c r="H2214" s="101"/>
      <c r="I2214" s="101"/>
      <c r="J2214" s="101"/>
      <c r="K2214" s="102"/>
      <c r="L2214" s="10"/>
    </row>
    <row r="2215" spans="1:12" s="313" customFormat="1" ht="18" customHeight="1" x14ac:dyDescent="0.25">
      <c r="A2215" s="1135"/>
      <c r="B2215" s="1113"/>
      <c r="C2215" s="1138" t="s">
        <v>1245</v>
      </c>
      <c r="D2215" s="1120"/>
      <c r="E2215" s="427"/>
      <c r="F2215" s="427"/>
      <c r="G2215" s="423"/>
      <c r="H2215" s="101"/>
      <c r="I2215" s="101"/>
      <c r="J2215" s="101"/>
      <c r="K2215" s="102"/>
      <c r="L2215" s="193"/>
    </row>
    <row r="2216" spans="1:12" s="146" customFormat="1" ht="18" x14ac:dyDescent="0.25">
      <c r="A2216" s="1105"/>
      <c r="B2216" s="1106"/>
      <c r="C2216" s="38" t="s">
        <v>1246</v>
      </c>
      <c r="D2216" s="157"/>
      <c r="E2216" s="199"/>
      <c r="F2216" s="199"/>
      <c r="G2216" s="100"/>
      <c r="H2216" s="101"/>
      <c r="I2216" s="101"/>
      <c r="J2216" s="101"/>
      <c r="K2216" s="102"/>
      <c r="L2216" s="10"/>
    </row>
    <row r="2217" spans="1:12" s="313" customFormat="1" ht="18" customHeight="1" x14ac:dyDescent="0.25">
      <c r="A2217" s="1135"/>
      <c r="B2217" s="1113"/>
      <c r="C2217" s="1138" t="s">
        <v>1247</v>
      </c>
      <c r="D2217" s="1120"/>
      <c r="E2217" s="427"/>
      <c r="F2217" s="427"/>
      <c r="G2217" s="423"/>
      <c r="H2217" s="101"/>
      <c r="I2217" s="101"/>
      <c r="J2217" s="101"/>
      <c r="K2217" s="102"/>
      <c r="L2217" s="193"/>
    </row>
    <row r="2218" spans="1:12" s="146" customFormat="1" ht="15.75" customHeight="1" x14ac:dyDescent="0.25">
      <c r="A2218" s="1105"/>
      <c r="B2218" s="1106"/>
      <c r="C2218" s="38" t="s">
        <v>1977</v>
      </c>
      <c r="D2218" s="157"/>
      <c r="E2218" s="199"/>
      <c r="F2218" s="38"/>
      <c r="G2218" s="100"/>
      <c r="H2218" s="101"/>
      <c r="I2218" s="101"/>
      <c r="J2218" s="101"/>
      <c r="K2218" s="102"/>
      <c r="L2218" s="10"/>
    </row>
    <row r="2219" spans="1:12" s="313" customFormat="1" ht="18" customHeight="1" x14ac:dyDescent="0.25">
      <c r="A2219" s="1135"/>
      <c r="B2219" s="1113"/>
      <c r="C2219" s="1138" t="s">
        <v>1248</v>
      </c>
      <c r="D2219" s="1120"/>
      <c r="E2219" s="427"/>
      <c r="F2219" s="427"/>
      <c r="G2219" s="423"/>
      <c r="H2219" s="101"/>
      <c r="I2219" s="101"/>
      <c r="J2219" s="101"/>
      <c r="K2219" s="102"/>
      <c r="L2219" s="193"/>
    </row>
    <row r="2220" spans="1:12" s="146" customFormat="1" ht="32.25" customHeight="1" x14ac:dyDescent="0.25">
      <c r="A2220" s="1105"/>
      <c r="B2220" s="1106"/>
      <c r="C2220" s="1623" t="s">
        <v>1249</v>
      </c>
      <c r="D2220" s="1623"/>
      <c r="E2220" s="199"/>
      <c r="F2220" s="199"/>
      <c r="G2220" s="100"/>
      <c r="H2220" s="101"/>
      <c r="I2220" s="101"/>
      <c r="J2220" s="101"/>
      <c r="K2220" s="102"/>
      <c r="L2220" s="10"/>
    </row>
    <row r="2221" spans="1:12" s="146" customFormat="1" ht="18" x14ac:dyDescent="0.25">
      <c r="A2221" s="1105"/>
      <c r="B2221" s="1106"/>
      <c r="C2221" s="38" t="s">
        <v>1253</v>
      </c>
      <c r="D2221" s="157"/>
      <c r="E2221" s="199"/>
      <c r="F2221" s="305"/>
      <c r="G2221" s="100"/>
      <c r="H2221" s="101"/>
      <c r="I2221" s="101"/>
      <c r="J2221" s="101"/>
      <c r="K2221" s="102"/>
      <c r="L2221" s="10"/>
    </row>
    <row r="2222" spans="1:12" s="146" customFormat="1" ht="15.75" customHeight="1" x14ac:dyDescent="0.25">
      <c r="A2222" s="1105"/>
      <c r="B2222" s="1106"/>
      <c r="C2222" s="1126" t="s">
        <v>1748</v>
      </c>
      <c r="D2222" s="1264"/>
      <c r="E2222" s="199"/>
      <c r="F2222" s="38"/>
      <c r="G2222" s="423"/>
      <c r="H2222" s="101"/>
      <c r="I2222" s="105"/>
      <c r="J2222" s="105"/>
      <c r="K2222" s="106"/>
      <c r="L2222" s="10"/>
    </row>
    <row r="2223" spans="1:12" s="146" customFormat="1" ht="18" x14ac:dyDescent="0.25">
      <c r="A2223" s="1105"/>
      <c r="B2223" s="1106"/>
      <c r="C2223" s="153" t="s">
        <v>15</v>
      </c>
      <c r="E2223" s="199"/>
      <c r="F2223" s="305"/>
      <c r="G2223" s="100"/>
      <c r="H2223" s="119">
        <f>SUM(H2206:H2221)</f>
        <v>0</v>
      </c>
      <c r="I2223" s="119">
        <f>SUM(I2206:I2221)</f>
        <v>0</v>
      </c>
      <c r="J2223" s="119">
        <f>SUM(J2206:J2221)</f>
        <v>0</v>
      </c>
      <c r="K2223" s="150">
        <f>SUM(K2206:K2221)</f>
        <v>0</v>
      </c>
      <c r="L2223" s="10"/>
    </row>
    <row r="2224" spans="1:12" s="146" customFormat="1" ht="18" x14ac:dyDescent="0.25">
      <c r="A2224" s="1105"/>
      <c r="B2224" s="1106"/>
      <c r="C2224" s="153"/>
      <c r="E2224" s="199"/>
      <c r="F2224" s="305"/>
      <c r="G2224" s="100"/>
      <c r="H2224" s="155"/>
      <c r="I2224" s="155"/>
      <c r="J2224" s="155"/>
      <c r="K2224" s="156"/>
      <c r="L2224" s="10"/>
    </row>
    <row r="2225" spans="1:12" s="146" customFormat="1" ht="18" x14ac:dyDescent="0.25">
      <c r="A2225" s="1105"/>
      <c r="B2225" s="1106"/>
      <c r="C2225" s="36" t="s">
        <v>1336</v>
      </c>
      <c r="D2225" s="199"/>
      <c r="E2225" s="199"/>
      <c r="F2225" s="199"/>
      <c r="G2225" s="100"/>
      <c r="H2225" s="101"/>
      <c r="I2225" s="101"/>
      <c r="J2225" s="101"/>
      <c r="K2225" s="102"/>
      <c r="L2225" s="10"/>
    </row>
    <row r="2226" spans="1:12" s="146" customFormat="1" ht="35.25" customHeight="1" x14ac:dyDescent="0.25">
      <c r="A2226" s="1105"/>
      <c r="B2226" s="1106"/>
      <c r="C2226" s="1628" t="s">
        <v>616</v>
      </c>
      <c r="D2226" s="1628"/>
      <c r="E2226" s="199"/>
      <c r="F2226" s="199"/>
      <c r="G2226" s="100"/>
      <c r="H2226" s="101"/>
      <c r="I2226" s="101"/>
      <c r="J2226" s="101"/>
      <c r="K2226" s="102"/>
      <c r="L2226" s="10"/>
    </row>
    <row r="2227" spans="1:12" s="146" customFormat="1" ht="42" customHeight="1" x14ac:dyDescent="0.25">
      <c r="A2227" s="1105"/>
      <c r="B2227" s="1106"/>
      <c r="C2227" s="1628" t="s">
        <v>1978</v>
      </c>
      <c r="D2227" s="1628"/>
      <c r="E2227" s="199"/>
      <c r="F2227" s="199"/>
      <c r="G2227" s="100"/>
      <c r="H2227" s="101"/>
      <c r="I2227" s="101"/>
      <c r="J2227" s="101"/>
      <c r="K2227" s="102"/>
      <c r="L2227" s="10"/>
    </row>
    <row r="2228" spans="1:12" s="146" customFormat="1" ht="18" x14ac:dyDescent="0.25">
      <c r="A2228" s="1105"/>
      <c r="B2228" s="1106"/>
      <c r="C2228" s="153" t="s">
        <v>15</v>
      </c>
      <c r="E2228" s="199"/>
      <c r="F2228" s="198"/>
      <c r="G2228" s="100"/>
      <c r="H2228" s="119"/>
      <c r="I2228" s="119">
        <f>SUM(I2226:I2227)</f>
        <v>0</v>
      </c>
      <c r="J2228" s="119">
        <f>SUM(J2226:J2227)</f>
        <v>0</v>
      </c>
      <c r="K2228" s="150">
        <f>SUM(K2226:K2227)</f>
        <v>0</v>
      </c>
      <c r="L2228" s="10"/>
    </row>
    <row r="2229" spans="1:12" s="146" customFormat="1" ht="18" x14ac:dyDescent="0.25">
      <c r="A2229" s="1105"/>
      <c r="B2229" s="1106"/>
      <c r="C2229" s="38"/>
      <c r="D2229" s="153"/>
      <c r="E2229" s="199"/>
      <c r="F2229" s="198"/>
      <c r="G2229" s="100"/>
      <c r="H2229" s="155"/>
      <c r="I2229" s="155"/>
      <c r="J2229" s="155"/>
      <c r="K2229" s="156"/>
      <c r="L2229" s="10"/>
    </row>
    <row r="2230" spans="1:12" ht="18" x14ac:dyDescent="0.25">
      <c r="A2230" s="1105"/>
      <c r="B2230" s="1106"/>
      <c r="C2230" s="36" t="s">
        <v>1373</v>
      </c>
      <c r="D2230" s="199"/>
      <c r="E2230" s="199"/>
      <c r="F2230" s="199"/>
      <c r="G2230" s="100"/>
      <c r="H2230" s="101"/>
      <c r="I2230" s="101"/>
      <c r="J2230" s="101"/>
      <c r="K2230" s="102"/>
    </row>
    <row r="2231" spans="1:12" ht="18" x14ac:dyDescent="0.25">
      <c r="A2231" s="1105"/>
      <c r="B2231" s="1106"/>
      <c r="C2231" s="38" t="s">
        <v>1979</v>
      </c>
      <c r="D2231" s="199"/>
      <c r="E2231" s="199"/>
      <c r="F2231" s="199"/>
      <c r="G2231" s="100"/>
      <c r="H2231" s="101"/>
      <c r="I2231" s="101"/>
      <c r="J2231" s="101"/>
      <c r="K2231" s="102"/>
    </row>
    <row r="2232" spans="1:12" ht="18" x14ac:dyDescent="0.25">
      <c r="A2232" s="1105"/>
      <c r="B2232" s="1106"/>
      <c r="C2232" s="153" t="s">
        <v>15</v>
      </c>
      <c r="E2232" s="1106"/>
      <c r="F2232" s="1102"/>
      <c r="G2232" s="100"/>
      <c r="H2232" s="119"/>
      <c r="I2232" s="119">
        <f>SUM(I2231:I2231)</f>
        <v>0</v>
      </c>
      <c r="J2232" s="119">
        <f>SUM(J2231:J2231)</f>
        <v>0</v>
      </c>
      <c r="K2232" s="150">
        <f>SUM(K2231:K2231)</f>
        <v>0</v>
      </c>
    </row>
    <row r="2233" spans="1:12" s="146" customFormat="1" ht="22.5" customHeight="1" x14ac:dyDescent="0.25">
      <c r="A2233" s="1137"/>
      <c r="B2233" s="1098"/>
      <c r="C2233" s="1632" t="s">
        <v>1374</v>
      </c>
      <c r="D2233" s="1632"/>
      <c r="E2233" s="1632"/>
      <c r="F2233" s="1633"/>
      <c r="G2233" s="205"/>
      <c r="H2233" s="360">
        <f>H2232+H2228+H2223+H2167+H2056+H2024+H1982+H1960+H1946+H1918+H1905+H1900+H1886+H1864+H1851+H1843+H1824+H1798+H1780+H1763+H1694+H1630+H1608+H1583+H1566+H1557+H1541+H2030+H1647+H1687</f>
        <v>0</v>
      </c>
      <c r="I2233" s="360">
        <f>I2232+I2228+I2223+I2167+I2056+I2024+I1982+I1960+I1946+I1918+I1905+I1900+I1886+I1864+I1851+I1843+I1824+I1798+I1780+I1763+I1694+I1630+I1608+I1583+I1566+I1557+I1541+I2030+I1647+I1687</f>
        <v>18745527</v>
      </c>
      <c r="J2233" s="360">
        <f>J2232+J2228+J2223+J2167+J2056+J2024+J1982+J1960+J1946+J1918+J1905+J1900+J1886+J1864+J1851+J1843+J1824+J1798+J1780+J1763+J1694+J1630+J1608+J1583+J1566+J1557+J1541+J2030+J1647+J1687</f>
        <v>16803527</v>
      </c>
      <c r="K2233" s="360">
        <f>K2232+K2228+K2223+K2167+K2056+K2024+K1982+K1960+K1946+K1918+K1905+K1900+K1886+K1864+K1851+K1843+K1824+K1798+K1780+K1763+K1694+K1630+K1608+K1583+K1566+K1557+K1541+K2030+K1647+K1687</f>
        <v>20989602</v>
      </c>
      <c r="L2233" s="10"/>
    </row>
    <row r="2234" spans="1:12" s="146" customFormat="1" ht="19.5" customHeight="1" x14ac:dyDescent="0.25">
      <c r="A2234" s="1105"/>
      <c r="B2234" s="1106"/>
      <c r="C2234" s="152" t="s">
        <v>1375</v>
      </c>
      <c r="D2234" s="152"/>
      <c r="F2234" s="1112"/>
      <c r="G2234" s="301"/>
      <c r="H2234" s="316" t="e">
        <f>#REF!+H1148+H1467+H1475+H1478+H1485+H2233+H1434+H1251+H1194</f>
        <v>#REF!</v>
      </c>
      <c r="I2234" s="316" t="e">
        <f>#REF!+I1148+I1467+I1475+I1478+I1485+I2233+I1434+I1251+I1194</f>
        <v>#REF!</v>
      </c>
      <c r="J2234" s="316" t="e">
        <f>#REF!+J1148+J1467+J1475+J1478+J1485+J2233+J1434+J1251+J1194</f>
        <v>#REF!</v>
      </c>
      <c r="K2234" s="316" t="e">
        <f>#REF!+K1148+K1467+K1475+K1478+K1485+K2233+K1434+K1251+K1194</f>
        <v>#REF!</v>
      </c>
      <c r="L2234" s="10"/>
    </row>
    <row r="2235" spans="1:12" s="146" customFormat="1" ht="18.75" thickBot="1" x14ac:dyDescent="0.3">
      <c r="A2235" s="187"/>
      <c r="B2235" s="1226"/>
      <c r="C2235" s="1216"/>
      <c r="D2235" s="1145"/>
      <c r="E2235" s="1145"/>
      <c r="F2235" s="660"/>
      <c r="G2235" s="392"/>
      <c r="H2235" s="182"/>
      <c r="I2235" s="182"/>
      <c r="J2235" s="182"/>
      <c r="K2235" s="183"/>
      <c r="L2235" s="10"/>
    </row>
    <row r="2236" spans="1:12" s="146" customFormat="1" ht="18" x14ac:dyDescent="0.25">
      <c r="A2236" s="1106"/>
      <c r="B2236" s="1106"/>
      <c r="C2236" s="1098"/>
      <c r="D2236" s="1106"/>
      <c r="E2236" s="1106"/>
      <c r="F2236" s="1106"/>
      <c r="G2236" s="381"/>
      <c r="H2236" s="141"/>
      <c r="I2236" s="1265"/>
      <c r="J2236" s="1265"/>
      <c r="K2236" s="1266"/>
      <c r="L2236" s="10"/>
    </row>
    <row r="2237" spans="1:12" s="146" customFormat="1" ht="18" x14ac:dyDescent="0.25">
      <c r="A2237" s="1106"/>
      <c r="B2237" s="1106"/>
      <c r="C2237" s="1098"/>
      <c r="D2237" s="1106"/>
      <c r="E2237" s="1106"/>
      <c r="F2237" s="1106"/>
      <c r="G2237" s="381"/>
      <c r="H2237" s="141"/>
      <c r="I2237" s="1265"/>
      <c r="J2237" s="141"/>
      <c r="K2237" s="122"/>
      <c r="L2237" s="10"/>
    </row>
    <row r="2238" spans="1:12" s="146" customFormat="1" ht="18" x14ac:dyDescent="0.25">
      <c r="A2238" s="1106"/>
      <c r="B2238" s="1106"/>
      <c r="C2238" s="1098"/>
      <c r="D2238" s="1106"/>
      <c r="E2238" s="1106"/>
      <c r="F2238" s="1106"/>
      <c r="G2238" s="381"/>
      <c r="H2238" s="141"/>
      <c r="I2238" s="1265"/>
      <c r="J2238" s="141"/>
      <c r="K2238" s="122"/>
      <c r="L2238" s="10"/>
    </row>
    <row r="2239" spans="1:12" s="146" customFormat="1" ht="18" x14ac:dyDescent="0.25">
      <c r="A2239" s="1106"/>
      <c r="B2239" s="1106"/>
      <c r="C2239" s="1098"/>
      <c r="D2239" s="1106"/>
      <c r="E2239" s="1106"/>
      <c r="F2239" s="1106"/>
      <c r="G2239" s="381"/>
      <c r="H2239" s="141"/>
      <c r="I2239" s="1265"/>
      <c r="J2239" s="141"/>
      <c r="K2239" s="122"/>
      <c r="L2239" s="10"/>
    </row>
    <row r="2240" spans="1:12" s="146" customFormat="1" ht="18" x14ac:dyDescent="0.25">
      <c r="A2240" s="1106"/>
      <c r="B2240" s="1106"/>
      <c r="C2240" s="1098"/>
      <c r="D2240" s="1106"/>
      <c r="E2240" s="1106"/>
      <c r="F2240" s="1106"/>
      <c r="G2240" s="381"/>
      <c r="H2240" s="141"/>
      <c r="I2240" s="1265"/>
      <c r="J2240" s="141"/>
      <c r="K2240" s="122"/>
      <c r="L2240" s="10"/>
    </row>
    <row r="2241" spans="1:12" s="146" customFormat="1" ht="18" x14ac:dyDescent="0.25">
      <c r="A2241" s="1106"/>
      <c r="B2241" s="1106"/>
      <c r="C2241" s="1098"/>
      <c r="D2241" s="1106"/>
      <c r="E2241" s="1106"/>
      <c r="F2241" s="1106"/>
      <c r="G2241" s="381"/>
      <c r="H2241" s="141"/>
      <c r="I2241" s="141"/>
      <c r="J2241" s="141"/>
      <c r="K2241" s="122"/>
      <c r="L2241" s="10"/>
    </row>
    <row r="2242" spans="1:12" s="146" customFormat="1" ht="18" x14ac:dyDescent="0.25">
      <c r="A2242" s="1106"/>
      <c r="B2242" s="1106"/>
      <c r="C2242" s="1098"/>
      <c r="D2242" s="1106"/>
      <c r="E2242" s="1106"/>
      <c r="F2242" s="1106"/>
      <c r="G2242" s="381"/>
      <c r="H2242" s="141"/>
      <c r="I2242" s="141"/>
      <c r="J2242" s="141"/>
      <c r="K2242" s="122"/>
      <c r="L2242" s="10"/>
    </row>
    <row r="2243" spans="1:12" s="146" customFormat="1" ht="18" x14ac:dyDescent="0.25">
      <c r="A2243" s="1106"/>
      <c r="B2243" s="1106"/>
      <c r="C2243" s="1098"/>
      <c r="D2243" s="1106"/>
      <c r="E2243" s="1106"/>
      <c r="F2243" s="1106"/>
      <c r="G2243" s="381"/>
      <c r="H2243" s="141"/>
      <c r="I2243" s="141"/>
      <c r="J2243" s="141"/>
      <c r="K2243" s="122"/>
      <c r="L2243" s="10"/>
    </row>
    <row r="2244" spans="1:12" s="146" customFormat="1" ht="18" x14ac:dyDescent="0.25">
      <c r="A2244" s="1106"/>
      <c r="B2244" s="1106"/>
      <c r="C2244" s="1098"/>
      <c r="D2244" s="1106"/>
      <c r="E2244" s="1106"/>
      <c r="F2244" s="1106"/>
      <c r="G2244" s="381"/>
      <c r="H2244" s="141"/>
      <c r="I2244" s="141"/>
      <c r="J2244" s="141"/>
      <c r="K2244" s="122"/>
      <c r="L2244" s="10"/>
    </row>
    <row r="2245" spans="1:12" s="146" customFormat="1" ht="18" x14ac:dyDescent="0.25">
      <c r="A2245" s="1106"/>
      <c r="B2245" s="1106"/>
      <c r="C2245" s="1098"/>
      <c r="D2245" s="1106"/>
      <c r="E2245" s="1106"/>
      <c r="F2245" s="1106"/>
      <c r="G2245" s="381"/>
      <c r="H2245" s="141"/>
      <c r="I2245" s="141"/>
      <c r="J2245" s="141"/>
      <c r="K2245" s="122"/>
      <c r="L2245" s="10"/>
    </row>
    <row r="2246" spans="1:12" s="146" customFormat="1" ht="18" x14ac:dyDescent="0.25">
      <c r="A2246" s="1106"/>
      <c r="B2246" s="1106"/>
      <c r="C2246" s="1098"/>
      <c r="D2246" s="1106"/>
      <c r="E2246" s="1106"/>
      <c r="F2246" s="1106"/>
      <c r="G2246" s="381"/>
      <c r="H2246" s="141"/>
      <c r="I2246" s="141"/>
      <c r="J2246" s="141"/>
      <c r="K2246" s="122"/>
      <c r="L2246" s="10"/>
    </row>
    <row r="2247" spans="1:12" s="146" customFormat="1" ht="18" x14ac:dyDescent="0.25">
      <c r="A2247" s="1106"/>
      <c r="B2247" s="1106"/>
      <c r="C2247" s="1098"/>
      <c r="D2247" s="1106"/>
      <c r="E2247" s="1106"/>
      <c r="F2247" s="1106"/>
      <c r="G2247" s="381"/>
      <c r="H2247" s="141"/>
      <c r="I2247" s="141"/>
      <c r="J2247" s="141"/>
      <c r="K2247" s="122"/>
      <c r="L2247" s="10"/>
    </row>
    <row r="2248" spans="1:12" s="146" customFormat="1" ht="18" x14ac:dyDescent="0.25">
      <c r="A2248" s="1106"/>
      <c r="B2248" s="1106"/>
      <c r="C2248" s="1098"/>
      <c r="D2248" s="1106"/>
      <c r="E2248" s="1106"/>
      <c r="F2248" s="1106"/>
      <c r="G2248" s="381"/>
      <c r="H2248" s="141"/>
      <c r="I2248" s="141"/>
      <c r="J2248" s="141"/>
      <c r="K2248" s="122"/>
      <c r="L2248" s="10"/>
    </row>
    <row r="2249" spans="1:12" s="146" customFormat="1" ht="18" x14ac:dyDescent="0.25">
      <c r="A2249" s="1106"/>
      <c r="B2249" s="1106"/>
      <c r="C2249" s="1098"/>
      <c r="D2249" s="1106"/>
      <c r="E2249" s="1106"/>
      <c r="F2249" s="1106"/>
      <c r="G2249" s="381"/>
      <c r="H2249" s="141"/>
      <c r="I2249" s="141"/>
      <c r="J2249" s="141"/>
      <c r="K2249" s="122"/>
      <c r="L2249" s="10"/>
    </row>
    <row r="2250" spans="1:12" s="146" customFormat="1" ht="18" x14ac:dyDescent="0.25">
      <c r="A2250" s="1106"/>
      <c r="B2250" s="1106"/>
      <c r="C2250" s="1098"/>
      <c r="D2250" s="1106"/>
      <c r="E2250" s="1106"/>
      <c r="F2250" s="1106"/>
      <c r="G2250" s="381"/>
      <c r="H2250" s="141"/>
      <c r="I2250" s="141"/>
      <c r="J2250" s="141"/>
      <c r="K2250" s="122"/>
      <c r="L2250" s="10"/>
    </row>
    <row r="2251" spans="1:12" s="146" customFormat="1" ht="18" x14ac:dyDescent="0.25">
      <c r="A2251" s="1106"/>
      <c r="B2251" s="1106"/>
      <c r="C2251" s="1098"/>
      <c r="D2251" s="1106"/>
      <c r="E2251" s="1106"/>
      <c r="F2251" s="1106"/>
      <c r="G2251" s="381"/>
      <c r="H2251" s="141"/>
      <c r="I2251" s="141"/>
      <c r="J2251" s="141"/>
      <c r="K2251" s="122"/>
      <c r="L2251" s="10"/>
    </row>
    <row r="2252" spans="1:12" s="146" customFormat="1" ht="18" x14ac:dyDescent="0.25">
      <c r="A2252" s="1106"/>
      <c r="B2252" s="1106"/>
      <c r="C2252" s="1098"/>
      <c r="D2252" s="1106"/>
      <c r="E2252" s="1106"/>
      <c r="F2252" s="1106"/>
      <c r="G2252" s="381"/>
      <c r="H2252" s="141"/>
      <c r="I2252" s="141"/>
      <c r="J2252" s="141"/>
      <c r="K2252" s="122"/>
      <c r="L2252" s="10"/>
    </row>
    <row r="2253" spans="1:12" s="146" customFormat="1" ht="18" x14ac:dyDescent="0.25">
      <c r="A2253" s="1106"/>
      <c r="B2253" s="1106"/>
      <c r="C2253" s="1098"/>
      <c r="D2253" s="1106"/>
      <c r="E2253" s="1106"/>
      <c r="F2253" s="1106"/>
      <c r="G2253" s="381"/>
      <c r="H2253" s="141"/>
      <c r="I2253" s="141"/>
      <c r="J2253" s="141"/>
      <c r="K2253" s="122"/>
      <c r="L2253" s="10"/>
    </row>
    <row r="2254" spans="1:12" s="146" customFormat="1" ht="18" x14ac:dyDescent="0.25">
      <c r="A2254" s="1106"/>
      <c r="B2254" s="1106"/>
      <c r="C2254" s="1098"/>
      <c r="D2254" s="1106"/>
      <c r="E2254" s="1106"/>
      <c r="F2254" s="1106"/>
      <c r="G2254" s="381"/>
      <c r="H2254" s="141"/>
      <c r="I2254" s="141"/>
      <c r="J2254" s="141"/>
      <c r="K2254" s="122"/>
      <c r="L2254" s="10"/>
    </row>
    <row r="2255" spans="1:12" s="146" customFormat="1" ht="18" x14ac:dyDescent="0.25">
      <c r="A2255" s="1106"/>
      <c r="B2255" s="1106"/>
      <c r="C2255" s="1098"/>
      <c r="D2255" s="1106"/>
      <c r="E2255" s="1106"/>
      <c r="F2255" s="1106"/>
      <c r="G2255" s="381"/>
      <c r="H2255" s="141"/>
      <c r="I2255" s="141"/>
      <c r="J2255" s="141"/>
      <c r="K2255" s="122"/>
      <c r="L2255" s="10"/>
    </row>
    <row r="2256" spans="1:12" s="146" customFormat="1" ht="18" x14ac:dyDescent="0.25">
      <c r="A2256" s="1106"/>
      <c r="B2256" s="1106"/>
      <c r="C2256" s="1098"/>
      <c r="D2256" s="1106"/>
      <c r="E2256" s="1106"/>
      <c r="F2256" s="1106"/>
      <c r="G2256" s="381"/>
      <c r="H2256" s="141"/>
      <c r="I2256" s="141"/>
      <c r="J2256" s="141"/>
      <c r="K2256" s="122"/>
      <c r="L2256" s="10"/>
    </row>
    <row r="2257" spans="1:12" ht="18" customHeight="1" x14ac:dyDescent="0.25">
      <c r="A2257" s="8" t="s">
        <v>112</v>
      </c>
    </row>
    <row r="2258" spans="1:12" ht="18" customHeight="1" x14ac:dyDescent="0.25">
      <c r="A2258" s="8" t="s">
        <v>1980</v>
      </c>
    </row>
    <row r="2259" spans="1:12" ht="18" customHeight="1" x14ac:dyDescent="0.25"/>
    <row r="2260" spans="1:12" ht="18" customHeight="1" x14ac:dyDescent="0.25">
      <c r="A2260" s="1636" t="s">
        <v>113</v>
      </c>
      <c r="B2260" s="1636"/>
      <c r="C2260" s="1636"/>
      <c r="D2260" s="1636"/>
      <c r="E2260" s="1636"/>
      <c r="F2260" s="1636"/>
      <c r="G2260" s="1636"/>
      <c r="H2260" s="1636"/>
      <c r="I2260" s="1636"/>
      <c r="J2260" s="1636"/>
      <c r="K2260" s="1101"/>
    </row>
    <row r="2261" spans="1:12" s="7" customFormat="1" ht="18" customHeight="1" x14ac:dyDescent="0.25">
      <c r="A2261" s="1624" t="s">
        <v>114</v>
      </c>
      <c r="B2261" s="1624"/>
      <c r="C2261" s="1624"/>
      <c r="D2261" s="1624"/>
      <c r="E2261" s="1624"/>
      <c r="F2261" s="1624"/>
      <c r="G2261" s="1624"/>
      <c r="H2261" s="1624"/>
      <c r="I2261" s="1624"/>
      <c r="J2261" s="1624"/>
      <c r="K2261" s="159"/>
      <c r="L2261" s="6"/>
    </row>
    <row r="2262" spans="1:12" s="7" customFormat="1" ht="18" customHeight="1" x14ac:dyDescent="0.25">
      <c r="A2262" s="1115"/>
      <c r="B2262" s="1115"/>
      <c r="C2262" s="1115"/>
      <c r="D2262" s="1115"/>
      <c r="E2262" s="1115"/>
      <c r="F2262" s="1115"/>
      <c r="G2262" s="1115"/>
      <c r="H2262" s="1115"/>
      <c r="I2262" s="1115"/>
      <c r="J2262" s="1115"/>
      <c r="K2262" s="159"/>
      <c r="L2262" s="6"/>
    </row>
    <row r="2263" spans="1:12" ht="19.5" customHeight="1" x14ac:dyDescent="0.25">
      <c r="C2263" s="44"/>
      <c r="D2263" s="125"/>
      <c r="E2263" s="125"/>
      <c r="F2263" s="125"/>
      <c r="G2263" s="380"/>
      <c r="H2263" s="160"/>
      <c r="I2263" s="160"/>
      <c r="J2263" s="160"/>
      <c r="K2263" s="161"/>
    </row>
    <row r="2264" spans="1:12" s="146" customFormat="1" ht="18" x14ac:dyDescent="0.25">
      <c r="A2264" s="459"/>
      <c r="B2264" s="235"/>
      <c r="C2264" s="38" t="s">
        <v>1301</v>
      </c>
      <c r="D2264" s="235"/>
      <c r="E2264" s="235"/>
      <c r="F2264" s="235"/>
      <c r="G2264" s="394" t="s">
        <v>1302</v>
      </c>
      <c r="H2264" s="101"/>
      <c r="I2264" s="101"/>
      <c r="J2264" s="101"/>
      <c r="K2264" s="102"/>
      <c r="L2264" s="10"/>
    </row>
    <row r="2265" spans="1:12" ht="18" x14ac:dyDescent="0.25">
      <c r="A2265" s="459"/>
      <c r="B2265" s="235"/>
      <c r="C2265" s="38" t="s">
        <v>204</v>
      </c>
      <c r="D2265" s="235"/>
      <c r="E2265" s="235"/>
      <c r="F2265" s="235"/>
      <c r="G2265" s="394"/>
      <c r="H2265" s="101"/>
      <c r="I2265" s="105"/>
      <c r="J2265" s="105"/>
      <c r="K2265" s="106"/>
    </row>
    <row r="2266" spans="1:12" ht="18" x14ac:dyDescent="0.25">
      <c r="A2266" s="459"/>
      <c r="B2266" s="235"/>
      <c r="C2266" s="51"/>
      <c r="D2266" s="153" t="s">
        <v>200</v>
      </c>
      <c r="E2266" s="153"/>
      <c r="F2266" s="153"/>
      <c r="G2266" s="463"/>
      <c r="H2266" s="119" t="e">
        <f>SUM(H994:H2265)</f>
        <v>#REF!</v>
      </c>
      <c r="I2266" s="119" t="e">
        <f>SUM(I994:I2265)</f>
        <v>#REF!</v>
      </c>
      <c r="J2266" s="119" t="e">
        <f>SUM(J994:J2265)</f>
        <v>#REF!</v>
      </c>
      <c r="K2266" s="150" t="e">
        <f>SUM(K994:K2265)</f>
        <v>#REF!</v>
      </c>
    </row>
    <row r="2267" spans="1:12" ht="18.75" thickBot="1" x14ac:dyDescent="0.3">
      <c r="A2267" s="459"/>
      <c r="B2267" s="235"/>
      <c r="C2267" s="51"/>
      <c r="D2267" s="198" t="s">
        <v>15</v>
      </c>
      <c r="E2267" s="592"/>
      <c r="F2267" s="1268"/>
      <c r="G2267" s="462"/>
      <c r="H2267" s="182" t="e">
        <f>SUM(H2266+#REF!+#REF!)</f>
        <v>#REF!</v>
      </c>
      <c r="I2267" s="182" t="e">
        <f>SUM(I2266+#REF!+#REF!)</f>
        <v>#REF!</v>
      </c>
      <c r="J2267" s="182" t="e">
        <f>SUM(J2266+#REF!+#REF!)</f>
        <v>#REF!</v>
      </c>
      <c r="K2267" s="183" t="e">
        <f>SUM(K2266+#REF!+#REF!)</f>
        <v>#REF!</v>
      </c>
    </row>
    <row r="2268" spans="1:12" ht="18.75" thickBot="1" x14ac:dyDescent="0.3">
      <c r="A2268" s="464"/>
      <c r="B2268" s="556"/>
      <c r="C2268" s="465"/>
      <c r="D2268" s="466"/>
      <c r="E2268" s="461"/>
      <c r="F2268" s="1267"/>
      <c r="G2268" s="467"/>
      <c r="H2268" s="1269"/>
      <c r="I2268" s="1269"/>
      <c r="J2268" s="1269"/>
      <c r="K2268" s="1270"/>
    </row>
    <row r="2269" spans="1:12" s="281" customFormat="1" ht="15" x14ac:dyDescent="0.25">
      <c r="A2269" s="589"/>
      <c r="B2269" s="592"/>
      <c r="C2269" s="591" t="s">
        <v>1375</v>
      </c>
      <c r="D2269" s="592"/>
      <c r="E2269" s="592"/>
      <c r="F2269" s="1268"/>
      <c r="G2269" s="592"/>
      <c r="H2269" s="1271" t="e">
        <f>H2234</f>
        <v>#REF!</v>
      </c>
      <c r="I2269" s="1271" t="e">
        <f>I2234</f>
        <v>#REF!</v>
      </c>
      <c r="J2269" s="1271" t="e">
        <f>J2234</f>
        <v>#REF!</v>
      </c>
      <c r="K2269" s="1271" t="e">
        <f>K2234</f>
        <v>#REF!</v>
      </c>
      <c r="L2269" s="593"/>
    </row>
    <row r="2270" spans="1:12" s="281" customFormat="1" ht="15" x14ac:dyDescent="0.25">
      <c r="A2270" s="589"/>
      <c r="B2270" s="592"/>
      <c r="C2270" s="591" t="s">
        <v>1378</v>
      </c>
      <c r="D2270" s="592"/>
      <c r="E2270" s="592"/>
      <c r="F2270" s="1268"/>
      <c r="G2270" s="592"/>
      <c r="H2270" s="315" t="e">
        <f>SUM(H2267+#REF!+#REF!)</f>
        <v>#REF!</v>
      </c>
      <c r="I2270" s="315" t="e">
        <f>SUM(I2267+#REF!+#REF!)</f>
        <v>#REF!</v>
      </c>
      <c r="J2270" s="315" t="e">
        <f>SUM(J2267+#REF!+#REF!)</f>
        <v>#REF!</v>
      </c>
      <c r="K2270" s="315" t="e">
        <f>SUM(K2267+#REF!+#REF!)</f>
        <v>#REF!</v>
      </c>
      <c r="L2270" s="593"/>
    </row>
    <row r="2271" spans="1:12" s="281" customFormat="1" thickBot="1" x14ac:dyDescent="0.3">
      <c r="A2271" s="460"/>
      <c r="B2271" s="461"/>
      <c r="C2271" s="594" t="s">
        <v>1379</v>
      </c>
      <c r="D2271" s="461"/>
      <c r="E2271" s="461"/>
      <c r="F2271" s="1267"/>
      <c r="G2271" s="461"/>
      <c r="H2271" s="457" t="e">
        <f>SUM(H2269:H2270)</f>
        <v>#REF!</v>
      </c>
      <c r="I2271" s="457" t="e">
        <f>SUM(I2269:I2270)</f>
        <v>#REF!</v>
      </c>
      <c r="J2271" s="457" t="e">
        <f>SUM(J2269:J2270)</f>
        <v>#REF!</v>
      </c>
      <c r="K2271" s="457" t="e">
        <f>SUM(K2269:K2270)</f>
        <v>#REF!</v>
      </c>
      <c r="L2271" s="593"/>
    </row>
    <row r="2272" spans="1:12" x14ac:dyDescent="0.25">
      <c r="H2272" s="1272"/>
      <c r="I2272" s="1272"/>
      <c r="J2272" s="1272"/>
      <c r="K2272" s="1273"/>
    </row>
    <row r="2273" spans="1:13" ht="18" x14ac:dyDescent="0.25">
      <c r="E2273" s="41"/>
      <c r="F2273" s="41"/>
      <c r="G2273" s="41"/>
      <c r="H2273" s="1275"/>
      <c r="I2273" s="1276">
        <v>1055271768.92</v>
      </c>
      <c r="J2273" s="1277">
        <v>970766268.91999996</v>
      </c>
      <c r="K2273" s="1278">
        <v>799845957.49000001</v>
      </c>
      <c r="L2273" s="200"/>
    </row>
    <row r="2274" spans="1:13" ht="18" x14ac:dyDescent="0.25">
      <c r="E2274" s="41"/>
      <c r="F2274" s="41"/>
      <c r="G2274" s="41"/>
      <c r="H2274" s="1274" t="e">
        <f>H2273-H2271</f>
        <v>#REF!</v>
      </c>
      <c r="I2274" s="1274" t="e">
        <f>I2273-I2271</f>
        <v>#REF!</v>
      </c>
      <c r="J2274" s="1274" t="e">
        <f>J2273-J2271</f>
        <v>#REF!</v>
      </c>
      <c r="K2274" s="1274" t="e">
        <f>K2273-K2271</f>
        <v>#REF!</v>
      </c>
      <c r="L2274" s="1279"/>
    </row>
    <row r="2275" spans="1:13" s="281" customFormat="1" ht="18" x14ac:dyDescent="0.25">
      <c r="A2275" s="597"/>
      <c r="B2275" s="597"/>
      <c r="C2275" s="1682" t="s">
        <v>1380</v>
      </c>
      <c r="D2275" s="1682"/>
      <c r="E2275" s="151"/>
      <c r="F2275" s="151"/>
      <c r="G2275" s="151"/>
      <c r="H2275" s="1280"/>
      <c r="I2275" s="1281"/>
      <c r="J2275" s="1281"/>
      <c r="K2275" s="1281"/>
      <c r="L2275" s="1282"/>
    </row>
    <row r="2276" spans="1:13" s="10" customFormat="1" ht="18" x14ac:dyDescent="0.25">
      <c r="A2276" s="8"/>
      <c r="B2276" s="8"/>
      <c r="C2276" s="63"/>
      <c r="D2276" s="41"/>
      <c r="E2276" s="41"/>
      <c r="F2276" s="41"/>
      <c r="G2276" s="41"/>
      <c r="H2276" s="1283"/>
      <c r="I2276" s="1284"/>
      <c r="J2276" s="1284"/>
      <c r="K2276" s="1284"/>
      <c r="M2276"/>
    </row>
    <row r="2277" spans="1:13" s="10" customFormat="1" ht="18" x14ac:dyDescent="0.25">
      <c r="A2277" s="8"/>
      <c r="B2277" s="8"/>
      <c r="C2277" s="63"/>
      <c r="D2277" s="41"/>
      <c r="E2277" s="41"/>
      <c r="F2277" s="41"/>
      <c r="G2277" s="41"/>
      <c r="H2277" s="1283"/>
      <c r="I2277" s="1284"/>
      <c r="J2277" s="1284"/>
      <c r="K2277" s="1284"/>
      <c r="M2277"/>
    </row>
    <row r="2278" spans="1:13" s="10" customFormat="1" ht="18" x14ac:dyDescent="0.25">
      <c r="A2278" s="8"/>
      <c r="B2278" s="8"/>
      <c r="C2278" s="1132" t="s">
        <v>1989</v>
      </c>
      <c r="D2278" s="1132"/>
      <c r="E2278" s="8"/>
      <c r="F2278" s="8"/>
      <c r="G2278" s="8"/>
      <c r="H2278" s="1272"/>
      <c r="I2278" s="1272"/>
      <c r="J2278" s="1272"/>
      <c r="K2278" s="1273"/>
      <c r="M2278"/>
    </row>
    <row r="2279" spans="1:13" s="10" customFormat="1" ht="18" x14ac:dyDescent="0.25">
      <c r="A2279" s="8"/>
      <c r="B2279" s="8"/>
      <c r="C2279" s="1143" t="s">
        <v>1990</v>
      </c>
      <c r="D2279" s="1143"/>
      <c r="E2279" s="8"/>
      <c r="F2279" s="8"/>
      <c r="G2279" s="8"/>
      <c r="H2279" s="200"/>
      <c r="I2279" s="200"/>
      <c r="J2279" s="200"/>
      <c r="K2279" s="201"/>
      <c r="M2279"/>
    </row>
    <row r="2280" spans="1:13" s="10" customFormat="1" x14ac:dyDescent="0.25">
      <c r="A2280" s="8"/>
      <c r="B2280" s="8"/>
      <c r="C2280" s="9"/>
      <c r="D2280" s="8"/>
      <c r="E2280" s="8"/>
      <c r="F2280" s="8"/>
      <c r="G2280" s="8"/>
      <c r="H2280" s="200"/>
      <c r="I2280" s="200"/>
      <c r="J2280" s="200"/>
      <c r="K2280" s="201"/>
      <c r="M2280"/>
    </row>
    <row r="2281" spans="1:13" s="10" customFormat="1" x14ac:dyDescent="0.25">
      <c r="A2281" s="8"/>
      <c r="B2281" s="8"/>
      <c r="C2281" s="9"/>
      <c r="D2281" s="8"/>
      <c r="E2281" s="8"/>
      <c r="F2281" s="8"/>
      <c r="G2281" s="8"/>
      <c r="H2281" s="200"/>
      <c r="I2281" s="200"/>
      <c r="J2281" s="200"/>
      <c r="K2281" s="201"/>
      <c r="M2281"/>
    </row>
    <row r="2282" spans="1:13" s="10" customFormat="1" x14ac:dyDescent="0.25">
      <c r="A2282" s="8"/>
      <c r="B2282" s="8"/>
      <c r="C2282" s="9"/>
      <c r="D2282" s="8"/>
      <c r="E2282" s="8"/>
      <c r="F2282" s="8"/>
      <c r="G2282" s="8"/>
      <c r="H2282" s="200"/>
      <c r="I2282" s="200"/>
      <c r="J2282" s="200"/>
      <c r="K2282" s="201"/>
      <c r="M2282"/>
    </row>
    <row r="2283" spans="1:13" s="10" customFormat="1" x14ac:dyDescent="0.25">
      <c r="A2283" s="8"/>
      <c r="B2283" s="8"/>
      <c r="C2283" s="9"/>
      <c r="D2283" s="8"/>
      <c r="E2283" s="8"/>
      <c r="F2283" s="8"/>
      <c r="G2283" s="8"/>
      <c r="H2283" s="200"/>
      <c r="I2283" s="200"/>
      <c r="J2283" s="200"/>
      <c r="K2283" s="201"/>
      <c r="M2283"/>
    </row>
    <row r="2284" spans="1:13" s="10" customFormat="1" x14ac:dyDescent="0.25">
      <c r="A2284" s="8"/>
      <c r="B2284" s="8"/>
      <c r="C2284" s="9"/>
      <c r="D2284" s="8"/>
      <c r="E2284" s="8"/>
      <c r="F2284" s="8"/>
      <c r="G2284" s="8"/>
      <c r="H2284" s="200"/>
      <c r="I2284" s="200"/>
      <c r="J2284" s="200"/>
      <c r="K2284" s="201"/>
      <c r="M2284"/>
    </row>
    <row r="2285" spans="1:13" s="10" customFormat="1" x14ac:dyDescent="0.25">
      <c r="A2285" s="8"/>
      <c r="B2285" s="8"/>
      <c r="C2285" s="9"/>
      <c r="D2285" s="8"/>
      <c r="E2285" s="8"/>
      <c r="F2285" s="8"/>
      <c r="G2285" s="8"/>
      <c r="H2285" s="200"/>
      <c r="I2285" s="200"/>
      <c r="J2285" s="200"/>
      <c r="K2285" s="201"/>
      <c r="M2285"/>
    </row>
    <row r="2286" spans="1:13" s="10" customFormat="1" x14ac:dyDescent="0.25">
      <c r="A2286" s="8"/>
      <c r="B2286" s="8"/>
      <c r="C2286" s="9"/>
      <c r="D2286" s="8"/>
      <c r="E2286" s="8"/>
      <c r="F2286" s="8"/>
      <c r="G2286" s="8"/>
      <c r="H2286" s="200"/>
      <c r="I2286" s="200"/>
      <c r="J2286" s="200"/>
      <c r="K2286" s="201"/>
      <c r="M2286"/>
    </row>
    <row r="2287" spans="1:13" s="10" customFormat="1" x14ac:dyDescent="0.25">
      <c r="A2287" s="8"/>
      <c r="B2287" s="8"/>
      <c r="C2287" s="9"/>
      <c r="D2287" s="8"/>
      <c r="E2287" s="8"/>
      <c r="F2287" s="8"/>
      <c r="G2287" s="8"/>
      <c r="H2287" s="200"/>
      <c r="I2287" s="200"/>
      <c r="J2287" s="200"/>
      <c r="K2287" s="201"/>
      <c r="M2287"/>
    </row>
    <row r="2288" spans="1:13" s="10" customFormat="1" x14ac:dyDescent="0.25">
      <c r="A2288" s="8"/>
      <c r="B2288" s="8"/>
      <c r="C2288" s="9"/>
      <c r="D2288" s="8"/>
      <c r="E2288" s="8"/>
      <c r="F2288" s="8"/>
      <c r="G2288" s="8"/>
      <c r="H2288" s="200"/>
      <c r="I2288" s="200"/>
      <c r="J2288" s="200"/>
      <c r="K2288" s="201"/>
      <c r="M2288"/>
    </row>
    <row r="2289" spans="1:13" s="10" customFormat="1" x14ac:dyDescent="0.25">
      <c r="A2289" s="8"/>
      <c r="B2289" s="8"/>
      <c r="C2289" s="9"/>
      <c r="D2289" s="8"/>
      <c r="E2289" s="8"/>
      <c r="F2289" s="8"/>
      <c r="G2289" s="8"/>
      <c r="H2289" s="200"/>
      <c r="I2289" s="200"/>
      <c r="J2289" s="200"/>
      <c r="K2289" s="201"/>
      <c r="M2289"/>
    </row>
    <row r="2290" spans="1:13" s="10" customFormat="1" x14ac:dyDescent="0.25">
      <c r="A2290" s="8"/>
      <c r="B2290" s="8"/>
      <c r="C2290" s="9"/>
      <c r="D2290" s="8"/>
      <c r="E2290" s="8"/>
      <c r="F2290" s="8"/>
      <c r="G2290" s="8"/>
      <c r="H2290" s="200"/>
      <c r="I2290" s="200"/>
      <c r="J2290" s="200"/>
      <c r="K2290" s="201"/>
      <c r="M2290"/>
    </row>
    <row r="2291" spans="1:13" s="10" customFormat="1" x14ac:dyDescent="0.25">
      <c r="A2291" s="8"/>
      <c r="B2291" s="8"/>
      <c r="C2291" s="9"/>
      <c r="D2291" s="8"/>
      <c r="E2291" s="8"/>
      <c r="F2291" s="8"/>
      <c r="G2291" s="8"/>
      <c r="H2291" s="200"/>
      <c r="I2291" s="200"/>
      <c r="J2291" s="200"/>
      <c r="K2291" s="201"/>
      <c r="M2291"/>
    </row>
    <row r="2292" spans="1:13" s="10" customFormat="1" x14ac:dyDescent="0.25">
      <c r="A2292" s="8"/>
      <c r="B2292" s="8"/>
      <c r="C2292" s="9"/>
      <c r="D2292" s="8"/>
      <c r="E2292" s="8"/>
      <c r="F2292" s="8"/>
      <c r="G2292" s="8"/>
      <c r="H2292" s="200"/>
      <c r="I2292" s="200"/>
      <c r="J2292" s="200"/>
      <c r="K2292" s="201"/>
      <c r="M2292"/>
    </row>
    <row r="2293" spans="1:13" s="10" customFormat="1" x14ac:dyDescent="0.25">
      <c r="A2293" s="8"/>
      <c r="B2293" s="8"/>
      <c r="C2293" s="9"/>
      <c r="D2293" s="8"/>
      <c r="E2293" s="8"/>
      <c r="F2293" s="8"/>
      <c r="G2293" s="8"/>
      <c r="H2293" s="200"/>
      <c r="I2293" s="200"/>
      <c r="J2293" s="200"/>
      <c r="K2293" s="201"/>
      <c r="M2293"/>
    </row>
    <row r="2294" spans="1:13" s="10" customFormat="1" x14ac:dyDescent="0.25">
      <c r="A2294" s="8"/>
      <c r="B2294" s="8"/>
      <c r="C2294" s="9"/>
      <c r="D2294" s="8"/>
      <c r="E2294" s="8"/>
      <c r="F2294" s="8"/>
      <c r="G2294" s="8"/>
      <c r="H2294" s="200"/>
      <c r="I2294" s="200"/>
      <c r="J2294" s="200"/>
      <c r="K2294" s="201"/>
      <c r="M2294"/>
    </row>
    <row r="2295" spans="1:13" s="10" customFormat="1" x14ac:dyDescent="0.25">
      <c r="A2295" s="8"/>
      <c r="B2295" s="8"/>
      <c r="C2295" s="9"/>
      <c r="D2295" s="8"/>
      <c r="E2295" s="8"/>
      <c r="F2295" s="8"/>
      <c r="G2295" s="8"/>
      <c r="H2295" s="200"/>
      <c r="I2295" s="200"/>
      <c r="J2295" s="200"/>
      <c r="K2295" s="201"/>
      <c r="M2295"/>
    </row>
    <row r="2296" spans="1:13" s="10" customFormat="1" x14ac:dyDescent="0.25">
      <c r="A2296" s="8"/>
      <c r="B2296" s="8"/>
      <c r="C2296" s="9"/>
      <c r="D2296" s="8"/>
      <c r="E2296" s="8"/>
      <c r="F2296" s="8"/>
      <c r="G2296" s="8"/>
      <c r="H2296" s="200"/>
      <c r="I2296" s="200"/>
      <c r="J2296" s="200"/>
      <c r="K2296" s="201"/>
      <c r="M2296"/>
    </row>
    <row r="2297" spans="1:13" s="10" customFormat="1" ht="16.5" thickBot="1" x14ac:dyDescent="0.3">
      <c r="A2297" s="8"/>
      <c r="B2297" s="8"/>
      <c r="C2297" s="9"/>
      <c r="D2297" s="8"/>
      <c r="E2297" s="8"/>
      <c r="F2297" s="8"/>
      <c r="G2297" s="8"/>
      <c r="H2297" s="200"/>
      <c r="I2297" s="200"/>
      <c r="J2297" s="200"/>
      <c r="K2297" s="201"/>
      <c r="M2297"/>
    </row>
    <row r="2298" spans="1:13" s="48" customFormat="1" ht="21.75" customHeight="1" thickBot="1" x14ac:dyDescent="0.3">
      <c r="A2298" s="1655" t="s">
        <v>115</v>
      </c>
      <c r="B2298" s="1655"/>
      <c r="C2298" s="1655"/>
      <c r="D2298" s="1655"/>
      <c r="E2298" s="1655"/>
      <c r="F2298" s="1655"/>
      <c r="G2298" s="1151"/>
      <c r="H2298" s="1708" t="s">
        <v>1537</v>
      </c>
      <c r="I2298" s="1710" t="s">
        <v>1538</v>
      </c>
      <c r="J2298" s="1710" t="s">
        <v>1539</v>
      </c>
      <c r="K2298" s="1710" t="s">
        <v>1540</v>
      </c>
      <c r="L2298" s="47"/>
    </row>
    <row r="2299" spans="1:13" s="1153" customFormat="1" ht="31.5" customHeight="1" thickBot="1" x14ac:dyDescent="0.3">
      <c r="A2299" s="1655"/>
      <c r="B2299" s="1655"/>
      <c r="C2299" s="1655"/>
      <c r="D2299" s="1655"/>
      <c r="E2299" s="1655"/>
      <c r="F2299" s="1655"/>
      <c r="G2299" s="1129" t="s">
        <v>116</v>
      </c>
      <c r="H2299" s="1709"/>
      <c r="I2299" s="1710"/>
      <c r="J2299" s="1710"/>
      <c r="K2299" s="1710"/>
      <c r="L2299" s="1152"/>
    </row>
    <row r="2300" spans="1:13" x14ac:dyDescent="0.25">
      <c r="A2300" s="1285" t="s">
        <v>1331</v>
      </c>
      <c r="B2300" s="1285"/>
      <c r="C2300" s="1286"/>
      <c r="D2300" s="1287"/>
      <c r="E2300" s="1287"/>
      <c r="F2300" s="1287"/>
      <c r="G2300" s="1287"/>
      <c r="H2300" s="1288"/>
      <c r="I2300" s="1288"/>
      <c r="J2300" s="1288"/>
    </row>
    <row r="2301" spans="1:13" x14ac:dyDescent="0.25">
      <c r="A2301" s="1289" t="s">
        <v>3</v>
      </c>
      <c r="B2301" s="1289"/>
      <c r="C2301" s="1286"/>
      <c r="D2301" s="1287"/>
      <c r="E2301" s="1287"/>
      <c r="F2301" s="1287"/>
      <c r="G2301" s="1287"/>
      <c r="H2301" s="1290" t="e">
        <f>#REF!</f>
        <v>#REF!</v>
      </c>
      <c r="I2301" s="1290" t="e">
        <f>#REF!</f>
        <v>#REF!</v>
      </c>
      <c r="J2301" s="1290" t="e">
        <f>#REF!</f>
        <v>#REF!</v>
      </c>
      <c r="K2301" s="1290" t="e">
        <f>#REF!</f>
        <v>#REF!</v>
      </c>
    </row>
    <row r="2302" spans="1:13" x14ac:dyDescent="0.25">
      <c r="A2302" s="1289" t="s">
        <v>1499</v>
      </c>
      <c r="B2302" s="1289"/>
      <c r="C2302" s="1286"/>
      <c r="D2302" s="1287"/>
      <c r="E2302" s="1287"/>
      <c r="F2302" s="1287"/>
      <c r="G2302" s="1287"/>
      <c r="H2302" s="1290" t="e">
        <f>#REF!</f>
        <v>#REF!</v>
      </c>
      <c r="I2302" s="1290" t="e">
        <f>#REF!</f>
        <v>#REF!</v>
      </c>
      <c r="J2302" s="1290" t="e">
        <f>#REF!</f>
        <v>#REF!</v>
      </c>
      <c r="K2302" s="1290" t="e">
        <f>#REF!</f>
        <v>#REF!</v>
      </c>
    </row>
    <row r="2303" spans="1:13" x14ac:dyDescent="0.25">
      <c r="A2303" s="1289" t="s">
        <v>1991</v>
      </c>
      <c r="B2303" s="1289"/>
      <c r="C2303" s="1286"/>
      <c r="D2303" s="1287"/>
      <c r="E2303" s="1287"/>
      <c r="F2303" s="1287"/>
      <c r="G2303" s="1287"/>
      <c r="H2303" s="1290" t="e">
        <f>#REF!</f>
        <v>#REF!</v>
      </c>
      <c r="I2303" s="1290" t="e">
        <f>#REF!</f>
        <v>#REF!</v>
      </c>
      <c r="J2303" s="1290" t="e">
        <f>#REF!</f>
        <v>#REF!</v>
      </c>
      <c r="K2303" s="1290" t="e">
        <f>#REF!</f>
        <v>#REF!</v>
      </c>
    </row>
    <row r="2304" spans="1:13" x14ac:dyDescent="0.25">
      <c r="A2304" s="1289" t="s">
        <v>1501</v>
      </c>
      <c r="B2304" s="1289"/>
      <c r="C2304" s="1286"/>
      <c r="D2304" s="1287"/>
      <c r="E2304" s="1287"/>
      <c r="F2304" s="1287"/>
      <c r="G2304" s="1287"/>
      <c r="H2304" s="1290" t="e">
        <f>#REF!</f>
        <v>#REF!</v>
      </c>
      <c r="I2304" s="1290" t="e">
        <f>#REF!</f>
        <v>#REF!</v>
      </c>
      <c r="J2304" s="1290" t="e">
        <f>#REF!</f>
        <v>#REF!</v>
      </c>
      <c r="K2304" s="1290" t="e">
        <f>#REF!</f>
        <v>#REF!</v>
      </c>
    </row>
    <row r="2305" spans="1:13" x14ac:dyDescent="0.25">
      <c r="A2305" s="1289" t="s">
        <v>1502</v>
      </c>
      <c r="B2305" s="1289"/>
      <c r="C2305" s="1286"/>
      <c r="D2305" s="1287"/>
      <c r="E2305" s="1287"/>
      <c r="F2305" s="1287"/>
      <c r="G2305" s="1287"/>
      <c r="H2305" s="1290" t="e">
        <f>#REF!</f>
        <v>#REF!</v>
      </c>
      <c r="I2305" s="1290" t="e">
        <f>#REF!</f>
        <v>#REF!</v>
      </c>
      <c r="J2305" s="1290" t="e">
        <f>#REF!</f>
        <v>#REF!</v>
      </c>
      <c r="K2305" s="1290" t="e">
        <f>#REF!</f>
        <v>#REF!</v>
      </c>
    </row>
    <row r="2306" spans="1:13" x14ac:dyDescent="0.25">
      <c r="A2306" s="1289" t="s">
        <v>1503</v>
      </c>
      <c r="B2306" s="1289"/>
      <c r="C2306" s="1286"/>
      <c r="D2306" s="1287"/>
      <c r="E2306" s="1287"/>
      <c r="F2306" s="1287"/>
      <c r="G2306" s="1287"/>
      <c r="H2306" s="1290" t="e">
        <f>#REF!</f>
        <v>#REF!</v>
      </c>
      <c r="I2306" s="1290" t="e">
        <f>#REF!</f>
        <v>#REF!</v>
      </c>
      <c r="J2306" s="1290" t="e">
        <f>#REF!</f>
        <v>#REF!</v>
      </c>
      <c r="K2306" s="1290" t="e">
        <f>#REF!</f>
        <v>#REF!</v>
      </c>
    </row>
    <row r="2307" spans="1:13" x14ac:dyDescent="0.25">
      <c r="A2307" s="1289" t="s">
        <v>1024</v>
      </c>
      <c r="B2307" s="1289"/>
      <c r="C2307" s="1286"/>
      <c r="D2307" s="1287"/>
      <c r="E2307" s="1287"/>
      <c r="F2307" s="1287"/>
      <c r="G2307" s="1287"/>
      <c r="H2307" s="1290" t="e">
        <f>#REF!</f>
        <v>#REF!</v>
      </c>
      <c r="I2307" s="1290" t="e">
        <f>#REF!</f>
        <v>#REF!</v>
      </c>
      <c r="J2307" s="1290" t="e">
        <f>#REF!</f>
        <v>#REF!</v>
      </c>
      <c r="K2307" s="1290" t="e">
        <f>#REF!</f>
        <v>#REF!</v>
      </c>
    </row>
    <row r="2308" spans="1:13" x14ac:dyDescent="0.25">
      <c r="A2308" s="1289" t="s">
        <v>1992</v>
      </c>
      <c r="B2308" s="1289"/>
      <c r="C2308" s="1286"/>
      <c r="D2308" s="1287"/>
      <c r="E2308" s="1287"/>
      <c r="F2308" s="1287"/>
      <c r="G2308" s="1287"/>
      <c r="H2308" s="1290" t="e">
        <f>#REF!</f>
        <v>#REF!</v>
      </c>
      <c r="I2308" s="1290" t="e">
        <f>#REF!</f>
        <v>#REF!</v>
      </c>
      <c r="J2308" s="1290" t="e">
        <f>#REF!</f>
        <v>#REF!</v>
      </c>
      <c r="K2308" s="1290" t="e">
        <f>#REF!</f>
        <v>#REF!</v>
      </c>
    </row>
    <row r="2309" spans="1:13" s="4" customFormat="1" x14ac:dyDescent="0.25">
      <c r="A2309" s="1289" t="s">
        <v>1321</v>
      </c>
      <c r="B2309" s="1289"/>
      <c r="C2309" s="1286"/>
      <c r="D2309" s="1287"/>
      <c r="E2309" s="1287"/>
      <c r="F2309" s="1287"/>
      <c r="G2309" s="1287"/>
      <c r="H2309" s="1290" t="e">
        <f>#REF!</f>
        <v>#REF!</v>
      </c>
      <c r="I2309" s="1290" t="e">
        <f>#REF!</f>
        <v>#REF!</v>
      </c>
      <c r="J2309" s="1290" t="e">
        <f>#REF!</f>
        <v>#REF!</v>
      </c>
      <c r="K2309" s="1290" t="e">
        <f>#REF!</f>
        <v>#REF!</v>
      </c>
      <c r="L2309" s="10"/>
      <c r="M2309"/>
    </row>
    <row r="2310" spans="1:13" s="4" customFormat="1" x14ac:dyDescent="0.25">
      <c r="A2310" s="1289" t="s">
        <v>1504</v>
      </c>
      <c r="B2310" s="1289"/>
      <c r="C2310" s="1286"/>
      <c r="D2310" s="1287"/>
      <c r="E2310" s="1287"/>
      <c r="F2310" s="1287"/>
      <c r="G2310" s="1287"/>
      <c r="H2310" s="1290" t="e">
        <f>#REF!</f>
        <v>#REF!</v>
      </c>
      <c r="I2310" s="1290" t="e">
        <f>#REF!</f>
        <v>#REF!</v>
      </c>
      <c r="J2310" s="1290" t="e">
        <f>#REF!</f>
        <v>#REF!</v>
      </c>
      <c r="K2310" s="1290" t="e">
        <f>#REF!</f>
        <v>#REF!</v>
      </c>
      <c r="L2310" s="10"/>
      <c r="M2310"/>
    </row>
    <row r="2311" spans="1:13" s="4" customFormat="1" x14ac:dyDescent="0.25">
      <c r="A2311" s="1289" t="s">
        <v>1505</v>
      </c>
      <c r="B2311" s="1289"/>
      <c r="C2311" s="1286"/>
      <c r="D2311" s="1287"/>
      <c r="E2311" s="1287"/>
      <c r="F2311" s="1287"/>
      <c r="G2311" s="1287"/>
      <c r="H2311" s="1290" t="e">
        <f>#REF!</f>
        <v>#REF!</v>
      </c>
      <c r="I2311" s="1290" t="e">
        <f>#REF!</f>
        <v>#REF!</v>
      </c>
      <c r="J2311" s="1290" t="e">
        <f>#REF!</f>
        <v>#REF!</v>
      </c>
      <c r="K2311" s="1290" t="e">
        <f>#REF!</f>
        <v>#REF!</v>
      </c>
      <c r="L2311" s="10"/>
      <c r="M2311"/>
    </row>
    <row r="2312" spans="1:13" s="4" customFormat="1" x14ac:dyDescent="0.25">
      <c r="A2312" s="1289" t="s">
        <v>1506</v>
      </c>
      <c r="B2312" s="1289"/>
      <c r="C2312" s="1286"/>
      <c r="D2312" s="1287"/>
      <c r="E2312" s="1287"/>
      <c r="F2312" s="1287"/>
      <c r="G2312" s="1287"/>
      <c r="H2312" s="1290" t="e">
        <f>#REF!</f>
        <v>#REF!</v>
      </c>
      <c r="I2312" s="1290" t="e">
        <f>#REF!</f>
        <v>#REF!</v>
      </c>
      <c r="J2312" s="1290" t="e">
        <f>#REF!</f>
        <v>#REF!</v>
      </c>
      <c r="K2312" s="1290" t="e">
        <f>#REF!</f>
        <v>#REF!</v>
      </c>
      <c r="L2312" s="10"/>
      <c r="M2312"/>
    </row>
    <row r="2313" spans="1:13" s="4" customFormat="1" x14ac:dyDescent="0.25">
      <c r="A2313" s="1289" t="s">
        <v>1507</v>
      </c>
      <c r="B2313" s="1289"/>
      <c r="C2313" s="1286"/>
      <c r="D2313" s="1287"/>
      <c r="E2313" s="1287"/>
      <c r="F2313" s="1287"/>
      <c r="G2313" s="1287"/>
      <c r="H2313" s="1290" t="e">
        <f>#REF!</f>
        <v>#REF!</v>
      </c>
      <c r="I2313" s="1290" t="e">
        <f>#REF!</f>
        <v>#REF!</v>
      </c>
      <c r="J2313" s="1290" t="e">
        <f>#REF!</f>
        <v>#REF!</v>
      </c>
      <c r="K2313" s="1290" t="e">
        <f>#REF!</f>
        <v>#REF!</v>
      </c>
      <c r="L2313" s="10"/>
      <c r="M2313"/>
    </row>
    <row r="2314" spans="1:13" s="4" customFormat="1" x14ac:dyDescent="0.25">
      <c r="A2314" s="1289" t="s">
        <v>1993</v>
      </c>
      <c r="B2314" s="1289"/>
      <c r="C2314" s="1286"/>
      <c r="D2314" s="1287"/>
      <c r="E2314" s="1287"/>
      <c r="F2314" s="1287"/>
      <c r="G2314" s="1287"/>
      <c r="H2314" s="1290" t="e">
        <f>#REF!</f>
        <v>#REF!</v>
      </c>
      <c r="I2314" s="1290" t="e">
        <f>#REF!</f>
        <v>#REF!</v>
      </c>
      <c r="J2314" s="1290" t="e">
        <f>#REF!</f>
        <v>#REF!</v>
      </c>
      <c r="K2314" s="1290" t="e">
        <f>#REF!</f>
        <v>#REF!</v>
      </c>
      <c r="L2314" s="10"/>
      <c r="M2314"/>
    </row>
    <row r="2315" spans="1:13" s="4" customFormat="1" x14ac:dyDescent="0.25">
      <c r="A2315" s="1289" t="s">
        <v>1994</v>
      </c>
      <c r="B2315" s="1289"/>
      <c r="C2315" s="1286"/>
      <c r="D2315" s="1287"/>
      <c r="E2315" s="1287"/>
      <c r="F2315" s="1287"/>
      <c r="G2315" s="1287"/>
      <c r="H2315" s="1290" t="e">
        <f>#REF!</f>
        <v>#REF!</v>
      </c>
      <c r="I2315" s="1290" t="e">
        <f>#REF!</f>
        <v>#REF!</v>
      </c>
      <c r="J2315" s="1290" t="e">
        <f>#REF!</f>
        <v>#REF!</v>
      </c>
      <c r="K2315" s="1290" t="e">
        <f>#REF!</f>
        <v>#REF!</v>
      </c>
      <c r="L2315" s="10"/>
      <c r="M2315"/>
    </row>
    <row r="2316" spans="1:13" s="4" customFormat="1" x14ac:dyDescent="0.25">
      <c r="A2316" s="1289" t="s">
        <v>1995</v>
      </c>
      <c r="B2316" s="1289"/>
      <c r="C2316" s="1286"/>
      <c r="D2316" s="1287"/>
      <c r="E2316" s="1287"/>
      <c r="F2316" s="1287"/>
      <c r="G2316" s="1287"/>
      <c r="H2316" s="1290" t="e">
        <f>#REF!</f>
        <v>#REF!</v>
      </c>
      <c r="I2316" s="1290" t="e">
        <f>#REF!</f>
        <v>#REF!</v>
      </c>
      <c r="J2316" s="1290" t="e">
        <f>#REF!</f>
        <v>#REF!</v>
      </c>
      <c r="K2316" s="1290" t="e">
        <f>#REF!</f>
        <v>#REF!</v>
      </c>
      <c r="L2316" s="10"/>
      <c r="M2316"/>
    </row>
    <row r="2317" spans="1:13" s="4" customFormat="1" x14ac:dyDescent="0.25">
      <c r="A2317" s="1289" t="s">
        <v>1510</v>
      </c>
      <c r="B2317" s="1289"/>
      <c r="C2317" s="1286"/>
      <c r="D2317" s="1287"/>
      <c r="E2317" s="1287"/>
      <c r="F2317" s="1287"/>
      <c r="G2317" s="1287"/>
      <c r="H2317" s="1290" t="e">
        <f>#REF!</f>
        <v>#REF!</v>
      </c>
      <c r="I2317" s="1290" t="e">
        <f>#REF!</f>
        <v>#REF!</v>
      </c>
      <c r="J2317" s="1290" t="e">
        <f>#REF!</f>
        <v>#REF!</v>
      </c>
      <c r="K2317" s="1290" t="e">
        <f>#REF!</f>
        <v>#REF!</v>
      </c>
      <c r="L2317" s="10"/>
      <c r="M2317"/>
    </row>
    <row r="2318" spans="1:13" s="4" customFormat="1" x14ac:dyDescent="0.25">
      <c r="A2318" s="1289" t="s">
        <v>27</v>
      </c>
      <c r="B2318" s="1289"/>
      <c r="C2318" s="1286"/>
      <c r="D2318" s="1287"/>
      <c r="E2318" s="1287"/>
      <c r="F2318" s="1287"/>
      <c r="G2318" s="1287"/>
      <c r="H2318" s="1290" t="e">
        <f>#REF!</f>
        <v>#REF!</v>
      </c>
      <c r="I2318" s="1290" t="e">
        <f>#REF!</f>
        <v>#REF!</v>
      </c>
      <c r="J2318" s="1290" t="e">
        <f>#REF!</f>
        <v>#REF!</v>
      </c>
      <c r="K2318" s="1290" t="e">
        <f>#REF!</f>
        <v>#REF!</v>
      </c>
      <c r="L2318" s="10"/>
      <c r="M2318"/>
    </row>
    <row r="2319" spans="1:13" s="4" customFormat="1" x14ac:dyDescent="0.25">
      <c r="A2319" s="1289" t="s">
        <v>28</v>
      </c>
      <c r="B2319" s="1289"/>
      <c r="C2319" s="1286"/>
      <c r="D2319" s="1287"/>
      <c r="E2319" s="1287"/>
      <c r="F2319" s="1287"/>
      <c r="G2319" s="1287"/>
      <c r="H2319" s="1290" t="e">
        <f>#REF!</f>
        <v>#REF!</v>
      </c>
      <c r="I2319" s="1290" t="e">
        <f>#REF!</f>
        <v>#REF!</v>
      </c>
      <c r="J2319" s="1290" t="e">
        <f>#REF!</f>
        <v>#REF!</v>
      </c>
      <c r="K2319" s="1290" t="e">
        <f>#REF!</f>
        <v>#REF!</v>
      </c>
      <c r="L2319" s="10"/>
      <c r="M2319"/>
    </row>
    <row r="2320" spans="1:13" s="4" customFormat="1" x14ac:dyDescent="0.25">
      <c r="A2320" s="1289" t="s">
        <v>29</v>
      </c>
      <c r="B2320" s="1289"/>
      <c r="C2320" s="1286"/>
      <c r="D2320" s="1287"/>
      <c r="E2320" s="1287"/>
      <c r="F2320" s="1287"/>
      <c r="G2320" s="1287"/>
      <c r="H2320" s="1290" t="e">
        <f>#REF!</f>
        <v>#REF!</v>
      </c>
      <c r="I2320" s="1290" t="e">
        <f>#REF!</f>
        <v>#REF!</v>
      </c>
      <c r="J2320" s="1290" t="e">
        <f>#REF!</f>
        <v>#REF!</v>
      </c>
      <c r="K2320" s="1290" t="e">
        <f>#REF!</f>
        <v>#REF!</v>
      </c>
      <c r="L2320" s="10"/>
      <c r="M2320"/>
    </row>
    <row r="2321" spans="1:13" s="4" customFormat="1" x14ac:dyDescent="0.25">
      <c r="A2321" s="1289" t="s">
        <v>31</v>
      </c>
      <c r="B2321" s="1289"/>
      <c r="C2321" s="1286"/>
      <c r="D2321" s="1287"/>
      <c r="E2321" s="1287"/>
      <c r="F2321" s="1287"/>
      <c r="G2321" s="1287"/>
      <c r="H2321" s="1290" t="e">
        <f>#REF!</f>
        <v>#REF!</v>
      </c>
      <c r="I2321" s="1290" t="e">
        <f>#REF!</f>
        <v>#REF!</v>
      </c>
      <c r="J2321" s="1290" t="e">
        <f>#REF!</f>
        <v>#REF!</v>
      </c>
      <c r="K2321" s="1290" t="e">
        <f>#REF!</f>
        <v>#REF!</v>
      </c>
      <c r="L2321" s="10"/>
      <c r="M2321"/>
    </row>
    <row r="2322" spans="1:13" s="4" customFormat="1" x14ac:dyDescent="0.25">
      <c r="A2322" s="1289" t="s">
        <v>32</v>
      </c>
      <c r="B2322" s="1289"/>
      <c r="C2322" s="1286"/>
      <c r="D2322" s="1287"/>
      <c r="E2322" s="1287"/>
      <c r="F2322" s="1287"/>
      <c r="G2322" s="1287"/>
      <c r="H2322" s="1290" t="e">
        <f>#REF!</f>
        <v>#REF!</v>
      </c>
      <c r="I2322" s="1290" t="e">
        <f>#REF!</f>
        <v>#REF!</v>
      </c>
      <c r="J2322" s="1290" t="e">
        <f>#REF!</f>
        <v>#REF!</v>
      </c>
      <c r="K2322" s="1290" t="e">
        <f>#REF!</f>
        <v>#REF!</v>
      </c>
      <c r="L2322" s="10"/>
      <c r="M2322"/>
    </row>
    <row r="2323" spans="1:13" s="4" customFormat="1" x14ac:dyDescent="0.25">
      <c r="A2323" s="1289" t="s">
        <v>33</v>
      </c>
      <c r="B2323" s="1289"/>
      <c r="C2323" s="1286"/>
      <c r="D2323" s="1287"/>
      <c r="E2323" s="1287"/>
      <c r="F2323" s="1287"/>
      <c r="G2323" s="1287"/>
      <c r="H2323" s="1290" t="e">
        <f>#REF!</f>
        <v>#REF!</v>
      </c>
      <c r="I2323" s="1290" t="e">
        <f>#REF!</f>
        <v>#REF!</v>
      </c>
      <c r="J2323" s="1290" t="e">
        <f>#REF!</f>
        <v>#REF!</v>
      </c>
      <c r="K2323" s="1290" t="e">
        <f>#REF!</f>
        <v>#REF!</v>
      </c>
      <c r="L2323" s="10"/>
      <c r="M2323"/>
    </row>
    <row r="2324" spans="1:13" s="4" customFormat="1" x14ac:dyDescent="0.25">
      <c r="A2324" s="1289" t="s">
        <v>1996</v>
      </c>
      <c r="B2324" s="1289"/>
      <c r="C2324" s="1286"/>
      <c r="D2324" s="1287"/>
      <c r="E2324" s="1287"/>
      <c r="F2324" s="1287"/>
      <c r="G2324" s="1287"/>
      <c r="H2324" s="1290" t="e">
        <f>#REF!</f>
        <v>#REF!</v>
      </c>
      <c r="I2324" s="1290" t="e">
        <f>#REF!</f>
        <v>#REF!</v>
      </c>
      <c r="J2324" s="1290" t="e">
        <f>#REF!</f>
        <v>#REF!</v>
      </c>
      <c r="K2324" s="1290" t="e">
        <f>#REF!</f>
        <v>#REF!</v>
      </c>
      <c r="L2324" s="10"/>
      <c r="M2324"/>
    </row>
    <row r="2325" spans="1:13" s="4" customFormat="1" x14ac:dyDescent="0.25">
      <c r="A2325" s="1289" t="s">
        <v>35</v>
      </c>
      <c r="B2325" s="1289"/>
      <c r="C2325" s="1286"/>
      <c r="D2325" s="1287"/>
      <c r="E2325" s="1287"/>
      <c r="F2325" s="1287"/>
      <c r="G2325" s="1287"/>
      <c r="H2325" s="1290" t="e">
        <f>#REF!</f>
        <v>#REF!</v>
      </c>
      <c r="I2325" s="1290" t="e">
        <f>#REF!</f>
        <v>#REF!</v>
      </c>
      <c r="J2325" s="1290" t="e">
        <f>#REF!</f>
        <v>#REF!</v>
      </c>
      <c r="K2325" s="1290" t="e">
        <f>#REF!</f>
        <v>#REF!</v>
      </c>
      <c r="L2325" s="10"/>
      <c r="M2325"/>
    </row>
    <row r="2326" spans="1:13" s="4" customFormat="1" x14ac:dyDescent="0.25">
      <c r="A2326" s="1289" t="s">
        <v>1322</v>
      </c>
      <c r="B2326" s="1289"/>
      <c r="C2326" s="1286"/>
      <c r="D2326" s="1287"/>
      <c r="E2326" s="1287"/>
      <c r="F2326" s="1287"/>
      <c r="G2326" s="1287"/>
      <c r="H2326" s="1290" t="e">
        <f>#REF!</f>
        <v>#REF!</v>
      </c>
      <c r="I2326" s="1290" t="e">
        <f>#REF!</f>
        <v>#REF!</v>
      </c>
      <c r="J2326" s="1290" t="e">
        <f>#REF!</f>
        <v>#REF!</v>
      </c>
      <c r="K2326" s="1290" t="e">
        <f>#REF!</f>
        <v>#REF!</v>
      </c>
      <c r="L2326" s="10"/>
      <c r="M2326"/>
    </row>
    <row r="2327" spans="1:13" s="4" customFormat="1" x14ac:dyDescent="0.25">
      <c r="A2327" s="1289" t="s">
        <v>1997</v>
      </c>
      <c r="B2327" s="1289"/>
      <c r="C2327" s="1286"/>
      <c r="D2327" s="1287"/>
      <c r="E2327" s="1287"/>
      <c r="F2327" s="1287"/>
      <c r="G2327" s="1287"/>
      <c r="H2327" s="1290" t="e">
        <f>#REF!</f>
        <v>#REF!</v>
      </c>
      <c r="I2327" s="1290" t="e">
        <f>#REF!</f>
        <v>#REF!</v>
      </c>
      <c r="J2327" s="1290" t="e">
        <f>#REF!</f>
        <v>#REF!</v>
      </c>
      <c r="K2327" s="1290" t="e">
        <f>#REF!</f>
        <v>#REF!</v>
      </c>
      <c r="L2327" s="10"/>
      <c r="M2327"/>
    </row>
    <row r="2328" spans="1:13" s="4" customFormat="1" x14ac:dyDescent="0.25">
      <c r="A2328" s="1289" t="s">
        <v>1998</v>
      </c>
      <c r="B2328" s="1289"/>
      <c r="C2328" s="1286"/>
      <c r="D2328" s="1287"/>
      <c r="E2328" s="1287"/>
      <c r="F2328" s="1287"/>
      <c r="G2328" s="1287"/>
      <c r="H2328" s="1290" t="e">
        <f>#REF!</f>
        <v>#REF!</v>
      </c>
      <c r="I2328" s="1290" t="e">
        <f>#REF!</f>
        <v>#REF!</v>
      </c>
      <c r="J2328" s="1290" t="e">
        <f>#REF!</f>
        <v>#REF!</v>
      </c>
      <c r="K2328" s="1290" t="e">
        <f>#REF!</f>
        <v>#REF!</v>
      </c>
      <c r="L2328" s="10"/>
      <c r="M2328"/>
    </row>
    <row r="2329" spans="1:13" s="4" customFormat="1" x14ac:dyDescent="0.25">
      <c r="A2329" s="1289" t="s">
        <v>40</v>
      </c>
      <c r="B2329" s="1289"/>
      <c r="C2329" s="1286"/>
      <c r="D2329" s="1287"/>
      <c r="E2329" s="1287"/>
      <c r="F2329" s="1287"/>
      <c r="G2329" s="1287"/>
      <c r="H2329" s="1290" t="e">
        <f>#REF!</f>
        <v>#REF!</v>
      </c>
      <c r="I2329" s="1290" t="e">
        <f>#REF!</f>
        <v>#REF!</v>
      </c>
      <c r="J2329" s="1290" t="e">
        <f>#REF!</f>
        <v>#REF!</v>
      </c>
      <c r="K2329" s="1290" t="e">
        <f>#REF!</f>
        <v>#REF!</v>
      </c>
      <c r="L2329" s="10"/>
      <c r="M2329"/>
    </row>
    <row r="2330" spans="1:13" s="4" customFormat="1" x14ac:dyDescent="0.25">
      <c r="A2330" s="1289" t="s">
        <v>1999</v>
      </c>
      <c r="B2330" s="1289"/>
      <c r="C2330" s="1286"/>
      <c r="D2330" s="1287"/>
      <c r="E2330" s="1287"/>
      <c r="F2330" s="1287"/>
      <c r="G2330" s="1287"/>
      <c r="H2330" s="1290" t="e">
        <f>#REF!</f>
        <v>#REF!</v>
      </c>
      <c r="I2330" s="1290" t="e">
        <f>#REF!</f>
        <v>#REF!</v>
      </c>
      <c r="J2330" s="1290" t="e">
        <f>#REF!</f>
        <v>#REF!</v>
      </c>
      <c r="K2330" s="1290" t="e">
        <f>#REF!</f>
        <v>#REF!</v>
      </c>
      <c r="L2330" s="10"/>
      <c r="M2330"/>
    </row>
    <row r="2331" spans="1:13" s="4" customFormat="1" x14ac:dyDescent="0.25">
      <c r="A2331" s="1285" t="s">
        <v>2000</v>
      </c>
      <c r="B2331" s="1285"/>
      <c r="C2331" s="1291"/>
      <c r="D2331" s="1287"/>
      <c r="E2331" s="1287"/>
      <c r="F2331" s="1287"/>
      <c r="G2331" s="1287"/>
      <c r="H2331" s="1292" t="e">
        <f>SUM(H2301:H2330)</f>
        <v>#REF!</v>
      </c>
      <c r="I2331" s="1292" t="e">
        <f>SUM(I2301:I2330)</f>
        <v>#REF!</v>
      </c>
      <c r="J2331" s="1292" t="e">
        <f>SUM(J2301:J2330)</f>
        <v>#REF!</v>
      </c>
      <c r="K2331" s="1292" t="e">
        <f>SUM(K2301:K2330)</f>
        <v>#REF!</v>
      </c>
      <c r="L2331" s="10"/>
      <c r="M2331"/>
    </row>
    <row r="2332" spans="1:13" s="4" customFormat="1" x14ac:dyDescent="0.25">
      <c r="A2332" s="1285"/>
      <c r="B2332" s="1285"/>
      <c r="C2332" s="1291"/>
      <c r="D2332" s="1287"/>
      <c r="E2332" s="1287"/>
      <c r="F2332" s="1287"/>
      <c r="G2332" s="1287"/>
      <c r="H2332" s="1288"/>
      <c r="I2332" s="1288"/>
      <c r="J2332" s="1288"/>
      <c r="K2332" s="1293"/>
      <c r="L2332" s="10"/>
      <c r="M2332"/>
    </row>
    <row r="2333" spans="1:13" s="4" customFormat="1" x14ac:dyDescent="0.25">
      <c r="A2333" s="1285" t="s">
        <v>1318</v>
      </c>
      <c r="B2333" s="1285"/>
      <c r="C2333" s="1291"/>
      <c r="D2333" s="1287"/>
      <c r="E2333" s="1287"/>
      <c r="F2333" s="1287"/>
      <c r="G2333" s="1287"/>
      <c r="H2333" s="1288"/>
      <c r="I2333" s="1288"/>
      <c r="J2333" s="1288"/>
      <c r="K2333" s="1293"/>
      <c r="L2333" s="10"/>
      <c r="M2333"/>
    </row>
    <row r="2334" spans="1:13" s="4" customFormat="1" x14ac:dyDescent="0.25">
      <c r="A2334" s="1289" t="s">
        <v>2001</v>
      </c>
      <c r="B2334" s="1289"/>
      <c r="C2334" s="1286"/>
      <c r="D2334" s="1287"/>
      <c r="E2334" s="1287"/>
      <c r="F2334" s="1287"/>
      <c r="G2334" s="1287"/>
      <c r="H2334" s="1290" t="e">
        <f>#REF!</f>
        <v>#REF!</v>
      </c>
      <c r="I2334" s="1290" t="e">
        <f>#REF!</f>
        <v>#REF!</v>
      </c>
      <c r="J2334" s="1290" t="e">
        <f>#REF!</f>
        <v>#REF!</v>
      </c>
      <c r="K2334" s="1290" t="e">
        <f>#REF!</f>
        <v>#REF!</v>
      </c>
      <c r="L2334" s="10"/>
      <c r="M2334"/>
    </row>
    <row r="2335" spans="1:13" s="4" customFormat="1" x14ac:dyDescent="0.25">
      <c r="A2335" s="1289" t="s">
        <v>1325</v>
      </c>
      <c r="B2335" s="1289"/>
      <c r="C2335" s="1286"/>
      <c r="D2335" s="1287"/>
      <c r="E2335" s="1287"/>
      <c r="F2335" s="1287"/>
      <c r="G2335" s="1287"/>
      <c r="H2335" s="1290" t="e">
        <f>#REF!</f>
        <v>#REF!</v>
      </c>
      <c r="I2335" s="1290" t="e">
        <f>#REF!</f>
        <v>#REF!</v>
      </c>
      <c r="J2335" s="1290" t="e">
        <f>#REF!</f>
        <v>#REF!</v>
      </c>
      <c r="K2335" s="1290" t="e">
        <f>#REF!</f>
        <v>#REF!</v>
      </c>
      <c r="L2335" s="10"/>
      <c r="M2335"/>
    </row>
    <row r="2336" spans="1:13" s="4" customFormat="1" x14ac:dyDescent="0.25">
      <c r="A2336" s="1289" t="s">
        <v>1326</v>
      </c>
      <c r="B2336" s="1289"/>
      <c r="C2336" s="1286"/>
      <c r="D2336" s="1287"/>
      <c r="E2336" s="1287"/>
      <c r="F2336" s="1287"/>
      <c r="G2336" s="1287"/>
      <c r="H2336" s="1290" t="e">
        <f>#REF!</f>
        <v>#REF!</v>
      </c>
      <c r="I2336" s="1290" t="e">
        <f>#REF!</f>
        <v>#REF!</v>
      </c>
      <c r="J2336" s="1290" t="e">
        <f>#REF!</f>
        <v>#REF!</v>
      </c>
      <c r="K2336" s="1290" t="e">
        <f>#REF!</f>
        <v>#REF!</v>
      </c>
      <c r="L2336" s="10"/>
      <c r="M2336"/>
    </row>
    <row r="2337" spans="1:13" s="4" customFormat="1" x14ac:dyDescent="0.25">
      <c r="A2337" s="1285" t="s">
        <v>2002</v>
      </c>
      <c r="B2337" s="1285"/>
      <c r="C2337" s="1291"/>
      <c r="D2337" s="1287"/>
      <c r="E2337" s="1287"/>
      <c r="F2337" s="1287"/>
      <c r="G2337" s="1287"/>
      <c r="H2337" s="1292" t="e">
        <f>SUM(H2334:H2336)</f>
        <v>#REF!</v>
      </c>
      <c r="I2337" s="1292" t="e">
        <f>SUM(I2334:I2336)</f>
        <v>#REF!</v>
      </c>
      <c r="J2337" s="1292" t="e">
        <f>SUM(J2334:J2336)</f>
        <v>#REF!</v>
      </c>
      <c r="K2337" s="1292" t="e">
        <f>SUM(K2334:K2336)</f>
        <v>#REF!</v>
      </c>
      <c r="L2337" s="10"/>
      <c r="M2337"/>
    </row>
    <row r="2338" spans="1:13" s="4" customFormat="1" x14ac:dyDescent="0.25">
      <c r="A2338" s="1285" t="s">
        <v>2003</v>
      </c>
      <c r="B2338" s="1285"/>
      <c r="C2338" s="1291"/>
      <c r="D2338" s="1287"/>
      <c r="E2338" s="1287"/>
      <c r="F2338" s="1287"/>
      <c r="G2338" s="1287"/>
      <c r="H2338" s="1292" t="e">
        <f>H2337+H2331</f>
        <v>#REF!</v>
      </c>
      <c r="I2338" s="1292" t="e">
        <f>I2337+I2331</f>
        <v>#REF!</v>
      </c>
      <c r="J2338" s="1292" t="e">
        <f>J2337+J2331</f>
        <v>#REF!</v>
      </c>
      <c r="K2338" s="1292" t="e">
        <f>K2337+K2331</f>
        <v>#REF!</v>
      </c>
      <c r="L2338" s="10"/>
      <c r="M2338"/>
    </row>
    <row r="2340" spans="1:13" s="4" customFormat="1" x14ac:dyDescent="0.25">
      <c r="A2340" s="1285" t="s">
        <v>1431</v>
      </c>
      <c r="B2340" s="1285"/>
      <c r="C2340" s="1286"/>
      <c r="D2340" s="1287"/>
      <c r="E2340" s="1287"/>
      <c r="F2340" s="1287"/>
      <c r="G2340" s="1287"/>
      <c r="H2340" s="1288"/>
      <c r="I2340" s="1288"/>
      <c r="J2340" s="1288"/>
      <c r="K2340" s="5"/>
      <c r="L2340" s="10"/>
      <c r="M2340"/>
    </row>
    <row r="2341" spans="1:13" s="4" customFormat="1" x14ac:dyDescent="0.25">
      <c r="A2341" s="1289" t="s">
        <v>3</v>
      </c>
      <c r="B2341" s="1289"/>
      <c r="C2341" s="1286"/>
      <c r="D2341" s="1287"/>
      <c r="E2341" s="1287"/>
      <c r="F2341" s="1287"/>
      <c r="G2341" s="1287"/>
      <c r="H2341" s="1290" t="e">
        <f>#REF!</f>
        <v>#REF!</v>
      </c>
      <c r="I2341" s="1290" t="e">
        <f>#REF!</f>
        <v>#REF!</v>
      </c>
      <c r="J2341" s="1290" t="e">
        <f>#REF!</f>
        <v>#REF!</v>
      </c>
      <c r="K2341" s="1290" t="e">
        <f>#REF!</f>
        <v>#REF!</v>
      </c>
      <c r="L2341" s="10"/>
      <c r="M2341"/>
    </row>
    <row r="2342" spans="1:13" s="4" customFormat="1" x14ac:dyDescent="0.25">
      <c r="A2342" s="1289" t="s">
        <v>1499</v>
      </c>
      <c r="B2342" s="1289"/>
      <c r="C2342" s="1286"/>
      <c r="D2342" s="1287"/>
      <c r="E2342" s="1287"/>
      <c r="F2342" s="1287"/>
      <c r="G2342" s="1287"/>
      <c r="H2342" s="1290" t="e">
        <f>#REF!</f>
        <v>#REF!</v>
      </c>
      <c r="I2342" s="1290" t="e">
        <f>#REF!</f>
        <v>#REF!</v>
      </c>
      <c r="J2342" s="1290" t="e">
        <f>#REF!</f>
        <v>#REF!</v>
      </c>
      <c r="K2342" s="1290" t="e">
        <f>#REF!</f>
        <v>#REF!</v>
      </c>
      <c r="L2342" s="10"/>
      <c r="M2342"/>
    </row>
    <row r="2343" spans="1:13" s="4" customFormat="1" x14ac:dyDescent="0.25">
      <c r="A2343" s="1289" t="s">
        <v>1991</v>
      </c>
      <c r="B2343" s="1289"/>
      <c r="C2343" s="1286"/>
      <c r="D2343" s="1287"/>
      <c r="E2343" s="1287"/>
      <c r="F2343" s="1287"/>
      <c r="G2343" s="1287"/>
      <c r="H2343" s="1290" t="e">
        <f>#REF!</f>
        <v>#REF!</v>
      </c>
      <c r="I2343" s="1290" t="e">
        <f>#REF!</f>
        <v>#REF!</v>
      </c>
      <c r="J2343" s="1290" t="e">
        <f>#REF!</f>
        <v>#REF!</v>
      </c>
      <c r="K2343" s="1290" t="e">
        <f>#REF!</f>
        <v>#REF!</v>
      </c>
      <c r="L2343" s="10"/>
      <c r="M2343"/>
    </row>
    <row r="2344" spans="1:13" s="4" customFormat="1" x14ac:dyDescent="0.25">
      <c r="A2344" s="1289" t="s">
        <v>1501</v>
      </c>
      <c r="B2344" s="1289"/>
      <c r="C2344" s="1286"/>
      <c r="D2344" s="1287"/>
      <c r="E2344" s="1287"/>
      <c r="F2344" s="1287"/>
      <c r="G2344" s="1287"/>
      <c r="H2344" s="1290" t="e">
        <f>#REF!</f>
        <v>#REF!</v>
      </c>
      <c r="I2344" s="1290" t="e">
        <f>#REF!</f>
        <v>#REF!</v>
      </c>
      <c r="J2344" s="1290" t="e">
        <f>#REF!</f>
        <v>#REF!</v>
      </c>
      <c r="K2344" s="1290" t="e">
        <f>#REF!</f>
        <v>#REF!</v>
      </c>
      <c r="L2344" s="10"/>
      <c r="M2344"/>
    </row>
    <row r="2345" spans="1:13" s="4" customFormat="1" x14ac:dyDescent="0.25">
      <c r="A2345" s="1289" t="s">
        <v>1502</v>
      </c>
      <c r="B2345" s="1289"/>
      <c r="C2345" s="1286"/>
      <c r="D2345" s="1287"/>
      <c r="E2345" s="1287"/>
      <c r="F2345" s="1287"/>
      <c r="G2345" s="1287"/>
      <c r="H2345" s="1290" t="e">
        <f>#REF!</f>
        <v>#REF!</v>
      </c>
      <c r="I2345" s="1290" t="e">
        <f>#REF!</f>
        <v>#REF!</v>
      </c>
      <c r="J2345" s="1290" t="e">
        <f>#REF!</f>
        <v>#REF!</v>
      </c>
      <c r="K2345" s="1290" t="e">
        <f>#REF!</f>
        <v>#REF!</v>
      </c>
      <c r="L2345" s="10"/>
      <c r="M2345"/>
    </row>
    <row r="2346" spans="1:13" s="4" customFormat="1" x14ac:dyDescent="0.25">
      <c r="A2346" s="1289" t="s">
        <v>1503</v>
      </c>
      <c r="B2346" s="1289"/>
      <c r="C2346" s="1286"/>
      <c r="D2346" s="1287"/>
      <c r="E2346" s="1287"/>
      <c r="F2346" s="1287"/>
      <c r="G2346" s="1287"/>
      <c r="H2346" s="1290" t="e">
        <f>#REF!</f>
        <v>#REF!</v>
      </c>
      <c r="I2346" s="1290" t="e">
        <f>#REF!</f>
        <v>#REF!</v>
      </c>
      <c r="J2346" s="1290" t="e">
        <f>#REF!</f>
        <v>#REF!</v>
      </c>
      <c r="K2346" s="1290" t="e">
        <f>#REF!</f>
        <v>#REF!</v>
      </c>
      <c r="L2346" s="10"/>
      <c r="M2346"/>
    </row>
    <row r="2347" spans="1:13" s="4" customFormat="1" x14ac:dyDescent="0.25">
      <c r="A2347" s="1289" t="s">
        <v>1024</v>
      </c>
      <c r="B2347" s="1289"/>
      <c r="C2347" s="1286"/>
      <c r="D2347" s="1287"/>
      <c r="E2347" s="1287"/>
      <c r="F2347" s="1287"/>
      <c r="G2347" s="1287"/>
      <c r="H2347" s="1290" t="e">
        <f>#REF!</f>
        <v>#REF!</v>
      </c>
      <c r="I2347" s="1290" t="e">
        <f>#REF!</f>
        <v>#REF!</v>
      </c>
      <c r="J2347" s="1290" t="e">
        <f>#REF!</f>
        <v>#REF!</v>
      </c>
      <c r="K2347" s="1290" t="e">
        <f>#REF!</f>
        <v>#REF!</v>
      </c>
      <c r="L2347" s="10"/>
      <c r="M2347"/>
    </row>
    <row r="2348" spans="1:13" s="4" customFormat="1" x14ac:dyDescent="0.25">
      <c r="A2348" s="1289" t="s">
        <v>1992</v>
      </c>
      <c r="B2348" s="1289"/>
      <c r="C2348" s="1286"/>
      <c r="D2348" s="1287"/>
      <c r="E2348" s="1287"/>
      <c r="F2348" s="1287"/>
      <c r="G2348" s="1287"/>
      <c r="H2348" s="1290" t="e">
        <f>#REF!</f>
        <v>#REF!</v>
      </c>
      <c r="I2348" s="1290" t="e">
        <f>#REF!</f>
        <v>#REF!</v>
      </c>
      <c r="J2348" s="1290" t="e">
        <f>#REF!</f>
        <v>#REF!</v>
      </c>
      <c r="K2348" s="1290" t="e">
        <f>#REF!</f>
        <v>#REF!</v>
      </c>
      <c r="L2348" s="10"/>
      <c r="M2348"/>
    </row>
    <row r="2349" spans="1:13" s="4" customFormat="1" x14ac:dyDescent="0.25">
      <c r="A2349" s="1289" t="s">
        <v>1321</v>
      </c>
      <c r="B2349" s="1289"/>
      <c r="C2349" s="1286"/>
      <c r="D2349" s="1287"/>
      <c r="E2349" s="1287"/>
      <c r="F2349" s="1287"/>
      <c r="G2349" s="1287"/>
      <c r="H2349" s="1290" t="e">
        <f>#REF!</f>
        <v>#REF!</v>
      </c>
      <c r="I2349" s="1290" t="e">
        <f>#REF!</f>
        <v>#REF!</v>
      </c>
      <c r="J2349" s="1290" t="e">
        <f>#REF!</f>
        <v>#REF!</v>
      </c>
      <c r="K2349" s="1290" t="e">
        <f>#REF!</f>
        <v>#REF!</v>
      </c>
      <c r="L2349" s="10"/>
      <c r="M2349"/>
    </row>
    <row r="2350" spans="1:13" s="4" customFormat="1" x14ac:dyDescent="0.25">
      <c r="A2350" s="1289" t="s">
        <v>1504</v>
      </c>
      <c r="B2350" s="1289"/>
      <c r="C2350" s="1286"/>
      <c r="D2350" s="1287"/>
      <c r="E2350" s="1287"/>
      <c r="F2350" s="1287"/>
      <c r="G2350" s="1287"/>
      <c r="H2350" s="1290" t="e">
        <f>#REF!</f>
        <v>#REF!</v>
      </c>
      <c r="I2350" s="1290" t="e">
        <f>#REF!</f>
        <v>#REF!</v>
      </c>
      <c r="J2350" s="1290" t="e">
        <f>#REF!</f>
        <v>#REF!</v>
      </c>
      <c r="K2350" s="1290" t="e">
        <f>#REF!</f>
        <v>#REF!</v>
      </c>
      <c r="L2350" s="10"/>
      <c r="M2350"/>
    </row>
    <row r="2351" spans="1:13" s="4" customFormat="1" x14ac:dyDescent="0.25">
      <c r="A2351" s="1289" t="s">
        <v>1505</v>
      </c>
      <c r="B2351" s="1289"/>
      <c r="C2351" s="1286"/>
      <c r="D2351" s="1287"/>
      <c r="E2351" s="1287"/>
      <c r="F2351" s="1287"/>
      <c r="G2351" s="1287"/>
      <c r="H2351" s="1290" t="e">
        <f>#REF!</f>
        <v>#REF!</v>
      </c>
      <c r="I2351" s="1290" t="e">
        <f>#REF!</f>
        <v>#REF!</v>
      </c>
      <c r="J2351" s="1290" t="e">
        <f>#REF!</f>
        <v>#REF!</v>
      </c>
      <c r="K2351" s="1290" t="e">
        <f>#REF!</f>
        <v>#REF!</v>
      </c>
      <c r="L2351" s="10"/>
      <c r="M2351"/>
    </row>
    <row r="2352" spans="1:13" s="4" customFormat="1" x14ac:dyDescent="0.25">
      <c r="A2352" s="1289" t="s">
        <v>1506</v>
      </c>
      <c r="B2352" s="1289"/>
      <c r="C2352" s="1286"/>
      <c r="D2352" s="1287"/>
      <c r="E2352" s="1287"/>
      <c r="F2352" s="1287"/>
      <c r="G2352" s="1287"/>
      <c r="H2352" s="1290" t="e">
        <f>#REF!</f>
        <v>#REF!</v>
      </c>
      <c r="I2352" s="1290" t="e">
        <f>#REF!</f>
        <v>#REF!</v>
      </c>
      <c r="J2352" s="1290" t="e">
        <f>#REF!</f>
        <v>#REF!</v>
      </c>
      <c r="K2352" s="1290" t="e">
        <f>#REF!</f>
        <v>#REF!</v>
      </c>
      <c r="L2352" s="10"/>
      <c r="M2352"/>
    </row>
    <row r="2353" spans="1:13" s="4" customFormat="1" x14ac:dyDescent="0.25">
      <c r="A2353" s="1289" t="s">
        <v>1507</v>
      </c>
      <c r="B2353" s="1289"/>
      <c r="C2353" s="1286"/>
      <c r="D2353" s="1287"/>
      <c r="E2353" s="1287"/>
      <c r="F2353" s="1287"/>
      <c r="G2353" s="1287"/>
      <c r="H2353" s="1290" t="e">
        <f>#REF!</f>
        <v>#REF!</v>
      </c>
      <c r="I2353" s="1290" t="e">
        <f>#REF!</f>
        <v>#REF!</v>
      </c>
      <c r="J2353" s="1290" t="e">
        <f>#REF!</f>
        <v>#REF!</v>
      </c>
      <c r="K2353" s="1290" t="e">
        <f>#REF!</f>
        <v>#REF!</v>
      </c>
      <c r="L2353" s="10"/>
      <c r="M2353"/>
    </row>
    <row r="2354" spans="1:13" s="4" customFormat="1" x14ac:dyDescent="0.25">
      <c r="A2354" s="1289" t="s">
        <v>1993</v>
      </c>
      <c r="B2354" s="1289"/>
      <c r="C2354" s="1286"/>
      <c r="D2354" s="1287"/>
      <c r="E2354" s="1287"/>
      <c r="F2354" s="1287"/>
      <c r="G2354" s="1287"/>
      <c r="H2354" s="1290" t="e">
        <f>#REF!</f>
        <v>#REF!</v>
      </c>
      <c r="I2354" s="1290" t="e">
        <f>#REF!</f>
        <v>#REF!</v>
      </c>
      <c r="J2354" s="1290" t="e">
        <f>#REF!</f>
        <v>#REF!</v>
      </c>
      <c r="K2354" s="1290" t="e">
        <f>#REF!</f>
        <v>#REF!</v>
      </c>
      <c r="L2354" s="10"/>
      <c r="M2354"/>
    </row>
    <row r="2355" spans="1:13" s="4" customFormat="1" x14ac:dyDescent="0.25">
      <c r="A2355" s="1289" t="s">
        <v>1994</v>
      </c>
      <c r="B2355" s="1289"/>
      <c r="C2355" s="1286"/>
      <c r="D2355" s="1287"/>
      <c r="E2355" s="1287"/>
      <c r="F2355" s="1287"/>
      <c r="G2355" s="1287"/>
      <c r="H2355" s="1290" t="e">
        <f>#REF!</f>
        <v>#REF!</v>
      </c>
      <c r="I2355" s="1290" t="e">
        <f>#REF!</f>
        <v>#REF!</v>
      </c>
      <c r="J2355" s="1290" t="e">
        <f>#REF!</f>
        <v>#REF!</v>
      </c>
      <c r="K2355" s="1290" t="e">
        <f>#REF!</f>
        <v>#REF!</v>
      </c>
      <c r="L2355" s="10"/>
      <c r="M2355"/>
    </row>
    <row r="2356" spans="1:13" s="4" customFormat="1" x14ac:dyDescent="0.25">
      <c r="A2356" s="1289" t="s">
        <v>1995</v>
      </c>
      <c r="B2356" s="1289"/>
      <c r="C2356" s="1286"/>
      <c r="D2356" s="1287"/>
      <c r="E2356" s="1287"/>
      <c r="F2356" s="1287"/>
      <c r="G2356" s="1287"/>
      <c r="H2356" s="1290" t="e">
        <f>#REF!</f>
        <v>#REF!</v>
      </c>
      <c r="I2356" s="1290" t="e">
        <f>#REF!</f>
        <v>#REF!</v>
      </c>
      <c r="J2356" s="1290" t="e">
        <f>#REF!</f>
        <v>#REF!</v>
      </c>
      <c r="K2356" s="1290" t="e">
        <f>#REF!</f>
        <v>#REF!</v>
      </c>
      <c r="L2356" s="10"/>
      <c r="M2356"/>
    </row>
    <row r="2357" spans="1:13" s="4" customFormat="1" x14ac:dyDescent="0.25">
      <c r="A2357" s="1289" t="s">
        <v>1510</v>
      </c>
      <c r="B2357" s="1289"/>
      <c r="C2357" s="1286"/>
      <c r="D2357" s="1287"/>
      <c r="E2357" s="1287"/>
      <c r="F2357" s="1287"/>
      <c r="G2357" s="1287"/>
      <c r="H2357" s="1290" t="e">
        <f>#REF!</f>
        <v>#REF!</v>
      </c>
      <c r="I2357" s="1290" t="e">
        <f>#REF!</f>
        <v>#REF!</v>
      </c>
      <c r="J2357" s="1290" t="e">
        <f>#REF!</f>
        <v>#REF!</v>
      </c>
      <c r="K2357" s="1290" t="e">
        <f>#REF!</f>
        <v>#REF!</v>
      </c>
      <c r="L2357" s="10"/>
      <c r="M2357"/>
    </row>
    <row r="2358" spans="1:13" s="4" customFormat="1" x14ac:dyDescent="0.25">
      <c r="A2358" s="1289" t="s">
        <v>27</v>
      </c>
      <c r="B2358" s="1289"/>
      <c r="C2358" s="1286"/>
      <c r="D2358" s="1287"/>
      <c r="E2358" s="1287"/>
      <c r="F2358" s="1287"/>
      <c r="G2358" s="1287"/>
      <c r="H2358" s="1290" t="e">
        <f>#REF!</f>
        <v>#REF!</v>
      </c>
      <c r="I2358" s="1290" t="e">
        <f>#REF!</f>
        <v>#REF!</v>
      </c>
      <c r="J2358" s="1290" t="e">
        <f>#REF!</f>
        <v>#REF!</v>
      </c>
      <c r="K2358" s="1290" t="e">
        <f>#REF!</f>
        <v>#REF!</v>
      </c>
      <c r="L2358" s="10"/>
      <c r="M2358"/>
    </row>
    <row r="2359" spans="1:13" s="4" customFormat="1" x14ac:dyDescent="0.25">
      <c r="A2359" s="1289" t="s">
        <v>28</v>
      </c>
      <c r="B2359" s="1289"/>
      <c r="C2359" s="1286"/>
      <c r="D2359" s="1287"/>
      <c r="E2359" s="1287"/>
      <c r="F2359" s="1287"/>
      <c r="G2359" s="1287"/>
      <c r="H2359" s="1290" t="e">
        <f>#REF!</f>
        <v>#REF!</v>
      </c>
      <c r="I2359" s="1290" t="e">
        <f>#REF!</f>
        <v>#REF!</v>
      </c>
      <c r="J2359" s="1290" t="e">
        <f>#REF!</f>
        <v>#REF!</v>
      </c>
      <c r="K2359" s="1290" t="e">
        <f>#REF!</f>
        <v>#REF!</v>
      </c>
      <c r="L2359" s="10"/>
      <c r="M2359"/>
    </row>
    <row r="2360" spans="1:13" s="4" customFormat="1" x14ac:dyDescent="0.25">
      <c r="A2360" s="1289" t="s">
        <v>29</v>
      </c>
      <c r="B2360" s="1289"/>
      <c r="C2360" s="1286"/>
      <c r="D2360" s="1287"/>
      <c r="E2360" s="1287"/>
      <c r="F2360" s="1287"/>
      <c r="G2360" s="1287"/>
      <c r="H2360" s="1290" t="e">
        <f>#REF!</f>
        <v>#REF!</v>
      </c>
      <c r="I2360" s="1290" t="e">
        <f>#REF!</f>
        <v>#REF!</v>
      </c>
      <c r="J2360" s="1290" t="e">
        <f>#REF!</f>
        <v>#REF!</v>
      </c>
      <c r="K2360" s="1290" t="e">
        <f>#REF!</f>
        <v>#REF!</v>
      </c>
      <c r="L2360" s="10"/>
      <c r="M2360"/>
    </row>
    <row r="2361" spans="1:13" s="4" customFormat="1" x14ac:dyDescent="0.25">
      <c r="A2361" s="1289" t="s">
        <v>31</v>
      </c>
      <c r="B2361" s="1289"/>
      <c r="C2361" s="1286"/>
      <c r="D2361" s="1287"/>
      <c r="E2361" s="1287"/>
      <c r="F2361" s="1287"/>
      <c r="G2361" s="1287"/>
      <c r="H2361" s="1290" t="e">
        <f>#REF!</f>
        <v>#REF!</v>
      </c>
      <c r="I2361" s="1290" t="e">
        <f>#REF!</f>
        <v>#REF!</v>
      </c>
      <c r="J2361" s="1290" t="e">
        <f>#REF!</f>
        <v>#REF!</v>
      </c>
      <c r="K2361" s="1290" t="e">
        <f>#REF!</f>
        <v>#REF!</v>
      </c>
      <c r="L2361" s="10"/>
      <c r="M2361"/>
    </row>
    <row r="2362" spans="1:13" s="4" customFormat="1" x14ac:dyDescent="0.25">
      <c r="A2362" s="1289" t="s">
        <v>32</v>
      </c>
      <c r="B2362" s="1289"/>
      <c r="C2362" s="1286"/>
      <c r="D2362" s="1287"/>
      <c r="E2362" s="1287"/>
      <c r="F2362" s="1287"/>
      <c r="G2362" s="1287"/>
      <c r="H2362" s="1290" t="e">
        <f>#REF!</f>
        <v>#REF!</v>
      </c>
      <c r="I2362" s="1290" t="e">
        <f>#REF!</f>
        <v>#REF!</v>
      </c>
      <c r="J2362" s="1290" t="e">
        <f>#REF!</f>
        <v>#REF!</v>
      </c>
      <c r="K2362" s="1290" t="e">
        <f>#REF!</f>
        <v>#REF!</v>
      </c>
      <c r="L2362" s="10"/>
      <c r="M2362"/>
    </row>
    <row r="2363" spans="1:13" s="4" customFormat="1" x14ac:dyDescent="0.25">
      <c r="A2363" s="1289" t="s">
        <v>33</v>
      </c>
      <c r="B2363" s="1289"/>
      <c r="C2363" s="1286"/>
      <c r="D2363" s="1287"/>
      <c r="E2363" s="1287"/>
      <c r="F2363" s="1287"/>
      <c r="G2363" s="1287"/>
      <c r="H2363" s="1290" t="e">
        <f>#REF!</f>
        <v>#REF!</v>
      </c>
      <c r="I2363" s="1290" t="e">
        <f>#REF!</f>
        <v>#REF!</v>
      </c>
      <c r="J2363" s="1290" t="e">
        <f>#REF!</f>
        <v>#REF!</v>
      </c>
      <c r="K2363" s="1290" t="e">
        <f>#REF!</f>
        <v>#REF!</v>
      </c>
      <c r="L2363" s="10"/>
      <c r="M2363"/>
    </row>
    <row r="2364" spans="1:13" s="4" customFormat="1" x14ac:dyDescent="0.25">
      <c r="A2364" s="1289" t="s">
        <v>1996</v>
      </c>
      <c r="B2364" s="1289"/>
      <c r="C2364" s="1286"/>
      <c r="D2364" s="1287"/>
      <c r="E2364" s="1287"/>
      <c r="F2364" s="1287"/>
      <c r="G2364" s="1287"/>
      <c r="H2364" s="1290" t="e">
        <f>#REF!</f>
        <v>#REF!</v>
      </c>
      <c r="I2364" s="1290" t="e">
        <f>#REF!</f>
        <v>#REF!</v>
      </c>
      <c r="J2364" s="1290" t="e">
        <f>#REF!</f>
        <v>#REF!</v>
      </c>
      <c r="K2364" s="1290" t="e">
        <f>#REF!</f>
        <v>#REF!</v>
      </c>
      <c r="L2364" s="10"/>
      <c r="M2364"/>
    </row>
    <row r="2365" spans="1:13" s="4" customFormat="1" x14ac:dyDescent="0.25">
      <c r="A2365" s="1289" t="s">
        <v>35</v>
      </c>
      <c r="B2365" s="1289"/>
      <c r="C2365" s="1286"/>
      <c r="D2365" s="1287"/>
      <c r="E2365" s="1287"/>
      <c r="F2365" s="1287"/>
      <c r="G2365" s="1287"/>
      <c r="H2365" s="1290" t="e">
        <f>#REF!</f>
        <v>#REF!</v>
      </c>
      <c r="I2365" s="1290" t="e">
        <f>#REF!</f>
        <v>#REF!</v>
      </c>
      <c r="J2365" s="1290" t="e">
        <f>#REF!</f>
        <v>#REF!</v>
      </c>
      <c r="K2365" s="1290" t="e">
        <f>#REF!</f>
        <v>#REF!</v>
      </c>
      <c r="L2365" s="10"/>
      <c r="M2365"/>
    </row>
    <row r="2366" spans="1:13" s="4" customFormat="1" x14ac:dyDescent="0.25">
      <c r="A2366" s="1289" t="s">
        <v>1322</v>
      </c>
      <c r="B2366" s="1289"/>
      <c r="C2366" s="1286"/>
      <c r="D2366" s="1287"/>
      <c r="E2366" s="1287"/>
      <c r="F2366" s="1287"/>
      <c r="G2366" s="1287"/>
      <c r="H2366" s="1290" t="e">
        <f>#REF!</f>
        <v>#REF!</v>
      </c>
      <c r="I2366" s="1290" t="e">
        <f>#REF!</f>
        <v>#REF!</v>
      </c>
      <c r="J2366" s="1290" t="e">
        <f>#REF!</f>
        <v>#REF!</v>
      </c>
      <c r="K2366" s="1290" t="e">
        <f>#REF!</f>
        <v>#REF!</v>
      </c>
      <c r="L2366" s="10"/>
      <c r="M2366"/>
    </row>
    <row r="2367" spans="1:13" s="4" customFormat="1" x14ac:dyDescent="0.25">
      <c r="A2367" s="1289" t="s">
        <v>1997</v>
      </c>
      <c r="B2367" s="1289"/>
      <c r="C2367" s="1286"/>
      <c r="D2367" s="1287"/>
      <c r="E2367" s="1287"/>
      <c r="F2367" s="1287"/>
      <c r="G2367" s="1287"/>
      <c r="H2367" s="1290" t="e">
        <f>#REF!</f>
        <v>#REF!</v>
      </c>
      <c r="I2367" s="1290" t="e">
        <f>#REF!</f>
        <v>#REF!</v>
      </c>
      <c r="J2367" s="1290" t="e">
        <f>#REF!</f>
        <v>#REF!</v>
      </c>
      <c r="K2367" s="1290" t="e">
        <f>#REF!</f>
        <v>#REF!</v>
      </c>
      <c r="L2367" s="10"/>
      <c r="M2367"/>
    </row>
    <row r="2368" spans="1:13" s="4" customFormat="1" x14ac:dyDescent="0.25">
      <c r="A2368" s="1289" t="s">
        <v>1998</v>
      </c>
      <c r="B2368" s="1289"/>
      <c r="C2368" s="1286"/>
      <c r="D2368" s="1287"/>
      <c r="E2368" s="1287"/>
      <c r="F2368" s="1287"/>
      <c r="G2368" s="1287"/>
      <c r="H2368" s="1290" t="e">
        <f>#REF!</f>
        <v>#REF!</v>
      </c>
      <c r="I2368" s="1290" t="e">
        <f>#REF!</f>
        <v>#REF!</v>
      </c>
      <c r="J2368" s="1290" t="e">
        <f>#REF!</f>
        <v>#REF!</v>
      </c>
      <c r="K2368" s="1290" t="e">
        <f>#REF!</f>
        <v>#REF!</v>
      </c>
      <c r="L2368" s="10"/>
      <c r="M2368"/>
    </row>
    <row r="2369" spans="1:13" s="4" customFormat="1" x14ac:dyDescent="0.25">
      <c r="A2369" s="1289" t="s">
        <v>40</v>
      </c>
      <c r="B2369" s="1289"/>
      <c r="C2369" s="1286"/>
      <c r="D2369" s="1287"/>
      <c r="E2369" s="1287"/>
      <c r="F2369" s="1287"/>
      <c r="G2369" s="1287"/>
      <c r="H2369" s="1290" t="e">
        <f>#REF!</f>
        <v>#REF!</v>
      </c>
      <c r="I2369" s="1290" t="e">
        <f>#REF!</f>
        <v>#REF!</v>
      </c>
      <c r="J2369" s="1290" t="e">
        <f>#REF!</f>
        <v>#REF!</v>
      </c>
      <c r="K2369" s="1290" t="e">
        <f>#REF!</f>
        <v>#REF!</v>
      </c>
      <c r="L2369" s="10"/>
      <c r="M2369"/>
    </row>
    <row r="2370" spans="1:13" s="4" customFormat="1" x14ac:dyDescent="0.25">
      <c r="A2370" s="1289" t="s">
        <v>1999</v>
      </c>
      <c r="B2370" s="1289"/>
      <c r="C2370" s="1286"/>
      <c r="D2370" s="1287"/>
      <c r="E2370" s="1287"/>
      <c r="F2370" s="1287"/>
      <c r="G2370" s="1287"/>
      <c r="H2370" s="1290" t="e">
        <f>#REF!</f>
        <v>#REF!</v>
      </c>
      <c r="I2370" s="1290" t="e">
        <f>#REF!</f>
        <v>#REF!</v>
      </c>
      <c r="J2370" s="1290" t="e">
        <f>#REF!</f>
        <v>#REF!</v>
      </c>
      <c r="K2370" s="1290" t="e">
        <f>#REF!</f>
        <v>#REF!</v>
      </c>
      <c r="L2370" s="10"/>
      <c r="M2370"/>
    </row>
    <row r="2371" spans="1:13" s="4" customFormat="1" x14ac:dyDescent="0.25">
      <c r="A2371" s="1285" t="s">
        <v>2004</v>
      </c>
      <c r="B2371" s="1285"/>
      <c r="C2371" s="1291"/>
      <c r="D2371" s="1287"/>
      <c r="E2371" s="1287"/>
      <c r="F2371" s="1287"/>
      <c r="G2371" s="1287"/>
      <c r="H2371" s="1292" t="e">
        <f>SUM(H2341:H2370)</f>
        <v>#REF!</v>
      </c>
      <c r="I2371" s="1292" t="e">
        <f>SUM(I2341:I2370)</f>
        <v>#REF!</v>
      </c>
      <c r="J2371" s="1292" t="e">
        <f>SUM(J2341:J2370)</f>
        <v>#REF!</v>
      </c>
      <c r="K2371" s="1292" t="e">
        <f>SUM(K2341:K2370)</f>
        <v>#REF!</v>
      </c>
      <c r="L2371" s="10"/>
      <c r="M2371"/>
    </row>
    <row r="2372" spans="1:13" s="4" customFormat="1" x14ac:dyDescent="0.25">
      <c r="A2372" s="1285"/>
      <c r="B2372" s="1285"/>
      <c r="C2372" s="1291"/>
      <c r="D2372" s="1287"/>
      <c r="E2372" s="1287"/>
      <c r="F2372" s="1287"/>
      <c r="G2372" s="1287"/>
      <c r="H2372" s="1288"/>
      <c r="I2372" s="1288"/>
      <c r="J2372" s="1288"/>
      <c r="K2372" s="5"/>
      <c r="L2372" s="10"/>
      <c r="M2372"/>
    </row>
    <row r="2373" spans="1:13" s="4" customFormat="1" x14ac:dyDescent="0.25">
      <c r="A2373" s="1285" t="s">
        <v>1318</v>
      </c>
      <c r="B2373" s="1285"/>
      <c r="C2373" s="1291"/>
      <c r="D2373" s="1287"/>
      <c r="E2373" s="1287"/>
      <c r="F2373" s="1287"/>
      <c r="G2373" s="1287"/>
      <c r="H2373" s="1288"/>
      <c r="I2373" s="1288"/>
      <c r="J2373" s="1288"/>
      <c r="K2373" s="1288"/>
      <c r="L2373" s="10"/>
      <c r="M2373"/>
    </row>
    <row r="2374" spans="1:13" s="4" customFormat="1" x14ac:dyDescent="0.25">
      <c r="A2374" s="1289" t="s">
        <v>2001</v>
      </c>
      <c r="B2374" s="1289"/>
      <c r="C2374" s="1286"/>
      <c r="D2374" s="1287"/>
      <c r="E2374" s="1287"/>
      <c r="F2374" s="1287"/>
      <c r="G2374" s="1287"/>
      <c r="H2374" s="1290" t="e">
        <f>#REF!</f>
        <v>#REF!</v>
      </c>
      <c r="I2374" s="1290" t="e">
        <f>#REF!</f>
        <v>#REF!</v>
      </c>
      <c r="J2374" s="1290" t="e">
        <f>#REF!</f>
        <v>#REF!</v>
      </c>
      <c r="K2374" s="1290" t="e">
        <f>#REF!</f>
        <v>#REF!</v>
      </c>
      <c r="L2374" s="10"/>
      <c r="M2374"/>
    </row>
    <row r="2375" spans="1:13" s="4" customFormat="1" x14ac:dyDescent="0.25">
      <c r="A2375" s="1289" t="s">
        <v>1325</v>
      </c>
      <c r="B2375" s="1289"/>
      <c r="C2375" s="1286"/>
      <c r="D2375" s="1287"/>
      <c r="E2375" s="1287"/>
      <c r="F2375" s="1287"/>
      <c r="G2375" s="1287"/>
      <c r="H2375" s="1290" t="e">
        <f>#REF!</f>
        <v>#REF!</v>
      </c>
      <c r="I2375" s="1290" t="e">
        <f>#REF!</f>
        <v>#REF!</v>
      </c>
      <c r="J2375" s="1290" t="e">
        <f>#REF!</f>
        <v>#REF!</v>
      </c>
      <c r="K2375" s="1290" t="e">
        <f>#REF!</f>
        <v>#REF!</v>
      </c>
      <c r="L2375" s="10"/>
      <c r="M2375"/>
    </row>
    <row r="2376" spans="1:13" s="4" customFormat="1" x14ac:dyDescent="0.25">
      <c r="A2376" s="1289" t="s">
        <v>1326</v>
      </c>
      <c r="B2376" s="1289"/>
      <c r="C2376" s="1286"/>
      <c r="D2376" s="1287"/>
      <c r="E2376" s="1287"/>
      <c r="F2376" s="1287"/>
      <c r="G2376" s="1287"/>
      <c r="H2376" s="1290" t="e">
        <f>#REF!</f>
        <v>#REF!</v>
      </c>
      <c r="I2376" s="1290" t="e">
        <f>#REF!</f>
        <v>#REF!</v>
      </c>
      <c r="J2376" s="1290" t="e">
        <f>#REF!</f>
        <v>#REF!</v>
      </c>
      <c r="K2376" s="1290" t="e">
        <f>#REF!</f>
        <v>#REF!</v>
      </c>
      <c r="L2376" s="10"/>
      <c r="M2376"/>
    </row>
    <row r="2377" spans="1:13" s="4" customFormat="1" x14ac:dyDescent="0.25">
      <c r="A2377" s="1285" t="s">
        <v>2005</v>
      </c>
      <c r="B2377" s="1285"/>
      <c r="C2377" s="1291"/>
      <c r="D2377" s="1287"/>
      <c r="E2377" s="1287"/>
      <c r="F2377" s="1287"/>
      <c r="G2377" s="1287"/>
      <c r="H2377" s="1292" t="e">
        <f>SUM(H2374:H2376)</f>
        <v>#REF!</v>
      </c>
      <c r="I2377" s="1292" t="e">
        <f>SUM(I2374:I2376)</f>
        <v>#REF!</v>
      </c>
      <c r="J2377" s="1292" t="e">
        <f>SUM(J2374:J2376)</f>
        <v>#REF!</v>
      </c>
      <c r="K2377" s="1292" t="e">
        <f>SUM(K2374:K2376)</f>
        <v>#REF!</v>
      </c>
      <c r="L2377" s="10"/>
      <c r="M2377"/>
    </row>
    <row r="2378" spans="1:13" s="4" customFormat="1" x14ac:dyDescent="0.25">
      <c r="A2378" s="1285" t="s">
        <v>2006</v>
      </c>
      <c r="B2378" s="1285"/>
      <c r="C2378" s="1291"/>
      <c r="D2378" s="1287"/>
      <c r="E2378" s="1287"/>
      <c r="F2378" s="1287"/>
      <c r="G2378" s="1287"/>
      <c r="H2378" s="1292" t="e">
        <f>H2377+H2371</f>
        <v>#REF!</v>
      </c>
      <c r="I2378" s="1292" t="e">
        <f>I2377+I2371</f>
        <v>#REF!</v>
      </c>
      <c r="J2378" s="1292" t="e">
        <f>J2377+J2371</f>
        <v>#REF!</v>
      </c>
      <c r="K2378" s="1292" t="e">
        <f>K2377+K2371</f>
        <v>#REF!</v>
      </c>
      <c r="L2378" s="10"/>
      <c r="M2378"/>
    </row>
    <row r="2379" spans="1:13" s="4" customFormat="1" x14ac:dyDescent="0.25">
      <c r="A2379" s="1294"/>
      <c r="B2379" s="1294"/>
      <c r="C2379" s="591"/>
      <c r="D2379" s="235"/>
      <c r="E2379" s="235"/>
      <c r="F2379" s="235"/>
      <c r="G2379" s="235"/>
      <c r="H2379" s="126"/>
      <c r="I2379" s="126"/>
      <c r="J2379" s="126"/>
      <c r="K2379" s="5"/>
      <c r="L2379" s="10"/>
      <c r="M2379"/>
    </row>
    <row r="2380" spans="1:13" s="4" customFormat="1" x14ac:dyDescent="0.25">
      <c r="A2380" s="1294"/>
      <c r="B2380" s="1294"/>
      <c r="C2380" s="591"/>
      <c r="D2380" s="235"/>
      <c r="E2380" s="235"/>
      <c r="F2380" s="235"/>
      <c r="G2380" s="235"/>
      <c r="H2380" s="126"/>
      <c r="I2380" s="126"/>
      <c r="J2380" s="126"/>
      <c r="K2380" s="5"/>
      <c r="L2380" s="10"/>
      <c r="M2380"/>
    </row>
    <row r="2381" spans="1:13" s="4" customFormat="1" ht="16.5" thickBot="1" x14ac:dyDescent="0.3">
      <c r="A2381" s="1294"/>
      <c r="B2381" s="1294"/>
      <c r="C2381" s="591"/>
      <c r="D2381" s="235"/>
      <c r="E2381" s="235"/>
      <c r="F2381" s="235"/>
      <c r="G2381" s="235"/>
      <c r="H2381" s="126"/>
      <c r="I2381" s="126"/>
      <c r="J2381" s="126"/>
      <c r="K2381" s="5"/>
      <c r="L2381" s="10"/>
      <c r="M2381"/>
    </row>
    <row r="2382" spans="1:13" s="48" customFormat="1" ht="21.75" customHeight="1" thickBot="1" x14ac:dyDescent="0.3">
      <c r="A2382" s="1655" t="s">
        <v>115</v>
      </c>
      <c r="B2382" s="1655"/>
      <c r="C2382" s="1655"/>
      <c r="D2382" s="1655"/>
      <c r="E2382" s="1655"/>
      <c r="F2382" s="1655"/>
      <c r="G2382" s="1151"/>
      <c r="H2382" s="1708" t="s">
        <v>1537</v>
      </c>
      <c r="I2382" s="1710" t="s">
        <v>1538</v>
      </c>
      <c r="J2382" s="1710" t="s">
        <v>1539</v>
      </c>
      <c r="K2382" s="1710" t="s">
        <v>1540</v>
      </c>
      <c r="L2382" s="47"/>
    </row>
    <row r="2383" spans="1:13" s="1153" customFormat="1" ht="31.5" customHeight="1" thickBot="1" x14ac:dyDescent="0.3">
      <c r="A2383" s="1655"/>
      <c r="B2383" s="1655"/>
      <c r="C2383" s="1655"/>
      <c r="D2383" s="1655"/>
      <c r="E2383" s="1655"/>
      <c r="F2383" s="1655"/>
      <c r="G2383" s="1129" t="s">
        <v>116</v>
      </c>
      <c r="H2383" s="1709"/>
      <c r="I2383" s="1710"/>
      <c r="J2383" s="1710"/>
      <c r="K2383" s="1710"/>
      <c r="L2383" s="1152"/>
    </row>
    <row r="2384" spans="1:13" s="4" customFormat="1" x14ac:dyDescent="0.25">
      <c r="A2384" s="1285" t="s">
        <v>1484</v>
      </c>
      <c r="B2384" s="1285"/>
      <c r="C2384" s="1286"/>
      <c r="D2384" s="1287"/>
      <c r="E2384" s="1287"/>
      <c r="F2384" s="1287"/>
      <c r="G2384" s="1287"/>
      <c r="H2384" s="1288"/>
      <c r="I2384" s="1288"/>
      <c r="J2384" s="1288"/>
      <c r="K2384" s="5"/>
      <c r="L2384" s="10"/>
      <c r="M2384"/>
    </row>
    <row r="2385" spans="1:13" s="4" customFormat="1" x14ac:dyDescent="0.25">
      <c r="A2385" s="1289" t="s">
        <v>3</v>
      </c>
      <c r="B2385" s="1289"/>
      <c r="C2385" s="1286"/>
      <c r="D2385" s="1287"/>
      <c r="E2385" s="1287"/>
      <c r="F2385" s="1287"/>
      <c r="G2385" s="1287"/>
      <c r="H2385" s="1290" t="e">
        <f>#REF!</f>
        <v>#REF!</v>
      </c>
      <c r="I2385" s="1290" t="e">
        <f>#REF!</f>
        <v>#REF!</v>
      </c>
      <c r="J2385" s="1290" t="e">
        <f>#REF!</f>
        <v>#REF!</v>
      </c>
      <c r="K2385" s="1290" t="e">
        <f>#REF!</f>
        <v>#REF!</v>
      </c>
      <c r="L2385" s="10"/>
      <c r="M2385"/>
    </row>
    <row r="2386" spans="1:13" s="4" customFormat="1" x14ac:dyDescent="0.25">
      <c r="A2386" s="1289" t="s">
        <v>1499</v>
      </c>
      <c r="B2386" s="1289"/>
      <c r="C2386" s="1286"/>
      <c r="D2386" s="1287"/>
      <c r="E2386" s="1287"/>
      <c r="F2386" s="1287"/>
      <c r="G2386" s="1287"/>
      <c r="H2386" s="1290" t="e">
        <f>#REF!</f>
        <v>#REF!</v>
      </c>
      <c r="I2386" s="1290" t="e">
        <f>#REF!</f>
        <v>#REF!</v>
      </c>
      <c r="J2386" s="1290" t="e">
        <f>#REF!</f>
        <v>#REF!</v>
      </c>
      <c r="K2386" s="1290" t="e">
        <f>#REF!</f>
        <v>#REF!</v>
      </c>
      <c r="L2386" s="10"/>
      <c r="M2386"/>
    </row>
    <row r="2387" spans="1:13" s="4" customFormat="1" x14ac:dyDescent="0.25">
      <c r="A2387" s="1289" t="s">
        <v>1991</v>
      </c>
      <c r="B2387" s="1289"/>
      <c r="C2387" s="1286"/>
      <c r="D2387" s="1287"/>
      <c r="E2387" s="1287"/>
      <c r="F2387" s="1290"/>
      <c r="G2387" s="1290" t="e">
        <f>#REF!</f>
        <v>#REF!</v>
      </c>
      <c r="H2387" s="1290" t="e">
        <f>#REF!</f>
        <v>#REF!</v>
      </c>
      <c r="I2387" s="1290" t="e">
        <f>#REF!</f>
        <v>#REF!</v>
      </c>
      <c r="J2387" s="1290" t="e">
        <f>#REF!</f>
        <v>#REF!</v>
      </c>
      <c r="K2387" s="1290" t="e">
        <f>#REF!</f>
        <v>#REF!</v>
      </c>
      <c r="L2387" s="10"/>
      <c r="M2387"/>
    </row>
    <row r="2388" spans="1:13" s="4" customFormat="1" x14ac:dyDescent="0.25">
      <c r="A2388" s="1289" t="s">
        <v>1501</v>
      </c>
      <c r="B2388" s="1289"/>
      <c r="C2388" s="1286"/>
      <c r="D2388" s="1287"/>
      <c r="E2388" s="1287"/>
      <c r="F2388" s="1287"/>
      <c r="G2388" s="1287"/>
      <c r="H2388" s="1290" t="e">
        <f>#REF!</f>
        <v>#REF!</v>
      </c>
      <c r="I2388" s="1290" t="e">
        <f>#REF!</f>
        <v>#REF!</v>
      </c>
      <c r="J2388" s="1290" t="e">
        <f>#REF!</f>
        <v>#REF!</v>
      </c>
      <c r="K2388" s="1290" t="e">
        <f>#REF!</f>
        <v>#REF!</v>
      </c>
      <c r="L2388" s="10"/>
      <c r="M2388"/>
    </row>
    <row r="2389" spans="1:13" s="4" customFormat="1" x14ac:dyDescent="0.25">
      <c r="A2389" s="1289" t="s">
        <v>1502</v>
      </c>
      <c r="B2389" s="1289"/>
      <c r="C2389" s="1286"/>
      <c r="D2389" s="1287"/>
      <c r="E2389" s="1287"/>
      <c r="F2389" s="1287"/>
      <c r="G2389" s="1287"/>
      <c r="H2389" s="1290" t="e">
        <f>#REF!</f>
        <v>#REF!</v>
      </c>
      <c r="I2389" s="1290" t="e">
        <f>#REF!</f>
        <v>#REF!</v>
      </c>
      <c r="J2389" s="1290" t="e">
        <f>#REF!</f>
        <v>#REF!</v>
      </c>
      <c r="K2389" s="1290" t="e">
        <f>#REF!</f>
        <v>#REF!</v>
      </c>
      <c r="L2389" s="10"/>
      <c r="M2389"/>
    </row>
    <row r="2390" spans="1:13" s="4" customFormat="1" x14ac:dyDescent="0.25">
      <c r="A2390" s="1289" t="s">
        <v>1503</v>
      </c>
      <c r="B2390" s="1289"/>
      <c r="C2390" s="1286"/>
      <c r="D2390" s="1287"/>
      <c r="E2390" s="1287"/>
      <c r="F2390" s="1287"/>
      <c r="G2390" s="1287"/>
      <c r="H2390" s="1290" t="e">
        <f>#REF!</f>
        <v>#REF!</v>
      </c>
      <c r="I2390" s="1290" t="e">
        <f>#REF!</f>
        <v>#REF!</v>
      </c>
      <c r="J2390" s="1290" t="e">
        <f>#REF!</f>
        <v>#REF!</v>
      </c>
      <c r="K2390" s="1290" t="e">
        <f>#REF!</f>
        <v>#REF!</v>
      </c>
      <c r="L2390" s="10"/>
      <c r="M2390"/>
    </row>
    <row r="2391" spans="1:13" s="4" customFormat="1" x14ac:dyDescent="0.25">
      <c r="A2391" s="1289" t="s">
        <v>1024</v>
      </c>
      <c r="B2391" s="1289"/>
      <c r="C2391" s="1286"/>
      <c r="D2391" s="1287"/>
      <c r="E2391" s="1287"/>
      <c r="F2391" s="1287"/>
      <c r="G2391" s="1287"/>
      <c r="H2391" s="1290" t="e">
        <f>#REF!</f>
        <v>#REF!</v>
      </c>
      <c r="I2391" s="1290" t="e">
        <f>#REF!</f>
        <v>#REF!</v>
      </c>
      <c r="J2391" s="1290" t="e">
        <f>#REF!</f>
        <v>#REF!</v>
      </c>
      <c r="K2391" s="1290" t="e">
        <f>#REF!</f>
        <v>#REF!</v>
      </c>
      <c r="L2391" s="10"/>
      <c r="M2391"/>
    </row>
    <row r="2392" spans="1:13" s="4" customFormat="1" x14ac:dyDescent="0.25">
      <c r="A2392" s="1289" t="s">
        <v>1992</v>
      </c>
      <c r="B2392" s="1289"/>
      <c r="C2392" s="1286"/>
      <c r="D2392" s="1287"/>
      <c r="E2392" s="1287"/>
      <c r="F2392" s="1287"/>
      <c r="G2392" s="1287"/>
      <c r="H2392" s="1290" t="e">
        <f>#REF!</f>
        <v>#REF!</v>
      </c>
      <c r="I2392" s="1290" t="e">
        <f>#REF!</f>
        <v>#REF!</v>
      </c>
      <c r="J2392" s="1290" t="e">
        <f>#REF!</f>
        <v>#REF!</v>
      </c>
      <c r="K2392" s="1290" t="e">
        <f>#REF!</f>
        <v>#REF!</v>
      </c>
      <c r="L2392" s="10"/>
      <c r="M2392"/>
    </row>
    <row r="2393" spans="1:13" s="4" customFormat="1" x14ac:dyDescent="0.25">
      <c r="A2393" s="1289" t="s">
        <v>1321</v>
      </c>
      <c r="B2393" s="1289"/>
      <c r="C2393" s="1286"/>
      <c r="D2393" s="1287"/>
      <c r="E2393" s="1287"/>
      <c r="F2393" s="1287"/>
      <c r="G2393" s="1287"/>
      <c r="H2393" s="1290"/>
      <c r="I2393" s="1290"/>
      <c r="J2393" s="1290"/>
      <c r="K2393" s="1290"/>
      <c r="L2393" s="10"/>
      <c r="M2393"/>
    </row>
    <row r="2394" spans="1:13" s="4" customFormat="1" x14ac:dyDescent="0.25">
      <c r="A2394" s="1289" t="s">
        <v>1504</v>
      </c>
      <c r="B2394" s="1289"/>
      <c r="C2394" s="1286"/>
      <c r="D2394" s="1287"/>
      <c r="E2394" s="1287"/>
      <c r="F2394" s="1287"/>
      <c r="G2394" s="1287"/>
      <c r="H2394" s="1290"/>
      <c r="I2394" s="1290"/>
      <c r="J2394" s="1290"/>
      <c r="K2394" s="1290"/>
      <c r="L2394" s="10"/>
      <c r="M2394"/>
    </row>
    <row r="2395" spans="1:13" s="4" customFormat="1" x14ac:dyDescent="0.25">
      <c r="A2395" s="1289" t="s">
        <v>1505</v>
      </c>
      <c r="B2395" s="1289"/>
      <c r="C2395" s="1286"/>
      <c r="D2395" s="1287"/>
      <c r="E2395" s="1287"/>
      <c r="F2395" s="1287"/>
      <c r="G2395" s="1287"/>
      <c r="H2395" s="1290" t="e">
        <f>#REF!</f>
        <v>#REF!</v>
      </c>
      <c r="I2395" s="1290" t="e">
        <f>#REF!</f>
        <v>#REF!</v>
      </c>
      <c r="J2395" s="1290" t="e">
        <f>#REF!</f>
        <v>#REF!</v>
      </c>
      <c r="K2395" s="1290" t="e">
        <f>#REF!</f>
        <v>#REF!</v>
      </c>
      <c r="L2395" s="10"/>
      <c r="M2395"/>
    </row>
    <row r="2396" spans="1:13" s="4" customFormat="1" x14ac:dyDescent="0.25">
      <c r="A2396" s="1289" t="s">
        <v>1506</v>
      </c>
      <c r="B2396" s="1289"/>
      <c r="C2396" s="1286"/>
      <c r="D2396" s="1287"/>
      <c r="E2396" s="1287"/>
      <c r="F2396" s="1287"/>
      <c r="G2396" s="1287"/>
      <c r="H2396" s="1290" t="e">
        <f>#REF!</f>
        <v>#REF!</v>
      </c>
      <c r="I2396" s="1290" t="e">
        <f>#REF!</f>
        <v>#REF!</v>
      </c>
      <c r="J2396" s="1290" t="e">
        <f>#REF!</f>
        <v>#REF!</v>
      </c>
      <c r="K2396" s="1290" t="e">
        <f>#REF!</f>
        <v>#REF!</v>
      </c>
      <c r="L2396" s="10"/>
      <c r="M2396"/>
    </row>
    <row r="2397" spans="1:13" s="4" customFormat="1" x14ac:dyDescent="0.25">
      <c r="A2397" s="1289" t="s">
        <v>1507</v>
      </c>
      <c r="B2397" s="1289"/>
      <c r="C2397" s="1286"/>
      <c r="D2397" s="1287"/>
      <c r="E2397" s="1287"/>
      <c r="F2397" s="1287"/>
      <c r="G2397" s="1287"/>
      <c r="H2397" s="1290" t="e">
        <f>#REF!</f>
        <v>#REF!</v>
      </c>
      <c r="I2397" s="1290" t="e">
        <f>#REF!</f>
        <v>#REF!</v>
      </c>
      <c r="J2397" s="1290" t="e">
        <f>#REF!</f>
        <v>#REF!</v>
      </c>
      <c r="K2397" s="1290" t="e">
        <f>#REF!</f>
        <v>#REF!</v>
      </c>
      <c r="L2397" s="10"/>
      <c r="M2397"/>
    </row>
    <row r="2398" spans="1:13" s="4" customFormat="1" x14ac:dyDescent="0.25">
      <c r="A2398" s="1289" t="s">
        <v>1993</v>
      </c>
      <c r="B2398" s="1289"/>
      <c r="C2398" s="1286"/>
      <c r="D2398" s="1287"/>
      <c r="E2398" s="1287"/>
      <c r="F2398" s="1287"/>
      <c r="G2398" s="1287"/>
      <c r="H2398" s="1290"/>
      <c r="I2398" s="1290"/>
      <c r="J2398" s="1290"/>
      <c r="K2398" s="1290"/>
      <c r="L2398" s="10"/>
      <c r="M2398"/>
    </row>
    <row r="2399" spans="1:13" s="4" customFormat="1" x14ac:dyDescent="0.25">
      <c r="A2399" s="1289" t="s">
        <v>1994</v>
      </c>
      <c r="B2399" s="1289"/>
      <c r="C2399" s="1286"/>
      <c r="D2399" s="1287"/>
      <c r="E2399" s="1287"/>
      <c r="F2399" s="1287"/>
      <c r="G2399" s="1287"/>
      <c r="H2399" s="1290" t="e">
        <f>#REF!</f>
        <v>#REF!</v>
      </c>
      <c r="I2399" s="1290" t="e">
        <f>#REF!</f>
        <v>#REF!</v>
      </c>
      <c r="J2399" s="1290" t="e">
        <f>#REF!</f>
        <v>#REF!</v>
      </c>
      <c r="K2399" s="1290" t="e">
        <f>#REF!</f>
        <v>#REF!</v>
      </c>
      <c r="L2399" s="10"/>
      <c r="M2399"/>
    </row>
    <row r="2400" spans="1:13" s="4" customFormat="1" x14ac:dyDescent="0.25">
      <c r="A2400" s="1289" t="s">
        <v>1995</v>
      </c>
      <c r="B2400" s="1289"/>
      <c r="C2400" s="1286"/>
      <c r="D2400" s="1287"/>
      <c r="E2400" s="1287"/>
      <c r="F2400" s="1287"/>
      <c r="G2400" s="1287"/>
      <c r="H2400" s="1290"/>
      <c r="I2400" s="1290"/>
      <c r="J2400" s="1290"/>
      <c r="K2400" s="1290"/>
      <c r="L2400" s="10"/>
      <c r="M2400"/>
    </row>
    <row r="2401" spans="1:13" s="4" customFormat="1" x14ac:dyDescent="0.25">
      <c r="A2401" s="1289" t="s">
        <v>1510</v>
      </c>
      <c r="B2401" s="1289"/>
      <c r="C2401" s="1286"/>
      <c r="D2401" s="1287"/>
      <c r="E2401" s="1287"/>
      <c r="F2401" s="1287"/>
      <c r="G2401" s="1287"/>
      <c r="H2401" s="1290" t="e">
        <f>#REF!</f>
        <v>#REF!</v>
      </c>
      <c r="I2401" s="1290" t="e">
        <f>#REF!</f>
        <v>#REF!</v>
      </c>
      <c r="J2401" s="1290" t="e">
        <f>#REF!</f>
        <v>#REF!</v>
      </c>
      <c r="K2401" s="1290" t="e">
        <f>#REF!</f>
        <v>#REF!</v>
      </c>
      <c r="L2401" s="10"/>
      <c r="M2401"/>
    </row>
    <row r="2402" spans="1:13" s="4" customFormat="1" x14ac:dyDescent="0.25">
      <c r="A2402" s="1289" t="s">
        <v>27</v>
      </c>
      <c r="B2402" s="1289"/>
      <c r="C2402" s="1286"/>
      <c r="D2402" s="1287"/>
      <c r="E2402" s="1287"/>
      <c r="F2402" s="1287"/>
      <c r="G2402" s="1287"/>
      <c r="H2402" s="1290" t="e">
        <f>#REF!</f>
        <v>#REF!</v>
      </c>
      <c r="I2402" s="1290" t="e">
        <f>#REF!</f>
        <v>#REF!</v>
      </c>
      <c r="J2402" s="1290" t="e">
        <f>#REF!</f>
        <v>#REF!</v>
      </c>
      <c r="K2402" s="1290" t="e">
        <f>#REF!</f>
        <v>#REF!</v>
      </c>
      <c r="L2402" s="10"/>
      <c r="M2402"/>
    </row>
    <row r="2403" spans="1:13" s="4" customFormat="1" x14ac:dyDescent="0.25">
      <c r="A2403" s="1289" t="s">
        <v>28</v>
      </c>
      <c r="B2403" s="1289"/>
      <c r="C2403" s="1286"/>
      <c r="D2403" s="1287"/>
      <c r="E2403" s="1287"/>
      <c r="F2403" s="1287"/>
      <c r="G2403" s="1287"/>
      <c r="H2403" s="1290" t="e">
        <f>#REF!</f>
        <v>#REF!</v>
      </c>
      <c r="I2403" s="1290" t="e">
        <f>#REF!</f>
        <v>#REF!</v>
      </c>
      <c r="J2403" s="1290" t="e">
        <f>#REF!</f>
        <v>#REF!</v>
      </c>
      <c r="K2403" s="1290" t="e">
        <f>#REF!</f>
        <v>#REF!</v>
      </c>
      <c r="L2403" s="10"/>
      <c r="M2403"/>
    </row>
    <row r="2404" spans="1:13" s="4" customFormat="1" x14ac:dyDescent="0.25">
      <c r="A2404" s="1289" t="s">
        <v>29</v>
      </c>
      <c r="B2404" s="1289"/>
      <c r="C2404" s="1286"/>
      <c r="D2404" s="1287"/>
      <c r="E2404" s="1287"/>
      <c r="F2404" s="1287"/>
      <c r="G2404" s="1287"/>
      <c r="H2404" s="1290" t="e">
        <f>#REF!</f>
        <v>#REF!</v>
      </c>
      <c r="I2404" s="1290" t="e">
        <f>#REF!</f>
        <v>#REF!</v>
      </c>
      <c r="J2404" s="1290" t="e">
        <f>#REF!</f>
        <v>#REF!</v>
      </c>
      <c r="K2404" s="1290" t="e">
        <f>#REF!</f>
        <v>#REF!</v>
      </c>
      <c r="L2404" s="10"/>
      <c r="M2404"/>
    </row>
    <row r="2405" spans="1:13" s="4" customFormat="1" x14ac:dyDescent="0.25">
      <c r="A2405" s="1289" t="s">
        <v>31</v>
      </c>
      <c r="B2405" s="1289"/>
      <c r="C2405" s="1286"/>
      <c r="D2405" s="1287"/>
      <c r="E2405" s="1287"/>
      <c r="F2405" s="1287"/>
      <c r="G2405" s="1287"/>
      <c r="H2405" s="1290" t="e">
        <f>#REF!</f>
        <v>#REF!</v>
      </c>
      <c r="I2405" s="1290" t="e">
        <f>#REF!</f>
        <v>#REF!</v>
      </c>
      <c r="J2405" s="1290" t="e">
        <f>#REF!</f>
        <v>#REF!</v>
      </c>
      <c r="K2405" s="1290" t="e">
        <f>#REF!</f>
        <v>#REF!</v>
      </c>
      <c r="L2405" s="10"/>
      <c r="M2405"/>
    </row>
    <row r="2406" spans="1:13" s="4" customFormat="1" x14ac:dyDescent="0.25">
      <c r="A2406" s="1289" t="s">
        <v>32</v>
      </c>
      <c r="B2406" s="1289"/>
      <c r="C2406" s="1286"/>
      <c r="D2406" s="1287"/>
      <c r="E2406" s="1287"/>
      <c r="F2406" s="1287"/>
      <c r="G2406" s="1287"/>
      <c r="H2406" s="1290" t="e">
        <f>#REF!</f>
        <v>#REF!</v>
      </c>
      <c r="I2406" s="1290" t="e">
        <f>#REF!</f>
        <v>#REF!</v>
      </c>
      <c r="J2406" s="1290" t="e">
        <f>#REF!</f>
        <v>#REF!</v>
      </c>
      <c r="K2406" s="1290" t="e">
        <f>#REF!</f>
        <v>#REF!</v>
      </c>
      <c r="L2406" s="10"/>
      <c r="M2406"/>
    </row>
    <row r="2407" spans="1:13" s="4" customFormat="1" x14ac:dyDescent="0.25">
      <c r="A2407" s="1289" t="s">
        <v>33</v>
      </c>
      <c r="B2407" s="1289"/>
      <c r="C2407" s="1286"/>
      <c r="D2407" s="1287"/>
      <c r="E2407" s="1287"/>
      <c r="F2407" s="1287"/>
      <c r="G2407" s="1287"/>
      <c r="H2407" s="1290" t="e">
        <f>#REF!</f>
        <v>#REF!</v>
      </c>
      <c r="I2407" s="1290" t="e">
        <f>#REF!</f>
        <v>#REF!</v>
      </c>
      <c r="J2407" s="1290" t="e">
        <f>#REF!</f>
        <v>#REF!</v>
      </c>
      <c r="K2407" s="1290" t="e">
        <f>#REF!</f>
        <v>#REF!</v>
      </c>
      <c r="L2407" s="10"/>
      <c r="M2407"/>
    </row>
    <row r="2408" spans="1:13" s="4" customFormat="1" x14ac:dyDescent="0.25">
      <c r="A2408" s="1289" t="s">
        <v>1996</v>
      </c>
      <c r="B2408" s="1289"/>
      <c r="C2408" s="1286"/>
      <c r="D2408" s="1287"/>
      <c r="E2408" s="1287"/>
      <c r="F2408" s="1287"/>
      <c r="G2408" s="1287"/>
      <c r="H2408" s="1290" t="e">
        <f>#REF!</f>
        <v>#REF!</v>
      </c>
      <c r="I2408" s="1290" t="e">
        <f>#REF!</f>
        <v>#REF!</v>
      </c>
      <c r="J2408" s="1290" t="e">
        <f>#REF!</f>
        <v>#REF!</v>
      </c>
      <c r="K2408" s="1290" t="e">
        <f>#REF!</f>
        <v>#REF!</v>
      </c>
      <c r="L2408" s="10"/>
      <c r="M2408"/>
    </row>
    <row r="2409" spans="1:13" s="4" customFormat="1" x14ac:dyDescent="0.25">
      <c r="A2409" s="1289" t="s">
        <v>35</v>
      </c>
      <c r="B2409" s="1289"/>
      <c r="C2409" s="1286"/>
      <c r="D2409" s="1287"/>
      <c r="E2409" s="1287"/>
      <c r="F2409" s="1287"/>
      <c r="G2409" s="1287"/>
      <c r="H2409" s="1290" t="e">
        <f>#REF!</f>
        <v>#REF!</v>
      </c>
      <c r="I2409" s="1290" t="e">
        <f>#REF!</f>
        <v>#REF!</v>
      </c>
      <c r="J2409" s="1290" t="e">
        <f>#REF!</f>
        <v>#REF!</v>
      </c>
      <c r="K2409" s="1290" t="e">
        <f>#REF!</f>
        <v>#REF!</v>
      </c>
      <c r="L2409" s="10"/>
      <c r="M2409"/>
    </row>
    <row r="2410" spans="1:13" s="4" customFormat="1" x14ac:dyDescent="0.25">
      <c r="A2410" s="1289" t="s">
        <v>1322</v>
      </c>
      <c r="B2410" s="1289"/>
      <c r="C2410" s="1286"/>
      <c r="D2410" s="1287"/>
      <c r="E2410" s="1287"/>
      <c r="F2410" s="1287"/>
      <c r="G2410" s="1287"/>
      <c r="H2410" s="1290" t="e">
        <f>#REF!</f>
        <v>#REF!</v>
      </c>
      <c r="I2410" s="1290" t="e">
        <f>#REF!</f>
        <v>#REF!</v>
      </c>
      <c r="J2410" s="1290" t="e">
        <f>#REF!</f>
        <v>#REF!</v>
      </c>
      <c r="K2410" s="1290" t="e">
        <f>#REF!</f>
        <v>#REF!</v>
      </c>
      <c r="L2410" s="10"/>
      <c r="M2410"/>
    </row>
    <row r="2411" spans="1:13" s="4" customFormat="1" x14ac:dyDescent="0.25">
      <c r="A2411" s="1289" t="s">
        <v>1997</v>
      </c>
      <c r="B2411" s="1289"/>
      <c r="C2411" s="1286"/>
      <c r="D2411" s="1287"/>
      <c r="E2411" s="1287"/>
      <c r="F2411" s="1287"/>
      <c r="G2411" s="1287"/>
      <c r="H2411" s="1290" t="e">
        <f>#REF!</f>
        <v>#REF!</v>
      </c>
      <c r="I2411" s="1290" t="e">
        <f>#REF!</f>
        <v>#REF!</v>
      </c>
      <c r="J2411" s="1290" t="e">
        <f>#REF!</f>
        <v>#REF!</v>
      </c>
      <c r="K2411" s="1290" t="e">
        <f>#REF!</f>
        <v>#REF!</v>
      </c>
      <c r="L2411" s="10"/>
      <c r="M2411"/>
    </row>
    <row r="2412" spans="1:13" s="4" customFormat="1" x14ac:dyDescent="0.25">
      <c r="A2412" s="1289" t="s">
        <v>1998</v>
      </c>
      <c r="B2412" s="1289"/>
      <c r="C2412" s="1286"/>
      <c r="D2412" s="1287"/>
      <c r="E2412" s="1287"/>
      <c r="F2412" s="1287"/>
      <c r="G2412" s="1287"/>
      <c r="H2412" s="1290" t="e">
        <f>#REF!</f>
        <v>#REF!</v>
      </c>
      <c r="I2412" s="1290" t="e">
        <f>#REF!</f>
        <v>#REF!</v>
      </c>
      <c r="J2412" s="1290" t="e">
        <f>#REF!</f>
        <v>#REF!</v>
      </c>
      <c r="K2412" s="1290" t="e">
        <f>#REF!</f>
        <v>#REF!</v>
      </c>
      <c r="L2412" s="10"/>
      <c r="M2412"/>
    </row>
    <row r="2413" spans="1:13" s="4" customFormat="1" x14ac:dyDescent="0.25">
      <c r="A2413" s="1289" t="s">
        <v>40</v>
      </c>
      <c r="B2413" s="1289"/>
      <c r="C2413" s="1286"/>
      <c r="D2413" s="1287"/>
      <c r="E2413" s="1287"/>
      <c r="F2413" s="1287"/>
      <c r="G2413" s="1287"/>
      <c r="H2413" s="1290" t="e">
        <f>#REF!</f>
        <v>#REF!</v>
      </c>
      <c r="I2413" s="1290" t="e">
        <f>#REF!</f>
        <v>#REF!</v>
      </c>
      <c r="J2413" s="1290" t="e">
        <f>#REF!</f>
        <v>#REF!</v>
      </c>
      <c r="K2413" s="1290" t="e">
        <f>#REF!</f>
        <v>#REF!</v>
      </c>
      <c r="L2413" s="10"/>
      <c r="M2413"/>
    </row>
    <row r="2414" spans="1:13" s="4" customFormat="1" x14ac:dyDescent="0.25">
      <c r="A2414" s="1289" t="s">
        <v>1999</v>
      </c>
      <c r="B2414" s="1289"/>
      <c r="C2414" s="1286"/>
      <c r="D2414" s="1287"/>
      <c r="E2414" s="1287"/>
      <c r="F2414" s="1287"/>
      <c r="G2414" s="1287"/>
      <c r="H2414" s="1290" t="e">
        <f>#REF!</f>
        <v>#REF!</v>
      </c>
      <c r="I2414" s="1290" t="e">
        <f>#REF!</f>
        <v>#REF!</v>
      </c>
      <c r="J2414" s="1290" t="e">
        <f>#REF!</f>
        <v>#REF!</v>
      </c>
      <c r="K2414" s="1290" t="e">
        <f>#REF!</f>
        <v>#REF!</v>
      </c>
      <c r="L2414" s="10"/>
      <c r="M2414"/>
    </row>
    <row r="2415" spans="1:13" s="4" customFormat="1" x14ac:dyDescent="0.25">
      <c r="A2415" s="1285" t="s">
        <v>2007</v>
      </c>
      <c r="B2415" s="1285"/>
      <c r="C2415" s="1291"/>
      <c r="D2415" s="1287"/>
      <c r="E2415" s="1287"/>
      <c r="F2415" s="1287"/>
      <c r="G2415" s="1287"/>
      <c r="H2415" s="1292" t="e">
        <f>SUM(H2385:H2414)</f>
        <v>#REF!</v>
      </c>
      <c r="I2415" s="1292" t="e">
        <f>SUM(I2385:I2414)</f>
        <v>#REF!</v>
      </c>
      <c r="J2415" s="1292" t="e">
        <f>SUM(J2385:J2414)</f>
        <v>#REF!</v>
      </c>
      <c r="K2415" s="1292" t="e">
        <f>SUM(K2385:K2414)</f>
        <v>#REF!</v>
      </c>
      <c r="L2415" s="10"/>
      <c r="M2415"/>
    </row>
    <row r="2416" spans="1:13" s="4" customFormat="1" x14ac:dyDescent="0.25">
      <c r="A2416" s="1285"/>
      <c r="B2416" s="1285"/>
      <c r="C2416" s="1291"/>
      <c r="D2416" s="1287"/>
      <c r="E2416" s="1287"/>
      <c r="F2416" s="1287"/>
      <c r="G2416" s="1287"/>
      <c r="H2416" s="1288"/>
      <c r="I2416" s="1288"/>
      <c r="J2416" s="1288"/>
      <c r="K2416" s="1288"/>
      <c r="L2416" s="10"/>
      <c r="M2416"/>
    </row>
    <row r="2417" spans="1:13" s="4" customFormat="1" x14ac:dyDescent="0.25">
      <c r="A2417" s="1285" t="s">
        <v>1318</v>
      </c>
      <c r="B2417" s="1285"/>
      <c r="C2417" s="1291"/>
      <c r="D2417" s="1287"/>
      <c r="E2417" s="1287"/>
      <c r="F2417" s="1287"/>
      <c r="G2417" s="1287"/>
      <c r="H2417" s="1288"/>
      <c r="I2417" s="1288"/>
      <c r="J2417" s="1288"/>
      <c r="K2417" s="1288"/>
      <c r="L2417" s="10"/>
      <c r="M2417"/>
    </row>
    <row r="2418" spans="1:13" s="4" customFormat="1" x14ac:dyDescent="0.25">
      <c r="A2418" s="1289" t="s">
        <v>2001</v>
      </c>
      <c r="B2418" s="1289"/>
      <c r="C2418" s="1286"/>
      <c r="D2418" s="1287"/>
      <c r="E2418" s="1287"/>
      <c r="F2418" s="1287"/>
      <c r="G2418" s="1287"/>
      <c r="H2418" s="1290" t="e">
        <f>#REF!</f>
        <v>#REF!</v>
      </c>
      <c r="I2418" s="1290" t="e">
        <f>#REF!</f>
        <v>#REF!</v>
      </c>
      <c r="J2418" s="1290" t="e">
        <f>#REF!</f>
        <v>#REF!</v>
      </c>
      <c r="K2418" s="1290" t="e">
        <f>#REF!</f>
        <v>#REF!</v>
      </c>
      <c r="L2418" s="10"/>
      <c r="M2418"/>
    </row>
    <row r="2419" spans="1:13" s="4" customFormat="1" x14ac:dyDescent="0.25">
      <c r="A2419" s="1289" t="s">
        <v>1325</v>
      </c>
      <c r="B2419" s="1289"/>
      <c r="C2419" s="1286"/>
      <c r="D2419" s="1287"/>
      <c r="E2419" s="1287"/>
      <c r="F2419" s="1287"/>
      <c r="G2419" s="1287"/>
      <c r="H2419" s="1290" t="e">
        <f>#REF!</f>
        <v>#REF!</v>
      </c>
      <c r="I2419" s="1290" t="e">
        <f>#REF!</f>
        <v>#REF!</v>
      </c>
      <c r="J2419" s="1290" t="e">
        <f>#REF!</f>
        <v>#REF!</v>
      </c>
      <c r="K2419" s="1290" t="e">
        <f>#REF!</f>
        <v>#REF!</v>
      </c>
      <c r="L2419" s="10"/>
      <c r="M2419"/>
    </row>
    <row r="2420" spans="1:13" s="4" customFormat="1" x14ac:dyDescent="0.25">
      <c r="A2420" s="1289" t="s">
        <v>1326</v>
      </c>
      <c r="B2420" s="1289"/>
      <c r="C2420" s="1286"/>
      <c r="D2420" s="1287"/>
      <c r="E2420" s="1287"/>
      <c r="F2420" s="1287"/>
      <c r="G2420" s="1287"/>
      <c r="H2420" s="1290" t="e">
        <f>H2266</f>
        <v>#REF!</v>
      </c>
      <c r="I2420" s="1290" t="e">
        <f>I2266</f>
        <v>#REF!</v>
      </c>
      <c r="J2420" s="1290" t="e">
        <f>J2266</f>
        <v>#REF!</v>
      </c>
      <c r="K2420" s="1290" t="e">
        <f>K2266</f>
        <v>#REF!</v>
      </c>
      <c r="L2420" s="10"/>
      <c r="M2420"/>
    </row>
    <row r="2421" spans="1:13" s="4" customFormat="1" x14ac:dyDescent="0.25">
      <c r="A2421" s="1285" t="s">
        <v>2008</v>
      </c>
      <c r="B2421" s="1285"/>
      <c r="C2421" s="1291"/>
      <c r="D2421" s="1287"/>
      <c r="E2421" s="1287"/>
      <c r="F2421" s="1287"/>
      <c r="G2421" s="1287"/>
      <c r="H2421" s="1292" t="e">
        <f>SUM(H2418:H2420)</f>
        <v>#REF!</v>
      </c>
      <c r="I2421" s="1292" t="e">
        <f>SUM(I2418:I2420)</f>
        <v>#REF!</v>
      </c>
      <c r="J2421" s="1292" t="e">
        <f>SUM(J2418:J2420)</f>
        <v>#REF!</v>
      </c>
      <c r="K2421" s="1292" t="e">
        <f>SUM(K2418:K2420)</f>
        <v>#REF!</v>
      </c>
      <c r="L2421" s="10"/>
      <c r="M2421"/>
    </row>
    <row r="2422" spans="1:13" s="4" customFormat="1" x14ac:dyDescent="0.25">
      <c r="A2422" s="1285" t="s">
        <v>2009</v>
      </c>
      <c r="B2422" s="1285"/>
      <c r="C2422" s="1291"/>
      <c r="D2422" s="1287"/>
      <c r="E2422" s="1287"/>
      <c r="F2422" s="1287"/>
      <c r="G2422" s="1287"/>
      <c r="H2422" s="1292" t="e">
        <f>H2421+H2415</f>
        <v>#REF!</v>
      </c>
      <c r="I2422" s="1292" t="e">
        <f>I2421+I2415</f>
        <v>#REF!</v>
      </c>
      <c r="J2422" s="1292" t="e">
        <f>J2421+J2415</f>
        <v>#REF!</v>
      </c>
      <c r="K2422" s="1292" t="e">
        <f>K2421+K2415</f>
        <v>#REF!</v>
      </c>
      <c r="L2422" s="10"/>
      <c r="M2422"/>
    </row>
    <row r="2423" spans="1:13" s="4" customFormat="1" x14ac:dyDescent="0.25">
      <c r="A2423" s="1294"/>
      <c r="B2423" s="1294"/>
      <c r="C2423" s="591"/>
      <c r="D2423" s="235"/>
      <c r="E2423" s="235"/>
      <c r="F2423" s="235"/>
      <c r="G2423" s="235"/>
      <c r="H2423" s="201"/>
      <c r="I2423" s="201"/>
      <c r="J2423" s="201"/>
      <c r="K2423" s="201"/>
      <c r="L2423" s="10"/>
      <c r="M2423"/>
    </row>
    <row r="2424" spans="1:13" s="4" customFormat="1" x14ac:dyDescent="0.25">
      <c r="A2424" s="1285"/>
      <c r="B2424" s="1285"/>
      <c r="C2424" s="1291"/>
      <c r="D2424" s="1287"/>
      <c r="E2424" s="1287"/>
      <c r="F2424" s="1287"/>
      <c r="G2424" s="1287"/>
      <c r="H2424" s="1292"/>
      <c r="I2424" s="1292"/>
      <c r="J2424" s="1292"/>
      <c r="K2424" s="1293"/>
      <c r="L2424" s="10"/>
      <c r="M2424"/>
    </row>
    <row r="2425" spans="1:13" s="4" customFormat="1" x14ac:dyDescent="0.25">
      <c r="A2425" s="1287" t="s">
        <v>2010</v>
      </c>
      <c r="B2425" s="1287"/>
      <c r="C2425" s="1286"/>
      <c r="D2425" s="1287"/>
      <c r="E2425" s="1287"/>
      <c r="F2425" s="1287"/>
      <c r="G2425" s="1287"/>
      <c r="H2425" s="1290">
        <f>H1060</f>
        <v>0</v>
      </c>
      <c r="I2425" s="1290">
        <f>I1060</f>
        <v>37522199.079999998</v>
      </c>
      <c r="J2425" s="1290">
        <f>J1060</f>
        <v>37522199.079999998</v>
      </c>
      <c r="K2425" s="1290">
        <f>K1060</f>
        <v>37703949.079999998</v>
      </c>
      <c r="L2425" s="10"/>
      <c r="M2425"/>
    </row>
    <row r="2426" spans="1:13" s="4" customFormat="1" x14ac:dyDescent="0.25">
      <c r="A2426" s="1287" t="s">
        <v>2011</v>
      </c>
      <c r="B2426" s="1287"/>
      <c r="C2426" s="1286"/>
      <c r="D2426" s="1287"/>
      <c r="E2426" s="1287"/>
      <c r="F2426" s="1287"/>
      <c r="G2426" s="1287"/>
      <c r="H2426" s="1290">
        <f>H1067</f>
        <v>0</v>
      </c>
      <c r="I2426" s="1290">
        <f>I1067</f>
        <v>215000</v>
      </c>
      <c r="J2426" s="1290">
        <f>J1067</f>
        <v>215000</v>
      </c>
      <c r="K2426" s="1290">
        <f>K1067</f>
        <v>21765000</v>
      </c>
      <c r="L2426" s="10"/>
      <c r="M2426"/>
    </row>
    <row r="2427" spans="1:13" s="5" customFormat="1" x14ac:dyDescent="0.25">
      <c r="A2427" s="1286" t="s">
        <v>2012</v>
      </c>
      <c r="B2427" s="1286"/>
      <c r="C2427" s="1286"/>
      <c r="D2427" s="1286"/>
      <c r="E2427" s="1286"/>
      <c r="F2427" s="1286"/>
      <c r="G2427" s="1286"/>
      <c r="H2427" s="1295">
        <f>H1082</f>
        <v>0</v>
      </c>
      <c r="I2427" s="1295">
        <f>I1082</f>
        <v>0</v>
      </c>
      <c r="J2427" s="1295">
        <f>J1082</f>
        <v>0</v>
      </c>
      <c r="K2427" s="1295">
        <f>K1082</f>
        <v>0</v>
      </c>
      <c r="L2427" s="10"/>
      <c r="M2427" s="146"/>
    </row>
    <row r="2428" spans="1:13" s="5" customFormat="1" x14ac:dyDescent="0.25">
      <c r="A2428" s="1286" t="s">
        <v>1332</v>
      </c>
      <c r="B2428" s="1286"/>
      <c r="C2428" s="1286"/>
      <c r="D2428" s="1286"/>
      <c r="E2428" s="1286"/>
      <c r="F2428" s="1286"/>
      <c r="G2428" s="1286"/>
      <c r="H2428" s="1295">
        <f>H1147</f>
        <v>0</v>
      </c>
      <c r="I2428" s="1295">
        <f>I1147</f>
        <v>234457843.80000001</v>
      </c>
      <c r="J2428" s="1295">
        <f>J1147</f>
        <v>234457843.80000001</v>
      </c>
      <c r="K2428" s="1295">
        <f>K1147</f>
        <v>126807843.8</v>
      </c>
      <c r="L2428" s="10"/>
      <c r="M2428" s="146"/>
    </row>
    <row r="2429" spans="1:13" s="5" customFormat="1" x14ac:dyDescent="0.25">
      <c r="A2429" s="1286" t="s">
        <v>2013</v>
      </c>
      <c r="B2429" s="1286"/>
      <c r="C2429" s="1286"/>
      <c r="D2429" s="1286"/>
      <c r="E2429" s="1286"/>
      <c r="F2429" s="1286"/>
      <c r="G2429" s="1286"/>
      <c r="H2429" s="1295">
        <f>H1194</f>
        <v>0</v>
      </c>
      <c r="I2429" s="1295">
        <f>I1194</f>
        <v>0</v>
      </c>
      <c r="J2429" s="1295">
        <f>J1194</f>
        <v>0</v>
      </c>
      <c r="K2429" s="1295">
        <f>K1194</f>
        <v>0</v>
      </c>
      <c r="L2429" s="10"/>
      <c r="M2429" s="146"/>
    </row>
    <row r="2430" spans="1:13" s="5" customFormat="1" x14ac:dyDescent="0.25">
      <c r="A2430" s="1286" t="s">
        <v>2014</v>
      </c>
      <c r="B2430" s="1286"/>
      <c r="C2430" s="1286"/>
      <c r="D2430" s="1286"/>
      <c r="E2430" s="1286"/>
      <c r="F2430" s="1286"/>
      <c r="G2430" s="1286"/>
      <c r="H2430" s="1295">
        <f>H1251</f>
        <v>0</v>
      </c>
      <c r="I2430" s="1295">
        <f>I1251</f>
        <v>0</v>
      </c>
      <c r="J2430" s="1295">
        <f>J1251</f>
        <v>0</v>
      </c>
      <c r="K2430" s="1295">
        <f>K1251</f>
        <v>0</v>
      </c>
      <c r="L2430" s="10"/>
      <c r="M2430" s="146"/>
    </row>
    <row r="2431" spans="1:13" s="5" customFormat="1" x14ac:dyDescent="0.25">
      <c r="A2431" s="1286"/>
      <c r="B2431" s="1286"/>
      <c r="C2431" s="1286"/>
      <c r="D2431" s="1286"/>
      <c r="E2431" s="1286"/>
      <c r="F2431" s="1286"/>
      <c r="G2431" s="1286"/>
      <c r="H2431" s="1295"/>
      <c r="I2431" s="1295"/>
      <c r="J2431" s="1295"/>
      <c r="K2431" s="1295"/>
      <c r="L2431" s="10"/>
      <c r="M2431" s="146"/>
    </row>
    <row r="2432" spans="1:13" s="5" customFormat="1" x14ac:dyDescent="0.25">
      <c r="A2432" s="1286" t="s">
        <v>653</v>
      </c>
      <c r="B2432" s="1286"/>
      <c r="C2432" s="1286"/>
      <c r="D2432" s="1286"/>
      <c r="E2432" s="1286"/>
      <c r="F2432" s="1286"/>
      <c r="G2432" s="1286"/>
      <c r="H2432" s="1295">
        <f>H1434</f>
        <v>0</v>
      </c>
      <c r="I2432" s="1295">
        <f>I1434</f>
        <v>39159279.850000001</v>
      </c>
      <c r="J2432" s="1295">
        <f>J1434</f>
        <v>39159279.850000001</v>
      </c>
      <c r="K2432" s="1295">
        <f>K1434</f>
        <v>38159279.850000001</v>
      </c>
      <c r="L2432" s="10"/>
      <c r="M2432" s="146"/>
    </row>
    <row r="2433" spans="1:13" s="5" customFormat="1" x14ac:dyDescent="0.25">
      <c r="A2433" s="1286" t="s">
        <v>2015</v>
      </c>
      <c r="B2433" s="1286"/>
      <c r="C2433" s="1286"/>
      <c r="D2433" s="1286"/>
      <c r="E2433" s="1286"/>
      <c r="F2433" s="1286"/>
      <c r="G2433" s="1286"/>
      <c r="H2433" s="1295">
        <f>H1467</f>
        <v>0</v>
      </c>
      <c r="I2433" s="1295">
        <f>I1467</f>
        <v>20000000</v>
      </c>
      <c r="J2433" s="1295">
        <f>J1467</f>
        <v>20000000</v>
      </c>
      <c r="K2433" s="1295">
        <f>K1467</f>
        <v>0</v>
      </c>
      <c r="L2433" s="10"/>
      <c r="M2433" s="146"/>
    </row>
    <row r="2434" spans="1:13" s="5" customFormat="1" x14ac:dyDescent="0.25">
      <c r="A2434" s="1286" t="s">
        <v>2016</v>
      </c>
      <c r="B2434" s="1286"/>
      <c r="C2434" s="1286"/>
      <c r="D2434" s="1286"/>
      <c r="E2434" s="1286"/>
      <c r="F2434" s="1286"/>
      <c r="G2434" s="1286"/>
      <c r="H2434" s="1295">
        <f>H1475</f>
        <v>0</v>
      </c>
      <c r="I2434" s="1295">
        <f>I1475</f>
        <v>0</v>
      </c>
      <c r="J2434" s="1295">
        <f>J1475</f>
        <v>0</v>
      </c>
      <c r="K2434" s="1295">
        <f>K1475</f>
        <v>0</v>
      </c>
      <c r="L2434" s="10"/>
      <c r="M2434" s="146"/>
    </row>
    <row r="2435" spans="1:13" s="5" customFormat="1" x14ac:dyDescent="0.25">
      <c r="A2435" s="1286" t="s">
        <v>2017</v>
      </c>
      <c r="B2435" s="1286"/>
      <c r="C2435" s="1286"/>
      <c r="D2435" s="1286"/>
      <c r="E2435" s="1286"/>
      <c r="F2435" s="1286"/>
      <c r="G2435" s="1286"/>
      <c r="H2435" s="1295">
        <f>H1478</f>
        <v>0</v>
      </c>
      <c r="I2435" s="1295">
        <f>I1478</f>
        <v>0</v>
      </c>
      <c r="J2435" s="1295">
        <f>J1478</f>
        <v>0</v>
      </c>
      <c r="K2435" s="1295">
        <f>K1478</f>
        <v>0</v>
      </c>
      <c r="L2435" s="10"/>
      <c r="M2435" s="146"/>
    </row>
    <row r="2436" spans="1:13" s="5" customFormat="1" x14ac:dyDescent="0.25">
      <c r="A2436" s="1286" t="s">
        <v>2017</v>
      </c>
      <c r="B2436" s="1286"/>
      <c r="C2436" s="1286"/>
      <c r="D2436" s="1286"/>
      <c r="E2436" s="1286"/>
      <c r="F2436" s="1286"/>
      <c r="G2436" s="1286"/>
      <c r="H2436" s="1295">
        <f>H1485</f>
        <v>0</v>
      </c>
      <c r="I2436" s="1295">
        <f>I1485</f>
        <v>0</v>
      </c>
      <c r="J2436" s="1295">
        <f>J1485</f>
        <v>0</v>
      </c>
      <c r="K2436" s="1295">
        <f>K1485</f>
        <v>0</v>
      </c>
      <c r="L2436" s="10"/>
      <c r="M2436" s="146"/>
    </row>
    <row r="2437" spans="1:13" s="4" customFormat="1" x14ac:dyDescent="0.25">
      <c r="A2437" s="1287"/>
      <c r="B2437" s="1287"/>
      <c r="C2437" s="1286"/>
      <c r="D2437" s="1287"/>
      <c r="E2437" s="1287"/>
      <c r="F2437" s="1287"/>
      <c r="G2437" s="1287"/>
      <c r="H2437" s="1288"/>
      <c r="I2437" s="1288"/>
      <c r="J2437" s="1288"/>
      <c r="K2437" s="1293"/>
      <c r="L2437" s="10"/>
      <c r="M2437"/>
    </row>
    <row r="2438" spans="1:13" s="4" customFormat="1" x14ac:dyDescent="0.25">
      <c r="A2438" s="1287" t="s">
        <v>2018</v>
      </c>
      <c r="B2438" s="1287"/>
      <c r="C2438" s="1286"/>
      <c r="D2438" s="1287"/>
      <c r="E2438" s="1287"/>
      <c r="F2438" s="1287"/>
      <c r="G2438" s="1287"/>
      <c r="H2438" s="1295">
        <f>H2233</f>
        <v>0</v>
      </c>
      <c r="I2438" s="1295">
        <f>I2233</f>
        <v>18745527</v>
      </c>
      <c r="J2438" s="1295">
        <f>J2233</f>
        <v>16803527</v>
      </c>
      <c r="K2438" s="1295">
        <f>K2233</f>
        <v>20989602</v>
      </c>
      <c r="L2438" s="10"/>
      <c r="M2438"/>
    </row>
    <row r="2443" spans="1:13" x14ac:dyDescent="0.25">
      <c r="E2443" s="201"/>
      <c r="F2443" s="201"/>
      <c r="G2443" s="201">
        <f>G2433+G2432+G2428+G2426+G2425+G2422+G2378+G2338</f>
        <v>0</v>
      </c>
      <c r="H2443" s="201" t="e">
        <f>H2433+H2432+H2428+H2426+H2425+H2422+H2378+H2338+H2438+H2427+H2429+H2430+H2434+H2435+H2436</f>
        <v>#REF!</v>
      </c>
      <c r="I2443" s="201" t="e">
        <f>I2433+I2432+I2428+I2426+I2425+I2422+I2378+I2338+I2438+I2427+I2429+I2430+I2434+I2435+I2436</f>
        <v>#REF!</v>
      </c>
      <c r="J2443" s="201" t="e">
        <f>J2433+J2432+J2428+J2426+J2425+J2422+J2378+J2338+J2438+J2427+J2429+J2430+J2434+J2435+J2436</f>
        <v>#REF!</v>
      </c>
      <c r="K2443" s="201" t="e">
        <f>K2433+K2432+K2428+K2426+K2425+K2422+K2378+K2338+K2438+K2427+K2429+K2430+K2434+K2435+K2436</f>
        <v>#REF!</v>
      </c>
    </row>
    <row r="2444" spans="1:13" ht="15" x14ac:dyDescent="0.25">
      <c r="H2444" s="1194"/>
      <c r="I2444" s="1194"/>
      <c r="J2444" s="1194"/>
      <c r="K2444" s="193">
        <v>803114862.72000003</v>
      </c>
    </row>
    <row r="2445" spans="1:13" s="4" customFormat="1" x14ac:dyDescent="0.25">
      <c r="A2445" s="8"/>
      <c r="B2445" s="8"/>
      <c r="C2445" s="9"/>
      <c r="D2445" s="8"/>
      <c r="E2445" s="8"/>
      <c r="F2445" s="8"/>
      <c r="G2445" s="8"/>
      <c r="H2445" s="474" t="e">
        <f>H2443-H2444</f>
        <v>#REF!</v>
      </c>
      <c r="I2445" s="474" t="e">
        <f>I2443-I2444</f>
        <v>#REF!</v>
      </c>
      <c r="J2445" s="474" t="e">
        <f>J2443-J2444</f>
        <v>#REF!</v>
      </c>
      <c r="K2445" s="474" t="e">
        <f>K2443-K2444</f>
        <v>#REF!</v>
      </c>
      <c r="L2445" s="10"/>
      <c r="M2445"/>
    </row>
    <row r="2446" spans="1:13" s="4" customFormat="1" x14ac:dyDescent="0.25">
      <c r="A2446" s="8"/>
      <c r="B2446" s="8"/>
      <c r="C2446" s="9"/>
      <c r="D2446" s="8"/>
      <c r="E2446" s="8"/>
      <c r="F2446" s="8"/>
      <c r="G2446" s="8"/>
      <c r="K2446" s="5"/>
      <c r="L2446" s="10"/>
      <c r="M2446"/>
    </row>
    <row r="2447" spans="1:13" s="4" customFormat="1" x14ac:dyDescent="0.25">
      <c r="A2447" s="8"/>
      <c r="B2447" s="8"/>
      <c r="C2447" s="9"/>
      <c r="D2447" s="8"/>
      <c r="E2447" s="8"/>
      <c r="F2447" s="8"/>
      <c r="G2447" s="8"/>
      <c r="K2447" s="5"/>
      <c r="L2447" s="10"/>
      <c r="M2447"/>
    </row>
    <row r="2448" spans="1:13" s="4" customFormat="1" x14ac:dyDescent="0.25">
      <c r="A2448" s="8"/>
      <c r="B2448" s="8"/>
      <c r="C2448" s="9"/>
      <c r="D2448" s="8"/>
      <c r="E2448" s="8"/>
      <c r="F2448" s="8"/>
      <c r="G2448" s="8"/>
      <c r="K2448" s="5"/>
      <c r="L2448" s="10"/>
      <c r="M2448"/>
    </row>
    <row r="2449" spans="1:13" s="4" customFormat="1" x14ac:dyDescent="0.25">
      <c r="A2449" s="8"/>
      <c r="B2449" s="8"/>
      <c r="C2449" s="9"/>
      <c r="D2449" s="8"/>
      <c r="E2449" s="8"/>
      <c r="F2449" s="8"/>
      <c r="G2449" s="8"/>
      <c r="K2449" s="5"/>
      <c r="L2449" s="10"/>
      <c r="M2449"/>
    </row>
    <row r="2450" spans="1:13" s="4" customFormat="1" x14ac:dyDescent="0.25">
      <c r="A2450" s="8"/>
      <c r="B2450" s="8"/>
      <c r="C2450" s="9"/>
      <c r="D2450" s="8"/>
      <c r="E2450" s="8"/>
      <c r="F2450" s="8"/>
      <c r="G2450" s="8"/>
      <c r="K2450" s="5"/>
      <c r="L2450" s="10"/>
      <c r="M2450"/>
    </row>
    <row r="2451" spans="1:13" s="4" customFormat="1" x14ac:dyDescent="0.25">
      <c r="A2451" s="8"/>
      <c r="B2451" s="8"/>
      <c r="C2451" s="9"/>
      <c r="D2451" s="8"/>
      <c r="E2451" s="8"/>
      <c r="F2451" s="8"/>
      <c r="G2451" s="8"/>
      <c r="K2451" s="5"/>
      <c r="L2451" s="10"/>
      <c r="M2451"/>
    </row>
  </sheetData>
  <sortState ref="C536:K706">
    <sortCondition ref="C706"/>
  </sortState>
  <mergeCells count="438">
    <mergeCell ref="K1050:K1051"/>
    <mergeCell ref="C1052:D1052"/>
    <mergeCell ref="C1053:D1053"/>
    <mergeCell ref="C1055:D1055"/>
    <mergeCell ref="C1056:D1056"/>
    <mergeCell ref="C1058:D1058"/>
    <mergeCell ref="C1:F1"/>
    <mergeCell ref="A1046:J1046"/>
    <mergeCell ref="A1047:J1047"/>
    <mergeCell ref="A1050:F1051"/>
    <mergeCell ref="H1050:H1051"/>
    <mergeCell ref="I1050:I1051"/>
    <mergeCell ref="J1050:J1051"/>
    <mergeCell ref="C1014:D1014"/>
    <mergeCell ref="C1015:D1015"/>
    <mergeCell ref="C1022:D1022"/>
    <mergeCell ref="C1023:D1023"/>
    <mergeCell ref="C1033:D1033"/>
    <mergeCell ref="C1034:D1034"/>
    <mergeCell ref="K998:K999"/>
    <mergeCell ref="C1004:D1004"/>
    <mergeCell ref="C1006:D1006"/>
    <mergeCell ref="C1009:D1009"/>
    <mergeCell ref="C1011:D1011"/>
    <mergeCell ref="C1012:D1012"/>
    <mergeCell ref="A998:F999"/>
    <mergeCell ref="H998:H999"/>
    <mergeCell ref="I998:I999"/>
    <mergeCell ref="J998:J999"/>
    <mergeCell ref="A1103:J1103"/>
    <mergeCell ref="A1106:F1107"/>
    <mergeCell ref="H1106:H1107"/>
    <mergeCell ref="I1106:I1107"/>
    <mergeCell ref="J1106:J1107"/>
    <mergeCell ref="C1068:F1068"/>
    <mergeCell ref="C1072:E1072"/>
    <mergeCell ref="C1073:D1073"/>
    <mergeCell ref="K1106:K1107"/>
    <mergeCell ref="C1074:E1074"/>
    <mergeCell ref="C1075:D1075"/>
    <mergeCell ref="C1076:D1076"/>
    <mergeCell ref="C1077:D1077"/>
    <mergeCell ref="C1078:D1078"/>
    <mergeCell ref="C1079:D1079"/>
    <mergeCell ref="C1080:D1080"/>
    <mergeCell ref="C1081:D1081"/>
    <mergeCell ref="A1102:J1102"/>
    <mergeCell ref="A1170:J1170"/>
    <mergeCell ref="A1171:J1171"/>
    <mergeCell ref="A1174:F1175"/>
    <mergeCell ref="H1174:H1175"/>
    <mergeCell ref="I1174:I1175"/>
    <mergeCell ref="J1174:J1175"/>
    <mergeCell ref="A1109:D1110"/>
    <mergeCell ref="C1112:D1112"/>
    <mergeCell ref="C1121:F1121"/>
    <mergeCell ref="C1130:D1130"/>
    <mergeCell ref="C1131:D1131"/>
    <mergeCell ref="C1132:D1132"/>
    <mergeCell ref="C1141:F1141"/>
    <mergeCell ref="C1142:F1142"/>
    <mergeCell ref="C1143:D1143"/>
    <mergeCell ref="K1226:K1227"/>
    <mergeCell ref="C1191:F1191"/>
    <mergeCell ref="C1192:F1192"/>
    <mergeCell ref="C1193:D1193"/>
    <mergeCell ref="C1194:D1194"/>
    <mergeCell ref="C1195:D1195"/>
    <mergeCell ref="C1198:D1198"/>
    <mergeCell ref="C1183:D1183"/>
    <mergeCell ref="C1184:D1184"/>
    <mergeCell ref="C1185:D1185"/>
    <mergeCell ref="C1188:F1188"/>
    <mergeCell ref="C1189:F1189"/>
    <mergeCell ref="C1190:F1190"/>
    <mergeCell ref="C1199:D1199"/>
    <mergeCell ref="C1200:D1200"/>
    <mergeCell ref="C1201:D1201"/>
    <mergeCell ref="C1202:D1202"/>
    <mergeCell ref="C1203:D1203"/>
    <mergeCell ref="C1204:D1204"/>
    <mergeCell ref="K1174:K1175"/>
    <mergeCell ref="C1178:D1178"/>
    <mergeCell ref="C1179:D1179"/>
    <mergeCell ref="C1180:D1180"/>
    <mergeCell ref="C1181:D1181"/>
    <mergeCell ref="C1182:D1182"/>
    <mergeCell ref="I1294:I1295"/>
    <mergeCell ref="J1294:J1295"/>
    <mergeCell ref="C1241:D1241"/>
    <mergeCell ref="C1205:D1205"/>
    <mergeCell ref="C1206:D1206"/>
    <mergeCell ref="C1210:D1210"/>
    <mergeCell ref="C1211:D1211"/>
    <mergeCell ref="A1222:J1222"/>
    <mergeCell ref="A1223:J1223"/>
    <mergeCell ref="A1226:F1227"/>
    <mergeCell ref="H1226:H1227"/>
    <mergeCell ref="I1226:I1227"/>
    <mergeCell ref="J1226:J1227"/>
    <mergeCell ref="K1294:K1295"/>
    <mergeCell ref="C1242:D1242"/>
    <mergeCell ref="C1243:D1243"/>
    <mergeCell ref="C1244:D1244"/>
    <mergeCell ref="C1248:D1248"/>
    <mergeCell ref="C1249:D1249"/>
    <mergeCell ref="A1290:J1290"/>
    <mergeCell ref="C1321:D1321"/>
    <mergeCell ref="C1322:D1322"/>
    <mergeCell ref="C1306:D1306"/>
    <mergeCell ref="C1307:D1307"/>
    <mergeCell ref="C1308:F1308"/>
    <mergeCell ref="C1309:D1309"/>
    <mergeCell ref="C1310:D1310"/>
    <mergeCell ref="C1311:D1311"/>
    <mergeCell ref="A1296:F1296"/>
    <mergeCell ref="C1298:F1298"/>
    <mergeCell ref="C1299:F1299"/>
    <mergeCell ref="C1301:F1301"/>
    <mergeCell ref="C1304:D1304"/>
    <mergeCell ref="C1305:D1305"/>
    <mergeCell ref="A1291:J1291"/>
    <mergeCell ref="A1294:F1295"/>
    <mergeCell ref="H1294:H1295"/>
    <mergeCell ref="C1323:D1323"/>
    <mergeCell ref="C1324:D1324"/>
    <mergeCell ref="C1325:D1325"/>
    <mergeCell ref="C1326:D1326"/>
    <mergeCell ref="C1312:D1312"/>
    <mergeCell ref="C1313:D1313"/>
    <mergeCell ref="C1316:D1316"/>
    <mergeCell ref="C1317:D1317"/>
    <mergeCell ref="C1319:D1319"/>
    <mergeCell ref="C1320:D1320"/>
    <mergeCell ref="K1353:K1354"/>
    <mergeCell ref="C1355:D1355"/>
    <mergeCell ref="C1356:F1356"/>
    <mergeCell ref="C1357:D1357"/>
    <mergeCell ref="C1358:F1358"/>
    <mergeCell ref="C1362:D1362"/>
    <mergeCell ref="C1340:D1340"/>
    <mergeCell ref="A1349:J1349"/>
    <mergeCell ref="A1350:J1350"/>
    <mergeCell ref="A1353:F1354"/>
    <mergeCell ref="H1353:H1354"/>
    <mergeCell ref="I1353:I1354"/>
    <mergeCell ref="J1353:J1354"/>
    <mergeCell ref="C1329:D1329"/>
    <mergeCell ref="C1330:D1330"/>
    <mergeCell ref="C1336:D1336"/>
    <mergeCell ref="C1337:D1337"/>
    <mergeCell ref="C1338:D1338"/>
    <mergeCell ref="C1339:D1339"/>
    <mergeCell ref="C1384:D1384"/>
    <mergeCell ref="C1385:D1385"/>
    <mergeCell ref="C1387:D1387"/>
    <mergeCell ref="C1363:D1363"/>
    <mergeCell ref="C1364:F1364"/>
    <mergeCell ref="C1366:F1366"/>
    <mergeCell ref="C1367:D1367"/>
    <mergeCell ref="C1371:D1371"/>
    <mergeCell ref="C1372:D1372"/>
    <mergeCell ref="C1388:D1388"/>
    <mergeCell ref="C1389:D1389"/>
    <mergeCell ref="C1390:D1390"/>
    <mergeCell ref="C1375:D1375"/>
    <mergeCell ref="C1379:D1379"/>
    <mergeCell ref="C1380:D1380"/>
    <mergeCell ref="C1381:D1381"/>
    <mergeCell ref="C1382:D1382"/>
    <mergeCell ref="C1383:D1383"/>
    <mergeCell ref="C1427:D1427"/>
    <mergeCell ref="C1428:D1428"/>
    <mergeCell ref="C1429:D1429"/>
    <mergeCell ref="J1408:J1409"/>
    <mergeCell ref="K1408:K1409"/>
    <mergeCell ref="C1410:D1410"/>
    <mergeCell ref="C1391:F1391"/>
    <mergeCell ref="C1393:F1393"/>
    <mergeCell ref="C1394:D1394"/>
    <mergeCell ref="C1396:D1396"/>
    <mergeCell ref="A1404:J1404"/>
    <mergeCell ref="A1405:J1405"/>
    <mergeCell ref="C1411:D1411"/>
    <mergeCell ref="C1412:D1412"/>
    <mergeCell ref="C1413:D1413"/>
    <mergeCell ref="C1414:D1414"/>
    <mergeCell ref="C1415:F1415"/>
    <mergeCell ref="C1416:F1416"/>
    <mergeCell ref="A1408:F1409"/>
    <mergeCell ref="H1408:H1409"/>
    <mergeCell ref="I1408:I1409"/>
    <mergeCell ref="C1418:F1418"/>
    <mergeCell ref="C1419:F1419"/>
    <mergeCell ref="C1420:D1420"/>
    <mergeCell ref="C1421:F1421"/>
    <mergeCell ref="C1422:D1422"/>
    <mergeCell ref="C1423:D1423"/>
    <mergeCell ref="K1459:K1460"/>
    <mergeCell ref="C1461:D1461"/>
    <mergeCell ref="C1462:D1462"/>
    <mergeCell ref="C1439:D1439"/>
    <mergeCell ref="C1440:D1440"/>
    <mergeCell ref="C1441:D1441"/>
    <mergeCell ref="C1442:D1442"/>
    <mergeCell ref="C1443:D1443"/>
    <mergeCell ref="C1444:D1444"/>
    <mergeCell ref="C1430:D1430"/>
    <mergeCell ref="C1431:D1431"/>
    <mergeCell ref="C1432:D1432"/>
    <mergeCell ref="C1433:F1433"/>
    <mergeCell ref="C1434:F1434"/>
    <mergeCell ref="C1438:D1438"/>
    <mergeCell ref="C1424:D1424"/>
    <mergeCell ref="C1425:D1425"/>
    <mergeCell ref="C1426:D1426"/>
    <mergeCell ref="C1445:D1445"/>
    <mergeCell ref="C1446:D1446"/>
    <mergeCell ref="C1447:D1447"/>
    <mergeCell ref="K1519:K1520"/>
    <mergeCell ref="A1521:F1521"/>
    <mergeCell ref="C1522:F1522"/>
    <mergeCell ref="C1523:E1523"/>
    <mergeCell ref="C1524:E1524"/>
    <mergeCell ref="C1543:E1543"/>
    <mergeCell ref="A1455:J1455"/>
    <mergeCell ref="A1456:J1456"/>
    <mergeCell ref="A1459:F1460"/>
    <mergeCell ref="H1459:H1460"/>
    <mergeCell ref="I1459:I1460"/>
    <mergeCell ref="J1459:J1460"/>
    <mergeCell ref="A1515:J1515"/>
    <mergeCell ref="A1516:J1516"/>
    <mergeCell ref="A1519:F1520"/>
    <mergeCell ref="H1519:H1520"/>
    <mergeCell ref="I1519:I1520"/>
    <mergeCell ref="J1519:J1520"/>
    <mergeCell ref="C1463:D1463"/>
    <mergeCell ref="C1464:D1464"/>
    <mergeCell ref="C1465:D1465"/>
    <mergeCell ref="C1466:D1466"/>
    <mergeCell ref="C1467:F1467"/>
    <mergeCell ref="C1472:D1472"/>
    <mergeCell ref="C1482:D1482"/>
    <mergeCell ref="C1483:D1483"/>
    <mergeCell ref="C1484:D1484"/>
    <mergeCell ref="A1589:J1589"/>
    <mergeCell ref="A1590:J1590"/>
    <mergeCell ref="A1593:F1594"/>
    <mergeCell ref="H1593:H1594"/>
    <mergeCell ref="I1593:I1594"/>
    <mergeCell ref="J1593:J1594"/>
    <mergeCell ref="C1564:F1564"/>
    <mergeCell ref="C1565:F1565"/>
    <mergeCell ref="C1568:F1568"/>
    <mergeCell ref="C1569:F1569"/>
    <mergeCell ref="C1576:E1576"/>
    <mergeCell ref="C1579:D1579"/>
    <mergeCell ref="C1544:E1544"/>
    <mergeCell ref="C1545:E1545"/>
    <mergeCell ref="C1559:F1559"/>
    <mergeCell ref="C1560:F1560"/>
    <mergeCell ref="C1562:F1562"/>
    <mergeCell ref="C1563:F1563"/>
    <mergeCell ref="C1751:F1751"/>
    <mergeCell ref="C1752:D1752"/>
    <mergeCell ref="C1753:D1753"/>
    <mergeCell ref="C1697:F1697"/>
    <mergeCell ref="C1708:F1708"/>
    <mergeCell ref="C1722:D1722"/>
    <mergeCell ref="C1730:E1730"/>
    <mergeCell ref="C1731:F1731"/>
    <mergeCell ref="A1739:J1739"/>
    <mergeCell ref="A1740:J1740"/>
    <mergeCell ref="A1743:F1744"/>
    <mergeCell ref="H1743:H1744"/>
    <mergeCell ref="I1743:I1744"/>
    <mergeCell ref="J1743:J1744"/>
    <mergeCell ref="K1743:K1744"/>
    <mergeCell ref="K1593:K1594"/>
    <mergeCell ref="C1595:F1595"/>
    <mergeCell ref="C1596:F1596"/>
    <mergeCell ref="C1610:F1610"/>
    <mergeCell ref="C1611:F1611"/>
    <mergeCell ref="C1628:E1628"/>
    <mergeCell ref="K1669:K1670"/>
    <mergeCell ref="C1671:F1671"/>
    <mergeCell ref="C1672:F1672"/>
    <mergeCell ref="C1689:F1689"/>
    <mergeCell ref="C1690:F1690"/>
    <mergeCell ref="C1696:F1696"/>
    <mergeCell ref="C1632:F1632"/>
    <mergeCell ref="C1633:F1633"/>
    <mergeCell ref="C1644:D1644"/>
    <mergeCell ref="A1665:J1665"/>
    <mergeCell ref="A1666:J1666"/>
    <mergeCell ref="A1669:F1670"/>
    <mergeCell ref="H1669:H1670"/>
    <mergeCell ref="I1669:I1670"/>
    <mergeCell ref="J1669:J1670"/>
    <mergeCell ref="K1812:K1813"/>
    <mergeCell ref="C1816:D1816"/>
    <mergeCell ref="C1820:D1820"/>
    <mergeCell ref="C1821:D1821"/>
    <mergeCell ref="C1827:F1827"/>
    <mergeCell ref="C1845:F1845"/>
    <mergeCell ref="C1759:D1759"/>
    <mergeCell ref="C1765:F1765"/>
    <mergeCell ref="C1766:F1766"/>
    <mergeCell ref="A1808:J1808"/>
    <mergeCell ref="A1809:J1809"/>
    <mergeCell ref="A1812:F1813"/>
    <mergeCell ref="H1812:H1813"/>
    <mergeCell ref="I1812:I1813"/>
    <mergeCell ref="J1812:J1813"/>
    <mergeCell ref="C1863:D1863"/>
    <mergeCell ref="A1871:J1871"/>
    <mergeCell ref="A1872:J1872"/>
    <mergeCell ref="C1855:E1855"/>
    <mergeCell ref="C1856:E1856"/>
    <mergeCell ref="C1857:E1857"/>
    <mergeCell ref="C1860:D1860"/>
    <mergeCell ref="C1861:D1861"/>
    <mergeCell ref="C1862:D1862"/>
    <mergeCell ref="A1933:J1933"/>
    <mergeCell ref="A1934:J1934"/>
    <mergeCell ref="A1937:F1938"/>
    <mergeCell ref="H1937:H1938"/>
    <mergeCell ref="I1937:I1938"/>
    <mergeCell ref="J1937:J1938"/>
    <mergeCell ref="K1875:K1876"/>
    <mergeCell ref="C1903:F1903"/>
    <mergeCell ref="C1904:F1904"/>
    <mergeCell ref="C1909:D1909"/>
    <mergeCell ref="C1910:D1910"/>
    <mergeCell ref="C1911:D1911"/>
    <mergeCell ref="A1875:F1876"/>
    <mergeCell ref="H1875:H1876"/>
    <mergeCell ref="I1875:I1876"/>
    <mergeCell ref="J1875:J1876"/>
    <mergeCell ref="K1937:K1938"/>
    <mergeCell ref="C1913:D1913"/>
    <mergeCell ref="C1914:D1914"/>
    <mergeCell ref="C1916:D1916"/>
    <mergeCell ref="C1955:D1955"/>
    <mergeCell ref="C1957:E1957"/>
    <mergeCell ref="C1958:D1958"/>
    <mergeCell ref="C1959:F1959"/>
    <mergeCell ref="C1963:D1963"/>
    <mergeCell ref="C1978:D1978"/>
    <mergeCell ref="C1981:D1981"/>
    <mergeCell ref="A1991:J1991"/>
    <mergeCell ref="A1992:J1992"/>
    <mergeCell ref="C1964:D1964"/>
    <mergeCell ref="C1965:D1965"/>
    <mergeCell ref="C1968:D1968"/>
    <mergeCell ref="C1969:D1969"/>
    <mergeCell ref="C1973:F1973"/>
    <mergeCell ref="C1974:D1974"/>
    <mergeCell ref="C2071:F2071"/>
    <mergeCell ref="C2076:D2076"/>
    <mergeCell ref="C2085:D2085"/>
    <mergeCell ref="C2089:D2089"/>
    <mergeCell ref="C2091:D2091"/>
    <mergeCell ref="C2093:D2093"/>
    <mergeCell ref="K1995:K1996"/>
    <mergeCell ref="C1998:D1998"/>
    <mergeCell ref="C2003:D2003"/>
    <mergeCell ref="C2006:D2006"/>
    <mergeCell ref="C2008:D2008"/>
    <mergeCell ref="C2009:D2009"/>
    <mergeCell ref="A1995:F1996"/>
    <mergeCell ref="H1995:H1996"/>
    <mergeCell ref="I1995:I1996"/>
    <mergeCell ref="J1995:J1996"/>
    <mergeCell ref="K2064:K2065"/>
    <mergeCell ref="C2070:D2070"/>
    <mergeCell ref="C2027:D2027"/>
    <mergeCell ref="C2028:D2028"/>
    <mergeCell ref="C2044:D2044"/>
    <mergeCell ref="C2048:F2048"/>
    <mergeCell ref="A2060:J2060"/>
    <mergeCell ref="A2061:J2061"/>
    <mergeCell ref="A2064:F2065"/>
    <mergeCell ref="H2064:H2065"/>
    <mergeCell ref="I2064:I2065"/>
    <mergeCell ref="J2064:J2065"/>
    <mergeCell ref="K2192:K2193"/>
    <mergeCell ref="C2195:D2195"/>
    <mergeCell ref="C2196:D2196"/>
    <mergeCell ref="K2125:K2126"/>
    <mergeCell ref="C2129:D2129"/>
    <mergeCell ref="C2137:D2137"/>
    <mergeCell ref="C2140:D2140"/>
    <mergeCell ref="C2142:D2142"/>
    <mergeCell ref="C2150:D2150"/>
    <mergeCell ref="C2112:D2112"/>
    <mergeCell ref="A2121:J2121"/>
    <mergeCell ref="A2122:J2122"/>
    <mergeCell ref="A2125:F2126"/>
    <mergeCell ref="H2125:H2126"/>
    <mergeCell ref="I2125:I2126"/>
    <mergeCell ref="J2125:J2126"/>
    <mergeCell ref="C2094:D2094"/>
    <mergeCell ref="C2105:D2105"/>
    <mergeCell ref="C2106:D2106"/>
    <mergeCell ref="C2107:D2107"/>
    <mergeCell ref="C2108:D2108"/>
    <mergeCell ref="C2110:D2110"/>
    <mergeCell ref="C2197:D2197"/>
    <mergeCell ref="C2198:D2198"/>
    <mergeCell ref="C2199:D2199"/>
    <mergeCell ref="A2188:J2188"/>
    <mergeCell ref="A2189:J2189"/>
    <mergeCell ref="A2192:F2193"/>
    <mergeCell ref="H2192:H2193"/>
    <mergeCell ref="I2192:I2193"/>
    <mergeCell ref="J2192:J2193"/>
    <mergeCell ref="C2202:D2202"/>
    <mergeCell ref="C2205:D2205"/>
    <mergeCell ref="C2213:D2213"/>
    <mergeCell ref="C2220:D2220"/>
    <mergeCell ref="C2226:D2226"/>
    <mergeCell ref="C2227:D2227"/>
    <mergeCell ref="K2298:K2299"/>
    <mergeCell ref="A2382:F2383"/>
    <mergeCell ref="H2382:H2383"/>
    <mergeCell ref="I2382:I2383"/>
    <mergeCell ref="J2382:J2383"/>
    <mergeCell ref="K2382:K2383"/>
    <mergeCell ref="C2233:F2233"/>
    <mergeCell ref="A2260:J2260"/>
    <mergeCell ref="A2261:J2261"/>
    <mergeCell ref="C2275:D2275"/>
    <mergeCell ref="A2298:F2299"/>
    <mergeCell ref="H2298:H2299"/>
    <mergeCell ref="I2298:I2299"/>
    <mergeCell ref="J2298:J2299"/>
  </mergeCells>
  <pageMargins left="0.43307086614173229" right="0.15748031496062992" top="0.70866141732283472" bottom="1.5748031496062993" header="0.31496062992125984" footer="0.31496062992125984"/>
  <pageSetup paperSize="5" scale="65" orientation="portrait" horizontalDpi="429496729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8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N100" sqref="N100"/>
    </sheetView>
  </sheetViews>
  <sheetFormatPr defaultRowHeight="15.75" x14ac:dyDescent="0.25"/>
  <cols>
    <col min="1" max="1" width="57.5703125" style="490" hidden="1" customWidth="1"/>
    <col min="2" max="2" width="19.5703125" style="490" hidden="1" customWidth="1"/>
    <col min="3" max="3" width="19.28515625" style="490" hidden="1" customWidth="1"/>
    <col min="4" max="4" width="18.85546875" style="490" hidden="1" customWidth="1"/>
    <col min="5" max="5" width="19" style="490" hidden="1" customWidth="1"/>
    <col min="6" max="6" width="9.7109375" style="484" hidden="1" customWidth="1"/>
    <col min="7" max="7" width="24.5703125" style="484" hidden="1" customWidth="1"/>
    <col min="8" max="8" width="9.140625" hidden="1" customWidth="1"/>
    <col min="9" max="9" width="0" hidden="1" customWidth="1"/>
    <col min="10" max="10" width="28.5703125" style="484" customWidth="1"/>
    <col min="11" max="11" width="22.28515625" style="484" customWidth="1"/>
    <col min="12" max="14" width="22.28515625" customWidth="1"/>
    <col min="15" max="17" width="19.5703125" hidden="1" customWidth="1"/>
    <col min="18" max="18" width="23.28515625" style="484" hidden="1" customWidth="1"/>
    <col min="19" max="19" width="9.140625" customWidth="1"/>
  </cols>
  <sheetData>
    <row r="1" spans="1:18" ht="18" x14ac:dyDescent="0.25">
      <c r="A1" s="772" t="s">
        <v>1460</v>
      </c>
    </row>
    <row r="2" spans="1:18" ht="16.5" thickBot="1" x14ac:dyDescent="0.3"/>
    <row r="3" spans="1:18" ht="48" thickBot="1" x14ac:dyDescent="0.3">
      <c r="A3" s="791" t="s">
        <v>1320</v>
      </c>
      <c r="B3" s="731" t="s">
        <v>1331</v>
      </c>
      <c r="C3" s="773" t="s">
        <v>163</v>
      </c>
      <c r="D3" s="731" t="s">
        <v>1482</v>
      </c>
      <c r="E3" s="773" t="s">
        <v>208</v>
      </c>
      <c r="F3" s="731" t="s">
        <v>1497</v>
      </c>
      <c r="G3" s="773" t="s">
        <v>208</v>
      </c>
      <c r="H3" s="773" t="s">
        <v>208</v>
      </c>
      <c r="J3" s="1013" t="s">
        <v>1320</v>
      </c>
      <c r="K3" s="1014" t="s">
        <v>1331</v>
      </c>
      <c r="L3" s="1013" t="s">
        <v>163</v>
      </c>
      <c r="M3" s="1013" t="s">
        <v>201</v>
      </c>
      <c r="N3" s="1013" t="s">
        <v>208</v>
      </c>
      <c r="O3" s="968" t="s">
        <v>1317</v>
      </c>
      <c r="P3" s="968" t="s">
        <v>1515</v>
      </c>
      <c r="Q3" s="968" t="s">
        <v>1318</v>
      </c>
      <c r="R3" s="979" t="s">
        <v>208</v>
      </c>
    </row>
    <row r="4" spans="1:18" s="179" customFormat="1" ht="18" x14ac:dyDescent="0.25">
      <c r="A4" s="782" t="s">
        <v>1461</v>
      </c>
      <c r="B4" s="973">
        <v>6507379.3899999997</v>
      </c>
      <c r="C4" s="973">
        <v>16598534.189999999</v>
      </c>
      <c r="D4" s="973">
        <v>317000</v>
      </c>
      <c r="E4" s="899">
        <f t="shared" ref="E4:E34" si="0">SUM(B4:D4)</f>
        <v>23422913.579999998</v>
      </c>
      <c r="F4" s="974">
        <f t="shared" ref="F4:F34" si="1">E4/G4</f>
        <v>2.5687322549814155E-2</v>
      </c>
      <c r="G4" s="754">
        <v>911847217.02999997</v>
      </c>
      <c r="H4" s="975">
        <f t="shared" ref="H4:H33" si="2">B4/G4</f>
        <v>7.1364799589950442E-3</v>
      </c>
      <c r="J4" s="1004" t="s">
        <v>3</v>
      </c>
      <c r="K4" s="1005">
        <v>6507379.3899999997</v>
      </c>
      <c r="L4" s="1004">
        <v>16598534.189999999</v>
      </c>
      <c r="M4" s="1004">
        <v>317000</v>
      </c>
      <c r="N4" s="1004">
        <f t="shared" ref="N4:N32" si="3">SUM(K4:M4)</f>
        <v>23422913.579999998</v>
      </c>
      <c r="O4" s="907">
        <f>N4</f>
        <v>23422913.579999998</v>
      </c>
      <c r="P4" s="903"/>
      <c r="Q4" s="903"/>
      <c r="R4" s="980">
        <f>SUM(O4:Q4)</f>
        <v>23422913.579999998</v>
      </c>
    </row>
    <row r="5" spans="1:18" s="179" customFormat="1" ht="31.5" x14ac:dyDescent="0.25">
      <c r="A5" s="781" t="s">
        <v>209</v>
      </c>
      <c r="B5" s="976">
        <v>8173375.04</v>
      </c>
      <c r="C5" s="976">
        <v>3851489.04</v>
      </c>
      <c r="D5" s="976">
        <v>389300</v>
      </c>
      <c r="E5" s="899">
        <f t="shared" si="0"/>
        <v>12414164.08</v>
      </c>
      <c r="F5" s="977">
        <f t="shared" si="1"/>
        <v>1.3614302756150838E-2</v>
      </c>
      <c r="G5" s="754">
        <v>911847217.02999997</v>
      </c>
      <c r="H5" s="975">
        <f t="shared" si="2"/>
        <v>8.963535653068835E-3</v>
      </c>
      <c r="J5" s="1004" t="s">
        <v>1499</v>
      </c>
      <c r="K5" s="1005">
        <v>8173375.04</v>
      </c>
      <c r="L5" s="1004">
        <v>3851489.04</v>
      </c>
      <c r="M5" s="1004">
        <v>389300</v>
      </c>
      <c r="N5" s="1004">
        <f t="shared" si="3"/>
        <v>12414164.08</v>
      </c>
      <c r="O5" s="907">
        <f>N5</f>
        <v>12414164.08</v>
      </c>
      <c r="P5" s="903"/>
      <c r="Q5" s="903"/>
      <c r="R5" s="980">
        <f t="shared" ref="R5:R33" si="4">SUM(O5:Q5)</f>
        <v>12414164.08</v>
      </c>
    </row>
    <row r="6" spans="1:18" s="179" customFormat="1" ht="31.5" x14ac:dyDescent="0.25">
      <c r="A6" s="781" t="s">
        <v>1462</v>
      </c>
      <c r="B6" s="976">
        <v>706254.08</v>
      </c>
      <c r="C6" s="976">
        <v>327964</v>
      </c>
      <c r="D6" s="976">
        <v>210000</v>
      </c>
      <c r="E6" s="899">
        <f t="shared" si="0"/>
        <v>1244218.08</v>
      </c>
      <c r="F6" s="977">
        <f t="shared" si="1"/>
        <v>1.3645027991120852E-3</v>
      </c>
      <c r="G6" s="754">
        <v>911847217.02999997</v>
      </c>
      <c r="H6" s="975">
        <f t="shared" si="2"/>
        <v>7.7453115698522122E-4</v>
      </c>
      <c r="J6" s="1004" t="s">
        <v>1500</v>
      </c>
      <c r="K6" s="1005">
        <v>706254.08</v>
      </c>
      <c r="L6" s="1004">
        <v>327964</v>
      </c>
      <c r="M6" s="1004">
        <v>210000</v>
      </c>
      <c r="N6" s="1004">
        <f t="shared" si="3"/>
        <v>1244218.08</v>
      </c>
      <c r="O6" s="907"/>
      <c r="P6" s="907">
        <f>N6</f>
        <v>1244218.08</v>
      </c>
      <c r="Q6" s="903"/>
      <c r="R6" s="980">
        <f t="shared" si="4"/>
        <v>1244218.08</v>
      </c>
    </row>
    <row r="7" spans="1:18" s="179" customFormat="1" ht="31.5" x14ac:dyDescent="0.25">
      <c r="A7" s="781" t="s">
        <v>1463</v>
      </c>
      <c r="B7" s="976">
        <v>1799816</v>
      </c>
      <c r="C7" s="976">
        <v>695894</v>
      </c>
      <c r="D7" s="976">
        <v>895000</v>
      </c>
      <c r="E7" s="899">
        <f t="shared" si="0"/>
        <v>3390710</v>
      </c>
      <c r="F7" s="977">
        <f t="shared" si="1"/>
        <v>3.718506715460475E-3</v>
      </c>
      <c r="G7" s="754">
        <v>911847217.02999997</v>
      </c>
      <c r="H7" s="975">
        <f t="shared" si="2"/>
        <v>1.9738131195511295E-3</v>
      </c>
      <c r="J7" s="1004" t="s">
        <v>1501</v>
      </c>
      <c r="K7" s="1005">
        <v>1799816</v>
      </c>
      <c r="L7" s="1004">
        <v>695894</v>
      </c>
      <c r="M7" s="1004">
        <v>895000</v>
      </c>
      <c r="N7" s="1004">
        <f t="shared" si="3"/>
        <v>3390710</v>
      </c>
      <c r="O7" s="903"/>
      <c r="P7" s="903"/>
      <c r="Q7" s="907">
        <f>N7</f>
        <v>3390710</v>
      </c>
      <c r="R7" s="980">
        <f t="shared" si="4"/>
        <v>3390710</v>
      </c>
    </row>
    <row r="8" spans="1:18" s="179" customFormat="1" ht="18" x14ac:dyDescent="0.25">
      <c r="A8" s="782" t="s">
        <v>1464</v>
      </c>
      <c r="B8" s="976">
        <v>1385383.59</v>
      </c>
      <c r="C8" s="976">
        <v>161114</v>
      </c>
      <c r="D8" s="976">
        <v>40000</v>
      </c>
      <c r="E8" s="899">
        <f t="shared" si="0"/>
        <v>1586497.59</v>
      </c>
      <c r="F8" s="977">
        <f t="shared" si="1"/>
        <v>1.7398721631979319E-3</v>
      </c>
      <c r="G8" s="754">
        <v>911847217.02999997</v>
      </c>
      <c r="H8" s="975">
        <f t="shared" si="2"/>
        <v>1.5193154775559518E-3</v>
      </c>
      <c r="J8" s="1004" t="s">
        <v>1502</v>
      </c>
      <c r="K8" s="1005">
        <v>1385383.59</v>
      </c>
      <c r="L8" s="1004">
        <v>161114</v>
      </c>
      <c r="M8" s="1004">
        <v>40000</v>
      </c>
      <c r="N8" s="1004">
        <f t="shared" si="3"/>
        <v>1586497.59</v>
      </c>
      <c r="O8" s="907">
        <f>N8</f>
        <v>1586497.59</v>
      </c>
      <c r="P8" s="903"/>
      <c r="Q8" s="903"/>
      <c r="R8" s="980">
        <f t="shared" si="4"/>
        <v>1586497.59</v>
      </c>
    </row>
    <row r="9" spans="1:18" s="179" customFormat="1" ht="31.5" x14ac:dyDescent="0.25">
      <c r="A9" s="781" t="s">
        <v>1465</v>
      </c>
      <c r="B9" s="976">
        <v>1453972.54</v>
      </c>
      <c r="C9" s="976">
        <v>883258.44</v>
      </c>
      <c r="D9" s="976">
        <v>205200</v>
      </c>
      <c r="E9" s="899">
        <f t="shared" si="0"/>
        <v>2542430.98</v>
      </c>
      <c r="F9" s="977">
        <f t="shared" si="1"/>
        <v>2.7882203646801868E-3</v>
      </c>
      <c r="G9" s="754">
        <v>911847217.02999997</v>
      </c>
      <c r="H9" s="975">
        <f t="shared" si="2"/>
        <v>1.5945352607817018E-3</v>
      </c>
      <c r="J9" s="1004" t="s">
        <v>1503</v>
      </c>
      <c r="K9" s="1005">
        <v>1453972.54</v>
      </c>
      <c r="L9" s="1004">
        <v>883258.44</v>
      </c>
      <c r="M9" s="1004">
        <v>205200</v>
      </c>
      <c r="N9" s="1004">
        <f t="shared" si="3"/>
        <v>2542430.98</v>
      </c>
      <c r="O9" s="907">
        <f>N9</f>
        <v>2542430.98</v>
      </c>
      <c r="P9" s="903"/>
      <c r="Q9" s="903"/>
      <c r="R9" s="980">
        <f t="shared" si="4"/>
        <v>2542430.98</v>
      </c>
    </row>
    <row r="10" spans="1:18" s="179" customFormat="1" ht="31.5" x14ac:dyDescent="0.25">
      <c r="A10" s="781" t="s">
        <v>1466</v>
      </c>
      <c r="B10" s="976">
        <v>1169714.31</v>
      </c>
      <c r="C10" s="976">
        <v>1371075.1</v>
      </c>
      <c r="D10" s="976">
        <v>410200</v>
      </c>
      <c r="E10" s="899">
        <f t="shared" si="0"/>
        <v>2950989.41</v>
      </c>
      <c r="F10" s="977">
        <f t="shared" si="1"/>
        <v>3.2362761599599331E-3</v>
      </c>
      <c r="G10" s="754">
        <v>911847217.02999997</v>
      </c>
      <c r="H10" s="975">
        <f t="shared" si="2"/>
        <v>1.2827963809659971E-3</v>
      </c>
      <c r="J10" s="1004" t="s">
        <v>1024</v>
      </c>
      <c r="K10" s="1005">
        <v>1169714.31</v>
      </c>
      <c r="L10" s="1004">
        <v>1371075.1</v>
      </c>
      <c r="M10" s="1004">
        <v>410200</v>
      </c>
      <c r="N10" s="1004">
        <f t="shared" si="3"/>
        <v>2950989.41</v>
      </c>
      <c r="O10" s="907">
        <f>N10</f>
        <v>2950989.41</v>
      </c>
      <c r="P10" s="903"/>
      <c r="Q10" s="903"/>
      <c r="R10" s="980">
        <f t="shared" si="4"/>
        <v>2950989.41</v>
      </c>
    </row>
    <row r="11" spans="1:18" s="179" customFormat="1" ht="31.5" x14ac:dyDescent="0.25">
      <c r="A11" s="781" t="s">
        <v>1467</v>
      </c>
      <c r="B11" s="976">
        <v>1121390.32</v>
      </c>
      <c r="C11" s="976">
        <v>1692028.16</v>
      </c>
      <c r="D11" s="976">
        <v>146000</v>
      </c>
      <c r="E11" s="899">
        <f t="shared" si="0"/>
        <v>2959418.48</v>
      </c>
      <c r="F11" s="977">
        <f t="shared" si="1"/>
        <v>3.2455201098701542E-3</v>
      </c>
      <c r="G11" s="754">
        <v>911847217.02999997</v>
      </c>
      <c r="H11" s="975">
        <f t="shared" si="2"/>
        <v>1.2298006717095745E-3</v>
      </c>
      <c r="J11" s="1004" t="s">
        <v>1028</v>
      </c>
      <c r="K11" s="1005">
        <v>1121390.32</v>
      </c>
      <c r="L11" s="1004">
        <v>1692028.16</v>
      </c>
      <c r="M11" s="1004">
        <v>146000</v>
      </c>
      <c r="N11" s="1004">
        <f t="shared" si="3"/>
        <v>2959418.48</v>
      </c>
      <c r="O11" s="903"/>
      <c r="P11" s="903"/>
      <c r="Q11" s="907">
        <f>N11</f>
        <v>2959418.48</v>
      </c>
      <c r="R11" s="980">
        <f t="shared" si="4"/>
        <v>2959418.48</v>
      </c>
    </row>
    <row r="12" spans="1:18" s="179" customFormat="1" ht="31.5" x14ac:dyDescent="0.25">
      <c r="A12" s="781" t="s">
        <v>1468</v>
      </c>
      <c r="B12" s="976">
        <v>713894.96</v>
      </c>
      <c r="C12" s="976">
        <v>143912</v>
      </c>
      <c r="D12" s="976"/>
      <c r="E12" s="899">
        <f t="shared" si="0"/>
        <v>857806.96</v>
      </c>
      <c r="F12" s="977">
        <f t="shared" si="1"/>
        <v>9.4073540389143717E-4</v>
      </c>
      <c r="G12" s="754">
        <v>911847217.02999997</v>
      </c>
      <c r="H12" s="975">
        <f t="shared" si="2"/>
        <v>7.8291071866759088E-4</v>
      </c>
      <c r="J12" s="1004" t="s">
        <v>1321</v>
      </c>
      <c r="K12" s="1005">
        <v>713894.96</v>
      </c>
      <c r="L12" s="1004">
        <v>143912</v>
      </c>
      <c r="M12" s="1004"/>
      <c r="N12" s="1004">
        <f t="shared" si="3"/>
        <v>857806.96</v>
      </c>
      <c r="O12" s="903"/>
      <c r="P12" s="907">
        <f>N12</f>
        <v>857806.96</v>
      </c>
      <c r="Q12" s="903"/>
      <c r="R12" s="980">
        <f t="shared" si="4"/>
        <v>857806.96</v>
      </c>
    </row>
    <row r="13" spans="1:18" s="179" customFormat="1" ht="31.5" x14ac:dyDescent="0.25">
      <c r="A13" s="781" t="s">
        <v>1469</v>
      </c>
      <c r="B13" s="976">
        <v>2302875.69</v>
      </c>
      <c r="C13" s="976">
        <v>1713781.72</v>
      </c>
      <c r="D13" s="976"/>
      <c r="E13" s="899">
        <f t="shared" si="0"/>
        <v>4016657.41</v>
      </c>
      <c r="F13" s="977">
        <f t="shared" si="1"/>
        <v>4.4049675592395332E-3</v>
      </c>
      <c r="G13" s="754">
        <v>911847217.02999997</v>
      </c>
      <c r="H13" s="975">
        <f t="shared" si="2"/>
        <v>2.5255060792977501E-3</v>
      </c>
      <c r="J13" s="1004" t="s">
        <v>1504</v>
      </c>
      <c r="K13" s="1005">
        <v>2302875.69</v>
      </c>
      <c r="L13" s="1004">
        <v>1713781.72</v>
      </c>
      <c r="M13" s="1004"/>
      <c r="N13" s="1004">
        <f t="shared" si="3"/>
        <v>4016657.41</v>
      </c>
      <c r="O13" s="907">
        <f>N13</f>
        <v>4016657.41</v>
      </c>
      <c r="P13" s="903"/>
      <c r="Q13" s="903"/>
      <c r="R13" s="980">
        <f t="shared" si="4"/>
        <v>4016657.41</v>
      </c>
    </row>
    <row r="14" spans="1:18" s="179" customFormat="1" ht="18" x14ac:dyDescent="0.25">
      <c r="A14" s="782" t="s">
        <v>291</v>
      </c>
      <c r="B14" s="976">
        <v>3682061.72</v>
      </c>
      <c r="C14" s="976">
        <v>4625800</v>
      </c>
      <c r="D14" s="976">
        <v>40000</v>
      </c>
      <c r="E14" s="899">
        <f t="shared" si="0"/>
        <v>8347861.7200000007</v>
      </c>
      <c r="F14" s="977">
        <f t="shared" si="1"/>
        <v>9.1548908239145882E-3</v>
      </c>
      <c r="G14" s="754">
        <v>911847217.02999997</v>
      </c>
      <c r="H14" s="975">
        <f t="shared" si="2"/>
        <v>4.0380248480583556E-3</v>
      </c>
      <c r="J14" s="1004" t="s">
        <v>1505</v>
      </c>
      <c r="K14" s="1005">
        <v>3682061.72</v>
      </c>
      <c r="L14" s="1004">
        <v>4625800</v>
      </c>
      <c r="M14" s="1004">
        <v>40000</v>
      </c>
      <c r="N14" s="1004">
        <f t="shared" si="3"/>
        <v>8347861.7200000007</v>
      </c>
      <c r="O14" s="907">
        <f>N14</f>
        <v>8347861.7200000007</v>
      </c>
      <c r="P14" s="903"/>
      <c r="Q14" s="903"/>
      <c r="R14" s="980">
        <f t="shared" si="4"/>
        <v>8347861.7200000007</v>
      </c>
    </row>
    <row r="15" spans="1:18" s="179" customFormat="1" ht="31.5" x14ac:dyDescent="0.25">
      <c r="A15" s="781" t="s">
        <v>1470</v>
      </c>
      <c r="B15" s="976">
        <v>24272450.059999999</v>
      </c>
      <c r="C15" s="976">
        <v>8930800</v>
      </c>
      <c r="D15" s="976">
        <v>180000</v>
      </c>
      <c r="E15" s="899">
        <f t="shared" si="0"/>
        <v>33383250.059999999</v>
      </c>
      <c r="F15" s="977">
        <f t="shared" si="1"/>
        <v>3.6610574048504971E-2</v>
      </c>
      <c r="G15" s="754">
        <v>911847217.02999997</v>
      </c>
      <c r="H15" s="975">
        <f t="shared" si="2"/>
        <v>2.6618987925475492E-2</v>
      </c>
      <c r="J15" s="1004" t="s">
        <v>1506</v>
      </c>
      <c r="K15" s="1005">
        <v>24272450.059999999</v>
      </c>
      <c r="L15" s="1004">
        <v>8930800</v>
      </c>
      <c r="M15" s="1004">
        <v>180000</v>
      </c>
      <c r="N15" s="1004">
        <f t="shared" si="3"/>
        <v>33383250.059999999</v>
      </c>
      <c r="O15" s="907">
        <f>N15</f>
        <v>33383250.059999999</v>
      </c>
      <c r="P15" s="903"/>
      <c r="Q15" s="903"/>
      <c r="R15" s="980">
        <f t="shared" si="4"/>
        <v>33383250.059999999</v>
      </c>
    </row>
    <row r="16" spans="1:18" s="179" customFormat="1" ht="31.5" x14ac:dyDescent="0.25">
      <c r="A16" s="781" t="s">
        <v>1471</v>
      </c>
      <c r="B16" s="976">
        <v>6824169.8799999999</v>
      </c>
      <c r="C16" s="976">
        <v>3595800</v>
      </c>
      <c r="D16" s="976">
        <v>345000</v>
      </c>
      <c r="E16" s="899">
        <f t="shared" si="0"/>
        <v>10764969.879999999</v>
      </c>
      <c r="F16" s="977">
        <f t="shared" si="1"/>
        <v>1.1805672791394646E-2</v>
      </c>
      <c r="G16" s="754">
        <v>911847217.02999997</v>
      </c>
      <c r="H16" s="975">
        <f t="shared" si="2"/>
        <v>7.4838961533788212E-3</v>
      </c>
      <c r="J16" s="1004" t="s">
        <v>1507</v>
      </c>
      <c r="K16" s="1005">
        <v>6824169.8799999999</v>
      </c>
      <c r="L16" s="1004">
        <v>3595800</v>
      </c>
      <c r="M16" s="1004">
        <v>345000</v>
      </c>
      <c r="N16" s="1004">
        <f t="shared" si="3"/>
        <v>10764969.879999999</v>
      </c>
      <c r="O16" s="907">
        <f>N16</f>
        <v>10764969.879999999</v>
      </c>
      <c r="P16" s="903"/>
      <c r="Q16" s="903"/>
      <c r="R16" s="980">
        <f t="shared" si="4"/>
        <v>10764969.879999999</v>
      </c>
    </row>
    <row r="17" spans="1:18" s="179" customFormat="1" ht="18" customHeight="1" x14ac:dyDescent="0.25">
      <c r="A17" s="781" t="s">
        <v>1472</v>
      </c>
      <c r="B17" s="976">
        <v>394451.28</v>
      </c>
      <c r="C17" s="976">
        <v>259000</v>
      </c>
      <c r="D17" s="976"/>
      <c r="E17" s="899">
        <f t="shared" si="0"/>
        <v>653451.28</v>
      </c>
      <c r="F17" s="977">
        <f t="shared" si="1"/>
        <v>7.1662364900160831E-4</v>
      </c>
      <c r="G17" s="754">
        <v>911847217.02999997</v>
      </c>
      <c r="H17" s="975">
        <f t="shared" si="2"/>
        <v>4.3258483727655274E-4</v>
      </c>
      <c r="J17" s="1004" t="s">
        <v>1508</v>
      </c>
      <c r="K17" s="1005">
        <v>394451.28</v>
      </c>
      <c r="L17" s="1004">
        <v>259000</v>
      </c>
      <c r="M17" s="1004"/>
      <c r="N17" s="1004">
        <f t="shared" si="3"/>
        <v>653451.28</v>
      </c>
      <c r="O17" s="903"/>
      <c r="P17" s="907">
        <f>N17</f>
        <v>653451.28</v>
      </c>
      <c r="Q17" s="903"/>
      <c r="R17" s="980">
        <f t="shared" si="4"/>
        <v>653451.28</v>
      </c>
    </row>
    <row r="18" spans="1:18" s="179" customFormat="1" ht="18" x14ac:dyDescent="0.25">
      <c r="A18" s="782" t="s">
        <v>324</v>
      </c>
      <c r="B18" s="976">
        <v>1969437.44</v>
      </c>
      <c r="C18" s="976">
        <v>300000</v>
      </c>
      <c r="D18" s="976">
        <v>400000</v>
      </c>
      <c r="E18" s="899">
        <f t="shared" si="0"/>
        <v>2669437.44</v>
      </c>
      <c r="F18" s="977">
        <f t="shared" si="1"/>
        <v>2.9275051676910199E-3</v>
      </c>
      <c r="G18" s="754">
        <v>911847217.02999997</v>
      </c>
      <c r="H18" s="975">
        <f t="shared" si="2"/>
        <v>2.1598327035692484E-3</v>
      </c>
      <c r="J18" s="1004" t="s">
        <v>1509</v>
      </c>
      <c r="K18" s="1005">
        <v>1969437.44</v>
      </c>
      <c r="L18" s="1004">
        <v>300000</v>
      </c>
      <c r="M18" s="1004">
        <v>400000</v>
      </c>
      <c r="N18" s="1004">
        <f t="shared" si="3"/>
        <v>2669437.44</v>
      </c>
      <c r="O18" s="907">
        <f>N18</f>
        <v>2669437.44</v>
      </c>
      <c r="P18" s="903"/>
      <c r="Q18" s="903"/>
      <c r="R18" s="980">
        <f t="shared" si="4"/>
        <v>2669437.44</v>
      </c>
    </row>
    <row r="19" spans="1:18" s="179" customFormat="1" ht="18" x14ac:dyDescent="0.25">
      <c r="A19" s="782" t="s">
        <v>326</v>
      </c>
      <c r="B19" s="976">
        <v>1709074.56</v>
      </c>
      <c r="C19" s="976">
        <v>104600</v>
      </c>
      <c r="D19" s="976"/>
      <c r="E19" s="899">
        <f t="shared" si="0"/>
        <v>1813674.56</v>
      </c>
      <c r="F19" s="977">
        <f t="shared" si="1"/>
        <v>1.9890114551288146E-3</v>
      </c>
      <c r="G19" s="754">
        <v>911847217.02999997</v>
      </c>
      <c r="H19" s="975">
        <f t="shared" si="2"/>
        <v>1.8742992554900467E-3</v>
      </c>
      <c r="J19" s="1004" t="s">
        <v>26</v>
      </c>
      <c r="K19" s="1005">
        <v>1709074.56</v>
      </c>
      <c r="L19" s="1004">
        <v>104600</v>
      </c>
      <c r="M19" s="1004"/>
      <c r="N19" s="1004">
        <f t="shared" si="3"/>
        <v>1813674.56</v>
      </c>
      <c r="O19" s="907">
        <f>N19</f>
        <v>1813674.56</v>
      </c>
      <c r="P19" s="903"/>
      <c r="Q19" s="903"/>
      <c r="R19" s="980">
        <f t="shared" si="4"/>
        <v>1813674.56</v>
      </c>
    </row>
    <row r="20" spans="1:18" s="179" customFormat="1" ht="31.5" x14ac:dyDescent="0.25">
      <c r="A20" s="781" t="s">
        <v>1473</v>
      </c>
      <c r="B20" s="976">
        <v>3045246.92</v>
      </c>
      <c r="C20" s="976">
        <v>848795</v>
      </c>
      <c r="D20" s="976">
        <v>500000</v>
      </c>
      <c r="E20" s="899">
        <f t="shared" si="0"/>
        <v>4394041.92</v>
      </c>
      <c r="F20" s="977">
        <f t="shared" si="1"/>
        <v>4.818835697401087E-3</v>
      </c>
      <c r="G20" s="754">
        <v>911847217.02999997</v>
      </c>
      <c r="H20" s="975">
        <f t="shared" si="2"/>
        <v>3.3396460099080509E-3</v>
      </c>
      <c r="J20" s="1004" t="s">
        <v>1510</v>
      </c>
      <c r="K20" s="1005">
        <v>3045246.92</v>
      </c>
      <c r="L20" s="1004">
        <v>848795</v>
      </c>
      <c r="M20" s="1004">
        <v>500000</v>
      </c>
      <c r="N20" s="1004">
        <f t="shared" si="3"/>
        <v>4394041.92</v>
      </c>
      <c r="O20" s="907">
        <f t="shared" ref="O20:O27" si="5">N20</f>
        <v>4394041.92</v>
      </c>
      <c r="P20" s="903"/>
      <c r="Q20" s="903"/>
      <c r="R20" s="980">
        <f t="shared" si="4"/>
        <v>4394041.92</v>
      </c>
    </row>
    <row r="21" spans="1:18" s="179" customFormat="1" ht="31.5" x14ac:dyDescent="0.25">
      <c r="A21" s="781" t="s">
        <v>337</v>
      </c>
      <c r="B21" s="976">
        <v>6714256.6200000001</v>
      </c>
      <c r="C21" s="976">
        <v>1361610.76</v>
      </c>
      <c r="D21" s="976">
        <v>480000</v>
      </c>
      <c r="E21" s="899">
        <f t="shared" si="0"/>
        <v>8555867.379999999</v>
      </c>
      <c r="F21" s="977">
        <f t="shared" si="1"/>
        <v>9.3830054204338369E-3</v>
      </c>
      <c r="G21" s="754">
        <v>911847217.02999997</v>
      </c>
      <c r="H21" s="975">
        <f t="shared" si="2"/>
        <v>7.3633570346018831E-3</v>
      </c>
      <c r="J21" s="1004" t="s">
        <v>27</v>
      </c>
      <c r="K21" s="1005">
        <v>6714256.6200000001</v>
      </c>
      <c r="L21" s="1004">
        <v>1361610.76</v>
      </c>
      <c r="M21" s="1004">
        <v>480000</v>
      </c>
      <c r="N21" s="1004">
        <f t="shared" si="3"/>
        <v>8555867.379999999</v>
      </c>
      <c r="O21" s="907">
        <f t="shared" si="5"/>
        <v>8555867.379999999</v>
      </c>
      <c r="P21" s="903"/>
      <c r="Q21" s="903"/>
      <c r="R21" s="980">
        <f t="shared" si="4"/>
        <v>8555867.379999999</v>
      </c>
    </row>
    <row r="22" spans="1:18" ht="18" x14ac:dyDescent="0.25">
      <c r="A22" s="782" t="s">
        <v>1474</v>
      </c>
      <c r="B22" s="900">
        <v>3242523.87</v>
      </c>
      <c r="C22" s="900">
        <v>750844</v>
      </c>
      <c r="D22" s="900">
        <v>220000</v>
      </c>
      <c r="E22" s="899">
        <f t="shared" si="0"/>
        <v>4213367.87</v>
      </c>
      <c r="F22" s="805">
        <f t="shared" si="1"/>
        <v>4.6206949928777148E-3</v>
      </c>
      <c r="G22" s="484">
        <v>911847217.02999997</v>
      </c>
      <c r="H22" s="803">
        <f t="shared" si="2"/>
        <v>3.5559946989379477E-3</v>
      </c>
      <c r="J22" s="1006" t="s">
        <v>28</v>
      </c>
      <c r="K22" s="1007">
        <v>3242523.87</v>
      </c>
      <c r="L22" s="1006">
        <v>750844</v>
      </c>
      <c r="M22" s="1006">
        <v>220000</v>
      </c>
      <c r="N22" s="1006">
        <f t="shared" si="3"/>
        <v>4213367.87</v>
      </c>
      <c r="O22" s="907">
        <f t="shared" si="5"/>
        <v>4213367.87</v>
      </c>
      <c r="P22" s="902"/>
      <c r="Q22" s="902"/>
      <c r="R22" s="981">
        <f t="shared" si="4"/>
        <v>4213367.87</v>
      </c>
    </row>
    <row r="23" spans="1:18" ht="18" x14ac:dyDescent="0.25">
      <c r="A23" s="782" t="s">
        <v>352</v>
      </c>
      <c r="B23" s="900">
        <v>7500721.6900000004</v>
      </c>
      <c r="C23" s="900">
        <v>1219644.6399999999</v>
      </c>
      <c r="D23" s="900">
        <v>718500</v>
      </c>
      <c r="E23" s="899">
        <f t="shared" si="0"/>
        <v>9438866.3300000001</v>
      </c>
      <c r="F23" s="805">
        <f t="shared" si="1"/>
        <v>1.0351368248667319E-2</v>
      </c>
      <c r="G23" s="484">
        <v>911847217.02999997</v>
      </c>
      <c r="H23" s="803">
        <f t="shared" si="2"/>
        <v>8.2258535749341714E-3</v>
      </c>
      <c r="J23" s="1006" t="s">
        <v>29</v>
      </c>
      <c r="K23" s="1007">
        <v>7500721.6900000004</v>
      </c>
      <c r="L23" s="1006">
        <v>1219644.6399999999</v>
      </c>
      <c r="M23" s="1006">
        <v>718500</v>
      </c>
      <c r="N23" s="1006">
        <f t="shared" si="3"/>
        <v>9438866.3300000001</v>
      </c>
      <c r="O23" s="907">
        <f t="shared" si="5"/>
        <v>9438866.3300000001</v>
      </c>
      <c r="P23" s="902"/>
      <c r="Q23" s="902"/>
      <c r="R23" s="981">
        <f t="shared" si="4"/>
        <v>9438866.3300000001</v>
      </c>
    </row>
    <row r="24" spans="1:18" ht="18" x14ac:dyDescent="0.25">
      <c r="A24" s="782" t="s">
        <v>1475</v>
      </c>
      <c r="B24" s="900">
        <v>13047649.58</v>
      </c>
      <c r="C24" s="900">
        <v>33835798</v>
      </c>
      <c r="D24" s="900">
        <v>2620000</v>
      </c>
      <c r="E24" s="899">
        <f>SUM(B24:D24)</f>
        <v>49503447.579999998</v>
      </c>
      <c r="F24" s="805">
        <f t="shared" si="1"/>
        <v>5.4289190837516502E-2</v>
      </c>
      <c r="G24" s="484">
        <v>911847217.02999997</v>
      </c>
      <c r="H24" s="803">
        <f t="shared" si="2"/>
        <v>1.4309030434394285E-2</v>
      </c>
      <c r="J24" s="1006" t="s">
        <v>31</v>
      </c>
      <c r="K24" s="1007">
        <v>13047649.58</v>
      </c>
      <c r="L24" s="1006">
        <v>33835798</v>
      </c>
      <c r="M24" s="1006">
        <v>2620000</v>
      </c>
      <c r="N24" s="1006">
        <f t="shared" si="3"/>
        <v>49503447.579999998</v>
      </c>
      <c r="O24" s="907">
        <f t="shared" si="5"/>
        <v>49503447.579999998</v>
      </c>
      <c r="P24" s="902"/>
      <c r="Q24" s="902"/>
      <c r="R24" s="981">
        <f t="shared" si="4"/>
        <v>49503447.579999998</v>
      </c>
    </row>
    <row r="25" spans="1:18" ht="18" x14ac:dyDescent="0.25">
      <c r="A25" s="782" t="s">
        <v>425</v>
      </c>
      <c r="B25" s="900">
        <v>10338176.34</v>
      </c>
      <c r="C25" s="900">
        <v>2636910.48</v>
      </c>
      <c r="D25" s="900">
        <v>263700</v>
      </c>
      <c r="E25" s="899">
        <f>SUM(B25:D25)</f>
        <v>13238786.82</v>
      </c>
      <c r="F25" s="805">
        <f t="shared" si="1"/>
        <v>1.451864585727462E-2</v>
      </c>
      <c r="G25" s="484">
        <v>911847217.02999997</v>
      </c>
      <c r="H25" s="803">
        <f t="shared" si="2"/>
        <v>1.1337619007790284E-2</v>
      </c>
      <c r="J25" s="1006" t="s">
        <v>32</v>
      </c>
      <c r="K25" s="1007">
        <v>10338176.34</v>
      </c>
      <c r="L25" s="1006">
        <v>2636910.48</v>
      </c>
      <c r="M25" s="1006">
        <v>263700</v>
      </c>
      <c r="N25" s="1006">
        <f t="shared" si="3"/>
        <v>13238786.82</v>
      </c>
      <c r="O25" s="907">
        <f t="shared" si="5"/>
        <v>13238786.82</v>
      </c>
      <c r="P25" s="902"/>
      <c r="Q25" s="902"/>
      <c r="R25" s="981">
        <f t="shared" si="4"/>
        <v>13238786.82</v>
      </c>
    </row>
    <row r="26" spans="1:18" ht="18" x14ac:dyDescent="0.25">
      <c r="A26" s="782" t="s">
        <v>437</v>
      </c>
      <c r="B26" s="900">
        <v>6566075.4400000004</v>
      </c>
      <c r="C26" s="900">
        <v>2551141.44</v>
      </c>
      <c r="D26" s="900">
        <v>820600</v>
      </c>
      <c r="E26" s="899">
        <f t="shared" si="0"/>
        <v>9937816.8800000008</v>
      </c>
      <c r="F26" s="805">
        <f t="shared" si="1"/>
        <v>1.0898554817515053E-2</v>
      </c>
      <c r="G26" s="484">
        <v>911847217.02999997</v>
      </c>
      <c r="H26" s="803">
        <f t="shared" si="2"/>
        <v>7.2008504466203518E-3</v>
      </c>
      <c r="J26" s="1006" t="s">
        <v>33</v>
      </c>
      <c r="K26" s="1007">
        <v>6566075.4400000004</v>
      </c>
      <c r="L26" s="1006">
        <v>2551141.44</v>
      </c>
      <c r="M26" s="1006">
        <v>820600</v>
      </c>
      <c r="N26" s="1006">
        <f t="shared" si="3"/>
        <v>9937816.8800000008</v>
      </c>
      <c r="O26" s="907">
        <f t="shared" si="5"/>
        <v>9937816.8800000008</v>
      </c>
      <c r="P26" s="902"/>
      <c r="Q26" s="902"/>
      <c r="R26" s="981">
        <f t="shared" si="4"/>
        <v>9937816.8800000008</v>
      </c>
    </row>
    <row r="27" spans="1:18" ht="18" x14ac:dyDescent="0.25">
      <c r="A27" s="782" t="s">
        <v>455</v>
      </c>
      <c r="B27" s="900">
        <v>2410949.92</v>
      </c>
      <c r="C27" s="900">
        <v>760977.96</v>
      </c>
      <c r="D27" s="900">
        <v>280000</v>
      </c>
      <c r="E27" s="899">
        <f t="shared" si="0"/>
        <v>3451927.88</v>
      </c>
      <c r="F27" s="805">
        <f t="shared" si="1"/>
        <v>3.785642830871776E-3</v>
      </c>
      <c r="G27" s="484">
        <v>911847217.02999997</v>
      </c>
      <c r="H27" s="803">
        <f t="shared" si="2"/>
        <v>2.6440283799436973E-3</v>
      </c>
      <c r="J27" s="1006" t="s">
        <v>1511</v>
      </c>
      <c r="K27" s="1007">
        <v>2410949.92</v>
      </c>
      <c r="L27" s="1006">
        <v>760977.96</v>
      </c>
      <c r="M27" s="1006">
        <v>280000</v>
      </c>
      <c r="N27" s="1006">
        <f t="shared" si="3"/>
        <v>3451927.88</v>
      </c>
      <c r="O27" s="907">
        <f t="shared" si="5"/>
        <v>3451927.88</v>
      </c>
      <c r="P27" s="902"/>
      <c r="Q27" s="902"/>
      <c r="R27" s="981">
        <f t="shared" si="4"/>
        <v>3451927.88</v>
      </c>
    </row>
    <row r="28" spans="1:18" ht="18" x14ac:dyDescent="0.25">
      <c r="A28" s="782" t="s">
        <v>463</v>
      </c>
      <c r="B28" s="900">
        <v>22677437.699999999</v>
      </c>
      <c r="C28" s="900">
        <v>70077225.159999996</v>
      </c>
      <c r="D28" s="900">
        <v>1138150</v>
      </c>
      <c r="E28" s="899">
        <f t="shared" si="0"/>
        <v>93892812.859999999</v>
      </c>
      <c r="F28" s="805">
        <f t="shared" si="1"/>
        <v>0.10296989573080081</v>
      </c>
      <c r="G28" s="484">
        <v>911847217.02999997</v>
      </c>
      <c r="H28" s="803">
        <f t="shared" si="2"/>
        <v>2.4869777827324233E-2</v>
      </c>
      <c r="J28" s="1006" t="s">
        <v>35</v>
      </c>
      <c r="K28" s="1007">
        <v>22677437.699999999</v>
      </c>
      <c r="L28" s="1006">
        <v>70077225.159999996</v>
      </c>
      <c r="M28" s="1006">
        <v>1138150</v>
      </c>
      <c r="N28" s="1006">
        <f t="shared" si="3"/>
        <v>93892812.859999999</v>
      </c>
      <c r="O28" s="902"/>
      <c r="P28" s="905">
        <f>N28</f>
        <v>93892812.859999999</v>
      </c>
      <c r="Q28" s="902"/>
      <c r="R28" s="981">
        <f t="shared" si="4"/>
        <v>93892812.859999999</v>
      </c>
    </row>
    <row r="29" spans="1:18" s="179" customFormat="1" ht="31.5" x14ac:dyDescent="0.25">
      <c r="A29" s="781" t="s">
        <v>1476</v>
      </c>
      <c r="B29" s="900">
        <v>5037506.8600000003</v>
      </c>
      <c r="C29" s="900">
        <v>1312697.56</v>
      </c>
      <c r="D29" s="900">
        <v>180000</v>
      </c>
      <c r="E29" s="899">
        <f t="shared" si="0"/>
        <v>6530204.4199999999</v>
      </c>
      <c r="F29" s="805">
        <f>E29/G29</f>
        <v>7.1615115976004064E-3</v>
      </c>
      <c r="G29" s="484">
        <v>911847217.02999997</v>
      </c>
      <c r="H29" s="803">
        <f t="shared" si="2"/>
        <v>5.5245075774950411E-3</v>
      </c>
      <c r="J29" s="1006" t="s">
        <v>1322</v>
      </c>
      <c r="K29" s="1007">
        <v>5037506.8600000003</v>
      </c>
      <c r="L29" s="1006">
        <v>1312697.56</v>
      </c>
      <c r="M29" s="1006">
        <v>180000</v>
      </c>
      <c r="N29" s="1006">
        <f t="shared" si="3"/>
        <v>6530204.4199999999</v>
      </c>
      <c r="O29" s="903"/>
      <c r="P29" s="907">
        <f>N29</f>
        <v>6530204.4199999999</v>
      </c>
      <c r="Q29" s="903"/>
      <c r="R29" s="981">
        <f t="shared" si="4"/>
        <v>6530204.4199999999</v>
      </c>
    </row>
    <row r="30" spans="1:18" ht="18" x14ac:dyDescent="0.25">
      <c r="A30" s="782" t="s">
        <v>518</v>
      </c>
      <c r="B30" s="900">
        <v>11478034.970000001</v>
      </c>
      <c r="C30" s="900">
        <v>4916911.9000000004</v>
      </c>
      <c r="D30" s="900">
        <v>5143100</v>
      </c>
      <c r="E30" s="899">
        <f t="shared" si="0"/>
        <v>21538046.870000001</v>
      </c>
      <c r="F30" s="805">
        <f t="shared" si="1"/>
        <v>2.3620236447233017E-2</v>
      </c>
      <c r="G30" s="484">
        <v>911847217.02999997</v>
      </c>
      <c r="H30" s="803">
        <f t="shared" si="2"/>
        <v>1.2587673412422524E-2</v>
      </c>
      <c r="J30" s="1006" t="s">
        <v>1512</v>
      </c>
      <c r="K30" s="1007">
        <v>11478034.970000001</v>
      </c>
      <c r="L30" s="1006">
        <v>4916911.9000000004</v>
      </c>
      <c r="M30" s="1006">
        <v>5143100</v>
      </c>
      <c r="N30" s="1006">
        <f t="shared" si="3"/>
        <v>21538046.870000001</v>
      </c>
      <c r="O30" s="902"/>
      <c r="P30" s="902"/>
      <c r="Q30" s="905">
        <f>N30</f>
        <v>21538046.870000001</v>
      </c>
      <c r="R30" s="981">
        <f t="shared" si="4"/>
        <v>21538046.870000001</v>
      </c>
    </row>
    <row r="31" spans="1:18" ht="18" x14ac:dyDescent="0.25">
      <c r="A31" s="782" t="s">
        <v>551</v>
      </c>
      <c r="B31" s="900">
        <v>3883468.68</v>
      </c>
      <c r="C31" s="900">
        <v>966357</v>
      </c>
      <c r="D31" s="900">
        <v>103900</v>
      </c>
      <c r="E31" s="899">
        <f t="shared" si="0"/>
        <v>4953725.68</v>
      </c>
      <c r="F31" s="805">
        <f t="shared" si="1"/>
        <v>5.4326268562127121E-3</v>
      </c>
      <c r="G31" s="484">
        <v>911847217.02999997</v>
      </c>
      <c r="H31" s="803">
        <f t="shared" si="2"/>
        <v>4.2589028155933205E-3</v>
      </c>
      <c r="J31" s="1006" t="s">
        <v>1513</v>
      </c>
      <c r="K31" s="1007">
        <v>3883468.68</v>
      </c>
      <c r="L31" s="1006">
        <v>966357</v>
      </c>
      <c r="M31" s="1006">
        <v>103900</v>
      </c>
      <c r="N31" s="1006">
        <f t="shared" si="3"/>
        <v>4953725.68</v>
      </c>
      <c r="O31" s="902"/>
      <c r="P31" s="902"/>
      <c r="Q31" s="905">
        <f>N31</f>
        <v>4953725.68</v>
      </c>
      <c r="R31" s="981">
        <f t="shared" si="4"/>
        <v>4953725.68</v>
      </c>
    </row>
    <row r="32" spans="1:18" ht="18" x14ac:dyDescent="0.25">
      <c r="A32" s="782" t="s">
        <v>1478</v>
      </c>
      <c r="B32" s="900">
        <v>17097478.670000002</v>
      </c>
      <c r="C32" s="900">
        <v>11622164.16</v>
      </c>
      <c r="D32" s="900">
        <v>978700</v>
      </c>
      <c r="E32" s="899">
        <f t="shared" si="0"/>
        <v>29698342.830000002</v>
      </c>
      <c r="F32" s="805">
        <f t="shared" si="1"/>
        <v>3.2569428600913219E-2</v>
      </c>
      <c r="G32" s="484">
        <v>911847217.02999997</v>
      </c>
      <c r="H32" s="803">
        <f t="shared" si="2"/>
        <v>1.8750376544097617E-2</v>
      </c>
      <c r="J32" s="1006" t="s">
        <v>40</v>
      </c>
      <c r="K32" s="1007">
        <v>17097478.670000002</v>
      </c>
      <c r="L32" s="1006">
        <v>11622164.16</v>
      </c>
      <c r="M32" s="1006">
        <v>978700</v>
      </c>
      <c r="N32" s="1006">
        <f t="shared" si="3"/>
        <v>29698342.830000002</v>
      </c>
      <c r="O32" s="902"/>
      <c r="P32" s="902"/>
      <c r="Q32" s="905">
        <f>N32</f>
        <v>29698342.830000002</v>
      </c>
      <c r="R32" s="981">
        <f t="shared" si="4"/>
        <v>29698342.830000002</v>
      </c>
    </row>
    <row r="33" spans="1:18" ht="18" x14ac:dyDescent="0.25">
      <c r="A33" s="782" t="s">
        <v>1477</v>
      </c>
      <c r="B33" s="901">
        <v>3105536.12</v>
      </c>
      <c r="C33" s="901">
        <v>1677103.1</v>
      </c>
      <c r="D33" s="901">
        <v>207000</v>
      </c>
      <c r="E33" s="899">
        <f t="shared" si="0"/>
        <v>4989639.2200000007</v>
      </c>
      <c r="F33" s="805">
        <f t="shared" si="1"/>
        <v>5.4720123358514786E-3</v>
      </c>
      <c r="G33" s="484">
        <v>911847217.02999997</v>
      </c>
      <c r="H33" s="803">
        <f t="shared" si="2"/>
        <v>3.4057636652279517E-3</v>
      </c>
      <c r="J33" s="1006" t="s">
        <v>1514</v>
      </c>
      <c r="K33" s="1007">
        <v>3105536.12</v>
      </c>
      <c r="L33" s="1006">
        <v>1677103.1</v>
      </c>
      <c r="M33" s="1006">
        <v>207000</v>
      </c>
      <c r="N33" s="1006">
        <f>SUM(K33:M33)</f>
        <v>4989639.2200000007</v>
      </c>
      <c r="O33" s="902"/>
      <c r="P33" s="902"/>
      <c r="Q33" s="905">
        <f>N33</f>
        <v>4989639.2200000007</v>
      </c>
      <c r="R33" s="981">
        <f t="shared" si="4"/>
        <v>4989639.2200000007</v>
      </c>
    </row>
    <row r="34" spans="1:18" s="281" customFormat="1" ht="18" x14ac:dyDescent="0.25">
      <c r="A34" s="784" t="s">
        <v>1323</v>
      </c>
      <c r="B34" s="735">
        <f>SUM(B4:B33)</f>
        <v>180330764.24000001</v>
      </c>
      <c r="C34" s="735">
        <f>SUM(C4:C33)</f>
        <v>179793231.81</v>
      </c>
      <c r="D34" s="735">
        <f>SUM(D4:D33)</f>
        <v>17231350</v>
      </c>
      <c r="E34" s="735">
        <f t="shared" si="0"/>
        <v>377355346.05000001</v>
      </c>
      <c r="F34" s="806">
        <f t="shared" si="1"/>
        <v>0.41383615478818198</v>
      </c>
      <c r="G34" s="484">
        <v>911847217.02999997</v>
      </c>
      <c r="H34" s="803"/>
      <c r="J34" s="1008" t="s">
        <v>1323</v>
      </c>
      <c r="K34" s="1009">
        <f>SUM(K4:K33)</f>
        <v>180330764.24000001</v>
      </c>
      <c r="L34" s="1008">
        <f>SUM(L4:L33)</f>
        <v>179793231.81</v>
      </c>
      <c r="M34" s="1008">
        <f>SUM(M4:M33)</f>
        <v>17231350</v>
      </c>
      <c r="N34" s="1008">
        <f>SUM(K34:M34)</f>
        <v>377355346.05000001</v>
      </c>
      <c r="O34" s="488">
        <f>SUM(O4:O33)</f>
        <v>206646969.36999997</v>
      </c>
      <c r="P34" s="488">
        <f>SUM(P4:P33)</f>
        <v>103178493.60000001</v>
      </c>
      <c r="Q34" s="488">
        <f>SUM(Q4:Q33)</f>
        <v>67529883.079999998</v>
      </c>
      <c r="R34" s="982">
        <f>SUM(O34:Q34)</f>
        <v>377355346.04999995</v>
      </c>
    </row>
    <row r="35" spans="1:18" ht="18" x14ac:dyDescent="0.25">
      <c r="A35" s="783"/>
      <c r="B35" s="732"/>
      <c r="C35" s="732"/>
      <c r="D35" s="732"/>
      <c r="E35" s="732"/>
      <c r="F35" s="805"/>
      <c r="G35" s="484">
        <v>911847217.02999997</v>
      </c>
      <c r="H35" s="803"/>
      <c r="J35" s="1006"/>
      <c r="K35" s="1007"/>
      <c r="L35" s="1006"/>
      <c r="M35" s="1006"/>
      <c r="N35" s="1006">
        <f>SUM(K35:M35)</f>
        <v>0</v>
      </c>
      <c r="O35" s="902"/>
      <c r="P35" s="902"/>
      <c r="Q35" s="902"/>
      <c r="R35" s="981">
        <f t="shared" ref="R35:R94" si="6">SUM(O35:Q35)</f>
        <v>0</v>
      </c>
    </row>
    <row r="36" spans="1:18" ht="18" x14ac:dyDescent="0.25">
      <c r="A36" s="784" t="s">
        <v>1481</v>
      </c>
      <c r="B36" s="732"/>
      <c r="C36" s="732"/>
      <c r="D36" s="732"/>
      <c r="E36" s="732"/>
      <c r="F36" s="805"/>
      <c r="G36" s="484">
        <v>911847217.02999997</v>
      </c>
      <c r="H36" s="803"/>
      <c r="J36" s="1008" t="s">
        <v>1453</v>
      </c>
      <c r="K36" s="1007"/>
      <c r="L36" s="1006"/>
      <c r="M36" s="1006"/>
      <c r="N36" s="1006"/>
      <c r="O36" s="902"/>
      <c r="P36" s="902"/>
      <c r="Q36" s="902"/>
      <c r="R36" s="981">
        <f t="shared" si="6"/>
        <v>0</v>
      </c>
    </row>
    <row r="37" spans="1:18" ht="18" x14ac:dyDescent="0.25">
      <c r="A37" s="783" t="s">
        <v>1332</v>
      </c>
      <c r="B37" s="732"/>
      <c r="C37" s="732">
        <v>32500000</v>
      </c>
      <c r="D37" s="732">
        <v>115761034.8</v>
      </c>
      <c r="E37" s="732">
        <f>SUM(B37:D37)</f>
        <v>148261034.80000001</v>
      </c>
      <c r="F37" s="805">
        <f>E37/G37</f>
        <v>0.16259416274022823</v>
      </c>
      <c r="G37" s="484">
        <v>911847217.02999997</v>
      </c>
      <c r="H37" s="803"/>
      <c r="J37" s="1006" t="s">
        <v>1329</v>
      </c>
      <c r="K37" s="1007"/>
      <c r="L37" s="1006">
        <v>215000</v>
      </c>
      <c r="M37" s="1006"/>
      <c r="N37" s="1006">
        <f t="shared" ref="N37:N46" si="7">SUM(K37:M37)</f>
        <v>215000</v>
      </c>
      <c r="O37" s="902"/>
      <c r="P37" s="905">
        <f>N37</f>
        <v>215000</v>
      </c>
      <c r="Q37" s="902"/>
      <c r="R37" s="981">
        <f t="shared" si="6"/>
        <v>215000</v>
      </c>
    </row>
    <row r="38" spans="1:18" ht="18" x14ac:dyDescent="0.25">
      <c r="A38" s="783" t="s">
        <v>1330</v>
      </c>
      <c r="B38" s="732"/>
      <c r="C38" s="732">
        <v>29318172.93</v>
      </c>
      <c r="D38" s="732">
        <v>13400000</v>
      </c>
      <c r="E38" s="732">
        <f>SUM(B38:D38)</f>
        <v>42718172.93</v>
      </c>
      <c r="F38" s="805">
        <f>E38/G38</f>
        <v>4.6847950108504378E-2</v>
      </c>
      <c r="G38" s="484">
        <v>911847217.02999997</v>
      </c>
      <c r="H38" s="803"/>
      <c r="J38" s="1006" t="s">
        <v>1330</v>
      </c>
      <c r="K38" s="1007"/>
      <c r="L38" s="1006">
        <v>29318172.93</v>
      </c>
      <c r="M38" s="1006">
        <v>13400000</v>
      </c>
      <c r="N38" s="1006">
        <f>SUM(K38:M38)</f>
        <v>42718172.93</v>
      </c>
      <c r="O38" s="902"/>
      <c r="P38" s="905">
        <f>N38</f>
        <v>42718172.93</v>
      </c>
      <c r="Q38" s="902"/>
      <c r="R38" s="981">
        <f t="shared" si="6"/>
        <v>42718172.93</v>
      </c>
    </row>
    <row r="39" spans="1:18" ht="18" x14ac:dyDescent="0.25">
      <c r="A39" s="783" t="s">
        <v>1329</v>
      </c>
      <c r="B39" s="732"/>
      <c r="C39" s="732">
        <v>215000</v>
      </c>
      <c r="D39" s="732"/>
      <c r="E39" s="732">
        <f>SUM(B39:D39)</f>
        <v>215000</v>
      </c>
      <c r="F39" s="805">
        <f>E39/G39</f>
        <v>2.3578511398025844E-4</v>
      </c>
      <c r="G39" s="484">
        <v>911847217.02999997</v>
      </c>
      <c r="H39" s="803"/>
      <c r="J39" s="1006" t="s">
        <v>1332</v>
      </c>
      <c r="K39" s="1007"/>
      <c r="L39" s="1006">
        <v>32500000</v>
      </c>
      <c r="M39" s="1006">
        <v>115761034.8</v>
      </c>
      <c r="N39" s="1006">
        <f t="shared" si="7"/>
        <v>148261034.80000001</v>
      </c>
      <c r="O39" s="902"/>
      <c r="P39" s="905">
        <f>N39</f>
        <v>148261034.80000001</v>
      </c>
      <c r="Q39" s="902"/>
      <c r="R39" s="981">
        <f t="shared" si="6"/>
        <v>148261034.80000001</v>
      </c>
    </row>
    <row r="40" spans="1:18" s="281" customFormat="1" ht="18" x14ac:dyDescent="0.25">
      <c r="A40" s="784" t="s">
        <v>1458</v>
      </c>
      <c r="B40" s="735"/>
      <c r="C40" s="735">
        <f>SUM(C37:C39)</f>
        <v>62033172.93</v>
      </c>
      <c r="D40" s="735">
        <f>SUM(D37:D39)</f>
        <v>129161034.8</v>
      </c>
      <c r="E40" s="735">
        <f>SUM(E37:E39)</f>
        <v>191194207.73000002</v>
      </c>
      <c r="F40" s="806">
        <f>E40/G40</f>
        <v>0.20967789796271286</v>
      </c>
      <c r="G40" s="484">
        <v>911847217.02999997</v>
      </c>
      <c r="H40" s="803"/>
      <c r="J40" s="1008" t="s">
        <v>1333</v>
      </c>
      <c r="K40" s="1009">
        <f t="shared" ref="K40:Q40" si="8">SUM(K37:K39)</f>
        <v>0</v>
      </c>
      <c r="L40" s="1008">
        <f t="shared" si="8"/>
        <v>62033172.93</v>
      </c>
      <c r="M40" s="1008">
        <f t="shared" si="8"/>
        <v>129161034.8</v>
      </c>
      <c r="N40" s="1008">
        <f t="shared" si="8"/>
        <v>191194207.73000002</v>
      </c>
      <c r="O40" s="488">
        <f t="shared" si="8"/>
        <v>0</v>
      </c>
      <c r="P40" s="488">
        <f t="shared" si="8"/>
        <v>191194207.73000002</v>
      </c>
      <c r="Q40" s="488">
        <f t="shared" si="8"/>
        <v>0</v>
      </c>
      <c r="R40" s="982">
        <f t="shared" si="6"/>
        <v>191194207.73000002</v>
      </c>
    </row>
    <row r="41" spans="1:18" ht="18" x14ac:dyDescent="0.25">
      <c r="A41" s="783"/>
      <c r="B41" s="732"/>
      <c r="C41" s="732"/>
      <c r="D41" s="732"/>
      <c r="E41" s="732">
        <f>SUM(B41:D41)</f>
        <v>0</v>
      </c>
      <c r="F41" s="805"/>
      <c r="G41" s="484">
        <v>911847217.02999997</v>
      </c>
      <c r="H41" s="803"/>
      <c r="J41" s="1006"/>
      <c r="K41" s="1007"/>
      <c r="L41" s="1006"/>
      <c r="M41" s="1006"/>
      <c r="N41" s="1006">
        <f t="shared" si="7"/>
        <v>0</v>
      </c>
      <c r="O41" s="902"/>
      <c r="P41" s="902"/>
      <c r="Q41" s="902"/>
      <c r="R41" s="981">
        <f t="shared" si="6"/>
        <v>0</v>
      </c>
    </row>
    <row r="42" spans="1:18" ht="18" x14ac:dyDescent="0.25">
      <c r="A42" s="784" t="s">
        <v>1480</v>
      </c>
      <c r="B42" s="732"/>
      <c r="C42" s="732"/>
      <c r="D42" s="732"/>
      <c r="E42" s="732">
        <f>SUM(B42:D42)</f>
        <v>0</v>
      </c>
      <c r="F42" s="805"/>
      <c r="G42" s="484">
        <v>911847217.02999997</v>
      </c>
      <c r="H42" s="803"/>
      <c r="J42" s="1008" t="s">
        <v>1524</v>
      </c>
      <c r="K42" s="1007"/>
      <c r="L42" s="1006"/>
      <c r="M42" s="1006"/>
      <c r="N42" s="1006">
        <f t="shared" si="7"/>
        <v>0</v>
      </c>
      <c r="O42" s="902"/>
      <c r="P42" s="902"/>
      <c r="Q42" s="902"/>
      <c r="R42" s="981">
        <f t="shared" si="6"/>
        <v>0</v>
      </c>
    </row>
    <row r="43" spans="1:18" ht="18" x14ac:dyDescent="0.25">
      <c r="A43" s="783" t="s">
        <v>1360</v>
      </c>
      <c r="B43" s="732"/>
      <c r="C43" s="732">
        <v>57947809.020000003</v>
      </c>
      <c r="D43" s="732"/>
      <c r="E43" s="732">
        <f>SUM(B43:D43)</f>
        <v>57947809.020000003</v>
      </c>
      <c r="F43" s="805">
        <f>E43/G43</f>
        <v>6.3549910486916036E-2</v>
      </c>
      <c r="G43" s="484">
        <v>911847217.02999997</v>
      </c>
      <c r="H43" s="803"/>
      <c r="J43" s="1006" t="s">
        <v>1335</v>
      </c>
      <c r="K43" s="1007"/>
      <c r="L43" s="1006">
        <v>37402000</v>
      </c>
      <c r="M43" s="1006"/>
      <c r="N43" s="1006">
        <f t="shared" si="7"/>
        <v>37402000</v>
      </c>
      <c r="O43" s="902"/>
      <c r="P43" s="905">
        <f>N43</f>
        <v>37402000</v>
      </c>
      <c r="Q43" s="902"/>
      <c r="R43" s="981">
        <f t="shared" si="6"/>
        <v>37402000</v>
      </c>
    </row>
    <row r="44" spans="1:18" ht="18" x14ac:dyDescent="0.25">
      <c r="A44" s="783" t="s">
        <v>1335</v>
      </c>
      <c r="B44" s="732"/>
      <c r="C44" s="732">
        <f>146293047.68-150000</f>
        <v>146143047.68000001</v>
      </c>
      <c r="D44" s="732">
        <v>150000</v>
      </c>
      <c r="E44" s="732">
        <f>SUM(B44:D44)</f>
        <v>146293047.68000001</v>
      </c>
      <c r="F44" s="805">
        <f>E44/G44</f>
        <v>0.16043592056627062</v>
      </c>
      <c r="G44" s="484">
        <v>911847217.02999997</v>
      </c>
      <c r="H44" s="803"/>
      <c r="J44" s="1006" t="s">
        <v>1236</v>
      </c>
      <c r="K44" s="1007"/>
      <c r="L44" s="1006">
        <v>1010000</v>
      </c>
      <c r="M44" s="1006">
        <v>160000</v>
      </c>
      <c r="N44" s="1006">
        <f t="shared" si="7"/>
        <v>1170000</v>
      </c>
      <c r="O44" s="902"/>
      <c r="P44" s="902"/>
      <c r="Q44" s="905">
        <f>N44</f>
        <v>1170000</v>
      </c>
      <c r="R44" s="981">
        <f t="shared" si="6"/>
        <v>1170000</v>
      </c>
    </row>
    <row r="45" spans="1:18" ht="18" x14ac:dyDescent="0.25">
      <c r="A45" s="783" t="s">
        <v>1425</v>
      </c>
      <c r="B45" s="732"/>
      <c r="C45" s="732">
        <f>98373035-D45</f>
        <v>98213035</v>
      </c>
      <c r="D45" s="732">
        <v>160000</v>
      </c>
      <c r="E45" s="732">
        <f>SUM(B45:D45)</f>
        <v>98373035</v>
      </c>
      <c r="F45" s="805">
        <f>E45/G45</f>
        <v>0.10788324311655327</v>
      </c>
      <c r="G45" s="484">
        <v>911847217.02999997</v>
      </c>
      <c r="H45" s="803"/>
      <c r="J45" s="1006" t="s">
        <v>1336</v>
      </c>
      <c r="K45" s="1007"/>
      <c r="L45" s="1006">
        <v>4200000</v>
      </c>
      <c r="M45" s="1006"/>
      <c r="N45" s="1006">
        <f t="shared" si="7"/>
        <v>4200000</v>
      </c>
      <c r="O45" s="902"/>
      <c r="P45" s="902"/>
      <c r="Q45" s="905">
        <f>N45</f>
        <v>4200000</v>
      </c>
      <c r="R45" s="981">
        <f t="shared" si="6"/>
        <v>4200000</v>
      </c>
    </row>
    <row r="46" spans="1:18" s="281" customFormat="1" ht="18" x14ac:dyDescent="0.25">
      <c r="A46" s="785" t="s">
        <v>1479</v>
      </c>
      <c r="B46" s="735"/>
      <c r="C46" s="735">
        <f>SUM(C43:C45)</f>
        <v>302303891.70000005</v>
      </c>
      <c r="D46" s="735">
        <f>SUM(D43:D45)</f>
        <v>310000</v>
      </c>
      <c r="E46" s="735">
        <f>SUM(E43:E45)</f>
        <v>302613891.70000005</v>
      </c>
      <c r="F46" s="806">
        <f>E46/G46</f>
        <v>0.33186907416973999</v>
      </c>
      <c r="G46" s="484">
        <v>911847217.02999997</v>
      </c>
      <c r="H46" s="803"/>
      <c r="J46" s="1006" t="s">
        <v>1337</v>
      </c>
      <c r="K46" s="1007"/>
      <c r="L46" s="1006">
        <v>11145647</v>
      </c>
      <c r="M46" s="1006"/>
      <c r="N46" s="1006">
        <f t="shared" si="7"/>
        <v>11145647</v>
      </c>
      <c r="O46" s="906">
        <f>N46</f>
        <v>11145647</v>
      </c>
      <c r="P46" s="904"/>
      <c r="Q46" s="904"/>
      <c r="R46" s="981">
        <f t="shared" si="6"/>
        <v>11145647</v>
      </c>
    </row>
    <row r="47" spans="1:18" s="281" customFormat="1" ht="18" x14ac:dyDescent="0.25">
      <c r="A47" s="784" t="s">
        <v>1260</v>
      </c>
      <c r="B47" s="735">
        <f>B46+B40+B34</f>
        <v>180330764.24000001</v>
      </c>
      <c r="C47" s="735">
        <f>C46+C40+C34</f>
        <v>544130296.44000006</v>
      </c>
      <c r="D47" s="735">
        <f>D46+D40+D34</f>
        <v>146702384.80000001</v>
      </c>
      <c r="E47" s="735">
        <f>E46+E40+E34</f>
        <v>871163445.48000002</v>
      </c>
      <c r="F47" s="806">
        <f>E47/G47</f>
        <v>0.95538312692063476</v>
      </c>
      <c r="G47" s="484">
        <v>911847217.02999997</v>
      </c>
      <c r="H47" s="803"/>
      <c r="J47" s="1008" t="s">
        <v>1338</v>
      </c>
      <c r="K47" s="1009">
        <f t="shared" ref="K47:Q47" si="9">SUM(K43:K46)</f>
        <v>0</v>
      </c>
      <c r="L47" s="1008">
        <f t="shared" si="9"/>
        <v>53757647</v>
      </c>
      <c r="M47" s="1008">
        <f t="shared" si="9"/>
        <v>160000</v>
      </c>
      <c r="N47" s="1008">
        <f t="shared" si="9"/>
        <v>53917647</v>
      </c>
      <c r="O47" s="488">
        <f t="shared" si="9"/>
        <v>11145647</v>
      </c>
      <c r="P47" s="488">
        <f t="shared" si="9"/>
        <v>37402000</v>
      </c>
      <c r="Q47" s="488">
        <f t="shared" si="9"/>
        <v>5370000</v>
      </c>
      <c r="R47" s="982">
        <f t="shared" si="6"/>
        <v>53917647</v>
      </c>
    </row>
    <row r="48" spans="1:18" ht="18" x14ac:dyDescent="0.25">
      <c r="A48" s="783"/>
      <c r="B48" s="732"/>
      <c r="C48" s="732"/>
      <c r="D48" s="732"/>
      <c r="E48" s="732"/>
      <c r="F48" s="805"/>
      <c r="G48" s="484">
        <v>911847217.02999997</v>
      </c>
      <c r="H48" s="803">
        <f>B48/G48</f>
        <v>0</v>
      </c>
      <c r="J48" s="1006"/>
      <c r="K48" s="1007"/>
      <c r="L48" s="1006"/>
      <c r="M48" s="1006"/>
      <c r="N48" s="1006"/>
      <c r="O48" s="902"/>
      <c r="P48" s="902"/>
      <c r="Q48" s="902"/>
      <c r="R48" s="981">
        <f t="shared" si="6"/>
        <v>0</v>
      </c>
    </row>
    <row r="49" spans="1:18" ht="18" x14ac:dyDescent="0.25">
      <c r="A49" s="784" t="s">
        <v>1364</v>
      </c>
      <c r="B49" s="732"/>
      <c r="C49" s="732"/>
      <c r="D49" s="732"/>
      <c r="E49" s="732"/>
      <c r="F49" s="805"/>
      <c r="G49" s="484">
        <v>911847217.02999997</v>
      </c>
      <c r="H49" s="803">
        <f>B49/G49</f>
        <v>0</v>
      </c>
      <c r="J49" s="1010" t="s">
        <v>1339</v>
      </c>
      <c r="K49" s="1007"/>
      <c r="L49" s="1008">
        <v>20000000</v>
      </c>
      <c r="M49" s="1008"/>
      <c r="N49" s="1008">
        <f>SUM(K49:M49)</f>
        <v>20000000</v>
      </c>
      <c r="O49" s="902"/>
      <c r="P49" s="905">
        <f>N49</f>
        <v>20000000</v>
      </c>
      <c r="Q49" s="902"/>
      <c r="R49" s="982">
        <f t="shared" si="6"/>
        <v>20000000</v>
      </c>
    </row>
    <row r="50" spans="1:18" ht="18" x14ac:dyDescent="0.25">
      <c r="A50" s="783" t="s">
        <v>1483</v>
      </c>
      <c r="B50" s="732">
        <v>7721622.5899999999</v>
      </c>
      <c r="C50" s="732">
        <v>10329692.359999999</v>
      </c>
      <c r="D50" s="732">
        <v>385600</v>
      </c>
      <c r="E50" s="732">
        <f>SUM(B50:D50)</f>
        <v>18436914.949999999</v>
      </c>
      <c r="F50" s="805">
        <f>E50/G50</f>
        <v>2.021930275781433E-2</v>
      </c>
      <c r="G50" s="484">
        <v>911847217.02999997</v>
      </c>
      <c r="H50" s="803">
        <f>B50/G50</f>
        <v>8.4681100581194806E-3</v>
      </c>
      <c r="J50" s="1006"/>
      <c r="K50" s="1007"/>
      <c r="L50" s="1006"/>
      <c r="M50" s="1006"/>
      <c r="N50" s="1006"/>
      <c r="O50" s="902"/>
      <c r="P50" s="902"/>
      <c r="Q50" s="902"/>
      <c r="R50" s="981">
        <f t="shared" si="6"/>
        <v>0</v>
      </c>
    </row>
    <row r="51" spans="1:18" ht="18" x14ac:dyDescent="0.25">
      <c r="A51" s="783" t="s">
        <v>1283</v>
      </c>
      <c r="B51" s="732">
        <v>3839643.54</v>
      </c>
      <c r="C51" s="732">
        <v>2329150.64</v>
      </c>
      <c r="D51" s="732">
        <v>77900</v>
      </c>
      <c r="E51" s="732">
        <f>SUM(B51:D51)</f>
        <v>6246694.1799999997</v>
      </c>
      <c r="F51" s="805">
        <f>E51/G51</f>
        <v>6.8505930196796141E-3</v>
      </c>
      <c r="G51" s="484">
        <v>911847217.02999997</v>
      </c>
      <c r="H51" s="803">
        <f>B51/G51</f>
        <v>4.2108408824300609E-3</v>
      </c>
      <c r="J51" s="1008" t="s">
        <v>1525</v>
      </c>
      <c r="K51" s="1007"/>
      <c r="L51" s="1006"/>
      <c r="M51" s="1006"/>
      <c r="N51" s="1006"/>
      <c r="O51" s="902"/>
      <c r="P51" s="902"/>
      <c r="Q51" s="902"/>
      <c r="R51" s="981">
        <f t="shared" si="6"/>
        <v>0</v>
      </c>
    </row>
    <row r="52" spans="1:18" ht="18" x14ac:dyDescent="0.25">
      <c r="A52" s="786" t="s">
        <v>1326</v>
      </c>
      <c r="B52" s="789">
        <v>5570703.8700000001</v>
      </c>
      <c r="C52" s="789">
        <v>2149217</v>
      </c>
      <c r="D52" s="789">
        <v>110600</v>
      </c>
      <c r="E52" s="789">
        <f>SUM(B52:D52)</f>
        <v>7830520.8700000001</v>
      </c>
      <c r="F52" s="805">
        <f>E52/G52</f>
        <v>8.5875360737569413E-3</v>
      </c>
      <c r="G52" s="484">
        <v>911847217.02999997</v>
      </c>
      <c r="H52" s="803">
        <f>B52/G52</f>
        <v>6.109251381107985E-3</v>
      </c>
      <c r="J52" s="1006" t="s">
        <v>1341</v>
      </c>
      <c r="K52" s="1007"/>
      <c r="L52" s="1006">
        <v>218000</v>
      </c>
      <c r="M52" s="1006">
        <v>30000</v>
      </c>
      <c r="N52" s="1006">
        <f t="shared" ref="N52:N86" si="10">SUM(K52:M52)</f>
        <v>248000</v>
      </c>
      <c r="O52" s="905">
        <f>N52</f>
        <v>248000</v>
      </c>
      <c r="P52" s="902"/>
      <c r="Q52" s="902"/>
      <c r="R52" s="981">
        <f t="shared" si="6"/>
        <v>248000</v>
      </c>
    </row>
    <row r="53" spans="1:18" s="281" customFormat="1" ht="18" x14ac:dyDescent="0.25">
      <c r="A53" s="787" t="s">
        <v>1312</v>
      </c>
      <c r="B53" s="735">
        <f>SUM(B50:B52)</f>
        <v>17131970</v>
      </c>
      <c r="C53" s="735">
        <f>SUM(C50:C52)</f>
        <v>14808060</v>
      </c>
      <c r="D53" s="735">
        <f>SUM(D50:D52)</f>
        <v>574100</v>
      </c>
      <c r="E53" s="735">
        <f>SUM(E50:E52)</f>
        <v>32514130</v>
      </c>
      <c r="F53" s="806">
        <f>E53/G53</f>
        <v>3.5657431851250886E-2</v>
      </c>
      <c r="G53" s="484">
        <v>911847217.02999997</v>
      </c>
      <c r="J53" s="1006" t="s">
        <v>1342</v>
      </c>
      <c r="K53" s="1007"/>
      <c r="L53" s="1006">
        <v>198600</v>
      </c>
      <c r="M53" s="1006">
        <v>89000</v>
      </c>
      <c r="N53" s="1006">
        <f t="shared" si="10"/>
        <v>287600</v>
      </c>
      <c r="O53" s="905">
        <f t="shared" ref="O53:O66" si="11">N53</f>
        <v>287600</v>
      </c>
      <c r="P53" s="904"/>
      <c r="Q53" s="904"/>
      <c r="R53" s="981">
        <f t="shared" si="6"/>
        <v>287600</v>
      </c>
    </row>
    <row r="54" spans="1:18" s="281" customFormat="1" ht="18.75" thickBot="1" x14ac:dyDescent="0.3">
      <c r="A54" s="788" t="s">
        <v>1313</v>
      </c>
      <c r="B54" s="790">
        <f>B47+B53</f>
        <v>197462734.24000001</v>
      </c>
      <c r="C54" s="790">
        <f>C47+C53</f>
        <v>558938356.44000006</v>
      </c>
      <c r="D54" s="790">
        <f>D47+D53</f>
        <v>147276484.80000001</v>
      </c>
      <c r="E54" s="790">
        <f>E47+E53</f>
        <v>903677575.48000002</v>
      </c>
      <c r="F54" s="807">
        <f>E54/G54</f>
        <v>0.99104055877188557</v>
      </c>
      <c r="G54" s="484">
        <v>911847217.02999997</v>
      </c>
      <c r="J54" s="1006" t="s">
        <v>1343</v>
      </c>
      <c r="K54" s="1007"/>
      <c r="L54" s="1006">
        <v>279000</v>
      </c>
      <c r="M54" s="1006"/>
      <c r="N54" s="1006">
        <f t="shared" si="10"/>
        <v>279000</v>
      </c>
      <c r="O54" s="905">
        <f t="shared" si="11"/>
        <v>279000</v>
      </c>
      <c r="P54" s="904"/>
      <c r="Q54" s="904"/>
      <c r="R54" s="981">
        <f t="shared" si="6"/>
        <v>279000</v>
      </c>
    </row>
    <row r="55" spans="1:18" ht="18" x14ac:dyDescent="0.25">
      <c r="J55" s="1006" t="s">
        <v>1344</v>
      </c>
      <c r="K55" s="1007"/>
      <c r="L55" s="1006">
        <v>250303</v>
      </c>
      <c r="M55" s="1006">
        <v>231000</v>
      </c>
      <c r="N55" s="1006">
        <f t="shared" si="10"/>
        <v>481303</v>
      </c>
      <c r="O55" s="905">
        <f t="shared" si="11"/>
        <v>481303</v>
      </c>
      <c r="P55" s="902"/>
      <c r="Q55" s="902"/>
      <c r="R55" s="981">
        <f t="shared" si="6"/>
        <v>481303</v>
      </c>
    </row>
    <row r="56" spans="1:18" ht="18" x14ac:dyDescent="0.25">
      <c r="B56" s="792">
        <v>199721075.78</v>
      </c>
      <c r="C56" s="792">
        <f>C53+C34</f>
        <v>194601291.81</v>
      </c>
      <c r="D56" s="792">
        <f>D53+D34</f>
        <v>17805450</v>
      </c>
      <c r="H56" s="804">
        <f>SUM(H4:H55)</f>
        <v>0.21655243395177626</v>
      </c>
      <c r="J56" s="1006" t="s">
        <v>1345</v>
      </c>
      <c r="K56" s="1007"/>
      <c r="L56" s="1006">
        <v>350421</v>
      </c>
      <c r="M56" s="1006">
        <v>125000</v>
      </c>
      <c r="N56" s="1006">
        <f t="shared" si="10"/>
        <v>475421</v>
      </c>
      <c r="O56" s="905">
        <f t="shared" si="11"/>
        <v>475421</v>
      </c>
      <c r="P56" s="902"/>
      <c r="Q56" s="902"/>
      <c r="R56" s="981">
        <f t="shared" si="6"/>
        <v>475421</v>
      </c>
    </row>
    <row r="57" spans="1:18" ht="18" x14ac:dyDescent="0.25">
      <c r="B57" s="792">
        <f>B56-B54</f>
        <v>2258341.5399999917</v>
      </c>
      <c r="C57" s="792"/>
      <c r="D57" s="792"/>
      <c r="J57" s="1006" t="s">
        <v>1346</v>
      </c>
      <c r="K57" s="1007"/>
      <c r="L57" s="1006">
        <v>652921</v>
      </c>
      <c r="M57" s="1006">
        <v>186000</v>
      </c>
      <c r="N57" s="1006">
        <f t="shared" si="10"/>
        <v>838921</v>
      </c>
      <c r="O57" s="905">
        <f t="shared" si="11"/>
        <v>838921</v>
      </c>
      <c r="P57" s="902"/>
      <c r="Q57" s="902"/>
      <c r="R57" s="981">
        <f t="shared" si="6"/>
        <v>838921</v>
      </c>
    </row>
    <row r="58" spans="1:18" ht="18" x14ac:dyDescent="0.25">
      <c r="B58" s="792"/>
      <c r="C58" s="792"/>
      <c r="D58" s="792"/>
      <c r="J58" s="1006" t="s">
        <v>1347</v>
      </c>
      <c r="K58" s="1007"/>
      <c r="L58" s="1006">
        <v>541559</v>
      </c>
      <c r="M58" s="1006">
        <v>175000</v>
      </c>
      <c r="N58" s="1006">
        <f t="shared" si="10"/>
        <v>716559</v>
      </c>
      <c r="O58" s="905">
        <f t="shared" si="11"/>
        <v>716559</v>
      </c>
      <c r="P58" s="902"/>
      <c r="Q58" s="902"/>
      <c r="R58" s="981">
        <f t="shared" si="6"/>
        <v>716559</v>
      </c>
    </row>
    <row r="59" spans="1:18" ht="18" x14ac:dyDescent="0.25">
      <c r="B59" s="792">
        <f>B54+C34+D34+C53+D53</f>
        <v>409869476.05000001</v>
      </c>
      <c r="C59" s="792"/>
      <c r="D59" s="792"/>
      <c r="J59" s="1006" t="s">
        <v>1348</v>
      </c>
      <c r="K59" s="1007"/>
      <c r="L59" s="1006">
        <v>443288</v>
      </c>
      <c r="M59" s="1006">
        <v>158000</v>
      </c>
      <c r="N59" s="1006">
        <f t="shared" si="10"/>
        <v>601288</v>
      </c>
      <c r="O59" s="905">
        <f t="shared" si="11"/>
        <v>601288</v>
      </c>
      <c r="P59" s="902"/>
      <c r="Q59" s="902"/>
      <c r="R59" s="981">
        <f t="shared" si="6"/>
        <v>601288</v>
      </c>
    </row>
    <row r="60" spans="1:18" ht="18" x14ac:dyDescent="0.25">
      <c r="B60" s="792"/>
      <c r="C60" s="792"/>
      <c r="D60" s="792"/>
      <c r="J60" s="1006" t="s">
        <v>1349</v>
      </c>
      <c r="K60" s="1007"/>
      <c r="L60" s="1006">
        <v>175000</v>
      </c>
      <c r="M60" s="1006"/>
      <c r="N60" s="1006">
        <f t="shared" si="10"/>
        <v>175000</v>
      </c>
      <c r="O60" s="905">
        <f t="shared" si="11"/>
        <v>175000</v>
      </c>
      <c r="P60" s="902"/>
      <c r="Q60" s="902"/>
      <c r="R60" s="981">
        <f t="shared" si="6"/>
        <v>175000</v>
      </c>
    </row>
    <row r="61" spans="1:18" ht="18" x14ac:dyDescent="0.25">
      <c r="B61" s="792"/>
      <c r="C61" s="792"/>
      <c r="D61" s="792"/>
      <c r="J61" s="1006" t="s">
        <v>1350</v>
      </c>
      <c r="K61" s="1007"/>
      <c r="L61" s="1006">
        <v>4175220</v>
      </c>
      <c r="M61" s="1006">
        <v>1131000</v>
      </c>
      <c r="N61" s="1006">
        <f t="shared" si="10"/>
        <v>5306220</v>
      </c>
      <c r="O61" s="905">
        <f t="shared" si="11"/>
        <v>5306220</v>
      </c>
      <c r="P61" s="902"/>
      <c r="Q61" s="902"/>
      <c r="R61" s="981">
        <f t="shared" si="6"/>
        <v>5306220</v>
      </c>
    </row>
    <row r="62" spans="1:18" ht="18" x14ac:dyDescent="0.25">
      <c r="J62" s="1006" t="s">
        <v>1351</v>
      </c>
      <c r="K62" s="1007"/>
      <c r="L62" s="1006">
        <v>991000</v>
      </c>
      <c r="M62" s="1006"/>
      <c r="N62" s="1006">
        <f t="shared" si="10"/>
        <v>991000</v>
      </c>
      <c r="O62" s="905">
        <f t="shared" si="11"/>
        <v>991000</v>
      </c>
      <c r="P62" s="902"/>
      <c r="Q62" s="902"/>
      <c r="R62" s="981">
        <f t="shared" si="6"/>
        <v>991000</v>
      </c>
    </row>
    <row r="63" spans="1:18" ht="18" x14ac:dyDescent="0.25">
      <c r="E63" s="490">
        <v>904326845.51999998</v>
      </c>
      <c r="J63" s="1006" t="s">
        <v>1352</v>
      </c>
      <c r="K63" s="1007"/>
      <c r="L63" s="1006">
        <v>227416.5</v>
      </c>
      <c r="M63" s="1006">
        <v>50000</v>
      </c>
      <c r="N63" s="1006">
        <f t="shared" si="10"/>
        <v>277416.5</v>
      </c>
      <c r="O63" s="905">
        <f t="shared" si="11"/>
        <v>277416.5</v>
      </c>
      <c r="P63" s="902"/>
      <c r="Q63" s="902"/>
      <c r="R63" s="981">
        <f t="shared" si="6"/>
        <v>277416.5</v>
      </c>
    </row>
    <row r="64" spans="1:18" ht="18" x14ac:dyDescent="0.25">
      <c r="E64" s="490">
        <f>E54-E63</f>
        <v>-649270.03999996185</v>
      </c>
      <c r="J64" s="1006" t="s">
        <v>1353</v>
      </c>
      <c r="K64" s="1007"/>
      <c r="L64" s="1006">
        <v>903205</v>
      </c>
      <c r="M64" s="1006">
        <v>190000</v>
      </c>
      <c r="N64" s="1006">
        <f t="shared" si="10"/>
        <v>1093205</v>
      </c>
      <c r="O64" s="905">
        <f t="shared" si="11"/>
        <v>1093205</v>
      </c>
      <c r="P64" s="902"/>
      <c r="Q64" s="902"/>
      <c r="R64" s="981">
        <f t="shared" si="6"/>
        <v>1093205</v>
      </c>
    </row>
    <row r="65" spans="10:18" ht="18" x14ac:dyDescent="0.25">
      <c r="J65" s="1006" t="s">
        <v>1354</v>
      </c>
      <c r="K65" s="1007"/>
      <c r="L65" s="1006">
        <v>17050000</v>
      </c>
      <c r="M65" s="1006"/>
      <c r="N65" s="1006">
        <f t="shared" si="10"/>
        <v>17050000</v>
      </c>
      <c r="O65" s="905">
        <f t="shared" si="11"/>
        <v>17050000</v>
      </c>
      <c r="P65" s="902"/>
      <c r="Q65" s="902"/>
      <c r="R65" s="981">
        <f t="shared" si="6"/>
        <v>17050000</v>
      </c>
    </row>
    <row r="66" spans="10:18" ht="18" x14ac:dyDescent="0.25">
      <c r="J66" s="1006" t="s">
        <v>1355</v>
      </c>
      <c r="K66" s="1007"/>
      <c r="L66" s="1006">
        <v>1235000</v>
      </c>
      <c r="M66" s="1006">
        <v>554000</v>
      </c>
      <c r="N66" s="1006">
        <f t="shared" si="10"/>
        <v>1789000</v>
      </c>
      <c r="O66" s="905">
        <f t="shared" si="11"/>
        <v>1789000</v>
      </c>
      <c r="P66" s="902"/>
      <c r="Q66" s="902"/>
      <c r="R66" s="981">
        <f t="shared" si="6"/>
        <v>1789000</v>
      </c>
    </row>
    <row r="67" spans="10:18" ht="18" x14ac:dyDescent="0.25">
      <c r="J67" s="1006" t="s">
        <v>1356</v>
      </c>
      <c r="K67" s="1007"/>
      <c r="L67" s="1006">
        <v>12239000</v>
      </c>
      <c r="M67" s="1006"/>
      <c r="N67" s="1006">
        <f t="shared" si="10"/>
        <v>12239000</v>
      </c>
      <c r="O67" s="905"/>
      <c r="P67" s="905">
        <f>N67</f>
        <v>12239000</v>
      </c>
      <c r="Q67" s="902"/>
      <c r="R67" s="981">
        <f t="shared" si="6"/>
        <v>12239000</v>
      </c>
    </row>
    <row r="68" spans="10:18" ht="18" x14ac:dyDescent="0.25">
      <c r="J68" s="1006" t="s">
        <v>1357</v>
      </c>
      <c r="K68" s="1007"/>
      <c r="L68" s="1006">
        <v>31750000</v>
      </c>
      <c r="M68" s="1006"/>
      <c r="N68" s="1006">
        <f t="shared" si="10"/>
        <v>31750000</v>
      </c>
      <c r="O68" s="902"/>
      <c r="P68" s="905">
        <f>N68</f>
        <v>31750000</v>
      </c>
      <c r="Q68" s="902"/>
      <c r="R68" s="981">
        <f t="shared" si="6"/>
        <v>31750000</v>
      </c>
    </row>
    <row r="69" spans="10:18" ht="18" x14ac:dyDescent="0.25">
      <c r="J69" s="1006" t="s">
        <v>993</v>
      </c>
      <c r="K69" s="1007"/>
      <c r="L69" s="1006">
        <v>4036475</v>
      </c>
      <c r="M69" s="1006"/>
      <c r="N69" s="1006">
        <f t="shared" si="10"/>
        <v>4036475</v>
      </c>
      <c r="O69" s="905">
        <f>N69</f>
        <v>4036475</v>
      </c>
      <c r="P69" s="902"/>
      <c r="Q69" s="902"/>
      <c r="R69" s="981">
        <f t="shared" si="6"/>
        <v>4036475</v>
      </c>
    </row>
    <row r="70" spans="10:18" ht="18" x14ac:dyDescent="0.25">
      <c r="J70" s="1006" t="s">
        <v>1358</v>
      </c>
      <c r="K70" s="1007"/>
      <c r="L70" s="1006">
        <v>11550500</v>
      </c>
      <c r="M70" s="1006"/>
      <c r="N70" s="1006">
        <f t="shared" si="10"/>
        <v>11550500</v>
      </c>
      <c r="O70" s="902"/>
      <c r="P70" s="902"/>
      <c r="Q70" s="905">
        <f>N70</f>
        <v>11550500</v>
      </c>
      <c r="R70" s="981">
        <f t="shared" si="6"/>
        <v>11550500</v>
      </c>
    </row>
    <row r="71" spans="10:18" ht="18" x14ac:dyDescent="0.25">
      <c r="J71" s="1006" t="s">
        <v>1021</v>
      </c>
      <c r="K71" s="1007"/>
      <c r="L71" s="1006">
        <v>103400</v>
      </c>
      <c r="M71" s="1006"/>
      <c r="N71" s="1006">
        <f t="shared" si="10"/>
        <v>103400</v>
      </c>
      <c r="O71" s="905">
        <f>N71</f>
        <v>103400</v>
      </c>
      <c r="P71" s="902"/>
      <c r="Q71" s="902"/>
      <c r="R71" s="981">
        <f t="shared" si="6"/>
        <v>103400</v>
      </c>
    </row>
    <row r="72" spans="10:18" ht="18" x14ac:dyDescent="0.25">
      <c r="J72" s="1006" t="s">
        <v>1028</v>
      </c>
      <c r="K72" s="1007"/>
      <c r="L72" s="1006">
        <v>1242535</v>
      </c>
      <c r="M72" s="1006"/>
      <c r="N72" s="1006">
        <f t="shared" si="10"/>
        <v>1242535</v>
      </c>
      <c r="O72" s="902"/>
      <c r="P72" s="902"/>
      <c r="Q72" s="905">
        <f>N72</f>
        <v>1242535</v>
      </c>
      <c r="R72" s="981">
        <f t="shared" si="6"/>
        <v>1242535</v>
      </c>
    </row>
    <row r="73" spans="10:18" ht="18" x14ac:dyDescent="0.25">
      <c r="J73" s="1006" t="s">
        <v>1321</v>
      </c>
      <c r="K73" s="1007"/>
      <c r="L73" s="1006">
        <v>2150000</v>
      </c>
      <c r="M73" s="1006"/>
      <c r="N73" s="1006">
        <f t="shared" si="10"/>
        <v>2150000</v>
      </c>
      <c r="O73" s="902"/>
      <c r="P73" s="905">
        <f>N73</f>
        <v>2150000</v>
      </c>
      <c r="Q73" s="902"/>
      <c r="R73" s="981">
        <f t="shared" si="6"/>
        <v>2150000</v>
      </c>
    </row>
    <row r="74" spans="10:18" ht="18" x14ac:dyDescent="0.25">
      <c r="J74" s="1006" t="s">
        <v>1359</v>
      </c>
      <c r="K74" s="1007"/>
      <c r="L74" s="1006">
        <v>2592250</v>
      </c>
      <c r="M74" s="1006"/>
      <c r="N74" s="1006">
        <f t="shared" si="10"/>
        <v>2592250</v>
      </c>
      <c r="O74" s="905">
        <f>N74</f>
        <v>2592250</v>
      </c>
      <c r="P74" s="902"/>
      <c r="Q74" s="902"/>
      <c r="R74" s="981">
        <f t="shared" si="6"/>
        <v>2592250</v>
      </c>
    </row>
    <row r="75" spans="10:18" ht="18" x14ac:dyDescent="0.25">
      <c r="J75" s="1006" t="s">
        <v>27</v>
      </c>
      <c r="K75" s="1007"/>
      <c r="L75" s="1006">
        <v>2957783.76</v>
      </c>
      <c r="M75" s="1006"/>
      <c r="N75" s="1006">
        <f t="shared" si="10"/>
        <v>2957783.76</v>
      </c>
      <c r="O75" s="905">
        <f>N75</f>
        <v>2957783.76</v>
      </c>
      <c r="P75" s="902"/>
      <c r="Q75" s="902"/>
      <c r="R75" s="981">
        <f t="shared" si="6"/>
        <v>2957783.76</v>
      </c>
    </row>
    <row r="76" spans="10:18" ht="18" x14ac:dyDescent="0.25">
      <c r="J76" s="1006" t="s">
        <v>1360</v>
      </c>
      <c r="K76" s="1007"/>
      <c r="L76" s="1006">
        <v>4360000</v>
      </c>
      <c r="M76" s="1006"/>
      <c r="N76" s="1006">
        <f t="shared" si="10"/>
        <v>4360000</v>
      </c>
      <c r="O76" s="905">
        <f>N76</f>
        <v>4360000</v>
      </c>
      <c r="P76" s="902"/>
      <c r="Q76" s="902"/>
      <c r="R76" s="981">
        <f t="shared" si="6"/>
        <v>4360000</v>
      </c>
    </row>
    <row r="77" spans="10:18" ht="18" x14ac:dyDescent="0.25">
      <c r="J77" s="1006" t="s">
        <v>33</v>
      </c>
      <c r="K77" s="1007"/>
      <c r="L77" s="1006">
        <v>2142319.7599999998</v>
      </c>
      <c r="M77" s="1006"/>
      <c r="N77" s="1006">
        <f t="shared" si="10"/>
        <v>2142319.7599999998</v>
      </c>
      <c r="O77" s="905">
        <f>N77</f>
        <v>2142319.7599999998</v>
      </c>
      <c r="P77" s="902"/>
      <c r="Q77" s="902"/>
      <c r="R77" s="981">
        <f t="shared" si="6"/>
        <v>2142319.7599999998</v>
      </c>
    </row>
    <row r="78" spans="10:18" ht="18" x14ac:dyDescent="0.25">
      <c r="J78" s="1006" t="s">
        <v>35</v>
      </c>
      <c r="K78" s="1007"/>
      <c r="L78" s="1006">
        <v>9053045</v>
      </c>
      <c r="M78" s="1006"/>
      <c r="N78" s="1006">
        <f t="shared" si="10"/>
        <v>9053045</v>
      </c>
      <c r="O78" s="902"/>
      <c r="P78" s="905">
        <f t="shared" ref="P78:P84" si="12">N78</f>
        <v>9053045</v>
      </c>
      <c r="Q78" s="902"/>
      <c r="R78" s="981">
        <f t="shared" si="6"/>
        <v>9053045</v>
      </c>
    </row>
    <row r="79" spans="10:18" ht="18" x14ac:dyDescent="0.25">
      <c r="J79" s="1006" t="s">
        <v>1322</v>
      </c>
      <c r="K79" s="1007"/>
      <c r="L79" s="1006">
        <v>19931591.68</v>
      </c>
      <c r="M79" s="1006"/>
      <c r="N79" s="1006">
        <f t="shared" si="10"/>
        <v>19931591.68</v>
      </c>
      <c r="O79" s="902"/>
      <c r="P79" s="905">
        <f t="shared" si="12"/>
        <v>19931591.68</v>
      </c>
      <c r="Q79" s="902"/>
      <c r="R79" s="981">
        <f t="shared" si="6"/>
        <v>19931591.68</v>
      </c>
    </row>
    <row r="80" spans="10:18" ht="18" x14ac:dyDescent="0.25">
      <c r="J80" s="1006" t="s">
        <v>1527</v>
      </c>
      <c r="K80" s="1007"/>
      <c r="L80" s="1006">
        <f>4750000-100000</f>
        <v>4650000</v>
      </c>
      <c r="M80" s="1006">
        <v>100000</v>
      </c>
      <c r="N80" s="1006">
        <f t="shared" si="10"/>
        <v>4750000</v>
      </c>
      <c r="O80" s="902"/>
      <c r="P80" s="905">
        <f t="shared" si="12"/>
        <v>4750000</v>
      </c>
      <c r="Q80" s="902"/>
      <c r="R80" s="981">
        <f t="shared" si="6"/>
        <v>4750000</v>
      </c>
    </row>
    <row r="81" spans="10:18" ht="18" x14ac:dyDescent="0.25">
      <c r="J81" s="1006" t="s">
        <v>1368</v>
      </c>
      <c r="K81" s="1007"/>
      <c r="L81" s="1006">
        <v>5730000</v>
      </c>
      <c r="M81" s="1006"/>
      <c r="N81" s="1006">
        <f t="shared" si="10"/>
        <v>5730000</v>
      </c>
      <c r="O81" s="902"/>
      <c r="P81" s="905">
        <f t="shared" si="12"/>
        <v>5730000</v>
      </c>
      <c r="Q81" s="902"/>
      <c r="R81" s="981">
        <f t="shared" si="6"/>
        <v>5730000</v>
      </c>
    </row>
    <row r="82" spans="10:18" ht="18" x14ac:dyDescent="0.25">
      <c r="J82" s="1006" t="s">
        <v>1528</v>
      </c>
      <c r="K82" s="1007"/>
      <c r="L82" s="1006">
        <f>2957411-50000</f>
        <v>2907411</v>
      </c>
      <c r="M82" s="1006">
        <v>50000</v>
      </c>
      <c r="N82" s="1006">
        <f t="shared" si="10"/>
        <v>2957411</v>
      </c>
      <c r="O82" s="902"/>
      <c r="P82" s="905">
        <f t="shared" si="12"/>
        <v>2957411</v>
      </c>
      <c r="Q82" s="902"/>
      <c r="R82" s="981">
        <f t="shared" si="6"/>
        <v>2957411</v>
      </c>
    </row>
    <row r="83" spans="10:18" ht="18" x14ac:dyDescent="0.25">
      <c r="J83" s="1006" t="s">
        <v>1365</v>
      </c>
      <c r="K83" s="1007"/>
      <c r="L83" s="1006">
        <v>50000</v>
      </c>
      <c r="M83" s="1006"/>
      <c r="N83" s="1006">
        <f t="shared" si="10"/>
        <v>50000</v>
      </c>
      <c r="O83" s="902"/>
      <c r="P83" s="905">
        <f t="shared" si="12"/>
        <v>50000</v>
      </c>
      <c r="Q83" s="902"/>
      <c r="R83" s="981">
        <f t="shared" si="6"/>
        <v>50000</v>
      </c>
    </row>
    <row r="84" spans="10:18" ht="18" x14ac:dyDescent="0.25">
      <c r="J84" s="1006" t="s">
        <v>1366</v>
      </c>
      <c r="K84" s="1007"/>
      <c r="L84" s="1006">
        <v>280000</v>
      </c>
      <c r="M84" s="1006"/>
      <c r="N84" s="1006">
        <f t="shared" si="10"/>
        <v>280000</v>
      </c>
      <c r="O84" s="902"/>
      <c r="P84" s="905">
        <f t="shared" si="12"/>
        <v>280000</v>
      </c>
      <c r="Q84" s="902"/>
      <c r="R84" s="981">
        <f t="shared" si="6"/>
        <v>280000</v>
      </c>
    </row>
    <row r="85" spans="10:18" ht="18" x14ac:dyDescent="0.25">
      <c r="J85" s="1006" t="s">
        <v>1361</v>
      </c>
      <c r="K85" s="1007"/>
      <c r="L85" s="1006">
        <v>71210000</v>
      </c>
      <c r="M85" s="1006"/>
      <c r="N85" s="1006">
        <f t="shared" si="10"/>
        <v>71210000</v>
      </c>
      <c r="O85" s="902"/>
      <c r="P85" s="902"/>
      <c r="Q85" s="905">
        <f>N85</f>
        <v>71210000</v>
      </c>
      <c r="R85" s="981">
        <f t="shared" si="6"/>
        <v>71210000</v>
      </c>
    </row>
    <row r="86" spans="10:18" ht="18" x14ac:dyDescent="0.25">
      <c r="J86" s="1006" t="s">
        <v>1362</v>
      </c>
      <c r="K86" s="1007"/>
      <c r="L86" s="1006">
        <v>9000000</v>
      </c>
      <c r="M86" s="1006"/>
      <c r="N86" s="1006">
        <f t="shared" si="10"/>
        <v>9000000</v>
      </c>
      <c r="O86" s="902"/>
      <c r="P86" s="902"/>
      <c r="Q86" s="905">
        <f>N86</f>
        <v>9000000</v>
      </c>
      <c r="R86" s="981">
        <f t="shared" si="6"/>
        <v>9000000</v>
      </c>
    </row>
    <row r="87" spans="10:18" ht="18" x14ac:dyDescent="0.25">
      <c r="J87" s="1008" t="s">
        <v>1526</v>
      </c>
      <c r="K87" s="1007"/>
      <c r="L87" s="1008">
        <f t="shared" ref="L87:Q87" si="13">SUM(L52:L86)</f>
        <v>225627244.70000002</v>
      </c>
      <c r="M87" s="1008">
        <f t="shared" si="13"/>
        <v>3069000</v>
      </c>
      <c r="N87" s="1008">
        <f t="shared" si="13"/>
        <v>228696244.70000002</v>
      </c>
      <c r="O87" s="488">
        <f t="shared" si="13"/>
        <v>46802162.019999996</v>
      </c>
      <c r="P87" s="488">
        <f t="shared" si="13"/>
        <v>88891047.680000007</v>
      </c>
      <c r="Q87" s="488">
        <f t="shared" si="13"/>
        <v>93003035</v>
      </c>
      <c r="R87" s="982">
        <f t="shared" si="6"/>
        <v>228696244.69999999</v>
      </c>
    </row>
    <row r="88" spans="10:18" ht="18" x14ac:dyDescent="0.25">
      <c r="J88" s="1008" t="s">
        <v>1260</v>
      </c>
      <c r="K88" s="1009">
        <f t="shared" ref="K88:Q88" si="14">K87+K49+K47+K40+K34</f>
        <v>180330764.24000001</v>
      </c>
      <c r="L88" s="1008">
        <f t="shared" si="14"/>
        <v>541211296.44000006</v>
      </c>
      <c r="M88" s="1008">
        <f t="shared" si="14"/>
        <v>149621384.80000001</v>
      </c>
      <c r="N88" s="1008">
        <f t="shared" si="14"/>
        <v>871163445.48000002</v>
      </c>
      <c r="O88" s="488">
        <f t="shared" si="14"/>
        <v>264594778.38999999</v>
      </c>
      <c r="P88" s="488">
        <f t="shared" si="14"/>
        <v>440665749.01000005</v>
      </c>
      <c r="Q88" s="488">
        <f t="shared" si="14"/>
        <v>165902918.07999998</v>
      </c>
      <c r="R88" s="982">
        <f t="shared" si="6"/>
        <v>871163445.48000002</v>
      </c>
    </row>
    <row r="89" spans="10:18" ht="18" x14ac:dyDescent="0.25">
      <c r="J89" s="1006"/>
      <c r="K89" s="1007"/>
      <c r="L89" s="1006"/>
      <c r="M89" s="1006"/>
      <c r="N89" s="1006"/>
      <c r="O89" s="969">
        <f>O87+O49+O47</f>
        <v>57947809.019999996</v>
      </c>
      <c r="P89" s="969">
        <f>P87+P49+P47</f>
        <v>146293047.68000001</v>
      </c>
      <c r="Q89" s="969">
        <f>Q87+Q49+Q47</f>
        <v>98373035</v>
      </c>
      <c r="R89" s="981">
        <f t="shared" si="6"/>
        <v>302613891.69999999</v>
      </c>
    </row>
    <row r="90" spans="10:18" ht="18" x14ac:dyDescent="0.25">
      <c r="J90" s="1008" t="s">
        <v>1364</v>
      </c>
      <c r="K90" s="1007"/>
      <c r="L90" s="1006"/>
      <c r="M90" s="1006"/>
      <c r="N90" s="1006"/>
      <c r="O90" s="902"/>
      <c r="P90" s="902"/>
      <c r="Q90" s="902"/>
      <c r="R90" s="981">
        <f t="shared" si="6"/>
        <v>0</v>
      </c>
    </row>
    <row r="91" spans="10:18" ht="18" x14ac:dyDescent="0.25">
      <c r="J91" s="1006" t="s">
        <v>1324</v>
      </c>
      <c r="K91" s="1011">
        <v>7721622.5899999999</v>
      </c>
      <c r="L91" s="743">
        <v>10329692.359999999</v>
      </c>
      <c r="M91" s="743">
        <v>385600</v>
      </c>
      <c r="N91" s="1006">
        <f>SUM(K91:M91)</f>
        <v>18436914.949999999</v>
      </c>
      <c r="O91" s="902"/>
      <c r="P91" s="902"/>
      <c r="Q91" s="905">
        <f>N91</f>
        <v>18436914.949999999</v>
      </c>
      <c r="R91" s="981">
        <f t="shared" si="6"/>
        <v>18436914.949999999</v>
      </c>
    </row>
    <row r="92" spans="10:18" ht="18" x14ac:dyDescent="0.25">
      <c r="J92" s="1006" t="s">
        <v>1325</v>
      </c>
      <c r="K92" s="1007">
        <v>3839643.54</v>
      </c>
      <c r="L92" s="1006">
        <v>2329150.64</v>
      </c>
      <c r="M92" s="1006">
        <v>77900</v>
      </c>
      <c r="N92" s="1006">
        <f>SUM(K92:M92)</f>
        <v>6246694.1799999997</v>
      </c>
      <c r="O92" s="902"/>
      <c r="P92" s="902"/>
      <c r="Q92" s="905">
        <f>N92</f>
        <v>6246694.1799999997</v>
      </c>
      <c r="R92" s="981">
        <f t="shared" si="6"/>
        <v>6246694.1799999997</v>
      </c>
    </row>
    <row r="93" spans="10:18" ht="18" x14ac:dyDescent="0.25">
      <c r="J93" s="1006" t="s">
        <v>1326</v>
      </c>
      <c r="K93" s="1007">
        <v>5570703.8700000001</v>
      </c>
      <c r="L93" s="1006">
        <v>2149217</v>
      </c>
      <c r="M93" s="1006">
        <v>110600</v>
      </c>
      <c r="N93" s="1006">
        <f>SUM(K93:M93)</f>
        <v>7830520.8700000001</v>
      </c>
      <c r="O93" s="902"/>
      <c r="P93" s="902"/>
      <c r="Q93" s="905">
        <f>N93</f>
        <v>7830520.8700000001</v>
      </c>
      <c r="R93" s="981">
        <f t="shared" si="6"/>
        <v>7830520.8700000001</v>
      </c>
    </row>
    <row r="94" spans="10:18" ht="18" x14ac:dyDescent="0.25">
      <c r="J94" s="1008" t="s">
        <v>1312</v>
      </c>
      <c r="K94" s="1009">
        <f t="shared" ref="K94:Q94" si="15">SUM(K91:K93)</f>
        <v>17131970</v>
      </c>
      <c r="L94" s="1008">
        <f t="shared" si="15"/>
        <v>14808060</v>
      </c>
      <c r="M94" s="1008">
        <f t="shared" si="15"/>
        <v>574100</v>
      </c>
      <c r="N94" s="1008">
        <f t="shared" si="15"/>
        <v>32514130</v>
      </c>
      <c r="O94" s="488">
        <f t="shared" si="15"/>
        <v>0</v>
      </c>
      <c r="P94" s="488">
        <f t="shared" si="15"/>
        <v>0</v>
      </c>
      <c r="Q94" s="488">
        <f t="shared" si="15"/>
        <v>32514130</v>
      </c>
      <c r="R94" s="982">
        <f t="shared" si="6"/>
        <v>32514130</v>
      </c>
    </row>
    <row r="95" spans="10:18" ht="18" x14ac:dyDescent="0.25">
      <c r="J95" s="1008" t="s">
        <v>1313</v>
      </c>
      <c r="K95" s="1009">
        <f t="shared" ref="K95:Q95" si="16">K88+K94</f>
        <v>197462734.24000001</v>
      </c>
      <c r="L95" s="1008">
        <f t="shared" si="16"/>
        <v>556019356.44000006</v>
      </c>
      <c r="M95" s="1008">
        <f t="shared" si="16"/>
        <v>150195484.80000001</v>
      </c>
      <c r="N95" s="1012">
        <f t="shared" si="16"/>
        <v>903677575.48000002</v>
      </c>
      <c r="O95" s="488">
        <f t="shared" si="16"/>
        <v>264594778.38999999</v>
      </c>
      <c r="P95" s="488">
        <f t="shared" si="16"/>
        <v>440665749.01000005</v>
      </c>
      <c r="Q95" s="488">
        <f t="shared" si="16"/>
        <v>198417048.07999998</v>
      </c>
      <c r="R95" s="978">
        <f>SUM(O95:Q95)</f>
        <v>903677575.48000002</v>
      </c>
    </row>
    <row r="96" spans="10:18" x14ac:dyDescent="0.25">
      <c r="J96" s="490"/>
      <c r="K96" s="490"/>
      <c r="L96" s="490"/>
      <c r="M96" s="490"/>
      <c r="N96" s="490"/>
    </row>
    <row r="97" spans="10:14" x14ac:dyDescent="0.25">
      <c r="J97" s="490"/>
      <c r="K97" s="490"/>
      <c r="L97" s="490"/>
      <c r="M97" s="490"/>
      <c r="N97" s="490"/>
    </row>
    <row r="98" spans="10:14" x14ac:dyDescent="0.25">
      <c r="J98" s="490"/>
      <c r="K98" s="490"/>
      <c r="L98" s="490"/>
      <c r="M98" s="490"/>
      <c r="N98" s="490"/>
    </row>
  </sheetData>
  <pageMargins left="0.51181102362204722" right="0.31496062992125984" top="0.74803149606299213" bottom="1.3779527559055118" header="0.31496062992125984" footer="0.31496062992125984"/>
  <pageSetup paperSize="5" scale="75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selection activeCell="H17" sqref="H17"/>
    </sheetView>
  </sheetViews>
  <sheetFormatPr defaultRowHeight="15.75" x14ac:dyDescent="0.25"/>
  <cols>
    <col min="1" max="1" width="24.85546875" style="490" customWidth="1"/>
    <col min="2" max="2" width="18.85546875" style="490" customWidth="1"/>
    <col min="3" max="3" width="19" style="490" customWidth="1"/>
    <col min="4" max="4" width="20.42578125" style="490" customWidth="1"/>
    <col min="5" max="5" width="13.42578125" style="490" customWidth="1"/>
    <col min="6" max="7" width="0" hidden="1" customWidth="1"/>
    <col min="8" max="8" width="27.42578125" style="484" customWidth="1"/>
    <col min="9" max="9" width="7.85546875" style="484" customWidth="1"/>
  </cols>
  <sheetData>
    <row r="1" spans="1:9" x14ac:dyDescent="0.25">
      <c r="A1" s="486"/>
      <c r="B1" s="796" t="s">
        <v>1485</v>
      </c>
      <c r="C1" s="797" t="s">
        <v>2046</v>
      </c>
      <c r="D1" s="798" t="s">
        <v>1495</v>
      </c>
      <c r="E1" s="798" t="s">
        <v>1496</v>
      </c>
    </row>
    <row r="2" spans="1:9" x14ac:dyDescent="0.25">
      <c r="A2" s="488" t="s">
        <v>1331</v>
      </c>
      <c r="B2" s="487">
        <v>197462734.24000001</v>
      </c>
      <c r="C2" s="487">
        <v>192777824.31</v>
      </c>
      <c r="D2" s="487">
        <f>C2-B2</f>
        <v>-4684909.9300000072</v>
      </c>
      <c r="E2" s="793">
        <f>D2/C2</f>
        <v>-2.4302120572054747E-2</v>
      </c>
    </row>
    <row r="3" spans="1:9" x14ac:dyDescent="0.25">
      <c r="A3" s="488" t="s">
        <v>163</v>
      </c>
      <c r="B3" s="487">
        <f>179793231.81+14808060</f>
        <v>194601291.81</v>
      </c>
      <c r="C3" s="487">
        <v>348070737.04000002</v>
      </c>
      <c r="D3" s="487">
        <f t="shared" ref="D3:D15" si="0">C3-B3</f>
        <v>153469445.23000002</v>
      </c>
      <c r="E3" s="793">
        <f>D3/C3</f>
        <v>0.44091452942900922</v>
      </c>
    </row>
    <row r="4" spans="1:9" x14ac:dyDescent="0.25">
      <c r="A4" s="488" t="s">
        <v>1484</v>
      </c>
      <c r="B4" s="546">
        <f>17231350+574100</f>
        <v>17805450</v>
      </c>
      <c r="C4" s="487">
        <v>47199600</v>
      </c>
      <c r="D4" s="487">
        <f t="shared" si="0"/>
        <v>29394150</v>
      </c>
      <c r="E4" s="793">
        <f>D4/C4</f>
        <v>0.62276269290417718</v>
      </c>
    </row>
    <row r="5" spans="1:9" x14ac:dyDescent="0.25">
      <c r="A5" s="487"/>
      <c r="B5" s="546"/>
      <c r="C5" s="487"/>
      <c r="D5" s="487">
        <f t="shared" si="0"/>
        <v>0</v>
      </c>
      <c r="E5" s="793"/>
    </row>
    <row r="6" spans="1:9" s="281" customFormat="1" x14ac:dyDescent="0.25">
      <c r="A6" s="488" t="s">
        <v>1489</v>
      </c>
      <c r="B6" s="794"/>
      <c r="C6" s="488"/>
      <c r="D6" s="488">
        <f t="shared" si="0"/>
        <v>0</v>
      </c>
      <c r="E6" s="795"/>
      <c r="H6" s="485"/>
      <c r="I6" s="485"/>
    </row>
    <row r="7" spans="1:9" x14ac:dyDescent="0.25">
      <c r="A7" s="487" t="s">
        <v>1486</v>
      </c>
      <c r="B7" s="546">
        <v>148261034.80000001</v>
      </c>
      <c r="C7" s="487">
        <v>126807843.8</v>
      </c>
      <c r="D7" s="487">
        <f t="shared" si="0"/>
        <v>-21453191.000000015</v>
      </c>
      <c r="E7" s="793">
        <f t="shared" ref="E7:E14" si="1">D7/C7</f>
        <v>-0.16917873813733292</v>
      </c>
    </row>
    <row r="8" spans="1:9" x14ac:dyDescent="0.25">
      <c r="A8" s="487" t="s">
        <v>1487</v>
      </c>
      <c r="B8" s="546">
        <v>42718172.93</v>
      </c>
      <c r="C8" s="487">
        <v>37703949.079999998</v>
      </c>
      <c r="D8" s="487">
        <f t="shared" si="0"/>
        <v>-5014223.8500000015</v>
      </c>
      <c r="E8" s="793">
        <f t="shared" si="1"/>
        <v>-0.1329893544933676</v>
      </c>
    </row>
    <row r="9" spans="1:9" x14ac:dyDescent="0.25">
      <c r="A9" s="487" t="s">
        <v>1488</v>
      </c>
      <c r="B9" s="546">
        <v>215000</v>
      </c>
      <c r="C9" s="487">
        <v>215000</v>
      </c>
      <c r="D9" s="487">
        <f t="shared" si="0"/>
        <v>0</v>
      </c>
      <c r="E9" s="793">
        <f t="shared" si="1"/>
        <v>0</v>
      </c>
    </row>
    <row r="10" spans="1:9" x14ac:dyDescent="0.25">
      <c r="A10" s="487" t="s">
        <v>1494</v>
      </c>
      <c r="B10" s="546">
        <v>20000000</v>
      </c>
      <c r="C10" s="487">
        <v>21550000</v>
      </c>
      <c r="D10" s="487">
        <f t="shared" si="0"/>
        <v>1550000</v>
      </c>
      <c r="E10" s="793">
        <f t="shared" si="1"/>
        <v>7.1925754060324823E-2</v>
      </c>
    </row>
    <row r="11" spans="1:9" x14ac:dyDescent="0.25">
      <c r="A11" s="487"/>
      <c r="B11" s="546"/>
      <c r="C11" s="487"/>
      <c r="D11" s="487">
        <f t="shared" si="0"/>
        <v>0</v>
      </c>
      <c r="E11" s="793"/>
    </row>
    <row r="12" spans="1:9" s="281" customFormat="1" x14ac:dyDescent="0.25">
      <c r="A12" s="488" t="s">
        <v>1490</v>
      </c>
      <c r="B12" s="794"/>
      <c r="C12" s="488"/>
      <c r="D12" s="488">
        <f t="shared" si="0"/>
        <v>0</v>
      </c>
      <c r="E12" s="795"/>
      <c r="H12" s="485"/>
      <c r="I12" s="485"/>
    </row>
    <row r="13" spans="1:9" x14ac:dyDescent="0.25">
      <c r="A13" s="487" t="s">
        <v>1492</v>
      </c>
      <c r="B13" s="546"/>
      <c r="C13" s="487"/>
      <c r="D13" s="487">
        <f t="shared" si="0"/>
        <v>0</v>
      </c>
      <c r="E13" s="793" t="e">
        <f t="shared" si="1"/>
        <v>#DIV/0!</v>
      </c>
    </row>
    <row r="14" spans="1:9" x14ac:dyDescent="0.25">
      <c r="A14" s="487" t="s">
        <v>1491</v>
      </c>
      <c r="B14" s="546"/>
      <c r="C14" s="487"/>
      <c r="D14" s="487">
        <f t="shared" si="0"/>
        <v>0</v>
      </c>
      <c r="E14" s="793" t="e">
        <f t="shared" si="1"/>
        <v>#DIV/0!</v>
      </c>
    </row>
    <row r="15" spans="1:9" x14ac:dyDescent="0.25">
      <c r="A15" s="487" t="s">
        <v>1493</v>
      </c>
      <c r="B15" s="546"/>
      <c r="C15" s="487"/>
      <c r="D15" s="487">
        <f t="shared" si="0"/>
        <v>0</v>
      </c>
      <c r="E15" s="793"/>
    </row>
    <row r="16" spans="1:9" x14ac:dyDescent="0.25">
      <c r="A16" s="487"/>
      <c r="B16" s="546"/>
      <c r="C16" s="487"/>
      <c r="D16" s="487"/>
      <c r="E16" s="487"/>
    </row>
    <row r="17" spans="1:9" s="281" customFormat="1" x14ac:dyDescent="0.25">
      <c r="A17" s="488" t="s">
        <v>208</v>
      </c>
      <c r="B17" s="794">
        <f>SUM(B2:B16)</f>
        <v>621063683.77999997</v>
      </c>
      <c r="C17" s="794">
        <f>SUM(C2:C16)</f>
        <v>774324954.23000002</v>
      </c>
      <c r="D17" s="488">
        <f>C17-B17</f>
        <v>153261270.45000005</v>
      </c>
      <c r="E17" s="795">
        <f>D17/C17</f>
        <v>0.19792887935841522</v>
      </c>
      <c r="H17" s="485"/>
      <c r="I17" s="485"/>
    </row>
    <row r="18" spans="1:9" x14ac:dyDescent="0.25">
      <c r="A18" s="487"/>
      <c r="B18" s="546"/>
      <c r="C18" s="487"/>
      <c r="D18" s="487"/>
      <c r="E18" s="487"/>
    </row>
    <row r="19" spans="1:9" x14ac:dyDescent="0.25">
      <c r="A19" s="487"/>
      <c r="B19" s="546"/>
      <c r="C19" s="487"/>
      <c r="D19" s="487"/>
      <c r="E19" s="487"/>
    </row>
    <row r="20" spans="1:9" x14ac:dyDescent="0.25">
      <c r="A20" s="487"/>
      <c r="B20" s="546"/>
      <c r="C20" s="487"/>
      <c r="D20" s="487"/>
      <c r="E20" s="487"/>
    </row>
    <row r="21" spans="1:9" x14ac:dyDescent="0.25">
      <c r="A21" s="487"/>
      <c r="B21" s="546"/>
      <c r="C21" s="487"/>
      <c r="D21" s="487"/>
      <c r="E21" s="487"/>
    </row>
    <row r="22" spans="1:9" x14ac:dyDescent="0.25">
      <c r="A22" s="487"/>
      <c r="B22" s="546"/>
      <c r="C22" s="487"/>
      <c r="D22" s="487"/>
      <c r="E22" s="487"/>
    </row>
    <row r="23" spans="1:9" x14ac:dyDescent="0.25">
      <c r="A23" s="487"/>
      <c r="B23" s="546"/>
      <c r="C23" s="487"/>
      <c r="D23" s="487"/>
      <c r="E23" s="487"/>
    </row>
    <row r="24" spans="1:9" x14ac:dyDescent="0.25">
      <c r="A24" s="487"/>
      <c r="B24" s="546"/>
      <c r="C24" s="487"/>
      <c r="D24" s="487"/>
      <c r="E24" s="487"/>
    </row>
    <row r="25" spans="1:9" x14ac:dyDescent="0.25">
      <c r="A25" s="487"/>
      <c r="B25" s="546"/>
      <c r="C25" s="487"/>
      <c r="D25" s="487"/>
      <c r="E25" s="487"/>
    </row>
    <row r="26" spans="1:9" x14ac:dyDescent="0.25">
      <c r="A26" s="487"/>
      <c r="B26" s="546"/>
      <c r="C26" s="487"/>
      <c r="D26" s="487"/>
      <c r="E26" s="487"/>
    </row>
    <row r="27" spans="1:9" x14ac:dyDescent="0.25">
      <c r="A27" s="487"/>
      <c r="B27" s="546"/>
      <c r="C27" s="487"/>
      <c r="D27" s="487"/>
      <c r="E27" s="487"/>
    </row>
    <row r="28" spans="1:9" x14ac:dyDescent="0.25">
      <c r="A28" s="487"/>
      <c r="B28" s="546"/>
      <c r="C28" s="487"/>
      <c r="D28" s="487"/>
      <c r="E28" s="487"/>
    </row>
    <row r="29" spans="1:9" x14ac:dyDescent="0.25">
      <c r="A29" s="487"/>
      <c r="B29" s="546"/>
      <c r="C29" s="487"/>
      <c r="D29" s="487"/>
      <c r="E29" s="487"/>
    </row>
    <row r="30" spans="1:9" x14ac:dyDescent="0.25">
      <c r="A30" s="487"/>
      <c r="B30" s="546"/>
      <c r="C30" s="487"/>
      <c r="D30" s="487"/>
      <c r="E30" s="487"/>
    </row>
    <row r="31" spans="1:9" s="281" customFormat="1" x14ac:dyDescent="0.25">
      <c r="A31" s="799"/>
      <c r="B31" s="799"/>
      <c r="C31" s="799"/>
      <c r="D31" s="799"/>
      <c r="E31" s="799"/>
      <c r="H31" s="485"/>
      <c r="I31" s="485"/>
    </row>
    <row r="32" spans="1:9" x14ac:dyDescent="0.25">
      <c r="A32" s="800"/>
      <c r="B32" s="800"/>
      <c r="C32" s="800"/>
      <c r="D32" s="800"/>
      <c r="E32" s="800"/>
    </row>
    <row r="33" spans="1:9" x14ac:dyDescent="0.25">
      <c r="A33" s="800"/>
      <c r="B33" s="800"/>
      <c r="C33" s="800"/>
      <c r="D33" s="800"/>
      <c r="E33" s="800"/>
    </row>
    <row r="34" spans="1:9" x14ac:dyDescent="0.25">
      <c r="A34" s="801"/>
      <c r="B34" s="800"/>
      <c r="C34" s="800"/>
      <c r="D34" s="800"/>
      <c r="E34" s="800"/>
    </row>
    <row r="35" spans="1:9" x14ac:dyDescent="0.25">
      <c r="A35" s="800"/>
      <c r="B35" s="802"/>
      <c r="C35" s="800"/>
      <c r="D35" s="800"/>
      <c r="E35" s="800"/>
    </row>
    <row r="36" spans="1:9" x14ac:dyDescent="0.25">
      <c r="A36" s="800"/>
      <c r="B36" s="802"/>
      <c r="C36" s="800"/>
      <c r="D36" s="800"/>
      <c r="E36" s="800"/>
    </row>
    <row r="37" spans="1:9" x14ac:dyDescent="0.25">
      <c r="A37" s="800"/>
      <c r="B37" s="802"/>
      <c r="C37" s="800"/>
      <c r="D37" s="800"/>
      <c r="E37" s="800"/>
    </row>
    <row r="38" spans="1:9" x14ac:dyDescent="0.25">
      <c r="A38" s="800"/>
      <c r="B38" s="802"/>
      <c r="C38" s="800"/>
      <c r="D38" s="800"/>
      <c r="E38" s="800"/>
    </row>
    <row r="39" spans="1:9" x14ac:dyDescent="0.25">
      <c r="A39" s="800"/>
      <c r="B39" s="802"/>
      <c r="C39" s="800"/>
      <c r="D39" s="800"/>
      <c r="E39" s="800"/>
    </row>
    <row r="40" spans="1:9" x14ac:dyDescent="0.25">
      <c r="A40" s="800"/>
      <c r="B40" s="800"/>
      <c r="C40" s="800"/>
      <c r="D40" s="800"/>
      <c r="E40" s="800"/>
    </row>
    <row r="41" spans="1:9" x14ac:dyDescent="0.25">
      <c r="A41" s="800"/>
      <c r="B41" s="800"/>
      <c r="C41" s="800"/>
      <c r="D41" s="800"/>
      <c r="E41" s="800"/>
    </row>
    <row r="42" spans="1:9" x14ac:dyDescent="0.25">
      <c r="A42" s="800"/>
      <c r="B42" s="800"/>
      <c r="C42" s="800"/>
      <c r="D42" s="800"/>
      <c r="E42" s="800"/>
    </row>
    <row r="43" spans="1:9" x14ac:dyDescent="0.25">
      <c r="A43" s="800"/>
      <c r="B43" s="800"/>
      <c r="C43" s="800"/>
      <c r="D43" s="800"/>
      <c r="E43" s="800"/>
    </row>
    <row r="44" spans="1:9" s="281" customFormat="1" x14ac:dyDescent="0.25">
      <c r="A44" s="801"/>
      <c r="B44" s="801"/>
      <c r="C44" s="801"/>
      <c r="D44" s="801"/>
      <c r="E44" s="801"/>
      <c r="H44" s="485"/>
      <c r="I44" s="485"/>
    </row>
    <row r="45" spans="1:9" s="281" customFormat="1" x14ac:dyDescent="0.25">
      <c r="A45" s="801"/>
      <c r="B45" s="801"/>
      <c r="C45" s="801"/>
      <c r="D45" s="801"/>
      <c r="E45" s="801"/>
      <c r="H45" s="485"/>
      <c r="I45" s="485"/>
    </row>
    <row r="46" spans="1:9" x14ac:dyDescent="0.25">
      <c r="A46" s="800"/>
      <c r="B46" s="800"/>
      <c r="C46" s="800"/>
      <c r="D46" s="800"/>
      <c r="E46" s="800"/>
    </row>
    <row r="50" spans="6:9" s="490" customFormat="1" x14ac:dyDescent="0.25">
      <c r="F50"/>
      <c r="G50"/>
      <c r="H50" s="484"/>
      <c r="I50" s="484"/>
    </row>
  </sheetData>
  <pageMargins left="0.31496062992125984" right="0.31496062992125984" top="0.74803149606299213" bottom="1.3779527559055118" header="0.31496062992125984" footer="0.31496062992125984"/>
  <pageSetup paperSize="5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selection activeCell="I25" sqref="I25"/>
    </sheetView>
  </sheetViews>
  <sheetFormatPr defaultRowHeight="15.75" x14ac:dyDescent="0.25"/>
  <cols>
    <col min="1" max="1" width="33.42578125" style="490" customWidth="1"/>
    <col min="2" max="2" width="18.85546875" style="490" customWidth="1"/>
    <col min="3" max="3" width="19" style="490" customWidth="1"/>
    <col min="4" max="4" width="19.140625" style="490" customWidth="1"/>
    <col min="5" max="5" width="10" style="490" customWidth="1"/>
    <col min="6" max="7" width="0" hidden="1" customWidth="1"/>
    <col min="8" max="8" width="27.42578125" style="484" customWidth="1"/>
    <col min="9" max="9" width="7.85546875" style="484" customWidth="1"/>
  </cols>
  <sheetData>
    <row r="1" spans="1:9" ht="30" customHeight="1" x14ac:dyDescent="0.25">
      <c r="A1" s="770" t="s">
        <v>4</v>
      </c>
      <c r="B1" s="1001" t="s">
        <v>1534</v>
      </c>
      <c r="C1" s="1002" t="s">
        <v>1535</v>
      </c>
      <c r="D1" s="770" t="s">
        <v>1495</v>
      </c>
      <c r="E1" s="770" t="s">
        <v>1496</v>
      </c>
    </row>
    <row r="2" spans="1:9" x14ac:dyDescent="0.25">
      <c r="A2" s="488"/>
      <c r="B2" s="487"/>
      <c r="C2" s="487"/>
      <c r="D2" s="487"/>
      <c r="E2" s="793"/>
    </row>
    <row r="3" spans="1:9" x14ac:dyDescent="0.25">
      <c r="A3" s="488" t="s">
        <v>1529</v>
      </c>
      <c r="B3" s="487">
        <v>85373200</v>
      </c>
      <c r="C3" s="487">
        <v>83543954.650000006</v>
      </c>
      <c r="D3" s="487">
        <f>C3-B3</f>
        <v>-1829245.349999994</v>
      </c>
      <c r="E3" s="793">
        <f>D3/B3</f>
        <v>-2.142645877160507E-2</v>
      </c>
    </row>
    <row r="4" spans="1:9" x14ac:dyDescent="0.25">
      <c r="A4" s="488"/>
      <c r="B4" s="546"/>
      <c r="C4" s="487"/>
      <c r="D4" s="487"/>
      <c r="E4" s="793"/>
    </row>
    <row r="5" spans="1:9" x14ac:dyDescent="0.25">
      <c r="A5" s="488" t="s">
        <v>86</v>
      </c>
      <c r="B5" s="546">
        <v>545510321</v>
      </c>
      <c r="C5" s="487"/>
      <c r="D5" s="487"/>
      <c r="E5" s="793"/>
    </row>
    <row r="6" spans="1:9" s="281" customFormat="1" x14ac:dyDescent="0.25">
      <c r="A6" s="488" t="s">
        <v>1530</v>
      </c>
      <c r="B6" s="794"/>
      <c r="C6" s="487">
        <v>741305374</v>
      </c>
      <c r="D6" s="487">
        <f>C6-B5</f>
        <v>195795053</v>
      </c>
      <c r="E6" s="793">
        <f>D6/B5</f>
        <v>0.35892089565066176</v>
      </c>
      <c r="H6" s="485"/>
      <c r="I6" s="485"/>
    </row>
    <row r="7" spans="1:9" x14ac:dyDescent="0.25">
      <c r="A7" s="487"/>
      <c r="B7" s="546"/>
      <c r="C7" s="487"/>
      <c r="D7" s="487"/>
      <c r="E7" s="793"/>
    </row>
    <row r="8" spans="1:9" x14ac:dyDescent="0.25">
      <c r="A8" s="488" t="s">
        <v>1531</v>
      </c>
      <c r="B8" s="546"/>
      <c r="C8" s="487"/>
      <c r="D8" s="487"/>
      <c r="E8" s="793"/>
    </row>
    <row r="9" spans="1:9" x14ac:dyDescent="0.25">
      <c r="A9" s="487" t="s">
        <v>1532</v>
      </c>
      <c r="B9" s="546">
        <v>25270300</v>
      </c>
      <c r="C9" s="487">
        <v>26094130</v>
      </c>
      <c r="D9" s="487">
        <f t="shared" ref="D9:D15" si="0">C9-B9</f>
        <v>823830</v>
      </c>
      <c r="E9" s="793">
        <f>D9/B9</f>
        <v>3.2600721004499351E-2</v>
      </c>
    </row>
    <row r="10" spans="1:9" x14ac:dyDescent="0.25">
      <c r="A10" s="487" t="s">
        <v>1533</v>
      </c>
      <c r="B10" s="546">
        <v>6420000</v>
      </c>
      <c r="C10" s="487">
        <v>6420000</v>
      </c>
      <c r="D10" s="487">
        <f t="shared" si="0"/>
        <v>0</v>
      </c>
      <c r="E10" s="793">
        <f>D10/B10</f>
        <v>0</v>
      </c>
    </row>
    <row r="11" spans="1:9" x14ac:dyDescent="0.25">
      <c r="A11" s="487"/>
      <c r="B11" s="546"/>
      <c r="C11" s="487"/>
      <c r="D11" s="487">
        <f t="shared" si="0"/>
        <v>0</v>
      </c>
      <c r="E11" s="793"/>
    </row>
    <row r="12" spans="1:9" s="281" customFormat="1" hidden="1" x14ac:dyDescent="0.25">
      <c r="A12" s="488"/>
      <c r="B12" s="794"/>
      <c r="C12" s="488"/>
      <c r="D12" s="488">
        <f t="shared" si="0"/>
        <v>0</v>
      </c>
      <c r="E12" s="793"/>
      <c r="H12" s="485"/>
      <c r="I12" s="485"/>
    </row>
    <row r="13" spans="1:9" hidden="1" x14ac:dyDescent="0.25">
      <c r="A13" s="487"/>
      <c r="B13" s="546"/>
      <c r="C13" s="487"/>
      <c r="D13" s="487">
        <f t="shared" si="0"/>
        <v>0</v>
      </c>
      <c r="E13" s="793"/>
    </row>
    <row r="14" spans="1:9" hidden="1" x14ac:dyDescent="0.25">
      <c r="A14" s="487"/>
      <c r="B14" s="546"/>
      <c r="C14" s="487"/>
      <c r="D14" s="487">
        <f t="shared" si="0"/>
        <v>0</v>
      </c>
      <c r="E14" s="793"/>
    </row>
    <row r="15" spans="1:9" hidden="1" x14ac:dyDescent="0.25">
      <c r="A15" s="487"/>
      <c r="B15" s="546"/>
      <c r="C15" s="487"/>
      <c r="D15" s="487">
        <f t="shared" si="0"/>
        <v>0</v>
      </c>
      <c r="E15" s="793"/>
    </row>
    <row r="16" spans="1:9" x14ac:dyDescent="0.25">
      <c r="A16" s="487"/>
      <c r="B16" s="546"/>
      <c r="C16" s="487"/>
      <c r="D16" s="487"/>
      <c r="E16" s="793"/>
    </row>
    <row r="17" spans="1:9" s="281" customFormat="1" x14ac:dyDescent="0.25">
      <c r="A17" s="488" t="s">
        <v>208</v>
      </c>
      <c r="B17" s="794">
        <f>SUM(B2:B16)</f>
        <v>662573821</v>
      </c>
      <c r="C17" s="794">
        <f>SUM(C2:C16)</f>
        <v>857363458.64999998</v>
      </c>
      <c r="D17" s="488">
        <f>C17-B17</f>
        <v>194789637.64999998</v>
      </c>
      <c r="E17" s="795">
        <f>D17/B17</f>
        <v>0.29398933594449994</v>
      </c>
      <c r="H17" s="485"/>
      <c r="I17" s="485"/>
    </row>
    <row r="18" spans="1:9" x14ac:dyDescent="0.25">
      <c r="A18" s="487"/>
      <c r="B18" s="546"/>
      <c r="C18" s="487"/>
      <c r="D18" s="487"/>
      <c r="E18" s="487"/>
    </row>
    <row r="19" spans="1:9" x14ac:dyDescent="0.25">
      <c r="A19" s="487"/>
      <c r="B19" s="546"/>
      <c r="C19" s="487"/>
      <c r="D19" s="487"/>
      <c r="E19" s="487"/>
    </row>
    <row r="20" spans="1:9" x14ac:dyDescent="0.25">
      <c r="A20" s="487"/>
      <c r="B20" s="546"/>
      <c r="C20" s="487"/>
      <c r="D20" s="487"/>
      <c r="E20" s="487"/>
    </row>
    <row r="21" spans="1:9" x14ac:dyDescent="0.25">
      <c r="A21" s="487"/>
      <c r="B21" s="546"/>
      <c r="C21" s="487"/>
      <c r="D21" s="487"/>
      <c r="E21" s="487"/>
    </row>
    <row r="22" spans="1:9" x14ac:dyDescent="0.25">
      <c r="A22" s="487"/>
      <c r="B22" s="546"/>
      <c r="C22" s="487"/>
      <c r="D22" s="487"/>
      <c r="E22" s="487"/>
    </row>
    <row r="23" spans="1:9" x14ac:dyDescent="0.25">
      <c r="A23" s="487"/>
      <c r="B23" s="546"/>
      <c r="C23" s="487"/>
      <c r="D23" s="487"/>
      <c r="E23" s="487"/>
    </row>
    <row r="24" spans="1:9" x14ac:dyDescent="0.25">
      <c r="A24" s="487"/>
      <c r="B24" s="546"/>
      <c r="C24" s="487"/>
      <c r="D24" s="487"/>
      <c r="E24" s="487"/>
    </row>
    <row r="25" spans="1:9" x14ac:dyDescent="0.25">
      <c r="A25" s="487"/>
      <c r="B25" s="546"/>
      <c r="C25" s="487"/>
      <c r="D25" s="487"/>
      <c r="E25" s="487"/>
    </row>
    <row r="26" spans="1:9" x14ac:dyDescent="0.25">
      <c r="A26" s="487"/>
      <c r="B26" s="546"/>
      <c r="C26" s="487"/>
      <c r="D26" s="487"/>
      <c r="E26" s="487"/>
    </row>
    <row r="27" spans="1:9" x14ac:dyDescent="0.25">
      <c r="A27" s="487"/>
      <c r="B27" s="546"/>
      <c r="C27" s="487"/>
      <c r="D27" s="487"/>
      <c r="E27" s="487"/>
    </row>
    <row r="28" spans="1:9" x14ac:dyDescent="0.25">
      <c r="A28" s="487"/>
      <c r="B28" s="546"/>
      <c r="C28" s="487"/>
      <c r="D28" s="487"/>
      <c r="E28" s="487"/>
    </row>
    <row r="29" spans="1:9" x14ac:dyDescent="0.25">
      <c r="A29" s="487"/>
      <c r="B29" s="546"/>
      <c r="C29" s="487"/>
      <c r="D29" s="487"/>
      <c r="E29" s="487"/>
    </row>
    <row r="30" spans="1:9" x14ac:dyDescent="0.25">
      <c r="A30" s="487"/>
      <c r="B30" s="546"/>
      <c r="C30" s="487"/>
      <c r="D30" s="487"/>
      <c r="E30" s="487"/>
    </row>
    <row r="31" spans="1:9" s="281" customFormat="1" x14ac:dyDescent="0.25">
      <c r="A31" s="799"/>
      <c r="B31" s="799"/>
      <c r="C31" s="799"/>
      <c r="D31" s="799"/>
      <c r="E31" s="799"/>
      <c r="H31" s="485"/>
      <c r="I31" s="485"/>
    </row>
    <row r="32" spans="1:9" x14ac:dyDescent="0.25">
      <c r="A32" s="800"/>
      <c r="B32" s="800"/>
      <c r="C32" s="800"/>
      <c r="D32" s="800"/>
      <c r="E32" s="800"/>
    </row>
    <row r="33" spans="1:9" x14ac:dyDescent="0.25">
      <c r="A33" s="800"/>
      <c r="B33" s="800"/>
      <c r="C33" s="800"/>
      <c r="D33" s="800"/>
      <c r="E33" s="800"/>
    </row>
    <row r="34" spans="1:9" x14ac:dyDescent="0.25">
      <c r="A34" s="801"/>
      <c r="B34" s="800"/>
      <c r="C34" s="800"/>
      <c r="D34" s="800"/>
      <c r="E34" s="800"/>
    </row>
    <row r="35" spans="1:9" x14ac:dyDescent="0.25">
      <c r="A35" s="800"/>
      <c r="B35" s="802"/>
      <c r="C35" s="800"/>
      <c r="D35" s="800"/>
      <c r="E35" s="800"/>
    </row>
    <row r="36" spans="1:9" x14ac:dyDescent="0.25">
      <c r="A36" s="800"/>
      <c r="B36" s="802"/>
      <c r="C36" s="800"/>
      <c r="D36" s="800"/>
      <c r="E36" s="800"/>
    </row>
    <row r="37" spans="1:9" x14ac:dyDescent="0.25">
      <c r="A37" s="800"/>
      <c r="B37" s="802"/>
      <c r="C37" s="800"/>
      <c r="D37" s="800"/>
      <c r="E37" s="800"/>
    </row>
    <row r="38" spans="1:9" x14ac:dyDescent="0.25">
      <c r="A38" s="800"/>
      <c r="B38" s="802"/>
      <c r="C38" s="800"/>
      <c r="D38" s="800"/>
      <c r="E38" s="800"/>
    </row>
    <row r="39" spans="1:9" x14ac:dyDescent="0.25">
      <c r="A39" s="800"/>
      <c r="B39" s="802"/>
      <c r="C39" s="800"/>
      <c r="D39" s="800"/>
      <c r="E39" s="800"/>
    </row>
    <row r="40" spans="1:9" x14ac:dyDescent="0.25">
      <c r="A40" s="800"/>
      <c r="B40" s="800"/>
      <c r="C40" s="800"/>
      <c r="D40" s="800"/>
      <c r="E40" s="800"/>
    </row>
    <row r="41" spans="1:9" x14ac:dyDescent="0.25">
      <c r="A41" s="800"/>
      <c r="B41" s="800"/>
      <c r="C41" s="800"/>
      <c r="D41" s="800"/>
      <c r="E41" s="800"/>
    </row>
    <row r="42" spans="1:9" x14ac:dyDescent="0.25">
      <c r="A42" s="800"/>
      <c r="B42" s="800"/>
      <c r="C42" s="800"/>
      <c r="D42" s="800"/>
      <c r="E42" s="800"/>
    </row>
    <row r="43" spans="1:9" x14ac:dyDescent="0.25">
      <c r="A43" s="800"/>
      <c r="B43" s="800"/>
      <c r="C43" s="800"/>
      <c r="D43" s="800"/>
      <c r="E43" s="800"/>
    </row>
    <row r="44" spans="1:9" s="281" customFormat="1" x14ac:dyDescent="0.25">
      <c r="A44" s="801"/>
      <c r="B44" s="801"/>
      <c r="C44" s="801"/>
      <c r="D44" s="801"/>
      <c r="E44" s="801"/>
      <c r="H44" s="485"/>
      <c r="I44" s="485"/>
    </row>
    <row r="45" spans="1:9" s="281" customFormat="1" x14ac:dyDescent="0.25">
      <c r="A45" s="801"/>
      <c r="B45" s="801"/>
      <c r="C45" s="801"/>
      <c r="D45" s="801"/>
      <c r="E45" s="801"/>
      <c r="H45" s="485"/>
      <c r="I45" s="485"/>
    </row>
    <row r="46" spans="1:9" x14ac:dyDescent="0.25">
      <c r="A46" s="800"/>
      <c r="B46" s="800"/>
      <c r="C46" s="800"/>
      <c r="D46" s="800"/>
      <c r="E46" s="800"/>
    </row>
    <row r="50" spans="6:9" s="490" customFormat="1" x14ac:dyDescent="0.25">
      <c r="F50"/>
      <c r="G50"/>
      <c r="H50" s="484"/>
      <c r="I50" s="484"/>
    </row>
  </sheetData>
  <pageMargins left="0.31496062992125984" right="0.31496062992125984" top="0.74803149606299213" bottom="1.3779527559055118" header="0.31496062992125984" footer="0.31496062992125984"/>
  <pageSetup paperSize="5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104"/>
  <sheetViews>
    <sheetView view="pageBreakPreview" topLeftCell="A258" zoomScale="120" zoomScaleNormal="100" zoomScaleSheetLayoutView="120" workbookViewId="0">
      <selection activeCell="D162" sqref="D162"/>
    </sheetView>
  </sheetViews>
  <sheetFormatPr defaultRowHeight="15.75" x14ac:dyDescent="0.25"/>
  <cols>
    <col min="2" max="2" width="7.5703125" style="8" customWidth="1"/>
    <col min="3" max="3" width="18.7109375" style="9" customWidth="1"/>
    <col min="4" max="4" width="45.5703125" style="8" customWidth="1"/>
    <col min="5" max="5" width="18.5703125" style="8" hidden="1" customWidth="1"/>
    <col min="6" max="6" width="5.28515625" style="8" hidden="1" customWidth="1"/>
    <col min="7" max="7" width="16" style="8" hidden="1" customWidth="1"/>
    <col min="8" max="8" width="16.7109375" style="4" hidden="1" customWidth="1"/>
    <col min="9" max="9" width="17.140625" style="5" hidden="1" customWidth="1"/>
    <col min="10" max="10" width="16.85546875" style="4" hidden="1" customWidth="1"/>
    <col min="11" max="11" width="18.28515625" style="4" customWidth="1"/>
    <col min="12" max="12" width="16.85546875" style="4" customWidth="1"/>
    <col min="13" max="13" width="19.140625" style="10" customWidth="1"/>
    <col min="14" max="14" width="19.85546875" style="10" customWidth="1"/>
  </cols>
  <sheetData>
    <row r="1" spans="2:14" s="7" customFormat="1" ht="18" hidden="1" customHeight="1" x14ac:dyDescent="0.25">
      <c r="B1" s="908" t="s">
        <v>0</v>
      </c>
      <c r="C1" s="2"/>
      <c r="D1" s="3"/>
      <c r="E1" s="3"/>
      <c r="F1" s="3"/>
      <c r="G1" s="3"/>
      <c r="H1" s="4"/>
      <c r="I1" s="5"/>
      <c r="J1" s="4"/>
      <c r="K1" s="4"/>
      <c r="L1" s="4"/>
      <c r="M1" s="6"/>
      <c r="N1" s="6"/>
    </row>
    <row r="2" spans="2:14" ht="15.75" hidden="1" customHeight="1" x14ac:dyDescent="0.25"/>
    <row r="3" spans="2:14" ht="20.25" hidden="1" customHeight="1" x14ac:dyDescent="0.3">
      <c r="B3" s="875" t="s">
        <v>1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</row>
    <row r="4" spans="2:14" ht="18" hidden="1" customHeight="1" x14ac:dyDescent="0.25">
      <c r="B4" s="876" t="s">
        <v>2</v>
      </c>
      <c r="C4" s="876"/>
      <c r="D4" s="877"/>
      <c r="E4" s="877"/>
      <c r="F4" s="876"/>
      <c r="G4" s="876"/>
      <c r="H4" s="876"/>
      <c r="I4" s="876"/>
      <c r="J4" s="876"/>
      <c r="K4" s="876"/>
      <c r="L4" s="876"/>
    </row>
    <row r="5" spans="2:14" ht="18" hidden="1" customHeight="1" x14ac:dyDescent="0.25">
      <c r="B5" s="909"/>
      <c r="C5" s="876"/>
      <c r="D5" s="877" t="s">
        <v>3</v>
      </c>
      <c r="E5" s="877"/>
      <c r="F5" s="876"/>
      <c r="G5" s="876"/>
      <c r="H5" s="11"/>
      <c r="I5" s="11"/>
      <c r="J5" s="11"/>
      <c r="K5" s="11"/>
      <c r="L5" s="11"/>
    </row>
    <row r="6" spans="2:14" ht="15" hidden="1" customHeight="1" x14ac:dyDescent="0.25">
      <c r="B6" s="862" t="s">
        <v>4</v>
      </c>
      <c r="C6" s="862"/>
      <c r="D6" s="878"/>
      <c r="E6" s="878"/>
      <c r="F6" s="879"/>
      <c r="G6" s="880" t="s">
        <v>5</v>
      </c>
      <c r="H6" s="883" t="s">
        <v>6</v>
      </c>
      <c r="I6" s="886" t="s">
        <v>7</v>
      </c>
      <c r="J6" s="883"/>
      <c r="K6" s="889" t="s">
        <v>8</v>
      </c>
      <c r="L6" s="883"/>
    </row>
    <row r="7" spans="2:14" ht="15" hidden="1" customHeight="1" x14ac:dyDescent="0.25">
      <c r="B7" s="862"/>
      <c r="C7" s="862"/>
      <c r="D7" s="878"/>
      <c r="E7" s="878"/>
      <c r="F7" s="879"/>
      <c r="G7" s="881"/>
      <c r="H7" s="884"/>
      <c r="I7" s="887"/>
      <c r="J7" s="884"/>
      <c r="K7" s="890"/>
      <c r="L7" s="884"/>
    </row>
    <row r="8" spans="2:14" ht="15" hidden="1" customHeight="1" x14ac:dyDescent="0.25">
      <c r="B8" s="862"/>
      <c r="C8" s="862"/>
      <c r="D8" s="878"/>
      <c r="E8" s="878"/>
      <c r="F8" s="879"/>
      <c r="G8" s="881"/>
      <c r="H8" s="884"/>
      <c r="I8" s="887"/>
      <c r="J8" s="884"/>
      <c r="K8" s="890"/>
      <c r="L8" s="884"/>
    </row>
    <row r="9" spans="2:14" ht="15" hidden="1" customHeight="1" x14ac:dyDescent="0.25">
      <c r="B9" s="862"/>
      <c r="C9" s="862"/>
      <c r="D9" s="878"/>
      <c r="E9" s="878"/>
      <c r="F9" s="879"/>
      <c r="G9" s="881"/>
      <c r="H9" s="884"/>
      <c r="I9" s="887"/>
      <c r="J9" s="884"/>
      <c r="K9" s="890"/>
      <c r="L9" s="884"/>
    </row>
    <row r="10" spans="2:14" ht="15" hidden="1" customHeight="1" x14ac:dyDescent="0.25">
      <c r="B10" s="862"/>
      <c r="C10" s="862"/>
      <c r="D10" s="878"/>
      <c r="E10" s="878"/>
      <c r="F10" s="879"/>
      <c r="G10" s="882"/>
      <c r="H10" s="885"/>
      <c r="I10" s="888"/>
      <c r="J10" s="885"/>
      <c r="K10" s="891"/>
      <c r="L10" s="885"/>
    </row>
    <row r="11" spans="2:14" ht="18" hidden="1" customHeight="1" x14ac:dyDescent="0.25">
      <c r="B11" s="863" t="s">
        <v>9</v>
      </c>
      <c r="C11" s="864"/>
      <c r="D11" s="865"/>
      <c r="E11" s="865"/>
      <c r="F11" s="866"/>
      <c r="G11" s="548"/>
      <c r="H11" s="549"/>
      <c r="I11" s="550"/>
      <c r="J11" s="550"/>
      <c r="K11" s="550"/>
      <c r="L11" s="550"/>
    </row>
    <row r="12" spans="2:14" ht="18" hidden="1" customHeight="1" x14ac:dyDescent="0.25">
      <c r="B12" s="910" t="s">
        <v>10</v>
      </c>
      <c r="C12" s="840" t="s">
        <v>11</v>
      </c>
      <c r="D12" s="867"/>
      <c r="E12" s="867"/>
      <c r="F12" s="861"/>
      <c r="G12" s="13"/>
      <c r="H12" s="14"/>
      <c r="I12" s="15">
        <f>48062338.53+20000000+3000000+2399320.06+1000000</f>
        <v>74461658.590000004</v>
      </c>
      <c r="J12" s="15"/>
      <c r="K12" s="15"/>
      <c r="L12" s="15"/>
    </row>
    <row r="13" spans="2:14" ht="18" hidden="1" customHeight="1" x14ac:dyDescent="0.25">
      <c r="B13" s="911" t="s">
        <v>12</v>
      </c>
      <c r="C13" s="840" t="s">
        <v>13</v>
      </c>
      <c r="D13" s="867"/>
      <c r="E13" s="867"/>
      <c r="F13" s="861"/>
      <c r="G13" s="13"/>
      <c r="H13" s="14"/>
      <c r="I13" s="15">
        <v>14242804.09</v>
      </c>
      <c r="J13" s="15"/>
      <c r="K13" s="15"/>
      <c r="L13" s="15"/>
    </row>
    <row r="14" spans="2:14" ht="18" hidden="1" customHeight="1" x14ac:dyDescent="0.25">
      <c r="B14" s="910" t="s">
        <v>12</v>
      </c>
      <c r="C14" s="840" t="s">
        <v>14</v>
      </c>
      <c r="D14" s="867"/>
      <c r="E14" s="867"/>
      <c r="F14" s="861"/>
      <c r="G14" s="13"/>
      <c r="H14" s="17"/>
      <c r="I14" s="18">
        <v>16310186.460000001</v>
      </c>
      <c r="J14" s="18"/>
      <c r="K14" s="18"/>
      <c r="L14" s="18"/>
    </row>
    <row r="15" spans="2:14" ht="18" hidden="1" customHeight="1" x14ac:dyDescent="0.25">
      <c r="B15" s="868" t="s">
        <v>15</v>
      </c>
      <c r="C15" s="869"/>
      <c r="D15" s="870"/>
      <c r="E15" s="870"/>
      <c r="F15" s="871"/>
      <c r="G15" s="13"/>
      <c r="H15" s="17"/>
      <c r="I15" s="19">
        <f>SUM(I12:I14)</f>
        <v>105014649.14000002</v>
      </c>
      <c r="J15" s="20"/>
      <c r="K15" s="20">
        <f>SUM(K12:K14)</f>
        <v>0</v>
      </c>
      <c r="L15" s="20"/>
    </row>
    <row r="16" spans="2:14" ht="18" hidden="1" customHeight="1" x14ac:dyDescent="0.25">
      <c r="B16" s="872" t="s">
        <v>16</v>
      </c>
      <c r="C16" s="873"/>
      <c r="D16" s="865"/>
      <c r="E16" s="865"/>
      <c r="F16" s="874"/>
      <c r="G16" s="13"/>
      <c r="H16" s="17"/>
      <c r="I16" s="17"/>
      <c r="J16" s="21"/>
      <c r="K16" s="20"/>
      <c r="L16" s="21"/>
    </row>
    <row r="17" spans="2:12" ht="18" hidden="1" customHeight="1" x14ac:dyDescent="0.25">
      <c r="B17" s="912" t="s">
        <v>17</v>
      </c>
      <c r="C17" s="23" t="s">
        <v>18</v>
      </c>
      <c r="D17" s="24" t="s">
        <v>19</v>
      </c>
      <c r="E17" s="24"/>
      <c r="F17" s="25"/>
      <c r="G17" s="26"/>
      <c r="H17" s="27"/>
      <c r="I17" s="27"/>
      <c r="J17" s="28"/>
      <c r="K17" s="29"/>
      <c r="L17" s="28"/>
    </row>
    <row r="18" spans="2:12" ht="18" hidden="1" customHeight="1" x14ac:dyDescent="0.25">
      <c r="B18" s="912"/>
      <c r="C18" s="23" t="s">
        <v>20</v>
      </c>
      <c r="D18" s="24" t="s">
        <v>21</v>
      </c>
      <c r="E18" s="24"/>
      <c r="F18" s="25"/>
      <c r="G18" s="26"/>
      <c r="H18" s="27"/>
      <c r="I18" s="27"/>
      <c r="J18" s="28"/>
      <c r="K18" s="29"/>
      <c r="L18" s="28"/>
    </row>
    <row r="19" spans="2:12" ht="18" hidden="1" customHeight="1" x14ac:dyDescent="0.25">
      <c r="B19" s="912"/>
      <c r="C19" s="23" t="s">
        <v>22</v>
      </c>
      <c r="D19" s="24" t="s">
        <v>23</v>
      </c>
      <c r="E19" s="24"/>
      <c r="F19" s="25"/>
      <c r="G19" s="26"/>
      <c r="H19" s="27"/>
      <c r="I19" s="27"/>
      <c r="J19" s="28"/>
      <c r="K19" s="29"/>
      <c r="L19" s="28"/>
    </row>
    <row r="20" spans="2:12" ht="15.75" hidden="1" customHeight="1" x14ac:dyDescent="0.25">
      <c r="B20" s="913"/>
      <c r="D20" s="31" t="s">
        <v>24</v>
      </c>
      <c r="E20" s="32"/>
      <c r="F20" s="33"/>
      <c r="G20" s="26" t="s">
        <v>25</v>
      </c>
      <c r="H20" s="27"/>
      <c r="I20" s="34">
        <v>12000000</v>
      </c>
      <c r="J20" s="34"/>
      <c r="K20" s="34"/>
      <c r="L20" s="34"/>
    </row>
    <row r="21" spans="2:12" ht="15.75" hidden="1" customHeight="1" x14ac:dyDescent="0.25">
      <c r="B21" s="913"/>
      <c r="D21" s="31" t="s">
        <v>26</v>
      </c>
      <c r="E21" s="32"/>
      <c r="F21" s="33"/>
      <c r="G21" s="26" t="s">
        <v>25</v>
      </c>
      <c r="H21" s="27"/>
      <c r="I21" s="34">
        <v>1500000</v>
      </c>
      <c r="J21" s="34"/>
      <c r="K21" s="34"/>
      <c r="L21" s="34"/>
    </row>
    <row r="22" spans="2:12" ht="15.75" hidden="1" customHeight="1" x14ac:dyDescent="0.25">
      <c r="B22" s="913"/>
      <c r="D22" s="31" t="s">
        <v>27</v>
      </c>
      <c r="E22" s="32"/>
      <c r="F22" s="33"/>
      <c r="G22" s="26" t="s">
        <v>25</v>
      </c>
      <c r="H22" s="27"/>
      <c r="I22" s="34">
        <v>980000</v>
      </c>
      <c r="J22" s="34"/>
      <c r="K22" s="34"/>
      <c r="L22" s="34"/>
    </row>
    <row r="23" spans="2:12" ht="15.75" hidden="1" customHeight="1" x14ac:dyDescent="0.25">
      <c r="B23" s="913"/>
      <c r="D23" s="31" t="s">
        <v>28</v>
      </c>
      <c r="E23" s="32"/>
      <c r="F23" s="33"/>
      <c r="G23" s="26" t="s">
        <v>25</v>
      </c>
      <c r="H23" s="27"/>
      <c r="I23" s="29">
        <v>650000</v>
      </c>
      <c r="J23" s="29"/>
      <c r="K23" s="29"/>
      <c r="L23" s="29"/>
    </row>
    <row r="24" spans="2:12" ht="15.75" hidden="1" customHeight="1" x14ac:dyDescent="0.25">
      <c r="B24" s="913"/>
      <c r="D24" s="31" t="s">
        <v>29</v>
      </c>
      <c r="E24" s="32"/>
      <c r="F24" s="33"/>
      <c r="G24" s="26"/>
      <c r="H24" s="27"/>
      <c r="I24" s="29">
        <v>44000</v>
      </c>
      <c r="J24" s="29"/>
      <c r="K24" s="29"/>
      <c r="L24" s="29"/>
    </row>
    <row r="25" spans="2:12" ht="18" hidden="1" customHeight="1" x14ac:dyDescent="0.25">
      <c r="B25" s="914"/>
      <c r="C25" s="36" t="s">
        <v>30</v>
      </c>
      <c r="D25" s="32" t="s">
        <v>31</v>
      </c>
      <c r="E25" s="32"/>
      <c r="F25" s="33"/>
      <c r="G25" s="26"/>
      <c r="H25" s="27"/>
      <c r="I25" s="29"/>
      <c r="J25" s="29"/>
      <c r="K25" s="29"/>
      <c r="L25" s="29"/>
    </row>
    <row r="26" spans="2:12" ht="15.75" hidden="1" customHeight="1" x14ac:dyDescent="0.25">
      <c r="B26" s="913"/>
      <c r="D26" s="31" t="s">
        <v>32</v>
      </c>
      <c r="E26" s="32"/>
      <c r="F26" s="33"/>
      <c r="G26" s="26" t="s">
        <v>25</v>
      </c>
      <c r="H26" s="27"/>
      <c r="I26" s="29">
        <v>100000</v>
      </c>
      <c r="J26" s="29"/>
      <c r="K26" s="29"/>
      <c r="L26" s="29"/>
    </row>
    <row r="27" spans="2:12" ht="15.75" hidden="1" customHeight="1" x14ac:dyDescent="0.25">
      <c r="B27" s="913"/>
      <c r="D27" s="31" t="s">
        <v>33</v>
      </c>
      <c r="E27" s="32"/>
      <c r="F27" s="33"/>
      <c r="G27" s="26" t="s">
        <v>25</v>
      </c>
      <c r="H27" s="27"/>
      <c r="I27" s="29">
        <v>160000</v>
      </c>
      <c r="J27" s="29"/>
      <c r="K27" s="29"/>
      <c r="L27" s="29"/>
    </row>
    <row r="28" spans="2:12" ht="15.75" hidden="1" customHeight="1" x14ac:dyDescent="0.25">
      <c r="B28" s="913"/>
      <c r="D28" s="31" t="s">
        <v>34</v>
      </c>
      <c r="E28" s="32"/>
      <c r="F28" s="33"/>
      <c r="G28" s="26" t="s">
        <v>25</v>
      </c>
      <c r="H28" s="27"/>
      <c r="I28" s="29">
        <v>30000</v>
      </c>
      <c r="J28" s="29"/>
      <c r="K28" s="29"/>
      <c r="L28" s="29"/>
    </row>
    <row r="29" spans="2:12" ht="15.75" hidden="1" customHeight="1" x14ac:dyDescent="0.25">
      <c r="B29" s="913"/>
      <c r="D29" s="31" t="s">
        <v>35</v>
      </c>
      <c r="E29" s="32"/>
      <c r="F29" s="33"/>
      <c r="G29" s="26" t="s">
        <v>25</v>
      </c>
      <c r="H29" s="27"/>
      <c r="I29" s="29">
        <v>42000000</v>
      </c>
      <c r="J29" s="29"/>
      <c r="K29" s="29"/>
      <c r="L29" s="29"/>
    </row>
    <row r="30" spans="2:12" ht="15.75" hidden="1" customHeight="1" x14ac:dyDescent="0.25">
      <c r="B30" s="913"/>
      <c r="D30" s="31" t="s">
        <v>36</v>
      </c>
      <c r="E30" s="32"/>
      <c r="F30" s="33"/>
      <c r="G30" s="26"/>
      <c r="H30" s="27"/>
      <c r="I30" s="29"/>
      <c r="J30" s="29"/>
      <c r="K30" s="29"/>
      <c r="L30" s="29"/>
    </row>
    <row r="31" spans="2:12" ht="15.75" hidden="1" customHeight="1" x14ac:dyDescent="0.25">
      <c r="B31" s="913"/>
      <c r="D31" s="31" t="s">
        <v>37</v>
      </c>
      <c r="E31" s="32"/>
      <c r="F31" s="33"/>
      <c r="G31" s="26" t="s">
        <v>25</v>
      </c>
      <c r="H31" s="27"/>
      <c r="I31" s="29">
        <v>700000</v>
      </c>
      <c r="J31" s="29"/>
      <c r="K31" s="29"/>
      <c r="L31" s="29"/>
    </row>
    <row r="32" spans="2:12" ht="18" hidden="1" customHeight="1" x14ac:dyDescent="0.25">
      <c r="B32" s="915"/>
      <c r="C32" s="36" t="s">
        <v>38</v>
      </c>
      <c r="D32" s="32" t="s">
        <v>39</v>
      </c>
      <c r="E32" s="32"/>
      <c r="F32" s="33"/>
      <c r="G32" s="26"/>
      <c r="H32" s="27"/>
      <c r="I32" s="29"/>
      <c r="J32" s="29"/>
      <c r="K32" s="29"/>
      <c r="L32" s="29"/>
    </row>
    <row r="33" spans="2:14" ht="15.75" hidden="1" customHeight="1" x14ac:dyDescent="0.25">
      <c r="B33" s="915"/>
      <c r="D33" s="31" t="s">
        <v>40</v>
      </c>
      <c r="E33" s="32"/>
      <c r="F33" s="33"/>
      <c r="G33" s="26" t="s">
        <v>25</v>
      </c>
      <c r="H33" s="27"/>
      <c r="I33" s="29">
        <v>130000</v>
      </c>
      <c r="J33" s="29"/>
      <c r="K33" s="29"/>
      <c r="L33" s="29"/>
    </row>
    <row r="34" spans="2:14" ht="15.75" hidden="1" customHeight="1" x14ac:dyDescent="0.25">
      <c r="B34" s="915"/>
      <c r="D34" s="31" t="s">
        <v>41</v>
      </c>
      <c r="E34" s="32"/>
      <c r="F34" s="33"/>
      <c r="G34" s="26" t="s">
        <v>25</v>
      </c>
      <c r="H34" s="27"/>
      <c r="I34" s="29">
        <v>1500000</v>
      </c>
      <c r="J34" s="29"/>
      <c r="K34" s="29"/>
      <c r="L34" s="29"/>
    </row>
    <row r="35" spans="2:14" ht="18" hidden="1" customHeight="1" x14ac:dyDescent="0.25">
      <c r="B35" s="915"/>
      <c r="D35" s="551" t="s">
        <v>42</v>
      </c>
      <c r="E35" s="552"/>
      <c r="F35" s="33"/>
      <c r="G35" s="26" t="s">
        <v>25</v>
      </c>
      <c r="H35" s="27"/>
      <c r="I35" s="29">
        <v>5000</v>
      </c>
      <c r="J35" s="29"/>
      <c r="K35" s="29"/>
      <c r="L35" s="29"/>
    </row>
    <row r="36" spans="2:14" ht="18" hidden="1" customHeight="1" x14ac:dyDescent="0.25">
      <c r="B36" s="915"/>
      <c r="D36" s="38" t="s">
        <v>43</v>
      </c>
      <c r="E36" s="33"/>
      <c r="F36" s="33"/>
      <c r="G36" s="26"/>
      <c r="H36" s="27"/>
      <c r="I36" s="29"/>
      <c r="J36" s="29"/>
      <c r="K36" s="29"/>
      <c r="L36" s="29"/>
    </row>
    <row r="37" spans="2:14" ht="18" hidden="1" customHeight="1" x14ac:dyDescent="0.25">
      <c r="B37" s="915"/>
      <c r="D37" s="39" t="s">
        <v>44</v>
      </c>
      <c r="E37" s="33"/>
      <c r="F37" s="33"/>
      <c r="G37" s="26"/>
      <c r="H37" s="27"/>
      <c r="I37" s="29"/>
      <c r="J37" s="29"/>
      <c r="K37" s="29"/>
      <c r="L37" s="29"/>
    </row>
    <row r="38" spans="2:14" ht="18" hidden="1" customHeight="1" x14ac:dyDescent="0.25">
      <c r="B38" s="912"/>
      <c r="C38" s="23" t="s">
        <v>45</v>
      </c>
      <c r="D38" s="23"/>
      <c r="E38" s="23"/>
      <c r="F38" s="25"/>
      <c r="G38" s="26"/>
      <c r="H38" s="27"/>
      <c r="I38" s="29"/>
      <c r="J38" s="29"/>
      <c r="K38" s="29"/>
      <c r="L38" s="29"/>
    </row>
    <row r="39" spans="2:14" ht="18" hidden="1" customHeight="1" x14ac:dyDescent="0.25">
      <c r="B39" s="916"/>
      <c r="C39" s="36" t="s">
        <v>46</v>
      </c>
      <c r="D39" s="41"/>
      <c r="E39" s="33"/>
      <c r="F39" s="33"/>
      <c r="G39" s="26"/>
      <c r="H39" s="27"/>
      <c r="I39" s="29"/>
      <c r="J39" s="29"/>
      <c r="K39" s="29"/>
      <c r="L39" s="29"/>
    </row>
    <row r="40" spans="2:14" s="48" customFormat="1" ht="18" hidden="1" customHeight="1" x14ac:dyDescent="0.25">
      <c r="B40" s="917"/>
      <c r="C40" s="43"/>
      <c r="D40" s="44" t="s">
        <v>47</v>
      </c>
      <c r="E40" s="45"/>
      <c r="F40" s="45"/>
      <c r="G40" s="46" t="s">
        <v>25</v>
      </c>
      <c r="H40" s="27"/>
      <c r="I40" s="29">
        <v>2200000</v>
      </c>
      <c r="J40" s="29"/>
      <c r="K40" s="29"/>
      <c r="L40" s="29"/>
      <c r="M40" s="47"/>
      <c r="N40" s="47"/>
    </row>
    <row r="41" spans="2:14" s="48" customFormat="1" ht="18" hidden="1" customHeight="1" x14ac:dyDescent="0.25">
      <c r="B41" s="917"/>
      <c r="C41" s="43"/>
      <c r="D41" s="44" t="s">
        <v>48</v>
      </c>
      <c r="E41" s="45"/>
      <c r="F41" s="45"/>
      <c r="G41" s="46"/>
      <c r="H41" s="27"/>
      <c r="I41" s="29">
        <v>75000</v>
      </c>
      <c r="J41" s="29"/>
      <c r="K41" s="29"/>
      <c r="L41" s="29"/>
      <c r="M41" s="47"/>
      <c r="N41" s="47"/>
    </row>
    <row r="42" spans="2:14" s="48" customFormat="1" ht="18" hidden="1" customHeight="1" x14ac:dyDescent="0.25">
      <c r="B42" s="917"/>
      <c r="C42" s="43"/>
      <c r="D42" s="44" t="s">
        <v>49</v>
      </c>
      <c r="E42" s="45"/>
      <c r="F42" s="45"/>
      <c r="G42" s="46" t="s">
        <v>25</v>
      </c>
      <c r="H42" s="27"/>
      <c r="I42" s="29">
        <v>1000000</v>
      </c>
      <c r="J42" s="29"/>
      <c r="K42" s="29"/>
      <c r="L42" s="29"/>
      <c r="M42" s="47"/>
      <c r="N42" s="47"/>
    </row>
    <row r="43" spans="2:14" s="48" customFormat="1" ht="18" hidden="1" customHeight="1" x14ac:dyDescent="0.25">
      <c r="B43" s="917"/>
      <c r="C43" s="43"/>
      <c r="D43" s="859" t="s">
        <v>50</v>
      </c>
      <c r="E43" s="45"/>
      <c r="F43" s="45"/>
      <c r="G43" s="46" t="s">
        <v>25</v>
      </c>
      <c r="H43" s="27"/>
      <c r="I43" s="29">
        <v>2000</v>
      </c>
      <c r="J43" s="29"/>
      <c r="K43" s="29"/>
      <c r="L43" s="29"/>
      <c r="M43" s="47"/>
      <c r="N43" s="47"/>
    </row>
    <row r="44" spans="2:14" s="48" customFormat="1" ht="18" hidden="1" customHeight="1" x14ac:dyDescent="0.25">
      <c r="B44" s="917"/>
      <c r="C44" s="43"/>
      <c r="D44" s="44" t="s">
        <v>51</v>
      </c>
      <c r="E44" s="45"/>
      <c r="F44" s="45"/>
      <c r="G44" s="46" t="s">
        <v>25</v>
      </c>
      <c r="H44" s="27"/>
      <c r="I44" s="29">
        <v>60000</v>
      </c>
      <c r="J44" s="29"/>
      <c r="K44" s="29"/>
      <c r="L44" s="29"/>
      <c r="M44" s="47"/>
      <c r="N44" s="47"/>
    </row>
    <row r="45" spans="2:14" s="48" customFormat="1" ht="18" hidden="1" customHeight="1" x14ac:dyDescent="0.25">
      <c r="B45" s="917"/>
      <c r="C45" s="43"/>
      <c r="D45" s="44" t="s">
        <v>52</v>
      </c>
      <c r="E45" s="45"/>
      <c r="F45" s="45"/>
      <c r="G45" s="46" t="s">
        <v>25</v>
      </c>
      <c r="H45" s="27"/>
      <c r="I45" s="29">
        <v>72000</v>
      </c>
      <c r="J45" s="29"/>
      <c r="K45" s="29"/>
      <c r="L45" s="29"/>
      <c r="M45" s="47"/>
      <c r="N45" s="47"/>
    </row>
    <row r="46" spans="2:14" s="48" customFormat="1" ht="18" hidden="1" customHeight="1" x14ac:dyDescent="0.25">
      <c r="B46" s="917"/>
      <c r="C46" s="43"/>
      <c r="D46" s="44" t="s">
        <v>53</v>
      </c>
      <c r="E46" s="45"/>
      <c r="F46" s="45"/>
      <c r="G46" s="46" t="s">
        <v>25</v>
      </c>
      <c r="H46" s="27"/>
      <c r="I46" s="29">
        <v>9600</v>
      </c>
      <c r="J46" s="29"/>
      <c r="K46" s="29"/>
      <c r="L46" s="29"/>
      <c r="M46" s="47"/>
      <c r="N46" s="47"/>
    </row>
    <row r="47" spans="2:14" s="48" customFormat="1" ht="18" hidden="1" customHeight="1" x14ac:dyDescent="0.25">
      <c r="B47" s="917"/>
      <c r="C47" s="43"/>
      <c r="D47" s="44" t="s">
        <v>54</v>
      </c>
      <c r="E47" s="45"/>
      <c r="F47" s="45"/>
      <c r="G47" s="46" t="s">
        <v>25</v>
      </c>
      <c r="H47" s="27"/>
      <c r="I47" s="29">
        <v>1700000</v>
      </c>
      <c r="J47" s="29"/>
      <c r="K47" s="29"/>
      <c r="L47" s="29"/>
      <c r="M47" s="47"/>
      <c r="N47" s="47"/>
    </row>
    <row r="48" spans="2:14" s="48" customFormat="1" ht="18" hidden="1" customHeight="1" x14ac:dyDescent="0.25">
      <c r="B48" s="917"/>
      <c r="C48" s="43"/>
      <c r="D48" s="859" t="s">
        <v>55</v>
      </c>
      <c r="E48" s="45"/>
      <c r="F48" s="45"/>
      <c r="G48" s="46" t="s">
        <v>25</v>
      </c>
      <c r="H48" s="27"/>
      <c r="I48" s="29">
        <v>1850000</v>
      </c>
      <c r="J48" s="29"/>
      <c r="K48" s="29"/>
      <c r="L48" s="29"/>
      <c r="M48" s="47"/>
      <c r="N48" s="47"/>
    </row>
    <row r="49" spans="2:14" s="48" customFormat="1" ht="36.75" hidden="1" customHeight="1" x14ac:dyDescent="0.25">
      <c r="B49" s="917"/>
      <c r="C49" s="43"/>
      <c r="D49" s="840" t="s">
        <v>56</v>
      </c>
      <c r="E49" s="840"/>
      <c r="F49" s="861"/>
      <c r="G49" s="46" t="s">
        <v>25</v>
      </c>
      <c r="H49" s="27"/>
      <c r="I49" s="29">
        <v>54000</v>
      </c>
      <c r="J49" s="29"/>
      <c r="K49" s="29"/>
      <c r="L49" s="29"/>
      <c r="M49" s="47"/>
      <c r="N49" s="47"/>
    </row>
    <row r="50" spans="2:14" s="48" customFormat="1" ht="18" hidden="1" customHeight="1" x14ac:dyDescent="0.25">
      <c r="B50" s="917"/>
      <c r="C50" s="43"/>
      <c r="D50" s="49" t="s">
        <v>57</v>
      </c>
      <c r="E50" s="45"/>
      <c r="F50" s="45"/>
      <c r="G50" s="46" t="s">
        <v>25</v>
      </c>
      <c r="H50" s="27"/>
      <c r="I50" s="29">
        <v>20000</v>
      </c>
      <c r="J50" s="29"/>
      <c r="K50" s="29"/>
      <c r="L50" s="29"/>
      <c r="M50" s="47"/>
      <c r="N50" s="47"/>
    </row>
    <row r="51" spans="2:14" s="48" customFormat="1" ht="34.5" hidden="1" customHeight="1" x14ac:dyDescent="0.25">
      <c r="B51" s="917"/>
      <c r="C51" s="43"/>
      <c r="D51" s="840" t="s">
        <v>58</v>
      </c>
      <c r="E51" s="840"/>
      <c r="F51" s="861"/>
      <c r="G51" s="46" t="s">
        <v>25</v>
      </c>
      <c r="H51" s="27"/>
      <c r="I51" s="29">
        <v>15000</v>
      </c>
      <c r="J51" s="29"/>
      <c r="K51" s="29"/>
      <c r="L51" s="29"/>
      <c r="M51" s="47"/>
      <c r="N51" s="47"/>
    </row>
    <row r="52" spans="2:14" ht="35.25" hidden="1" customHeight="1" x14ac:dyDescent="0.25">
      <c r="B52" s="915"/>
      <c r="D52" s="840" t="s">
        <v>59</v>
      </c>
      <c r="E52" s="840"/>
      <c r="F52" s="861"/>
      <c r="G52" s="46" t="s">
        <v>25</v>
      </c>
      <c r="H52" s="27"/>
      <c r="I52" s="29">
        <v>30000</v>
      </c>
      <c r="J52" s="29"/>
      <c r="K52" s="29"/>
      <c r="L52" s="29"/>
    </row>
    <row r="53" spans="2:14" s="48" customFormat="1" ht="18" hidden="1" customHeight="1" x14ac:dyDescent="0.25">
      <c r="B53" s="917"/>
      <c r="C53" s="43"/>
      <c r="D53" s="44" t="s">
        <v>60</v>
      </c>
      <c r="E53" s="45"/>
      <c r="F53" s="45"/>
      <c r="G53" s="46" t="s">
        <v>25</v>
      </c>
      <c r="H53" s="50"/>
      <c r="I53" s="29"/>
      <c r="J53" s="29"/>
      <c r="K53" s="29"/>
      <c r="L53" s="29"/>
      <c r="M53" s="47"/>
      <c r="N53" s="47"/>
    </row>
    <row r="54" spans="2:14" s="48" customFormat="1" ht="18" hidden="1" customHeight="1" x14ac:dyDescent="0.25">
      <c r="B54" s="917"/>
      <c r="C54" s="43"/>
      <c r="D54" s="44" t="s">
        <v>61</v>
      </c>
      <c r="E54" s="45"/>
      <c r="F54" s="45"/>
      <c r="G54" s="46" t="s">
        <v>25</v>
      </c>
      <c r="H54" s="27"/>
      <c r="I54" s="29">
        <v>969600</v>
      </c>
      <c r="J54" s="29"/>
      <c r="K54" s="29"/>
      <c r="L54" s="29"/>
      <c r="M54" s="47"/>
      <c r="N54" s="47"/>
    </row>
    <row r="55" spans="2:14" s="48" customFormat="1" ht="36" hidden="1" customHeight="1" x14ac:dyDescent="0.25">
      <c r="B55" s="917"/>
      <c r="C55" s="43"/>
      <c r="D55" s="840" t="s">
        <v>62</v>
      </c>
      <c r="E55" s="840"/>
      <c r="F55" s="861"/>
      <c r="G55" s="46" t="s">
        <v>25</v>
      </c>
      <c r="H55" s="27"/>
      <c r="I55" s="29">
        <v>750000</v>
      </c>
      <c r="J55" s="29"/>
      <c r="K55" s="29"/>
      <c r="L55" s="29"/>
      <c r="M55" s="47"/>
      <c r="N55" s="47"/>
    </row>
    <row r="56" spans="2:14" ht="18" hidden="1" customHeight="1" x14ac:dyDescent="0.25">
      <c r="B56" s="915"/>
      <c r="D56" s="859" t="s">
        <v>63</v>
      </c>
      <c r="E56" s="33"/>
      <c r="F56" s="33"/>
      <c r="G56" s="46" t="s">
        <v>25</v>
      </c>
      <c r="H56" s="27"/>
      <c r="I56" s="29">
        <v>25000</v>
      </c>
      <c r="J56" s="29"/>
      <c r="K56" s="29"/>
      <c r="L56" s="29"/>
    </row>
    <row r="57" spans="2:14" ht="35.25" hidden="1" customHeight="1" x14ac:dyDescent="0.25">
      <c r="B57" s="915"/>
      <c r="C57" s="51"/>
      <c r="D57" s="840" t="s">
        <v>64</v>
      </c>
      <c r="E57" s="840"/>
      <c r="F57" s="861"/>
      <c r="G57" s="46" t="s">
        <v>25</v>
      </c>
      <c r="H57" s="27"/>
      <c r="I57" s="29">
        <v>30000</v>
      </c>
      <c r="J57" s="29"/>
      <c r="K57" s="29"/>
      <c r="L57" s="29"/>
    </row>
    <row r="58" spans="2:14" ht="20.25" hidden="1" customHeight="1" x14ac:dyDescent="0.25">
      <c r="B58" s="591"/>
      <c r="C58" s="51"/>
      <c r="D58" s="840"/>
      <c r="E58" s="840"/>
      <c r="F58" s="861"/>
      <c r="G58" s="53"/>
      <c r="H58" s="54"/>
      <c r="I58" s="54"/>
      <c r="J58" s="54"/>
      <c r="K58" s="55"/>
      <c r="L58" s="54"/>
    </row>
    <row r="59" spans="2:14" ht="20.25" hidden="1" customHeight="1" x14ac:dyDescent="0.25">
      <c r="B59" s="591"/>
      <c r="C59" s="51"/>
      <c r="D59" s="840"/>
      <c r="E59" s="840"/>
      <c r="F59" s="861"/>
      <c r="G59" s="53"/>
      <c r="H59" s="54"/>
      <c r="I59" s="54"/>
      <c r="J59" s="54"/>
      <c r="K59" s="55"/>
      <c r="L59" s="54"/>
    </row>
    <row r="60" spans="2:14" ht="20.25" hidden="1" customHeight="1" x14ac:dyDescent="0.25">
      <c r="B60" s="591"/>
      <c r="C60" s="51"/>
      <c r="D60" s="840"/>
      <c r="E60" s="840"/>
      <c r="F60" s="861"/>
      <c r="G60" s="53"/>
      <c r="H60" s="54"/>
      <c r="I60" s="54"/>
      <c r="J60" s="54"/>
      <c r="K60" s="55"/>
      <c r="L60" s="54"/>
    </row>
    <row r="61" spans="2:14" ht="20.25" hidden="1" customHeight="1" x14ac:dyDescent="0.25">
      <c r="B61" s="591"/>
      <c r="C61" s="51"/>
      <c r="D61" s="840"/>
      <c r="E61" s="840"/>
      <c r="F61" s="861"/>
      <c r="G61" s="53"/>
      <c r="H61" s="54"/>
      <c r="I61" s="54"/>
      <c r="J61" s="54"/>
      <c r="K61" s="55"/>
      <c r="L61" s="54"/>
    </row>
    <row r="62" spans="2:14" ht="20.25" hidden="1" customHeight="1" x14ac:dyDescent="0.25">
      <c r="B62" s="591"/>
      <c r="C62" s="51"/>
      <c r="D62" s="840"/>
      <c r="E62" s="840"/>
      <c r="F62" s="861"/>
      <c r="G62" s="53"/>
      <c r="H62" s="54"/>
      <c r="I62" s="54"/>
      <c r="J62" s="54"/>
      <c r="K62" s="55"/>
      <c r="L62" s="54"/>
    </row>
    <row r="63" spans="2:14" ht="20.25" hidden="1" customHeight="1" x14ac:dyDescent="0.25">
      <c r="B63" s="591"/>
      <c r="C63" s="51"/>
      <c r="D63" s="840"/>
      <c r="E63" s="840"/>
      <c r="F63" s="861"/>
      <c r="G63" s="53"/>
      <c r="H63" s="54"/>
      <c r="I63" s="54"/>
      <c r="J63" s="54"/>
      <c r="K63" s="55"/>
      <c r="L63" s="54"/>
    </row>
    <row r="64" spans="2:14" ht="20.25" hidden="1" customHeight="1" x14ac:dyDescent="0.25">
      <c r="B64" s="591"/>
      <c r="C64" s="51"/>
      <c r="D64" s="840"/>
      <c r="E64" s="840"/>
      <c r="F64" s="861"/>
      <c r="G64" s="53"/>
      <c r="H64" s="54"/>
      <c r="I64" s="54"/>
      <c r="J64" s="54"/>
      <c r="K64" s="55"/>
      <c r="L64" s="54"/>
    </row>
    <row r="65" spans="2:12" ht="20.25" hidden="1" customHeight="1" x14ac:dyDescent="0.25">
      <c r="B65" s="591"/>
      <c r="C65" s="51"/>
      <c r="D65" s="840"/>
      <c r="E65" s="840"/>
      <c r="F65" s="861"/>
      <c r="G65" s="53"/>
      <c r="H65" s="54"/>
      <c r="I65" s="54"/>
      <c r="J65" s="54"/>
      <c r="K65" s="55"/>
      <c r="L65" s="54"/>
    </row>
    <row r="66" spans="2:12" ht="20.25" hidden="1" customHeight="1" x14ac:dyDescent="0.25">
      <c r="B66" s="591"/>
      <c r="C66" s="51"/>
      <c r="D66" s="840"/>
      <c r="E66" s="840"/>
      <c r="F66" s="861"/>
      <c r="G66" s="53"/>
      <c r="H66" s="54"/>
      <c r="I66" s="54"/>
      <c r="J66" s="54"/>
      <c r="K66" s="55"/>
      <c r="L66" s="54"/>
    </row>
    <row r="67" spans="2:12" ht="20.25" hidden="1" customHeight="1" x14ac:dyDescent="0.25">
      <c r="B67" s="591"/>
      <c r="C67" s="51"/>
      <c r="D67" s="840"/>
      <c r="E67" s="840"/>
      <c r="F67" s="861"/>
      <c r="G67" s="53"/>
      <c r="H67" s="54"/>
      <c r="I67" s="54"/>
      <c r="J67" s="54"/>
      <c r="K67" s="55"/>
      <c r="L67" s="54"/>
    </row>
    <row r="68" spans="2:12" ht="20.25" hidden="1" customHeight="1" x14ac:dyDescent="0.25">
      <c r="B68" s="591"/>
      <c r="C68" s="51"/>
      <c r="D68" s="840"/>
      <c r="E68" s="840"/>
      <c r="F68" s="861"/>
      <c r="G68" s="53"/>
      <c r="H68" s="54"/>
      <c r="I68" s="54"/>
      <c r="J68" s="54"/>
      <c r="K68" s="55"/>
      <c r="L68" s="54"/>
    </row>
    <row r="69" spans="2:12" ht="15" hidden="1" customHeight="1" x14ac:dyDescent="0.25">
      <c r="B69" s="862" t="s">
        <v>4</v>
      </c>
      <c r="C69" s="862"/>
      <c r="D69" s="862"/>
      <c r="E69" s="862"/>
      <c r="F69" s="862"/>
      <c r="G69" s="892" t="s">
        <v>5</v>
      </c>
      <c r="H69" s="893" t="s">
        <v>65</v>
      </c>
      <c r="I69" s="894" t="s">
        <v>66</v>
      </c>
      <c r="J69" s="893"/>
      <c r="K69" s="895" t="s">
        <v>67</v>
      </c>
      <c r="L69" s="893"/>
    </row>
    <row r="70" spans="2:12" ht="15" hidden="1" customHeight="1" x14ac:dyDescent="0.25">
      <c r="B70" s="862"/>
      <c r="C70" s="862"/>
      <c r="D70" s="862"/>
      <c r="E70" s="862"/>
      <c r="F70" s="862"/>
      <c r="G70" s="881"/>
      <c r="H70" s="884"/>
      <c r="I70" s="887"/>
      <c r="J70" s="884"/>
      <c r="K70" s="890"/>
      <c r="L70" s="884"/>
    </row>
    <row r="71" spans="2:12" ht="15" hidden="1" customHeight="1" x14ac:dyDescent="0.25">
      <c r="B71" s="862"/>
      <c r="C71" s="862"/>
      <c r="D71" s="862"/>
      <c r="E71" s="862"/>
      <c r="F71" s="862"/>
      <c r="G71" s="881"/>
      <c r="H71" s="884"/>
      <c r="I71" s="887"/>
      <c r="J71" s="884"/>
      <c r="K71" s="890"/>
      <c r="L71" s="884"/>
    </row>
    <row r="72" spans="2:12" ht="15" hidden="1" customHeight="1" x14ac:dyDescent="0.25">
      <c r="B72" s="862"/>
      <c r="C72" s="862"/>
      <c r="D72" s="862"/>
      <c r="E72" s="862"/>
      <c r="F72" s="862"/>
      <c r="G72" s="881"/>
      <c r="H72" s="884"/>
      <c r="I72" s="887"/>
      <c r="J72" s="884"/>
      <c r="K72" s="890"/>
      <c r="L72" s="884"/>
    </row>
    <row r="73" spans="2:12" ht="15" hidden="1" customHeight="1" x14ac:dyDescent="0.25">
      <c r="B73" s="862"/>
      <c r="C73" s="862"/>
      <c r="D73" s="862"/>
      <c r="E73" s="862"/>
      <c r="F73" s="862"/>
      <c r="G73" s="882"/>
      <c r="H73" s="885"/>
      <c r="I73" s="888"/>
      <c r="J73" s="885"/>
      <c r="K73" s="891"/>
      <c r="L73" s="885"/>
    </row>
    <row r="74" spans="2:12" ht="20.25" hidden="1" customHeight="1" x14ac:dyDescent="0.25">
      <c r="B74" s="591"/>
      <c r="C74" s="51"/>
      <c r="D74" s="840"/>
      <c r="E74" s="840"/>
      <c r="F74" s="861"/>
      <c r="G74" s="53"/>
      <c r="H74" s="54"/>
      <c r="I74" s="54"/>
      <c r="J74" s="54"/>
      <c r="K74" s="55"/>
      <c r="L74" s="54"/>
    </row>
    <row r="75" spans="2:12" ht="18" hidden="1" customHeight="1" x14ac:dyDescent="0.25">
      <c r="B75" s="918"/>
      <c r="C75" s="847" t="s">
        <v>68</v>
      </c>
      <c r="D75" s="847"/>
      <c r="E75" s="847"/>
      <c r="F75" s="896"/>
      <c r="G75" s="57"/>
      <c r="H75" s="58"/>
      <c r="I75" s="58"/>
      <c r="J75" s="58"/>
      <c r="K75" s="58"/>
      <c r="L75" s="58"/>
    </row>
    <row r="76" spans="2:12" ht="18" hidden="1" customHeight="1" x14ac:dyDescent="0.25">
      <c r="B76" s="919"/>
      <c r="C76" s="38" t="s">
        <v>69</v>
      </c>
      <c r="D76" s="41"/>
      <c r="E76" s="60"/>
      <c r="F76" s="61"/>
      <c r="G76" s="62" t="s">
        <v>25</v>
      </c>
      <c r="H76" s="58"/>
      <c r="I76" s="58">
        <v>80000</v>
      </c>
      <c r="J76" s="58"/>
      <c r="K76" s="58"/>
      <c r="L76" s="58"/>
    </row>
    <row r="77" spans="2:12" ht="18" hidden="1" customHeight="1" x14ac:dyDescent="0.25">
      <c r="B77" s="919"/>
      <c r="C77" s="38" t="s">
        <v>70</v>
      </c>
      <c r="D77" s="41"/>
      <c r="E77" s="60"/>
      <c r="F77" s="61"/>
      <c r="G77" s="62" t="s">
        <v>25</v>
      </c>
      <c r="H77" s="58"/>
      <c r="I77" s="58">
        <v>3000000</v>
      </c>
      <c r="J77" s="58"/>
      <c r="K77" s="58"/>
      <c r="L77" s="58"/>
    </row>
    <row r="78" spans="2:12" ht="18" hidden="1" customHeight="1" x14ac:dyDescent="0.25">
      <c r="B78" s="919"/>
      <c r="C78" s="38" t="s">
        <v>71</v>
      </c>
      <c r="D78" s="41"/>
      <c r="E78" s="60"/>
      <c r="F78" s="61"/>
      <c r="G78" s="62" t="s">
        <v>25</v>
      </c>
      <c r="H78" s="58"/>
      <c r="I78" s="58">
        <v>430000</v>
      </c>
      <c r="J78" s="58"/>
      <c r="K78" s="58"/>
      <c r="L78" s="58"/>
    </row>
    <row r="79" spans="2:12" ht="18" hidden="1" customHeight="1" x14ac:dyDescent="0.25">
      <c r="B79" s="919"/>
      <c r="C79" s="38" t="s">
        <v>72</v>
      </c>
      <c r="D79" s="41"/>
      <c r="E79" s="60"/>
      <c r="F79" s="61"/>
      <c r="G79" s="62" t="s">
        <v>25</v>
      </c>
      <c r="H79" s="58"/>
      <c r="I79" s="58">
        <v>630000</v>
      </c>
      <c r="J79" s="58"/>
      <c r="K79" s="58"/>
      <c r="L79" s="58"/>
    </row>
    <row r="80" spans="2:12" ht="18" hidden="1" customHeight="1" x14ac:dyDescent="0.25">
      <c r="B80" s="919"/>
      <c r="C80" s="38" t="s">
        <v>73</v>
      </c>
      <c r="D80" s="41"/>
      <c r="E80" s="60"/>
      <c r="F80" s="61"/>
      <c r="G80" s="62" t="s">
        <v>25</v>
      </c>
      <c r="H80" s="58"/>
      <c r="I80" s="58">
        <v>1000000</v>
      </c>
      <c r="J80" s="58"/>
      <c r="K80" s="58"/>
      <c r="L80" s="58"/>
    </row>
    <row r="81" spans="2:12" ht="18" hidden="1" customHeight="1" x14ac:dyDescent="0.25">
      <c r="B81" s="918"/>
      <c r="C81" s="36"/>
      <c r="D81" s="41"/>
      <c r="E81" s="60"/>
      <c r="F81" s="61"/>
      <c r="G81" s="62"/>
      <c r="H81" s="58"/>
      <c r="I81" s="58"/>
      <c r="J81" s="58"/>
      <c r="K81" s="58"/>
      <c r="L81" s="58"/>
    </row>
    <row r="82" spans="2:12" ht="18" hidden="1" customHeight="1" x14ac:dyDescent="0.25">
      <c r="B82" s="919"/>
      <c r="C82" s="38" t="s">
        <v>74</v>
      </c>
      <c r="D82" s="41"/>
      <c r="E82" s="60"/>
      <c r="F82" s="61"/>
      <c r="G82" s="62" t="s">
        <v>25</v>
      </c>
      <c r="H82" s="58"/>
      <c r="I82" s="58">
        <v>1000000</v>
      </c>
      <c r="J82" s="58"/>
      <c r="K82" s="58"/>
      <c r="L82" s="58"/>
    </row>
    <row r="83" spans="2:12" ht="18" hidden="1" customHeight="1" x14ac:dyDescent="0.25">
      <c r="B83" s="915"/>
      <c r="C83" s="63"/>
      <c r="D83" s="41"/>
      <c r="E83" s="60"/>
      <c r="F83" s="61"/>
      <c r="G83" s="62"/>
      <c r="H83" s="58"/>
      <c r="I83" s="58"/>
      <c r="J83" s="58"/>
      <c r="K83" s="58"/>
      <c r="L83" s="58"/>
    </row>
    <row r="84" spans="2:12" ht="18" hidden="1" customHeight="1" x14ac:dyDescent="0.25">
      <c r="B84" s="915"/>
      <c r="C84" s="38" t="s">
        <v>75</v>
      </c>
      <c r="D84" s="41"/>
      <c r="E84" s="60"/>
      <c r="F84" s="61"/>
      <c r="G84" s="62" t="s">
        <v>25</v>
      </c>
      <c r="H84" s="58"/>
      <c r="I84" s="58">
        <v>1400000</v>
      </c>
      <c r="J84" s="58"/>
      <c r="K84" s="58"/>
      <c r="L84" s="58"/>
    </row>
    <row r="85" spans="2:12" ht="18" hidden="1" customHeight="1" x14ac:dyDescent="0.25">
      <c r="B85" s="915"/>
      <c r="C85" s="38" t="s">
        <v>76</v>
      </c>
      <c r="D85" s="41"/>
      <c r="E85" s="60"/>
      <c r="F85" s="61"/>
      <c r="G85" s="62" t="s">
        <v>25</v>
      </c>
      <c r="H85" s="58"/>
      <c r="I85" s="58">
        <v>4000000</v>
      </c>
      <c r="J85" s="58"/>
      <c r="K85" s="58"/>
      <c r="L85" s="58"/>
    </row>
    <row r="86" spans="2:12" ht="18" hidden="1" customHeight="1" x14ac:dyDescent="0.25">
      <c r="B86" s="915"/>
      <c r="C86" s="38" t="s">
        <v>77</v>
      </c>
      <c r="D86" s="41"/>
      <c r="E86" s="60"/>
      <c r="F86" s="61"/>
      <c r="G86" s="62" t="s">
        <v>25</v>
      </c>
      <c r="H86" s="58"/>
      <c r="I86" s="58">
        <v>200000</v>
      </c>
      <c r="J86" s="58"/>
      <c r="K86" s="58"/>
      <c r="L86" s="58"/>
    </row>
    <row r="87" spans="2:12" ht="18" hidden="1" customHeight="1" x14ac:dyDescent="0.25">
      <c r="B87" s="915"/>
      <c r="C87" s="38" t="s">
        <v>78</v>
      </c>
      <c r="D87" s="41"/>
      <c r="E87" s="60"/>
      <c r="F87" s="61"/>
      <c r="G87" s="62" t="s">
        <v>25</v>
      </c>
      <c r="H87" s="58"/>
      <c r="I87" s="58">
        <v>5000</v>
      </c>
      <c r="J87" s="58"/>
      <c r="K87" s="58"/>
      <c r="L87" s="58"/>
    </row>
    <row r="88" spans="2:12" ht="18" hidden="1" customHeight="1" x14ac:dyDescent="0.25">
      <c r="B88" s="915"/>
      <c r="C88" s="38" t="s">
        <v>79</v>
      </c>
      <c r="D88" s="41"/>
      <c r="E88" s="60"/>
      <c r="F88" s="61"/>
      <c r="G88" s="62" t="s">
        <v>25</v>
      </c>
      <c r="H88" s="58"/>
      <c r="I88" s="58">
        <v>1000000</v>
      </c>
      <c r="J88" s="58"/>
      <c r="K88" s="58"/>
      <c r="L88" s="58"/>
    </row>
    <row r="89" spans="2:12" ht="18" hidden="1" customHeight="1" x14ac:dyDescent="0.25">
      <c r="B89" s="915"/>
      <c r="C89" s="38" t="s">
        <v>80</v>
      </c>
      <c r="D89" s="41"/>
      <c r="E89" s="60"/>
      <c r="F89" s="64"/>
      <c r="G89" s="62" t="s">
        <v>25</v>
      </c>
      <c r="H89" s="58"/>
      <c r="I89" s="65"/>
      <c r="J89" s="65"/>
      <c r="K89" s="65"/>
      <c r="L89" s="65"/>
    </row>
    <row r="90" spans="2:12" ht="18" hidden="1" customHeight="1" x14ac:dyDescent="0.25">
      <c r="B90" s="915"/>
      <c r="C90" s="38" t="s">
        <v>81</v>
      </c>
      <c r="D90" s="41"/>
      <c r="E90" s="60"/>
      <c r="F90" s="61"/>
      <c r="G90" s="62" t="s">
        <v>82</v>
      </c>
      <c r="H90" s="58"/>
      <c r="I90" s="58">
        <v>3000000</v>
      </c>
      <c r="J90" s="58"/>
      <c r="K90" s="58"/>
      <c r="L90" s="58"/>
    </row>
    <row r="91" spans="2:12" ht="18" hidden="1" customHeight="1" x14ac:dyDescent="0.25">
      <c r="B91" s="915"/>
      <c r="C91" s="36" t="s">
        <v>83</v>
      </c>
      <c r="D91" s="41"/>
      <c r="E91" s="66"/>
      <c r="F91" s="67"/>
      <c r="G91" s="62"/>
      <c r="H91" s="68">
        <f>SUM(H17:H90)</f>
        <v>0</v>
      </c>
      <c r="I91" s="68">
        <f>SUM(I17:I90)</f>
        <v>84406200</v>
      </c>
      <c r="J91" s="68"/>
      <c r="K91" s="68">
        <f>SUM(K17:K90)</f>
        <v>0</v>
      </c>
      <c r="L91" s="68"/>
    </row>
    <row r="92" spans="2:12" ht="18" hidden="1" customHeight="1" x14ac:dyDescent="0.25">
      <c r="B92" s="919"/>
      <c r="C92" s="847" t="s">
        <v>84</v>
      </c>
      <c r="D92" s="41"/>
      <c r="E92" s="60"/>
      <c r="F92" s="67"/>
      <c r="G92" s="62"/>
      <c r="H92" s="58"/>
      <c r="I92" s="68"/>
      <c r="J92" s="68"/>
      <c r="K92" s="68"/>
      <c r="L92" s="68"/>
    </row>
    <row r="93" spans="2:12" ht="18" hidden="1" customHeight="1" x14ac:dyDescent="0.25">
      <c r="B93" s="919"/>
      <c r="C93" s="36" t="s">
        <v>85</v>
      </c>
      <c r="D93" s="41"/>
      <c r="E93" s="60"/>
      <c r="F93" s="67"/>
      <c r="G93" s="62"/>
      <c r="H93" s="58"/>
      <c r="I93" s="68"/>
      <c r="J93" s="68"/>
      <c r="K93" s="68"/>
      <c r="L93" s="68"/>
    </row>
    <row r="94" spans="2:12" ht="18" hidden="1" customHeight="1" x14ac:dyDescent="0.25">
      <c r="B94" s="920"/>
      <c r="C94" s="38" t="s">
        <v>86</v>
      </c>
      <c r="D94" s="41"/>
      <c r="E94" s="60"/>
      <c r="F94" s="61"/>
      <c r="G94" s="62" t="s">
        <v>25</v>
      </c>
      <c r="H94" s="58"/>
      <c r="I94" s="58">
        <f>511558377+2283860</f>
        <v>513842237</v>
      </c>
      <c r="J94" s="58"/>
      <c r="K94" s="58"/>
      <c r="L94" s="58"/>
    </row>
    <row r="95" spans="2:12" ht="18" hidden="1" customHeight="1" x14ac:dyDescent="0.25">
      <c r="B95" s="921"/>
      <c r="C95" s="38" t="s">
        <v>87</v>
      </c>
      <c r="D95" s="41"/>
      <c r="E95" s="60"/>
      <c r="F95" s="61"/>
      <c r="G95" s="62" t="s">
        <v>25</v>
      </c>
      <c r="H95" s="58"/>
      <c r="I95" s="58"/>
      <c r="J95" s="58"/>
      <c r="K95" s="58"/>
      <c r="L95" s="58"/>
    </row>
    <row r="96" spans="2:12" ht="18" hidden="1" customHeight="1" x14ac:dyDescent="0.25">
      <c r="B96" s="921"/>
      <c r="C96" s="38" t="s">
        <v>88</v>
      </c>
      <c r="D96" s="41"/>
      <c r="E96" s="60"/>
      <c r="F96" s="61"/>
      <c r="G96" s="62"/>
      <c r="H96" s="58"/>
      <c r="I96" s="58"/>
      <c r="J96" s="58"/>
      <c r="K96" s="58"/>
      <c r="L96" s="58"/>
    </row>
    <row r="97" spans="2:12" ht="18" hidden="1" customHeight="1" x14ac:dyDescent="0.25">
      <c r="B97" s="921"/>
      <c r="C97" s="38" t="s">
        <v>89</v>
      </c>
      <c r="D97" s="41"/>
      <c r="E97" s="60"/>
      <c r="F97" s="61"/>
      <c r="G97" s="62"/>
      <c r="H97" s="58"/>
      <c r="I97" s="58"/>
      <c r="J97" s="58"/>
      <c r="K97" s="58"/>
      <c r="L97" s="58"/>
    </row>
    <row r="98" spans="2:12" ht="18" hidden="1" customHeight="1" x14ac:dyDescent="0.25">
      <c r="B98" s="921"/>
      <c r="C98" s="38" t="s">
        <v>90</v>
      </c>
      <c r="D98" s="41"/>
      <c r="E98" s="60"/>
      <c r="F98" s="64"/>
      <c r="G98" s="62" t="s">
        <v>82</v>
      </c>
      <c r="H98" s="58"/>
      <c r="I98" s="65">
        <v>0</v>
      </c>
      <c r="J98" s="65"/>
      <c r="K98" s="65"/>
      <c r="L98" s="65"/>
    </row>
    <row r="99" spans="2:12" ht="18" hidden="1" customHeight="1" x14ac:dyDescent="0.25">
      <c r="B99" s="919" t="s">
        <v>91</v>
      </c>
      <c r="C99" s="38"/>
      <c r="D99" s="41"/>
      <c r="E99" s="60"/>
      <c r="F99" s="61"/>
      <c r="G99" s="71"/>
      <c r="H99" s="58">
        <f>SUM(H94:H98)</f>
        <v>0</v>
      </c>
      <c r="I99" s="58">
        <f>SUM(I94:I98)</f>
        <v>513842237</v>
      </c>
      <c r="J99" s="58"/>
      <c r="K99" s="58">
        <f>SUM(K94:K98)</f>
        <v>0</v>
      </c>
      <c r="L99" s="58"/>
    </row>
    <row r="100" spans="2:12" ht="18" hidden="1" customHeight="1" x14ac:dyDescent="0.25">
      <c r="B100" s="919" t="s">
        <v>92</v>
      </c>
      <c r="C100" s="38"/>
      <c r="D100" s="41"/>
      <c r="E100" s="60"/>
      <c r="F100" s="61"/>
      <c r="G100" s="72"/>
      <c r="H100" s="58">
        <f>SUM(H99+H91)</f>
        <v>0</v>
      </c>
      <c r="I100" s="58">
        <f>SUM(I99+I91)</f>
        <v>598248437</v>
      </c>
      <c r="J100" s="58"/>
      <c r="K100" s="58">
        <f>SUM(K99+K91)</f>
        <v>0</v>
      </c>
      <c r="L100" s="58"/>
    </row>
    <row r="101" spans="2:12" ht="18" hidden="1" customHeight="1" x14ac:dyDescent="0.25">
      <c r="B101" s="922" t="s">
        <v>93</v>
      </c>
      <c r="C101" s="38"/>
      <c r="D101" s="41"/>
      <c r="E101" s="60"/>
      <c r="F101" s="61"/>
      <c r="G101" s="72"/>
      <c r="H101" s="58">
        <f>SUM(H100+M14)</f>
        <v>0</v>
      </c>
      <c r="I101" s="58">
        <f>SUM(I100+N11)</f>
        <v>598248437</v>
      </c>
      <c r="J101" s="58"/>
      <c r="K101" s="58">
        <f>SUM(K100+O15)</f>
        <v>0</v>
      </c>
      <c r="L101" s="58"/>
    </row>
    <row r="102" spans="2:12" ht="18" hidden="1" customHeight="1" x14ac:dyDescent="0.25">
      <c r="B102" s="923"/>
      <c r="C102" s="63"/>
      <c r="D102" s="41"/>
      <c r="E102" s="75"/>
      <c r="F102" s="76"/>
      <c r="G102" s="76"/>
      <c r="H102" s="77"/>
      <c r="I102" s="78"/>
      <c r="J102" s="77"/>
      <c r="K102" s="77"/>
      <c r="L102" s="77"/>
    </row>
    <row r="103" spans="2:12" ht="18" hidden="1" customHeight="1" x14ac:dyDescent="0.25">
      <c r="B103" s="919"/>
      <c r="C103" s="36" t="s">
        <v>94</v>
      </c>
      <c r="D103" s="41"/>
      <c r="E103" s="60"/>
      <c r="F103" s="67"/>
      <c r="G103" s="62"/>
      <c r="H103" s="58"/>
      <c r="I103" s="68"/>
      <c r="J103" s="68"/>
      <c r="K103" s="68"/>
      <c r="L103" s="68"/>
    </row>
    <row r="104" spans="2:12" ht="18" hidden="1" customHeight="1" x14ac:dyDescent="0.25">
      <c r="B104" s="919"/>
      <c r="C104" s="36"/>
      <c r="D104" s="41"/>
      <c r="E104" s="60"/>
      <c r="F104" s="67"/>
      <c r="G104" s="62"/>
      <c r="H104" s="58"/>
      <c r="I104" s="68"/>
      <c r="J104" s="68"/>
      <c r="K104" s="68"/>
      <c r="L104" s="68"/>
    </row>
    <row r="105" spans="2:12" ht="18" hidden="1" customHeight="1" x14ac:dyDescent="0.25">
      <c r="B105" s="919"/>
      <c r="C105" s="36" t="s">
        <v>95</v>
      </c>
      <c r="D105" s="41"/>
      <c r="E105" s="60"/>
      <c r="F105" s="67"/>
      <c r="G105" s="62"/>
      <c r="H105" s="58"/>
      <c r="I105" s="68"/>
      <c r="J105" s="68"/>
      <c r="K105" s="68"/>
      <c r="L105" s="68"/>
    </row>
    <row r="106" spans="2:12" ht="18" hidden="1" customHeight="1" x14ac:dyDescent="0.25">
      <c r="B106" s="920"/>
      <c r="C106" s="38" t="s">
        <v>96</v>
      </c>
      <c r="D106" s="41"/>
      <c r="E106" s="60"/>
      <c r="F106" s="61"/>
      <c r="G106" s="79" t="s">
        <v>25</v>
      </c>
      <c r="H106" s="58"/>
      <c r="I106" s="58">
        <v>20500000</v>
      </c>
      <c r="J106" s="58"/>
      <c r="K106" s="58"/>
      <c r="L106" s="58"/>
    </row>
    <row r="107" spans="2:12" ht="18" hidden="1" customHeight="1" x14ac:dyDescent="0.25">
      <c r="B107" s="920"/>
      <c r="C107" s="38" t="s">
        <v>97</v>
      </c>
      <c r="D107" s="41"/>
      <c r="E107" s="60"/>
      <c r="F107" s="61"/>
      <c r="G107" s="79" t="s">
        <v>25</v>
      </c>
      <c r="H107" s="58"/>
      <c r="I107" s="58">
        <v>1204000</v>
      </c>
      <c r="J107" s="58"/>
      <c r="K107" s="58"/>
      <c r="L107" s="58"/>
    </row>
    <row r="108" spans="2:12" ht="18" hidden="1" customHeight="1" x14ac:dyDescent="0.25">
      <c r="B108" s="920"/>
      <c r="C108" s="38" t="s">
        <v>98</v>
      </c>
      <c r="D108" s="41"/>
      <c r="E108" s="60"/>
      <c r="F108" s="61"/>
      <c r="G108" s="79"/>
      <c r="H108" s="58"/>
      <c r="I108" s="58">
        <v>30500</v>
      </c>
      <c r="J108" s="58"/>
      <c r="K108" s="58"/>
      <c r="L108" s="58"/>
    </row>
    <row r="109" spans="2:12" ht="18" hidden="1" customHeight="1" x14ac:dyDescent="0.25">
      <c r="B109" s="920"/>
      <c r="C109" s="38" t="s">
        <v>99</v>
      </c>
      <c r="D109" s="41"/>
      <c r="E109" s="60"/>
      <c r="F109" s="61"/>
      <c r="G109" s="79" t="s">
        <v>25</v>
      </c>
      <c r="H109" s="58"/>
      <c r="I109" s="58">
        <v>1850000</v>
      </c>
      <c r="J109" s="58"/>
      <c r="K109" s="58"/>
      <c r="L109" s="58"/>
    </row>
    <row r="110" spans="2:12" ht="18" hidden="1" customHeight="1" x14ac:dyDescent="0.25">
      <c r="B110" s="920"/>
      <c r="C110" s="38" t="s">
        <v>100</v>
      </c>
      <c r="D110" s="41"/>
      <c r="E110" s="60"/>
      <c r="F110" s="61"/>
      <c r="G110" s="79" t="s">
        <v>25</v>
      </c>
      <c r="H110" s="58"/>
      <c r="I110" s="58">
        <v>950000</v>
      </c>
      <c r="J110" s="58"/>
      <c r="K110" s="58"/>
      <c r="L110" s="58"/>
    </row>
    <row r="111" spans="2:12" ht="18" hidden="1" customHeight="1" x14ac:dyDescent="0.25">
      <c r="B111" s="920"/>
      <c r="C111" s="38" t="s">
        <v>101</v>
      </c>
      <c r="D111" s="41"/>
      <c r="E111" s="60"/>
      <c r="F111" s="61"/>
      <c r="G111" s="79" t="s">
        <v>25</v>
      </c>
      <c r="H111" s="58"/>
      <c r="I111" s="58">
        <v>2500000</v>
      </c>
      <c r="J111" s="58"/>
      <c r="K111" s="58"/>
      <c r="L111" s="58"/>
    </row>
    <row r="112" spans="2:12" ht="18" hidden="1" customHeight="1" x14ac:dyDescent="0.25">
      <c r="B112" s="920"/>
      <c r="C112" s="38" t="s">
        <v>102</v>
      </c>
      <c r="D112" s="41"/>
      <c r="E112" s="60"/>
      <c r="F112" s="61"/>
      <c r="G112" s="79"/>
      <c r="H112" s="58"/>
      <c r="I112" s="58"/>
      <c r="J112" s="58"/>
      <c r="K112" s="58"/>
      <c r="L112" s="58"/>
    </row>
    <row r="113" spans="2:12" ht="18" hidden="1" customHeight="1" x14ac:dyDescent="0.25">
      <c r="B113" s="920"/>
      <c r="C113" s="38"/>
      <c r="D113" s="41"/>
      <c r="E113" s="60"/>
      <c r="F113" s="67"/>
      <c r="G113" s="79"/>
      <c r="H113" s="58">
        <f>SUM(H106:H111)</f>
        <v>0</v>
      </c>
      <c r="I113" s="68">
        <f>SUM(I106:I111)</f>
        <v>27034500</v>
      </c>
      <c r="J113" s="68"/>
      <c r="K113" s="68">
        <f>SUM(K106:K111)</f>
        <v>0</v>
      </c>
      <c r="L113" s="68"/>
    </row>
    <row r="114" spans="2:12" ht="18" hidden="1" customHeight="1" x14ac:dyDescent="0.25">
      <c r="B114" s="920"/>
      <c r="C114" s="36" t="s">
        <v>103</v>
      </c>
      <c r="D114" s="41"/>
      <c r="E114" s="60"/>
      <c r="F114" s="67"/>
      <c r="G114" s="79"/>
      <c r="H114" s="58"/>
      <c r="I114" s="68"/>
      <c r="J114" s="68"/>
      <c r="K114" s="68"/>
      <c r="L114" s="68"/>
    </row>
    <row r="115" spans="2:12" ht="18" hidden="1" customHeight="1" x14ac:dyDescent="0.25">
      <c r="B115" s="920"/>
      <c r="C115" s="38" t="s">
        <v>104</v>
      </c>
      <c r="D115" s="41"/>
      <c r="E115" s="60"/>
      <c r="F115" s="61"/>
      <c r="G115" s="79" t="s">
        <v>25</v>
      </c>
      <c r="H115" s="58"/>
      <c r="I115" s="58">
        <v>1300000</v>
      </c>
      <c r="J115" s="58"/>
      <c r="K115" s="58"/>
      <c r="L115" s="58"/>
    </row>
    <row r="116" spans="2:12" ht="18" hidden="1" customHeight="1" x14ac:dyDescent="0.25">
      <c r="B116" s="920"/>
      <c r="C116" s="38" t="s">
        <v>105</v>
      </c>
      <c r="D116" s="41"/>
      <c r="E116" s="60"/>
      <c r="F116" s="61"/>
      <c r="G116" s="79" t="s">
        <v>25</v>
      </c>
      <c r="H116" s="58"/>
      <c r="I116" s="58">
        <v>700000</v>
      </c>
      <c r="J116" s="58"/>
      <c r="K116" s="58"/>
      <c r="L116" s="58"/>
    </row>
    <row r="117" spans="2:12" ht="18" hidden="1" customHeight="1" x14ac:dyDescent="0.25">
      <c r="B117" s="920"/>
      <c r="C117" s="38" t="s">
        <v>106</v>
      </c>
      <c r="D117" s="41"/>
      <c r="E117" s="60"/>
      <c r="F117" s="61"/>
      <c r="G117" s="79" t="s">
        <v>25</v>
      </c>
      <c r="H117" s="58"/>
      <c r="I117" s="58">
        <v>800000</v>
      </c>
      <c r="J117" s="58"/>
      <c r="K117" s="58"/>
      <c r="L117" s="58"/>
    </row>
    <row r="118" spans="2:12" ht="18" hidden="1" customHeight="1" x14ac:dyDescent="0.25">
      <c r="B118" s="920"/>
      <c r="C118" s="38" t="s">
        <v>107</v>
      </c>
      <c r="D118" s="41"/>
      <c r="E118" s="60"/>
      <c r="F118" s="61"/>
      <c r="G118" s="79" t="s">
        <v>25</v>
      </c>
      <c r="H118" s="58"/>
      <c r="I118" s="58">
        <v>200000</v>
      </c>
      <c r="J118" s="58"/>
      <c r="K118" s="58"/>
      <c r="L118" s="58"/>
    </row>
    <row r="119" spans="2:12" ht="18" hidden="1" customHeight="1" x14ac:dyDescent="0.25">
      <c r="B119" s="920"/>
      <c r="C119" s="38" t="s">
        <v>108</v>
      </c>
      <c r="D119" s="41"/>
      <c r="E119" s="60"/>
      <c r="F119" s="61"/>
      <c r="G119" s="79" t="s">
        <v>25</v>
      </c>
      <c r="H119" s="58"/>
      <c r="I119" s="58">
        <v>2700000</v>
      </c>
      <c r="J119" s="58"/>
      <c r="K119" s="58"/>
      <c r="L119" s="58"/>
    </row>
    <row r="120" spans="2:12" ht="18" hidden="1" customHeight="1" x14ac:dyDescent="0.25">
      <c r="B120" s="920"/>
      <c r="C120" s="38" t="s">
        <v>109</v>
      </c>
      <c r="D120" s="41"/>
      <c r="E120" s="60"/>
      <c r="F120" s="61"/>
      <c r="G120" s="79" t="s">
        <v>25</v>
      </c>
      <c r="H120" s="58"/>
      <c r="I120" s="58">
        <v>650000</v>
      </c>
      <c r="J120" s="58"/>
      <c r="K120" s="58"/>
      <c r="L120" s="58"/>
    </row>
    <row r="121" spans="2:12" ht="18" hidden="1" customHeight="1" x14ac:dyDescent="0.25">
      <c r="B121" s="920"/>
      <c r="C121" s="38" t="s">
        <v>110</v>
      </c>
      <c r="D121" s="41"/>
      <c r="E121" s="60"/>
      <c r="F121" s="61"/>
      <c r="G121" s="79" t="s">
        <v>25</v>
      </c>
      <c r="H121" s="58"/>
      <c r="I121" s="58"/>
      <c r="J121" s="58"/>
      <c r="K121" s="58"/>
      <c r="L121" s="58"/>
    </row>
    <row r="122" spans="2:12" ht="18" hidden="1" customHeight="1" x14ac:dyDescent="0.25">
      <c r="B122" s="920"/>
      <c r="C122" s="38"/>
      <c r="D122" s="41"/>
      <c r="E122" s="80"/>
      <c r="F122" s="81"/>
      <c r="G122" s="79"/>
      <c r="H122" s="82">
        <f>SUM(H115:H121)</f>
        <v>0</v>
      </c>
      <c r="I122" s="83">
        <f>SUM(I115:I121)</f>
        <v>6350000</v>
      </c>
      <c r="J122" s="83"/>
      <c r="K122" s="83">
        <f>SUM(K115:K121)</f>
        <v>0</v>
      </c>
      <c r="L122" s="83"/>
    </row>
    <row r="123" spans="2:12" ht="18" hidden="1" customHeight="1" x14ac:dyDescent="0.25">
      <c r="B123" s="920"/>
      <c r="C123" s="36" t="s">
        <v>111</v>
      </c>
      <c r="D123" s="41"/>
      <c r="E123" s="80"/>
      <c r="F123" s="84"/>
      <c r="G123" s="79"/>
      <c r="H123" s="82">
        <f>SUM(H122+H113)</f>
        <v>0</v>
      </c>
      <c r="I123" s="82">
        <f>SUM(I122+I113)</f>
        <v>33384500</v>
      </c>
      <c r="J123" s="82"/>
      <c r="K123" s="82">
        <f>SUM(K122+K113)</f>
        <v>0</v>
      </c>
      <c r="L123" s="82"/>
    </row>
    <row r="124" spans="2:12" ht="18" hidden="1" customHeight="1" x14ac:dyDescent="0.25">
      <c r="B124" s="924"/>
      <c r="C124" s="86" t="s">
        <v>93</v>
      </c>
      <c r="D124" s="41"/>
      <c r="E124" s="87"/>
      <c r="F124" s="88"/>
      <c r="G124" s="89"/>
      <c r="H124" s="90">
        <f>SUM(H101+H123)</f>
        <v>0</v>
      </c>
      <c r="I124" s="90">
        <f>SUM(I123+I101)</f>
        <v>631632937</v>
      </c>
      <c r="J124" s="90"/>
      <c r="K124" s="90">
        <f>SUM(K123+K101)</f>
        <v>0</v>
      </c>
      <c r="L124" s="90"/>
    </row>
    <row r="125" spans="2:12" ht="15.75" hidden="1" customHeight="1" x14ac:dyDescent="0.25">
      <c r="E125" s="91"/>
      <c r="F125" s="92"/>
      <c r="G125" s="91"/>
    </row>
    <row r="126" spans="2:12" ht="15.75" hidden="1" customHeight="1" x14ac:dyDescent="0.25"/>
    <row r="127" spans="2:12" ht="15.75" hidden="1" customHeight="1" x14ac:dyDescent="0.25"/>
    <row r="128" spans="2:12" ht="15.75" hidden="1" customHeight="1" x14ac:dyDescent="0.25"/>
    <row r="129" ht="15.75" hidden="1" customHeight="1" x14ac:dyDescent="0.25"/>
    <row r="130" ht="15.75" hidden="1" customHeight="1" x14ac:dyDescent="0.25"/>
    <row r="131" ht="15.75" hidden="1" customHeight="1" x14ac:dyDescent="0.25"/>
    <row r="132" ht="15.75" hidden="1" customHeight="1" x14ac:dyDescent="0.25"/>
    <row r="133" ht="15.75" hidden="1" customHeight="1" x14ac:dyDescent="0.25"/>
    <row r="134" ht="15.75" hidden="1" customHeight="1" x14ac:dyDescent="0.25"/>
    <row r="135" ht="15.75" hidden="1" customHeight="1" x14ac:dyDescent="0.25"/>
    <row r="136" ht="15.75" hidden="1" customHeight="1" x14ac:dyDescent="0.25"/>
    <row r="137" ht="15.75" hidden="1" customHeight="1" x14ac:dyDescent="0.25"/>
    <row r="138" ht="15.75" hidden="1" customHeight="1" x14ac:dyDescent="0.25"/>
    <row r="139" ht="15.75" hidden="1" customHeight="1" x14ac:dyDescent="0.25"/>
    <row r="140" ht="15.75" hidden="1" customHeight="1" x14ac:dyDescent="0.25"/>
    <row r="141" ht="15.75" hidden="1" customHeight="1" x14ac:dyDescent="0.25"/>
    <row r="142" ht="15.75" hidden="1" customHeight="1" x14ac:dyDescent="0.25"/>
    <row r="143" ht="15.75" hidden="1" customHeight="1" x14ac:dyDescent="0.25"/>
    <row r="144" ht="15.75" hidden="1" customHeight="1" x14ac:dyDescent="0.25"/>
    <row r="145" spans="1:14" ht="15.75" hidden="1" customHeight="1" x14ac:dyDescent="0.25"/>
    <row r="146" spans="1:14" ht="15.75" hidden="1" customHeight="1" x14ac:dyDescent="0.25"/>
    <row r="147" spans="1:14" s="48" customFormat="1" ht="17.45" customHeight="1" x14ac:dyDescent="0.25">
      <c r="A147" s="48" t="s">
        <v>201</v>
      </c>
      <c r="B147" s="926" t="s">
        <v>1386</v>
      </c>
      <c r="C147" s="838" t="s">
        <v>203</v>
      </c>
      <c r="D147" s="835"/>
      <c r="E147" s="835"/>
      <c r="F147" s="835"/>
      <c r="G147" s="97"/>
      <c r="H147" s="101"/>
      <c r="I147" s="102"/>
      <c r="J147" s="101"/>
      <c r="K147" s="101">
        <v>115000</v>
      </c>
      <c r="L147" s="101"/>
      <c r="M147" s="6"/>
      <c r="N147" s="6"/>
    </row>
    <row r="148" spans="1:14" s="48" customFormat="1" ht="17.45" customHeight="1" x14ac:dyDescent="0.25">
      <c r="A148" s="48" t="s">
        <v>201</v>
      </c>
      <c r="B148" s="926" t="s">
        <v>1386</v>
      </c>
      <c r="C148" s="838" t="s">
        <v>204</v>
      </c>
      <c r="D148" s="835"/>
      <c r="E148" s="835"/>
      <c r="F148" s="835"/>
      <c r="G148" s="97"/>
      <c r="H148" s="101"/>
      <c r="I148" s="102"/>
      <c r="J148" s="101"/>
      <c r="K148" s="101">
        <v>110000</v>
      </c>
      <c r="L148" s="101"/>
      <c r="M148" s="6"/>
      <c r="N148" s="6"/>
    </row>
    <row r="149" spans="1:14" s="48" customFormat="1" ht="17.45" customHeight="1" x14ac:dyDescent="0.25">
      <c r="A149" s="48" t="s">
        <v>201</v>
      </c>
      <c r="B149" s="926" t="s">
        <v>1386</v>
      </c>
      <c r="C149" s="838" t="s">
        <v>205</v>
      </c>
      <c r="D149" s="835"/>
      <c r="E149" s="835"/>
      <c r="F149" s="835"/>
      <c r="G149" s="97"/>
      <c r="H149" s="101"/>
      <c r="I149" s="102"/>
      <c r="J149" s="101"/>
      <c r="K149" s="101">
        <v>32000</v>
      </c>
      <c r="L149" s="101"/>
      <c r="M149" s="6"/>
      <c r="N149" s="6"/>
    </row>
    <row r="150" spans="1:14" s="48" customFormat="1" ht="17.45" customHeight="1" x14ac:dyDescent="0.25">
      <c r="A150" s="48" t="s">
        <v>201</v>
      </c>
      <c r="B150" s="926" t="s">
        <v>1386</v>
      </c>
      <c r="C150" s="838" t="s">
        <v>206</v>
      </c>
      <c r="D150" s="835"/>
      <c r="E150" s="835"/>
      <c r="F150" s="835"/>
      <c r="G150" s="97"/>
      <c r="H150" s="101"/>
      <c r="I150" s="102"/>
      <c r="J150" s="101"/>
      <c r="K150" s="101">
        <v>40000</v>
      </c>
      <c r="L150" s="101"/>
      <c r="M150" s="6"/>
      <c r="N150" s="6">
        <f>192000+72000</f>
        <v>264000</v>
      </c>
    </row>
    <row r="151" spans="1:14" s="48" customFormat="1" ht="17.45" customHeight="1" x14ac:dyDescent="0.25">
      <c r="A151" s="48" t="s">
        <v>201</v>
      </c>
      <c r="B151" s="926" t="s">
        <v>1386</v>
      </c>
      <c r="C151" s="838" t="s">
        <v>207</v>
      </c>
      <c r="D151" s="835"/>
      <c r="E151" s="835"/>
      <c r="F151" s="835"/>
      <c r="G151" s="97"/>
      <c r="H151" s="101"/>
      <c r="I151" s="102"/>
      <c r="J151" s="101"/>
      <c r="K151" s="101">
        <v>20000</v>
      </c>
      <c r="L151" s="101"/>
      <c r="M151" s="6"/>
      <c r="N151" s="6"/>
    </row>
    <row r="152" spans="1:14" s="48" customFormat="1" ht="17.45" customHeight="1" x14ac:dyDescent="0.25">
      <c r="A152" s="136" t="s">
        <v>201</v>
      </c>
      <c r="B152" s="926" t="s">
        <v>1386</v>
      </c>
      <c r="C152" s="860" t="s">
        <v>219</v>
      </c>
      <c r="D152" s="835"/>
      <c r="E152" s="835"/>
      <c r="F152" s="835"/>
      <c r="G152" s="97"/>
      <c r="H152" s="101"/>
      <c r="I152" s="102"/>
      <c r="J152" s="101"/>
      <c r="K152" s="101">
        <v>200000</v>
      </c>
      <c r="L152" s="101"/>
      <c r="M152" s="6"/>
      <c r="N152" s="6"/>
    </row>
    <row r="153" spans="1:14" s="48" customFormat="1" ht="17.45" customHeight="1" x14ac:dyDescent="0.25">
      <c r="A153" s="136" t="s">
        <v>201</v>
      </c>
      <c r="B153" s="926" t="s">
        <v>1386</v>
      </c>
      <c r="C153" s="860" t="s">
        <v>220</v>
      </c>
      <c r="D153" s="835"/>
      <c r="E153" s="835"/>
      <c r="F153" s="835"/>
      <c r="G153" s="97"/>
      <c r="H153" s="101"/>
      <c r="I153" s="102"/>
      <c r="J153" s="101"/>
      <c r="K153" s="101">
        <v>54000</v>
      </c>
      <c r="L153" s="101"/>
      <c r="M153" s="6"/>
      <c r="N153" s="6"/>
    </row>
    <row r="154" spans="1:14" s="48" customFormat="1" ht="17.45" customHeight="1" x14ac:dyDescent="0.25">
      <c r="A154" s="136" t="s">
        <v>201</v>
      </c>
      <c r="B154" s="926" t="s">
        <v>1386</v>
      </c>
      <c r="C154" s="860" t="s">
        <v>221</v>
      </c>
      <c r="D154" s="835"/>
      <c r="E154" s="835"/>
      <c r="F154" s="835"/>
      <c r="G154" s="97"/>
      <c r="H154" s="101"/>
      <c r="I154" s="102"/>
      <c r="J154" s="101"/>
      <c r="K154" s="101">
        <v>120000</v>
      </c>
      <c r="L154" s="101"/>
      <c r="M154" s="6"/>
      <c r="N154" s="6">
        <f>309558+34594</f>
        <v>344152</v>
      </c>
    </row>
    <row r="155" spans="1:14" s="48" customFormat="1" ht="17.45" customHeight="1" x14ac:dyDescent="0.25">
      <c r="A155" s="136" t="s">
        <v>201</v>
      </c>
      <c r="B155" s="926" t="s">
        <v>1386</v>
      </c>
      <c r="C155" s="834" t="s">
        <v>223</v>
      </c>
      <c r="D155" s="835"/>
      <c r="E155" s="835"/>
      <c r="F155" s="835"/>
      <c r="G155" s="97"/>
      <c r="H155" s="101">
        <v>0</v>
      </c>
      <c r="I155" s="102">
        <v>16000</v>
      </c>
      <c r="J155" s="101"/>
      <c r="K155" s="101">
        <v>15300</v>
      </c>
      <c r="L155" s="101"/>
      <c r="M155" s="6"/>
      <c r="N155" s="6">
        <f>312022+34594</f>
        <v>346616</v>
      </c>
    </row>
    <row r="156" spans="1:14" s="48" customFormat="1" ht="17.45" customHeight="1" x14ac:dyDescent="0.25">
      <c r="A156" s="146" t="s">
        <v>201</v>
      </c>
      <c r="B156" s="925" t="s">
        <v>1387</v>
      </c>
      <c r="C156" s="860" t="s">
        <v>229</v>
      </c>
      <c r="D156" s="851"/>
      <c r="E156" s="851"/>
      <c r="F156" s="851"/>
      <c r="G156" s="97"/>
      <c r="H156" s="101"/>
      <c r="I156" s="102"/>
      <c r="J156" s="101"/>
      <c r="K156" s="102">
        <v>50000</v>
      </c>
      <c r="L156" s="101"/>
      <c r="M156" s="6"/>
      <c r="N156" s="6"/>
    </row>
    <row r="157" spans="1:14" s="48" customFormat="1" ht="17.45" customHeight="1" x14ac:dyDescent="0.25">
      <c r="A157" s="146" t="s">
        <v>201</v>
      </c>
      <c r="B157" s="925" t="s">
        <v>1387</v>
      </c>
      <c r="C157" s="744" t="s">
        <v>230</v>
      </c>
      <c r="D157" s="137"/>
      <c r="E157" s="137"/>
      <c r="F157" s="945"/>
      <c r="G157" s="137"/>
      <c r="H157" s="138"/>
      <c r="I157" s="698"/>
      <c r="J157" s="138"/>
      <c r="K157" s="101">
        <v>160000</v>
      </c>
      <c r="L157" s="101"/>
      <c r="M157" s="6"/>
      <c r="N157" s="6"/>
    </row>
    <row r="158" spans="1:14" s="48" customFormat="1" ht="17.45" customHeight="1" x14ac:dyDescent="0.25">
      <c r="A158" s="136" t="s">
        <v>201</v>
      </c>
      <c r="B158" s="926" t="s">
        <v>1388</v>
      </c>
      <c r="C158" s="837" t="s">
        <v>238</v>
      </c>
      <c r="D158" s="837"/>
      <c r="E158" s="837"/>
      <c r="F158" s="837"/>
      <c r="G158" s="97"/>
      <c r="H158" s="101"/>
      <c r="I158" s="102"/>
      <c r="J158" s="101"/>
      <c r="K158" s="102">
        <v>400000</v>
      </c>
      <c r="L158" s="101"/>
      <c r="M158" s="6"/>
      <c r="N158" s="6">
        <f>24000+9000</f>
        <v>33000</v>
      </c>
    </row>
    <row r="159" spans="1:14" s="48" customFormat="1" ht="17.45" customHeight="1" x14ac:dyDescent="0.25">
      <c r="A159" s="136" t="s">
        <v>201</v>
      </c>
      <c r="B159" s="926" t="s">
        <v>1388</v>
      </c>
      <c r="C159" s="838" t="s">
        <v>239</v>
      </c>
      <c r="D159" s="687"/>
      <c r="E159" s="687"/>
      <c r="F159" s="687"/>
      <c r="G159" s="97"/>
      <c r="H159" s="101"/>
      <c r="I159" s="102"/>
      <c r="J159" s="101"/>
      <c r="K159" s="102">
        <v>80000</v>
      </c>
      <c r="L159" s="101"/>
      <c r="M159" s="6"/>
      <c r="N159" s="6">
        <f>447402.35+49815.36</f>
        <v>497217.70999999996</v>
      </c>
    </row>
    <row r="160" spans="1:14" s="48" customFormat="1" ht="17.45" customHeight="1" x14ac:dyDescent="0.25">
      <c r="A160" s="136" t="s">
        <v>201</v>
      </c>
      <c r="B160" s="926" t="s">
        <v>1388</v>
      </c>
      <c r="C160" s="838" t="s">
        <v>203</v>
      </c>
      <c r="D160" s="687"/>
      <c r="E160" s="687"/>
      <c r="F160" s="687"/>
      <c r="G160" s="97"/>
      <c r="H160" s="101"/>
      <c r="I160" s="102"/>
      <c r="J160" s="101"/>
      <c r="K160" s="102">
        <v>115000</v>
      </c>
      <c r="L160" s="101"/>
      <c r="M160" s="6"/>
      <c r="N160" s="6">
        <f>9600+3600</f>
        <v>13200</v>
      </c>
    </row>
    <row r="161" spans="1:16" s="48" customFormat="1" ht="17.45" customHeight="1" x14ac:dyDescent="0.25">
      <c r="A161" s="136" t="s">
        <v>201</v>
      </c>
      <c r="B161" s="926" t="s">
        <v>1388</v>
      </c>
      <c r="C161" s="838" t="s">
        <v>240</v>
      </c>
      <c r="D161" s="687"/>
      <c r="E161" s="687"/>
      <c r="F161" s="687"/>
      <c r="G161" s="97"/>
      <c r="H161" s="101"/>
      <c r="I161" s="102"/>
      <c r="J161" s="101"/>
      <c r="K161" s="101">
        <v>300000</v>
      </c>
      <c r="L161" s="101"/>
      <c r="M161" s="6"/>
      <c r="N161" s="6">
        <f>114514.12+16632</f>
        <v>131146.12</v>
      </c>
    </row>
    <row r="162" spans="1:16" s="48" customFormat="1" ht="17.45" customHeight="1" x14ac:dyDescent="0.25">
      <c r="A162" s="136" t="s">
        <v>201</v>
      </c>
      <c r="B162" s="926" t="s">
        <v>1386</v>
      </c>
      <c r="C162" s="860" t="s">
        <v>244</v>
      </c>
      <c r="D162" s="835"/>
      <c r="E162" s="835"/>
      <c r="F162" s="835"/>
      <c r="G162" s="108"/>
      <c r="H162" s="105"/>
      <c r="I162" s="106"/>
      <c r="J162" s="105"/>
      <c r="K162" s="105">
        <v>40000</v>
      </c>
      <c r="L162" s="105"/>
      <c r="M162" s="6"/>
      <c r="N162" s="6">
        <f>9600+3600</f>
        <v>13200</v>
      </c>
    </row>
    <row r="163" spans="1:16" s="48" customFormat="1" ht="17.45" customHeight="1" x14ac:dyDescent="0.25">
      <c r="A163" s="48" t="s">
        <v>201</v>
      </c>
      <c r="B163" s="926" t="s">
        <v>1386</v>
      </c>
      <c r="C163" s="113" t="s">
        <v>251</v>
      </c>
      <c r="D163" s="113"/>
      <c r="E163" s="836"/>
      <c r="F163" s="834"/>
      <c r="G163" s="97"/>
      <c r="H163" s="101"/>
      <c r="I163" s="111"/>
      <c r="J163" s="112"/>
      <c r="K163" s="101">
        <v>16000</v>
      </c>
      <c r="L163" s="112"/>
      <c r="M163" s="6"/>
      <c r="N163" s="6"/>
    </row>
    <row r="164" spans="1:16" s="48" customFormat="1" ht="17.45" customHeight="1" x14ac:dyDescent="0.25">
      <c r="A164" s="48" t="s">
        <v>201</v>
      </c>
      <c r="B164" s="926" t="s">
        <v>1386</v>
      </c>
      <c r="C164" s="859" t="s">
        <v>252</v>
      </c>
      <c r="D164" s="836"/>
      <c r="E164" s="836"/>
      <c r="F164" s="834"/>
      <c r="G164" s="97"/>
      <c r="H164" s="101"/>
      <c r="I164" s="111"/>
      <c r="J164" s="112"/>
      <c r="K164" s="101">
        <v>110000</v>
      </c>
      <c r="L164" s="112"/>
      <c r="M164" s="6"/>
      <c r="N164" s="6"/>
    </row>
    <row r="165" spans="1:16" s="48" customFormat="1" ht="17.45" customHeight="1" x14ac:dyDescent="0.25">
      <c r="A165" s="48" t="s">
        <v>201</v>
      </c>
      <c r="B165" s="926" t="s">
        <v>1386</v>
      </c>
      <c r="C165" s="859" t="s">
        <v>253</v>
      </c>
      <c r="D165" s="836"/>
      <c r="E165" s="836"/>
      <c r="F165" s="834"/>
      <c r="G165" s="97"/>
      <c r="H165" s="101"/>
      <c r="I165" s="111"/>
      <c r="J165" s="112"/>
      <c r="K165" s="101">
        <v>50000</v>
      </c>
      <c r="L165" s="112"/>
      <c r="M165" s="6"/>
      <c r="N165" s="6"/>
    </row>
    <row r="166" spans="1:16" s="48" customFormat="1" ht="17.45" customHeight="1" x14ac:dyDescent="0.25">
      <c r="A166" s="48" t="s">
        <v>201</v>
      </c>
      <c r="B166" s="926" t="s">
        <v>1386</v>
      </c>
      <c r="C166" s="859" t="s">
        <v>254</v>
      </c>
      <c r="D166" s="836"/>
      <c r="E166" s="836"/>
      <c r="F166" s="834"/>
      <c r="G166" s="97"/>
      <c r="H166" s="101"/>
      <c r="I166" s="111"/>
      <c r="J166" s="112"/>
      <c r="K166" s="101">
        <v>29200</v>
      </c>
      <c r="L166" s="112"/>
      <c r="M166" s="6"/>
      <c r="N166" s="6">
        <f>1559927+25000+450000</f>
        <v>2034927</v>
      </c>
    </row>
    <row r="167" spans="1:16" s="48" customFormat="1" ht="17.45" customHeight="1" x14ac:dyDescent="0.25">
      <c r="A167" s="136" t="s">
        <v>201</v>
      </c>
      <c r="B167" s="926" t="s">
        <v>1386</v>
      </c>
      <c r="C167" s="837" t="s">
        <v>257</v>
      </c>
      <c r="D167" s="837"/>
      <c r="E167" s="837"/>
      <c r="F167" s="838"/>
      <c r="G167" s="97"/>
      <c r="H167" s="101"/>
      <c r="I167" s="111"/>
      <c r="J167" s="112"/>
      <c r="K167" s="101">
        <v>51200</v>
      </c>
      <c r="L167" s="112"/>
      <c r="M167" s="6"/>
      <c r="N167" s="6">
        <v>60000</v>
      </c>
      <c r="O167" s="115"/>
      <c r="P167" s="115"/>
    </row>
    <row r="168" spans="1:16" s="48" customFormat="1" ht="17.45" customHeight="1" x14ac:dyDescent="0.25">
      <c r="A168" s="136" t="s">
        <v>201</v>
      </c>
      <c r="B168" s="926" t="s">
        <v>1386</v>
      </c>
      <c r="C168" s="837" t="s">
        <v>258</v>
      </c>
      <c r="D168" s="837"/>
      <c r="E168" s="837"/>
      <c r="F168" s="838"/>
      <c r="G168" s="97"/>
      <c r="H168" s="101"/>
      <c r="I168" s="111"/>
      <c r="J168" s="112"/>
      <c r="K168" s="101">
        <v>26000</v>
      </c>
      <c r="L168" s="112"/>
      <c r="M168" s="6"/>
      <c r="N168" s="6">
        <f>SUM(N167:N167)</f>
        <v>60000</v>
      </c>
    </row>
    <row r="169" spans="1:16" s="48" customFormat="1" ht="17.45" customHeight="1" x14ac:dyDescent="0.25">
      <c r="A169" s="136" t="s">
        <v>201</v>
      </c>
      <c r="B169" s="926" t="s">
        <v>1386</v>
      </c>
      <c r="C169" s="167" t="s">
        <v>259</v>
      </c>
      <c r="D169" s="837"/>
      <c r="E169" s="837"/>
      <c r="F169" s="838"/>
      <c r="G169" s="97"/>
      <c r="H169" s="101"/>
      <c r="I169" s="111"/>
      <c r="J169" s="112"/>
      <c r="K169" s="101">
        <v>20000</v>
      </c>
      <c r="L169" s="112"/>
      <c r="M169" s="6"/>
      <c r="N169" s="6">
        <f>2093172.6-K169</f>
        <v>2073172.6</v>
      </c>
      <c r="O169" s="115"/>
      <c r="P169" s="115"/>
    </row>
    <row r="170" spans="1:16" s="48" customFormat="1" ht="17.45" customHeight="1" x14ac:dyDescent="0.25">
      <c r="A170" s="136" t="s">
        <v>201</v>
      </c>
      <c r="B170" s="926" t="s">
        <v>1386</v>
      </c>
      <c r="C170" s="837" t="s">
        <v>260</v>
      </c>
      <c r="D170" s="837"/>
      <c r="E170" s="837"/>
      <c r="F170" s="838"/>
      <c r="G170" s="97"/>
      <c r="H170" s="101"/>
      <c r="I170" s="111"/>
      <c r="J170" s="112"/>
      <c r="K170" s="101">
        <v>48000</v>
      </c>
      <c r="L170" s="112"/>
      <c r="M170" s="6"/>
      <c r="N170" s="6"/>
      <c r="O170" s="115"/>
      <c r="P170" s="115"/>
    </row>
    <row r="171" spans="1:16" s="48" customFormat="1" ht="17.45" customHeight="1" x14ac:dyDescent="0.25">
      <c r="A171" s="136" t="s">
        <v>201</v>
      </c>
      <c r="B171" s="926" t="s">
        <v>1386</v>
      </c>
      <c r="C171" s="837" t="s">
        <v>261</v>
      </c>
      <c r="D171" s="837"/>
      <c r="E171" s="837"/>
      <c r="F171" s="838"/>
      <c r="G171" s="97"/>
      <c r="H171" s="101"/>
      <c r="I171" s="111"/>
      <c r="J171" s="112"/>
      <c r="K171" s="101">
        <v>25000</v>
      </c>
      <c r="L171" s="112"/>
      <c r="M171" s="6"/>
      <c r="N171" s="6">
        <f>M171-18551.14</f>
        <v>-18551.14</v>
      </c>
      <c r="O171" s="115"/>
      <c r="P171" s="115"/>
    </row>
    <row r="172" spans="1:16" s="48" customFormat="1" ht="17.45" customHeight="1" x14ac:dyDescent="0.25">
      <c r="A172" s="136" t="s">
        <v>201</v>
      </c>
      <c r="B172" s="926" t="s">
        <v>1386</v>
      </c>
      <c r="C172" s="837" t="s">
        <v>262</v>
      </c>
      <c r="D172" s="837"/>
      <c r="E172" s="837"/>
      <c r="F172" s="838"/>
      <c r="G172" s="97"/>
      <c r="H172" s="101"/>
      <c r="I172" s="111"/>
      <c r="J172" s="112"/>
      <c r="K172" s="101">
        <v>20000</v>
      </c>
      <c r="L172" s="112"/>
      <c r="M172" s="6"/>
      <c r="N172" s="6"/>
    </row>
    <row r="173" spans="1:16" s="48" customFormat="1" ht="17.45" customHeight="1" x14ac:dyDescent="0.25">
      <c r="A173" s="136" t="s">
        <v>201</v>
      </c>
      <c r="B173" s="926" t="s">
        <v>1386</v>
      </c>
      <c r="C173" s="859" t="s">
        <v>263</v>
      </c>
      <c r="D173" s="859"/>
      <c r="E173" s="859"/>
      <c r="F173" s="860"/>
      <c r="G173" s="168"/>
      <c r="H173" s="102"/>
      <c r="I173" s="111"/>
      <c r="J173" s="111"/>
      <c r="K173" s="102">
        <v>220000</v>
      </c>
      <c r="L173" s="112"/>
      <c r="M173" s="6"/>
      <c r="N173" s="6"/>
      <c r="O173" s="115"/>
      <c r="P173" s="115"/>
    </row>
    <row r="174" spans="1:16" s="48" customFormat="1" ht="17.45" customHeight="1" x14ac:dyDescent="0.25">
      <c r="A174" s="136" t="s">
        <v>201</v>
      </c>
      <c r="B174" s="926" t="s">
        <v>1388</v>
      </c>
      <c r="C174" s="837" t="s">
        <v>283</v>
      </c>
      <c r="D174" s="836"/>
      <c r="E174" s="836"/>
      <c r="F174" s="834"/>
      <c r="G174" s="97"/>
      <c r="H174" s="101"/>
      <c r="I174" s="111"/>
      <c r="J174" s="112"/>
      <c r="K174" s="101">
        <v>66000</v>
      </c>
      <c r="L174" s="112"/>
      <c r="M174" s="6"/>
      <c r="N174" s="6"/>
    </row>
    <row r="175" spans="1:16" s="48" customFormat="1" ht="17.45" customHeight="1" x14ac:dyDescent="0.25">
      <c r="A175" s="136" t="s">
        <v>201</v>
      </c>
      <c r="B175" s="926" t="s">
        <v>1388</v>
      </c>
      <c r="C175" s="859" t="s">
        <v>287</v>
      </c>
      <c r="D175" s="834"/>
      <c r="E175" s="835"/>
      <c r="F175" s="835"/>
      <c r="G175" s="97"/>
      <c r="H175" s="101"/>
      <c r="I175" s="111">
        <v>85000</v>
      </c>
      <c r="J175" s="112"/>
      <c r="K175" s="101">
        <v>80000</v>
      </c>
      <c r="L175" s="112"/>
      <c r="M175" s="6"/>
      <c r="N175" s="6"/>
      <c r="O175" s="115"/>
      <c r="P175" s="115"/>
    </row>
    <row r="176" spans="1:16" s="48" customFormat="1" ht="17.45" customHeight="1" x14ac:dyDescent="0.25">
      <c r="A176" s="927" t="s">
        <v>201</v>
      </c>
      <c r="B176" s="926" t="s">
        <v>1386</v>
      </c>
      <c r="C176" s="837" t="s">
        <v>325</v>
      </c>
      <c r="D176" s="836"/>
      <c r="E176" s="836"/>
      <c r="F176" s="834"/>
      <c r="G176" s="108"/>
      <c r="H176" s="101"/>
      <c r="I176" s="117"/>
      <c r="J176" s="118"/>
      <c r="K176" s="106">
        <v>400000</v>
      </c>
      <c r="L176" s="118"/>
      <c r="M176" s="6"/>
      <c r="N176" s="6"/>
      <c r="O176" s="115"/>
      <c r="P176" s="115"/>
    </row>
    <row r="177" spans="1:16" s="48" customFormat="1" ht="17.45" customHeight="1" x14ac:dyDescent="0.25">
      <c r="A177" s="169" t="s">
        <v>201</v>
      </c>
      <c r="B177" s="926" t="s">
        <v>1386</v>
      </c>
      <c r="C177" s="859" t="s">
        <v>332</v>
      </c>
      <c r="D177" s="844"/>
      <c r="E177" s="844"/>
      <c r="F177" s="844"/>
      <c r="G177" s="97"/>
      <c r="H177" s="101"/>
      <c r="I177" s="122"/>
      <c r="J177" s="101"/>
      <c r="K177" s="101">
        <v>300000</v>
      </c>
      <c r="L177" s="101"/>
      <c r="M177" s="6"/>
      <c r="N177" s="6"/>
      <c r="O177" s="115"/>
      <c r="P177" s="115"/>
    </row>
    <row r="178" spans="1:16" s="48" customFormat="1" ht="17.45" customHeight="1" x14ac:dyDescent="0.25">
      <c r="A178" s="169" t="s">
        <v>201</v>
      </c>
      <c r="B178" s="926" t="s">
        <v>1386</v>
      </c>
      <c r="C178" s="859" t="s">
        <v>333</v>
      </c>
      <c r="D178" s="873"/>
      <c r="E178" s="873"/>
      <c r="F178" s="873"/>
      <c r="G178" s="168"/>
      <c r="H178" s="102"/>
      <c r="I178" s="122"/>
      <c r="J178" s="102"/>
      <c r="K178" s="102">
        <v>40000</v>
      </c>
      <c r="L178" s="101"/>
      <c r="M178" s="6"/>
      <c r="N178" s="6"/>
      <c r="O178" s="115"/>
      <c r="P178" s="115"/>
    </row>
    <row r="179" spans="1:16" s="48" customFormat="1" ht="17.45" customHeight="1" x14ac:dyDescent="0.25">
      <c r="A179" s="169" t="s">
        <v>201</v>
      </c>
      <c r="B179" s="926" t="s">
        <v>1386</v>
      </c>
      <c r="C179" s="859" t="s">
        <v>263</v>
      </c>
      <c r="D179" s="873"/>
      <c r="E179" s="873"/>
      <c r="F179" s="873"/>
      <c r="G179" s="168"/>
      <c r="H179" s="102"/>
      <c r="I179" s="122"/>
      <c r="J179" s="102"/>
      <c r="K179" s="102">
        <v>160000</v>
      </c>
      <c r="L179" s="101"/>
      <c r="M179" s="6"/>
      <c r="N179" s="6">
        <f>16000*2</f>
        <v>32000</v>
      </c>
      <c r="O179" s="115"/>
      <c r="P179" s="115"/>
    </row>
    <row r="180" spans="1:16" s="48" customFormat="1" ht="17.45" customHeight="1" x14ac:dyDescent="0.25">
      <c r="A180" s="927" t="s">
        <v>201</v>
      </c>
      <c r="B180" s="926" t="s">
        <v>1386</v>
      </c>
      <c r="C180" s="206" t="s">
        <v>344</v>
      </c>
      <c r="D180" s="859"/>
      <c r="E180" s="859"/>
      <c r="F180" s="859"/>
      <c r="G180" s="168"/>
      <c r="H180" s="102"/>
      <c r="I180" s="122"/>
      <c r="J180" s="102"/>
      <c r="K180" s="102">
        <v>295000</v>
      </c>
      <c r="L180" s="101"/>
      <c r="M180" s="6"/>
      <c r="N180" s="6"/>
      <c r="O180" s="115"/>
      <c r="P180" s="115"/>
    </row>
    <row r="181" spans="1:16" s="48" customFormat="1" ht="17.45" customHeight="1" x14ac:dyDescent="0.25">
      <c r="A181" s="927" t="s">
        <v>201</v>
      </c>
      <c r="B181" s="926" t="s">
        <v>1386</v>
      </c>
      <c r="C181" s="206" t="s">
        <v>203</v>
      </c>
      <c r="D181" s="859"/>
      <c r="E181" s="859"/>
      <c r="F181" s="860"/>
      <c r="G181" s="258"/>
      <c r="H181" s="102"/>
      <c r="I181" s="122"/>
      <c r="J181" s="106"/>
      <c r="K181" s="102">
        <v>115000</v>
      </c>
      <c r="L181" s="101"/>
      <c r="M181" s="6"/>
      <c r="N181" s="6"/>
      <c r="O181" s="115"/>
      <c r="P181" s="115"/>
    </row>
    <row r="182" spans="1:16" s="48" customFormat="1" ht="18" customHeight="1" x14ac:dyDescent="0.25">
      <c r="A182" s="927" t="s">
        <v>201</v>
      </c>
      <c r="B182" s="926" t="s">
        <v>1386</v>
      </c>
      <c r="C182" s="700" t="s">
        <v>345</v>
      </c>
      <c r="D182" s="691"/>
      <c r="E182" s="691"/>
      <c r="F182" s="691"/>
      <c r="G182" s="168"/>
      <c r="H182" s="102"/>
      <c r="I182" s="102"/>
      <c r="J182" s="102"/>
      <c r="K182" s="102">
        <v>40000</v>
      </c>
      <c r="L182" s="101"/>
      <c r="M182" s="6"/>
      <c r="N182" s="6"/>
    </row>
    <row r="183" spans="1:16" s="48" customFormat="1" ht="18" customHeight="1" x14ac:dyDescent="0.25">
      <c r="A183" s="927" t="s">
        <v>201</v>
      </c>
      <c r="B183" s="926" t="s">
        <v>1386</v>
      </c>
      <c r="C183" s="942" t="s">
        <v>346</v>
      </c>
      <c r="D183" s="943"/>
      <c r="E183" s="691"/>
      <c r="F183" s="691"/>
      <c r="G183" s="168"/>
      <c r="H183" s="102"/>
      <c r="I183" s="102"/>
      <c r="J183" s="102"/>
      <c r="K183" s="102">
        <v>30000</v>
      </c>
      <c r="L183" s="101"/>
      <c r="M183" s="6"/>
      <c r="N183" s="6"/>
    </row>
    <row r="184" spans="1:16" s="48" customFormat="1" ht="18" customHeight="1" x14ac:dyDescent="0.25">
      <c r="A184" s="48" t="s">
        <v>201</v>
      </c>
      <c r="B184" s="926" t="s">
        <v>1386</v>
      </c>
      <c r="C184" s="852" t="s">
        <v>350</v>
      </c>
      <c r="D184" s="853"/>
      <c r="E184" s="853"/>
      <c r="F184" s="853"/>
      <c r="G184" s="168"/>
      <c r="H184" s="102"/>
      <c r="I184" s="102">
        <v>170000</v>
      </c>
      <c r="J184" s="102"/>
      <c r="K184" s="102">
        <v>220000</v>
      </c>
      <c r="L184" s="101"/>
      <c r="M184" s="6"/>
      <c r="N184" s="6">
        <f>288000+432000</f>
        <v>720000</v>
      </c>
    </row>
    <row r="185" spans="1:16" s="48" customFormat="1" ht="18" customHeight="1" x14ac:dyDescent="0.25">
      <c r="A185" s="208" t="s">
        <v>201</v>
      </c>
      <c r="B185" s="926" t="s">
        <v>1386</v>
      </c>
      <c r="C185" s="860" t="s">
        <v>358</v>
      </c>
      <c r="D185" s="687"/>
      <c r="E185" s="687"/>
      <c r="F185" s="687"/>
      <c r="G185" s="97"/>
      <c r="H185" s="101"/>
      <c r="I185" s="102"/>
      <c r="J185" s="101"/>
      <c r="K185" s="101">
        <v>71700</v>
      </c>
      <c r="L185" s="101"/>
      <c r="M185" s="6"/>
      <c r="N185" s="6"/>
    </row>
    <row r="186" spans="1:16" s="48" customFormat="1" ht="18" customHeight="1" x14ac:dyDescent="0.25">
      <c r="A186" s="208" t="s">
        <v>201</v>
      </c>
      <c r="B186" s="926" t="s">
        <v>1386</v>
      </c>
      <c r="C186" s="860" t="s">
        <v>359</v>
      </c>
      <c r="D186" s="687"/>
      <c r="E186" s="687"/>
      <c r="F186" s="687"/>
      <c r="G186" s="97"/>
      <c r="H186" s="101"/>
      <c r="I186" s="102"/>
      <c r="J186" s="101"/>
      <c r="K186" s="101">
        <v>95000</v>
      </c>
      <c r="L186" s="101"/>
      <c r="M186" s="6"/>
      <c r="N186" s="6">
        <f>108000+72000</f>
        <v>180000</v>
      </c>
    </row>
    <row r="187" spans="1:16" s="48" customFormat="1" ht="18" customHeight="1" x14ac:dyDescent="0.25">
      <c r="A187" s="208" t="s">
        <v>201</v>
      </c>
      <c r="B187" s="926" t="s">
        <v>1386</v>
      </c>
      <c r="C187" s="860" t="s">
        <v>360</v>
      </c>
      <c r="D187" s="687"/>
      <c r="E187" s="687"/>
      <c r="F187" s="687"/>
      <c r="G187" s="97"/>
      <c r="H187" s="101"/>
      <c r="I187" s="102"/>
      <c r="J187" s="101"/>
      <c r="K187" s="101">
        <v>41600</v>
      </c>
      <c r="L187" s="101"/>
      <c r="M187" s="6"/>
      <c r="N187" s="6">
        <f>173440+208952</f>
        <v>382392</v>
      </c>
    </row>
    <row r="188" spans="1:16" s="48" customFormat="1" ht="18" customHeight="1" x14ac:dyDescent="0.25">
      <c r="A188" s="208" t="s">
        <v>201</v>
      </c>
      <c r="B188" s="926" t="s">
        <v>1386</v>
      </c>
      <c r="C188" s="860" t="s">
        <v>361</v>
      </c>
      <c r="D188" s="691"/>
      <c r="E188" s="687"/>
      <c r="F188" s="687"/>
      <c r="G188" s="97"/>
      <c r="H188" s="101"/>
      <c r="I188" s="102"/>
      <c r="J188" s="101"/>
      <c r="K188" s="101">
        <v>400000</v>
      </c>
      <c r="L188" s="101"/>
      <c r="M188" s="6"/>
      <c r="N188" s="6">
        <f>208952+173440</f>
        <v>382392</v>
      </c>
    </row>
    <row r="189" spans="1:16" s="48" customFormat="1" ht="18" customHeight="1" x14ac:dyDescent="0.25">
      <c r="A189" s="208" t="s">
        <v>201</v>
      </c>
      <c r="B189" s="926" t="s">
        <v>1386</v>
      </c>
      <c r="C189" s="860" t="s">
        <v>203</v>
      </c>
      <c r="D189" s="691"/>
      <c r="E189" s="687"/>
      <c r="F189" s="687"/>
      <c r="G189" s="97"/>
      <c r="H189" s="101"/>
      <c r="I189" s="102"/>
      <c r="J189" s="101"/>
      <c r="K189" s="101">
        <v>75000</v>
      </c>
      <c r="L189" s="101"/>
      <c r="M189" s="6"/>
      <c r="N189" s="6">
        <f>90000+60000</f>
        <v>150000</v>
      </c>
    </row>
    <row r="190" spans="1:16" s="48" customFormat="1" ht="18" customHeight="1" x14ac:dyDescent="0.25">
      <c r="A190" s="208" t="s">
        <v>201</v>
      </c>
      <c r="B190" s="926" t="s">
        <v>1386</v>
      </c>
      <c r="C190" s="860" t="s">
        <v>362</v>
      </c>
      <c r="D190" s="687"/>
      <c r="E190" s="687"/>
      <c r="F190" s="687"/>
      <c r="G190" s="97"/>
      <c r="H190" s="101"/>
      <c r="I190" s="102"/>
      <c r="J190" s="101"/>
      <c r="K190" s="101">
        <v>35200</v>
      </c>
      <c r="L190" s="101"/>
      <c r="M190" s="6"/>
      <c r="N190" s="6"/>
    </row>
    <row r="191" spans="1:16" s="48" customFormat="1" ht="18" customHeight="1" x14ac:dyDescent="0.25">
      <c r="A191" t="s">
        <v>201</v>
      </c>
      <c r="B191" s="926" t="s">
        <v>1386</v>
      </c>
      <c r="C191" s="859" t="s">
        <v>402</v>
      </c>
      <c r="D191" s="836"/>
      <c r="E191" s="836"/>
      <c r="F191" s="834"/>
      <c r="G191" s="97"/>
      <c r="H191" s="101"/>
      <c r="I191" s="102"/>
      <c r="J191" s="101"/>
      <c r="K191" s="101">
        <v>280000</v>
      </c>
      <c r="L191" s="101"/>
      <c r="M191" s="6"/>
      <c r="N191" s="6"/>
    </row>
    <row r="192" spans="1:16" s="48" customFormat="1" ht="18" customHeight="1" x14ac:dyDescent="0.25">
      <c r="A192" t="s">
        <v>201</v>
      </c>
      <c r="B192" s="926" t="s">
        <v>1386</v>
      </c>
      <c r="C192" s="859" t="s">
        <v>403</v>
      </c>
      <c r="D192" s="836"/>
      <c r="E192" s="836"/>
      <c r="F192" s="834"/>
      <c r="G192" s="97"/>
      <c r="H192" s="101"/>
      <c r="I192" s="102"/>
      <c r="J192" s="101"/>
      <c r="K192" s="101">
        <v>45000</v>
      </c>
      <c r="L192" s="101"/>
      <c r="M192" s="6"/>
      <c r="N192" s="6"/>
    </row>
    <row r="193" spans="1:16" s="48" customFormat="1" ht="18" customHeight="1" x14ac:dyDescent="0.25">
      <c r="A193" t="s">
        <v>201</v>
      </c>
      <c r="B193" s="926" t="s">
        <v>1386</v>
      </c>
      <c r="C193" s="859" t="s">
        <v>404</v>
      </c>
      <c r="D193" s="836"/>
      <c r="E193" s="836"/>
      <c r="F193" s="834"/>
      <c r="G193" s="97"/>
      <c r="H193" s="101"/>
      <c r="I193" s="102"/>
      <c r="J193" s="101"/>
      <c r="K193" s="101">
        <v>240000</v>
      </c>
      <c r="L193" s="101"/>
      <c r="M193" s="6"/>
      <c r="N193" s="6"/>
    </row>
    <row r="194" spans="1:16" s="48" customFormat="1" ht="18" customHeight="1" x14ac:dyDescent="0.25">
      <c r="A194" t="s">
        <v>201</v>
      </c>
      <c r="B194" s="926" t="s">
        <v>1386</v>
      </c>
      <c r="C194" s="113" t="s">
        <v>414</v>
      </c>
      <c r="D194" s="113"/>
      <c r="E194" s="836"/>
      <c r="F194" s="834"/>
      <c r="G194" s="97"/>
      <c r="H194" s="101"/>
      <c r="I194" s="102"/>
      <c r="J194" s="101"/>
      <c r="K194" s="101">
        <v>330000</v>
      </c>
      <c r="L194" s="101"/>
      <c r="M194" s="6"/>
      <c r="N194" s="6"/>
    </row>
    <row r="195" spans="1:16" s="48" customFormat="1" ht="18" customHeight="1" x14ac:dyDescent="0.25">
      <c r="A195" t="s">
        <v>201</v>
      </c>
      <c r="B195" s="926" t="s">
        <v>1386</v>
      </c>
      <c r="C195" s="114" t="s">
        <v>415</v>
      </c>
      <c r="D195" s="116"/>
      <c r="E195" s="835"/>
      <c r="F195" s="835"/>
      <c r="G195" s="97"/>
      <c r="H195" s="101"/>
      <c r="I195" s="102"/>
      <c r="J195" s="101"/>
      <c r="K195" s="101">
        <v>180000</v>
      </c>
      <c r="L195" s="101"/>
      <c r="M195" s="6"/>
      <c r="N195" s="6">
        <f>300890.88+249753.6</f>
        <v>550644.47999999998</v>
      </c>
    </row>
    <row r="196" spans="1:16" s="48" customFormat="1" ht="18" customHeight="1" x14ac:dyDescent="0.25">
      <c r="A196" t="s">
        <v>201</v>
      </c>
      <c r="B196" s="926" t="s">
        <v>1386</v>
      </c>
      <c r="C196" s="114" t="s">
        <v>416</v>
      </c>
      <c r="D196" s="116"/>
      <c r="E196" s="835"/>
      <c r="F196" s="835"/>
      <c r="G196" s="97"/>
      <c r="H196" s="101"/>
      <c r="I196" s="102"/>
      <c r="J196" s="101"/>
      <c r="K196" s="101">
        <v>55000</v>
      </c>
      <c r="L196" s="101"/>
      <c r="M196" s="6"/>
      <c r="N196" s="6">
        <f>14400+21600</f>
        <v>36000</v>
      </c>
    </row>
    <row r="197" spans="1:16" s="48" customFormat="1" ht="18" customHeight="1" x14ac:dyDescent="0.25">
      <c r="A197" t="s">
        <v>201</v>
      </c>
      <c r="B197" s="926" t="s">
        <v>1386</v>
      </c>
      <c r="C197" s="114" t="s">
        <v>417</v>
      </c>
      <c r="D197" s="116"/>
      <c r="E197" s="835"/>
      <c r="F197" s="835"/>
      <c r="G197" s="97"/>
      <c r="H197" s="101"/>
      <c r="I197" s="102"/>
      <c r="J197" s="101"/>
      <c r="K197" s="101">
        <v>50000</v>
      </c>
      <c r="L197" s="101"/>
      <c r="M197" s="6"/>
      <c r="N197" s="6">
        <f>100440+83364</f>
        <v>183804</v>
      </c>
    </row>
    <row r="198" spans="1:16" s="48" customFormat="1" ht="18" customHeight="1" x14ac:dyDescent="0.25">
      <c r="A198" t="s">
        <v>201</v>
      </c>
      <c r="B198" s="926" t="s">
        <v>1386</v>
      </c>
      <c r="C198" s="113" t="s">
        <v>418</v>
      </c>
      <c r="D198" s="113"/>
      <c r="E198" s="836"/>
      <c r="F198" s="834"/>
      <c r="G198" s="108"/>
      <c r="H198" s="105"/>
      <c r="I198" s="106"/>
      <c r="J198" s="105"/>
      <c r="K198" s="105">
        <v>25000</v>
      </c>
      <c r="L198" s="105"/>
      <c r="M198" s="6"/>
      <c r="N198" s="6">
        <f>14400+21600</f>
        <v>36000</v>
      </c>
    </row>
    <row r="199" spans="1:16" s="48" customFormat="1" ht="18" customHeight="1" x14ac:dyDescent="0.25">
      <c r="A199" t="s">
        <v>201</v>
      </c>
      <c r="B199" s="926" t="s">
        <v>1386</v>
      </c>
      <c r="C199" s="113" t="s">
        <v>419</v>
      </c>
      <c r="D199" s="113"/>
      <c r="E199" s="836"/>
      <c r="F199" s="834"/>
      <c r="G199" s="97"/>
      <c r="H199" s="101"/>
      <c r="I199" s="102"/>
      <c r="J199" s="101"/>
      <c r="K199" s="101">
        <v>65000</v>
      </c>
      <c r="L199" s="101"/>
      <c r="M199" s="6"/>
      <c r="N199" s="6"/>
    </row>
    <row r="200" spans="1:16" s="48" customFormat="1" ht="18" customHeight="1" x14ac:dyDescent="0.25">
      <c r="A200" t="s">
        <v>201</v>
      </c>
      <c r="B200" s="926" t="s">
        <v>1386</v>
      </c>
      <c r="C200" s="113" t="s">
        <v>420</v>
      </c>
      <c r="D200" s="113"/>
      <c r="E200" s="836"/>
      <c r="F200" s="834"/>
      <c r="G200" s="97"/>
      <c r="H200" s="101"/>
      <c r="I200" s="111"/>
      <c r="J200" s="112"/>
      <c r="K200" s="101">
        <v>350000</v>
      </c>
      <c r="L200" s="112"/>
      <c r="M200" s="6"/>
      <c r="N200" s="6"/>
    </row>
    <row r="201" spans="1:16" s="48" customFormat="1" ht="18" customHeight="1" x14ac:dyDescent="0.25">
      <c r="A201" t="s">
        <v>201</v>
      </c>
      <c r="B201" s="926" t="s">
        <v>1386</v>
      </c>
      <c r="C201" s="859" t="s">
        <v>421</v>
      </c>
      <c r="D201" s="840"/>
      <c r="E201" s="836"/>
      <c r="F201" s="834"/>
      <c r="G201" s="97"/>
      <c r="H201" s="101"/>
      <c r="I201" s="111"/>
      <c r="J201" s="112"/>
      <c r="K201" s="101">
        <v>1000000</v>
      </c>
      <c r="L201" s="112"/>
      <c r="M201" s="6"/>
      <c r="N201" s="6"/>
    </row>
    <row r="202" spans="1:16" s="48" customFormat="1" ht="18" customHeight="1" x14ac:dyDescent="0.25">
      <c r="A202" s="927" t="s">
        <v>201</v>
      </c>
      <c r="B202" s="926" t="s">
        <v>1386</v>
      </c>
      <c r="C202" s="837" t="s">
        <v>1498</v>
      </c>
      <c r="D202" s="836"/>
      <c r="E202" s="834"/>
      <c r="F202" s="836"/>
      <c r="G202" s="97"/>
      <c r="H202" s="101"/>
      <c r="I202" s="111"/>
      <c r="J202" s="112"/>
      <c r="K202" s="101">
        <v>52800</v>
      </c>
      <c r="L202" s="112"/>
      <c r="M202" s="6"/>
      <c r="N202" s="6"/>
      <c r="O202" s="115"/>
      <c r="P202" s="115"/>
    </row>
    <row r="203" spans="1:16" s="48" customFormat="1" ht="18" customHeight="1" x14ac:dyDescent="0.25">
      <c r="A203" s="927" t="s">
        <v>201</v>
      </c>
      <c r="B203" s="926" t="s">
        <v>1386</v>
      </c>
      <c r="C203" s="837" t="s">
        <v>263</v>
      </c>
      <c r="D203" s="836"/>
      <c r="E203" s="834"/>
      <c r="F203" s="834"/>
      <c r="G203" s="97"/>
      <c r="H203" s="101"/>
      <c r="I203" s="111"/>
      <c r="J203" s="112"/>
      <c r="K203" s="105">
        <v>195600</v>
      </c>
      <c r="L203" s="112"/>
      <c r="M203" s="6"/>
      <c r="N203" s="6"/>
      <c r="O203" s="115"/>
      <c r="P203" s="115"/>
    </row>
    <row r="204" spans="1:16" s="136" customFormat="1" ht="18" customHeight="1" x14ac:dyDescent="0.25">
      <c r="A204" s="927" t="s">
        <v>201</v>
      </c>
      <c r="B204" s="926" t="s">
        <v>1386</v>
      </c>
      <c r="C204" s="837" t="s">
        <v>1517</v>
      </c>
      <c r="D204" s="836"/>
      <c r="E204" s="836"/>
      <c r="F204" s="836"/>
      <c r="G204" s="97"/>
      <c r="H204" s="101"/>
      <c r="I204" s="111"/>
      <c r="J204" s="112"/>
      <c r="K204" s="121">
        <v>15300</v>
      </c>
      <c r="L204" s="112"/>
      <c r="M204" s="6"/>
      <c r="N204" s="6"/>
      <c r="O204" s="115"/>
      <c r="P204" s="115"/>
    </row>
    <row r="205" spans="1:16" s="136" customFormat="1" ht="18" customHeight="1" x14ac:dyDescent="0.25">
      <c r="A205" s="169" t="s">
        <v>201</v>
      </c>
      <c r="B205" s="926" t="s">
        <v>1386</v>
      </c>
      <c r="C205" s="113" t="s">
        <v>363</v>
      </c>
      <c r="D205" s="113"/>
      <c r="E205" s="844"/>
      <c r="F205" s="844"/>
      <c r="G205" s="97"/>
      <c r="H205" s="101"/>
      <c r="I205" s="111"/>
      <c r="J205" s="112"/>
      <c r="K205" s="101">
        <v>345000</v>
      </c>
      <c r="L205" s="112"/>
      <c r="M205" s="6"/>
      <c r="N205" s="6"/>
      <c r="O205" s="115"/>
      <c r="P205" s="115"/>
    </row>
    <row r="206" spans="1:16" s="136" customFormat="1" ht="18" customHeight="1" x14ac:dyDescent="0.25">
      <c r="A206" s="169" t="s">
        <v>201</v>
      </c>
      <c r="B206" s="926" t="s">
        <v>1386</v>
      </c>
      <c r="C206" s="837" t="s">
        <v>444</v>
      </c>
      <c r="D206" s="836"/>
      <c r="E206" s="844"/>
      <c r="F206" s="844"/>
      <c r="G206" s="97"/>
      <c r="H206" s="101"/>
      <c r="I206" s="111"/>
      <c r="J206" s="112"/>
      <c r="K206" s="101">
        <v>240000</v>
      </c>
      <c r="L206" s="112"/>
      <c r="M206" s="6"/>
      <c r="N206" s="6"/>
      <c r="O206" s="115"/>
      <c r="P206" s="115"/>
    </row>
    <row r="207" spans="1:16" s="48" customFormat="1" ht="18" customHeight="1" x14ac:dyDescent="0.25">
      <c r="A207" s="169" t="s">
        <v>201</v>
      </c>
      <c r="B207" s="926" t="s">
        <v>1386</v>
      </c>
      <c r="C207" s="837" t="s">
        <v>445</v>
      </c>
      <c r="D207" s="836"/>
      <c r="E207" s="197"/>
      <c r="F207" s="946"/>
      <c r="G207" s="97"/>
      <c r="H207" s="101"/>
      <c r="I207" s="111"/>
      <c r="J207" s="112"/>
      <c r="K207" s="101">
        <v>20000</v>
      </c>
      <c r="L207" s="112"/>
      <c r="M207" s="6"/>
      <c r="N207" s="6"/>
      <c r="O207" s="115"/>
      <c r="P207" s="115"/>
    </row>
    <row r="208" spans="1:16" s="48" customFormat="1" ht="18" customHeight="1" x14ac:dyDescent="0.25">
      <c r="A208" s="169" t="s">
        <v>201</v>
      </c>
      <c r="B208" s="926" t="s">
        <v>1386</v>
      </c>
      <c r="C208" s="114" t="s">
        <v>446</v>
      </c>
      <c r="D208" s="116"/>
      <c r="E208" s="851"/>
      <c r="F208" s="851"/>
      <c r="G208" s="97"/>
      <c r="H208" s="101"/>
      <c r="I208" s="102"/>
      <c r="J208" s="101"/>
      <c r="K208" s="101">
        <v>70000</v>
      </c>
      <c r="L208" s="101"/>
      <c r="M208" s="6"/>
      <c r="N208" s="6"/>
    </row>
    <row r="209" spans="1:14" s="48" customFormat="1" ht="18" customHeight="1" x14ac:dyDescent="0.25">
      <c r="A209" s="169" t="s">
        <v>201</v>
      </c>
      <c r="B209" s="926" t="s">
        <v>1386</v>
      </c>
      <c r="C209" s="113" t="s">
        <v>447</v>
      </c>
      <c r="D209" s="113"/>
      <c r="E209" s="844"/>
      <c r="F209" s="844"/>
      <c r="G209" s="134"/>
      <c r="H209" s="101"/>
      <c r="I209" s="102"/>
      <c r="J209" s="101"/>
      <c r="K209" s="101">
        <v>145600</v>
      </c>
      <c r="L209" s="101"/>
      <c r="M209" s="6"/>
      <c r="N209" s="6"/>
    </row>
    <row r="210" spans="1:14" s="48" customFormat="1" ht="18" customHeight="1" x14ac:dyDescent="0.25">
      <c r="A210" s="229" t="s">
        <v>201</v>
      </c>
      <c r="B210" s="926" t="s">
        <v>1386</v>
      </c>
      <c r="C210" s="859" t="s">
        <v>263</v>
      </c>
      <c r="D210" s="840"/>
      <c r="E210" s="840"/>
      <c r="F210" s="840"/>
      <c r="G210" s="245"/>
      <c r="H210" s="102"/>
      <c r="I210" s="102"/>
      <c r="J210" s="102"/>
      <c r="K210" s="102">
        <v>160000</v>
      </c>
      <c r="L210" s="101"/>
      <c r="M210" s="6"/>
      <c r="N210" s="6"/>
    </row>
    <row r="211" spans="1:14" s="48" customFormat="1" ht="18" customHeight="1" x14ac:dyDescent="0.25">
      <c r="A211" s="229" t="s">
        <v>201</v>
      </c>
      <c r="B211" s="926" t="s">
        <v>1386</v>
      </c>
      <c r="C211" s="859" t="s">
        <v>458</v>
      </c>
      <c r="D211" s="840"/>
      <c r="E211" s="840"/>
      <c r="F211" s="840"/>
      <c r="G211" s="245"/>
      <c r="H211" s="102"/>
      <c r="I211" s="102"/>
      <c r="J211" s="102"/>
      <c r="K211" s="102">
        <v>40000</v>
      </c>
      <c r="L211" s="101"/>
      <c r="M211" s="6"/>
      <c r="N211" s="6"/>
    </row>
    <row r="212" spans="1:14" s="48" customFormat="1" ht="18" customHeight="1" x14ac:dyDescent="0.25">
      <c r="A212" s="229" t="s">
        <v>201</v>
      </c>
      <c r="B212" s="926" t="s">
        <v>1386</v>
      </c>
      <c r="C212" s="859" t="s">
        <v>459</v>
      </c>
      <c r="D212" s="840"/>
      <c r="E212" s="840"/>
      <c r="F212" s="840"/>
      <c r="G212" s="245"/>
      <c r="H212" s="102"/>
      <c r="I212" s="102"/>
      <c r="J212" s="102"/>
      <c r="K212" s="102">
        <v>80000</v>
      </c>
      <c r="L212" s="101"/>
      <c r="M212" s="6"/>
      <c r="N212" s="6"/>
    </row>
    <row r="213" spans="1:14" s="48" customFormat="1" ht="18" customHeight="1" x14ac:dyDescent="0.25">
      <c r="A213" s="388" t="s">
        <v>201</v>
      </c>
      <c r="B213" s="926" t="s">
        <v>1387</v>
      </c>
      <c r="C213" s="859" t="s">
        <v>476</v>
      </c>
      <c r="D213" s="859"/>
      <c r="E213" s="859"/>
      <c r="F213" s="859"/>
      <c r="G213" s="245"/>
      <c r="H213" s="102"/>
      <c r="I213" s="102"/>
      <c r="J213" s="102"/>
      <c r="K213" s="102">
        <v>80000</v>
      </c>
      <c r="L213" s="101"/>
      <c r="M213" s="6"/>
      <c r="N213" s="6"/>
    </row>
    <row r="214" spans="1:14" s="48" customFormat="1" ht="18" customHeight="1" x14ac:dyDescent="0.25">
      <c r="A214" s="388" t="s">
        <v>201</v>
      </c>
      <c r="B214" s="926" t="s">
        <v>1387</v>
      </c>
      <c r="C214" s="859" t="s">
        <v>477</v>
      </c>
      <c r="D214" s="859"/>
      <c r="E214" s="859"/>
      <c r="F214" s="859"/>
      <c r="G214" s="245"/>
      <c r="H214" s="102"/>
      <c r="I214" s="102"/>
      <c r="J214" s="102"/>
      <c r="K214" s="102">
        <v>375000</v>
      </c>
      <c r="L214" s="101"/>
      <c r="M214" s="6"/>
      <c r="N214" s="6"/>
    </row>
    <row r="215" spans="1:14" s="48" customFormat="1" ht="18" customHeight="1" x14ac:dyDescent="0.25">
      <c r="A215" s="388" t="s">
        <v>201</v>
      </c>
      <c r="B215" s="926" t="s">
        <v>1387</v>
      </c>
      <c r="C215" s="859" t="s">
        <v>478</v>
      </c>
      <c r="D215" s="859"/>
      <c r="E215" s="859"/>
      <c r="F215" s="859"/>
      <c r="G215" s="245"/>
      <c r="H215" s="102"/>
      <c r="I215" s="102"/>
      <c r="J215" s="102"/>
      <c r="K215" s="102">
        <v>480000</v>
      </c>
      <c r="L215" s="101"/>
      <c r="M215" s="6"/>
      <c r="N215" s="6"/>
    </row>
    <row r="216" spans="1:14" s="48" customFormat="1" ht="18" customHeight="1" x14ac:dyDescent="0.25">
      <c r="A216" s="388" t="s">
        <v>201</v>
      </c>
      <c r="B216" s="926" t="s">
        <v>1387</v>
      </c>
      <c r="C216" s="837" t="s">
        <v>479</v>
      </c>
      <c r="D216" s="837"/>
      <c r="E216" s="837"/>
      <c r="F216" s="837"/>
      <c r="G216" s="134"/>
      <c r="H216" s="101"/>
      <c r="I216" s="102"/>
      <c r="J216" s="101"/>
      <c r="K216" s="102">
        <v>60000</v>
      </c>
      <c r="L216" s="101"/>
      <c r="M216" s="6"/>
      <c r="N216" s="6"/>
    </row>
    <row r="217" spans="1:14" s="48" customFormat="1" ht="18" customHeight="1" x14ac:dyDescent="0.25">
      <c r="A217" s="388" t="s">
        <v>201</v>
      </c>
      <c r="B217" s="926" t="s">
        <v>1387</v>
      </c>
      <c r="C217" s="837" t="s">
        <v>480</v>
      </c>
      <c r="D217" s="837"/>
      <c r="E217" s="837"/>
      <c r="F217" s="837"/>
      <c r="G217" s="134"/>
      <c r="H217" s="101"/>
      <c r="I217" s="102"/>
      <c r="J217" s="101"/>
      <c r="K217" s="102">
        <v>19000</v>
      </c>
      <c r="L217" s="101"/>
      <c r="M217" s="6"/>
      <c r="N217" s="6"/>
    </row>
    <row r="218" spans="1:14" s="48" customFormat="1" ht="18" customHeight="1" x14ac:dyDescent="0.25">
      <c r="A218" s="388" t="s">
        <v>201</v>
      </c>
      <c r="B218" s="926" t="s">
        <v>1387</v>
      </c>
      <c r="C218" s="837" t="s">
        <v>481</v>
      </c>
      <c r="D218" s="837"/>
      <c r="E218" s="837"/>
      <c r="F218" s="837"/>
      <c r="G218" s="134"/>
      <c r="H218" s="101"/>
      <c r="I218" s="102"/>
      <c r="J218" s="101"/>
      <c r="K218" s="102">
        <v>15300</v>
      </c>
      <c r="L218" s="101"/>
      <c r="M218" s="6"/>
      <c r="N218" s="6"/>
    </row>
    <row r="219" spans="1:14" s="48" customFormat="1" ht="18" customHeight="1" x14ac:dyDescent="0.25">
      <c r="A219" s="388" t="s">
        <v>201</v>
      </c>
      <c r="B219" s="926" t="s">
        <v>1387</v>
      </c>
      <c r="C219" s="837" t="s">
        <v>482</v>
      </c>
      <c r="D219" s="837"/>
      <c r="E219" s="837"/>
      <c r="F219" s="837"/>
      <c r="G219" s="134"/>
      <c r="H219" s="101"/>
      <c r="I219" s="102"/>
      <c r="J219" s="101"/>
      <c r="K219" s="102">
        <v>30000</v>
      </c>
      <c r="L219" s="101"/>
      <c r="M219" s="6"/>
      <c r="N219" s="6"/>
    </row>
    <row r="220" spans="1:14" s="48" customFormat="1" ht="18" customHeight="1" x14ac:dyDescent="0.25">
      <c r="A220" s="388" t="s">
        <v>201</v>
      </c>
      <c r="B220" s="926" t="s">
        <v>1387</v>
      </c>
      <c r="C220" s="838" t="s">
        <v>483</v>
      </c>
      <c r="D220" s="687"/>
      <c r="E220" s="687"/>
      <c r="F220" s="687"/>
      <c r="G220" s="97"/>
      <c r="H220" s="101"/>
      <c r="I220" s="102"/>
      <c r="J220" s="101"/>
      <c r="K220" s="102">
        <v>25000</v>
      </c>
      <c r="L220" s="101"/>
      <c r="M220" s="6"/>
      <c r="N220" s="6"/>
    </row>
    <row r="221" spans="1:14" s="48" customFormat="1" ht="18" customHeight="1" x14ac:dyDescent="0.25">
      <c r="A221" s="388" t="s">
        <v>201</v>
      </c>
      <c r="B221" s="926" t="s">
        <v>1387</v>
      </c>
      <c r="C221" s="838" t="s">
        <v>484</v>
      </c>
      <c r="D221" s="687"/>
      <c r="E221" s="687"/>
      <c r="F221" s="687"/>
      <c r="G221" s="108"/>
      <c r="H221" s="105"/>
      <c r="I221" s="106"/>
      <c r="J221" s="105"/>
      <c r="K221" s="106">
        <v>17850</v>
      </c>
      <c r="L221" s="105"/>
      <c r="M221" s="6"/>
      <c r="N221" s="6"/>
    </row>
    <row r="222" spans="1:14" s="48" customFormat="1" ht="18" customHeight="1" x14ac:dyDescent="0.25">
      <c r="A222" s="388" t="s">
        <v>201</v>
      </c>
      <c r="B222" s="926" t="s">
        <v>1387</v>
      </c>
      <c r="C222" s="837" t="s">
        <v>485</v>
      </c>
      <c r="D222" s="837"/>
      <c r="E222" s="837"/>
      <c r="F222" s="838"/>
      <c r="G222" s="97"/>
      <c r="H222" s="101"/>
      <c r="I222" s="102"/>
      <c r="J222" s="101"/>
      <c r="K222" s="102">
        <v>36000</v>
      </c>
      <c r="L222" s="101"/>
      <c r="M222" s="6"/>
      <c r="N222" s="6"/>
    </row>
    <row r="223" spans="1:14" s="48" customFormat="1" ht="18" customHeight="1" x14ac:dyDescent="0.25">
      <c r="A223" s="388" t="s">
        <v>201</v>
      </c>
      <c r="B223" s="926" t="s">
        <v>1387</v>
      </c>
      <c r="C223" s="840" t="s">
        <v>515</v>
      </c>
      <c r="D223" s="840"/>
      <c r="E223" s="840"/>
      <c r="F223" s="852"/>
      <c r="G223" s="168"/>
      <c r="H223" s="102"/>
      <c r="I223" s="111"/>
      <c r="J223" s="111"/>
      <c r="K223" s="102">
        <v>28000</v>
      </c>
      <c r="L223" s="112"/>
      <c r="M223" s="6"/>
      <c r="N223" s="6"/>
    </row>
    <row r="224" spans="1:14" s="48" customFormat="1" ht="18" customHeight="1" x14ac:dyDescent="0.25">
      <c r="A224" s="388" t="s">
        <v>201</v>
      </c>
      <c r="B224" s="926" t="s">
        <v>1387</v>
      </c>
      <c r="C224" s="170" t="s">
        <v>516</v>
      </c>
      <c r="D224" s="170"/>
      <c r="E224" s="840"/>
      <c r="F224" s="852"/>
      <c r="G224" s="168"/>
      <c r="H224" s="102"/>
      <c r="I224" s="111"/>
      <c r="J224" s="111"/>
      <c r="K224" s="102">
        <v>150000</v>
      </c>
      <c r="L224" s="112"/>
      <c r="M224" s="6"/>
      <c r="N224" s="6"/>
    </row>
    <row r="225" spans="1:16" s="48" customFormat="1" ht="18" customHeight="1" x14ac:dyDescent="0.25">
      <c r="A225" s="136" t="s">
        <v>201</v>
      </c>
      <c r="B225" s="926" t="s">
        <v>1388</v>
      </c>
      <c r="C225" s="859" t="s">
        <v>529</v>
      </c>
      <c r="D225" s="836"/>
      <c r="E225" s="836"/>
      <c r="F225" s="834"/>
      <c r="G225" s="97"/>
      <c r="H225" s="101"/>
      <c r="I225" s="111"/>
      <c r="J225" s="112"/>
      <c r="K225" s="101">
        <v>183600</v>
      </c>
      <c r="L225" s="112"/>
      <c r="M225" s="6"/>
      <c r="N225" s="6"/>
    </row>
    <row r="226" spans="1:16" s="48" customFormat="1" ht="18" customHeight="1" x14ac:dyDescent="0.25">
      <c r="A226" s="136" t="s">
        <v>201</v>
      </c>
      <c r="B226" s="926" t="s">
        <v>1388</v>
      </c>
      <c r="C226" s="859" t="s">
        <v>530</v>
      </c>
      <c r="D226" s="836"/>
      <c r="E226" s="836"/>
      <c r="F226" s="834"/>
      <c r="G226" s="97"/>
      <c r="H226" s="101"/>
      <c r="I226" s="111"/>
      <c r="J226" s="112"/>
      <c r="K226" s="101">
        <v>56000</v>
      </c>
      <c r="L226" s="112"/>
      <c r="M226" s="6"/>
      <c r="N226" s="6"/>
    </row>
    <row r="227" spans="1:16" s="48" customFormat="1" ht="18" customHeight="1" x14ac:dyDescent="0.25">
      <c r="A227" s="136" t="s">
        <v>201</v>
      </c>
      <c r="B227" s="926" t="s">
        <v>1388</v>
      </c>
      <c r="C227" s="859" t="s">
        <v>531</v>
      </c>
      <c r="D227" s="836"/>
      <c r="E227" s="836"/>
      <c r="F227" s="834"/>
      <c r="G227" s="97"/>
      <c r="H227" s="101"/>
      <c r="I227" s="111"/>
      <c r="J227" s="112"/>
      <c r="K227" s="101">
        <v>40000</v>
      </c>
      <c r="L227" s="112"/>
      <c r="M227" s="6"/>
      <c r="N227" s="6"/>
    </row>
    <row r="228" spans="1:16" s="48" customFormat="1" ht="18" customHeight="1" x14ac:dyDescent="0.25">
      <c r="A228" s="136" t="s">
        <v>201</v>
      </c>
      <c r="B228" s="926" t="s">
        <v>1388</v>
      </c>
      <c r="C228" s="859" t="s">
        <v>532</v>
      </c>
      <c r="D228" s="836"/>
      <c r="E228" s="836"/>
      <c r="F228" s="834"/>
      <c r="G228" s="108"/>
      <c r="H228" s="105"/>
      <c r="I228" s="117"/>
      <c r="J228" s="118"/>
      <c r="K228" s="105">
        <v>58500</v>
      </c>
      <c r="L228" s="118"/>
      <c r="M228" s="6"/>
      <c r="N228" s="6">
        <f>210024-48000</f>
        <v>162024</v>
      </c>
      <c r="O228" s="115"/>
      <c r="P228" s="115"/>
    </row>
    <row r="229" spans="1:16" s="146" customFormat="1" ht="18" customHeight="1" x14ac:dyDescent="0.25">
      <c r="A229" s="136" t="s">
        <v>201</v>
      </c>
      <c r="B229" s="926" t="s">
        <v>1388</v>
      </c>
      <c r="C229" s="859" t="s">
        <v>203</v>
      </c>
      <c r="D229" s="836"/>
      <c r="E229" s="836"/>
      <c r="F229" s="836"/>
      <c r="G229" s="97"/>
      <c r="H229" s="101"/>
      <c r="I229" s="102"/>
      <c r="J229" s="101"/>
      <c r="K229" s="121">
        <v>115000</v>
      </c>
      <c r="L229" s="101"/>
      <c r="M229" s="10"/>
      <c r="N229" s="10"/>
      <c r="O229"/>
      <c r="P229"/>
    </row>
    <row r="230" spans="1:16" s="48" customFormat="1" ht="18" customHeight="1" x14ac:dyDescent="0.25">
      <c r="A230" s="136" t="s">
        <v>201</v>
      </c>
      <c r="B230" s="926" t="s">
        <v>1388</v>
      </c>
      <c r="C230" s="859" t="s">
        <v>533</v>
      </c>
      <c r="D230" s="852"/>
      <c r="E230" s="836"/>
      <c r="F230" s="836"/>
      <c r="G230" s="125"/>
      <c r="H230" s="105"/>
      <c r="I230" s="106"/>
      <c r="J230" s="141"/>
      <c r="K230" s="105">
        <v>90000</v>
      </c>
      <c r="L230" s="140"/>
      <c r="M230" s="6"/>
      <c r="N230" s="6"/>
      <c r="O230" s="115"/>
      <c r="P230" s="115"/>
    </row>
    <row r="231" spans="1:16" s="48" customFormat="1" ht="18" customHeight="1" x14ac:dyDescent="0.25">
      <c r="A231" s="136" t="s">
        <v>201</v>
      </c>
      <c r="B231" s="926" t="s">
        <v>1388</v>
      </c>
      <c r="C231" s="860" t="s">
        <v>534</v>
      </c>
      <c r="D231" s="853"/>
      <c r="E231" s="835"/>
      <c r="F231" s="835"/>
      <c r="G231" s="97"/>
      <c r="H231" s="101"/>
      <c r="I231" s="102"/>
      <c r="J231" s="101"/>
      <c r="K231" s="101">
        <v>600000</v>
      </c>
      <c r="L231" s="101"/>
      <c r="M231" s="6"/>
      <c r="N231" s="6"/>
    </row>
    <row r="232" spans="1:16" s="48" customFormat="1" ht="18" customHeight="1" x14ac:dyDescent="0.25">
      <c r="A232" s="136" t="s">
        <v>201</v>
      </c>
      <c r="B232" s="926" t="s">
        <v>1388</v>
      </c>
      <c r="C232" s="860" t="s">
        <v>535</v>
      </c>
      <c r="D232" s="853"/>
      <c r="E232" s="835"/>
      <c r="F232" s="835"/>
      <c r="G232" s="97"/>
      <c r="H232" s="101"/>
      <c r="I232" s="102"/>
      <c r="J232" s="101"/>
      <c r="K232" s="101">
        <v>4000000</v>
      </c>
      <c r="L232" s="101"/>
      <c r="M232" s="6"/>
      <c r="N232" s="6"/>
    </row>
    <row r="233" spans="1:16" s="48" customFormat="1" ht="18" customHeight="1" x14ac:dyDescent="0.25">
      <c r="A233" s="927" t="s">
        <v>201</v>
      </c>
      <c r="B233" s="926" t="s">
        <v>1388</v>
      </c>
      <c r="C233" s="859" t="s">
        <v>554</v>
      </c>
      <c r="D233" s="852"/>
      <c r="E233" s="853"/>
      <c r="F233" s="853"/>
      <c r="G233" s="168"/>
      <c r="H233" s="102"/>
      <c r="I233" s="102"/>
      <c r="J233" s="102"/>
      <c r="K233" s="102">
        <v>23900</v>
      </c>
      <c r="L233" s="101"/>
      <c r="M233" s="6"/>
      <c r="N233" s="6"/>
    </row>
    <row r="234" spans="1:16" s="48" customFormat="1" ht="18" customHeight="1" x14ac:dyDescent="0.25">
      <c r="A234" s="927" t="s">
        <v>201</v>
      </c>
      <c r="B234" s="926" t="s">
        <v>1388</v>
      </c>
      <c r="C234" s="852" t="s">
        <v>204</v>
      </c>
      <c r="D234" s="853"/>
      <c r="E234" s="853"/>
      <c r="F234" s="853"/>
      <c r="G234" s="168"/>
      <c r="H234" s="102"/>
      <c r="I234" s="102"/>
      <c r="J234" s="102"/>
      <c r="K234" s="102">
        <v>80000</v>
      </c>
      <c r="L234" s="101"/>
      <c r="M234" s="6"/>
      <c r="N234" s="6"/>
    </row>
    <row r="235" spans="1:16" s="48" customFormat="1" ht="18" customHeight="1" x14ac:dyDescent="0.25">
      <c r="A235" s="927" t="s">
        <v>201</v>
      </c>
      <c r="B235" s="926" t="s">
        <v>1388</v>
      </c>
      <c r="C235" s="860" t="s">
        <v>559</v>
      </c>
      <c r="D235" s="835"/>
      <c r="E235" s="835"/>
      <c r="F235" s="835"/>
      <c r="G235" s="97"/>
      <c r="H235" s="101"/>
      <c r="I235" s="102"/>
      <c r="J235" s="101"/>
      <c r="K235" s="101">
        <v>76300</v>
      </c>
      <c r="L235" s="101"/>
      <c r="M235" s="6"/>
      <c r="N235" s="6"/>
    </row>
    <row r="236" spans="1:16" s="48" customFormat="1" ht="18" customHeight="1" x14ac:dyDescent="0.25">
      <c r="A236" s="927" t="s">
        <v>201</v>
      </c>
      <c r="B236" s="926" t="s">
        <v>1388</v>
      </c>
      <c r="C236" s="860" t="s">
        <v>560</v>
      </c>
      <c r="D236" s="835"/>
      <c r="E236" s="835"/>
      <c r="F236" s="835"/>
      <c r="G236" s="97"/>
      <c r="H236" s="101"/>
      <c r="I236" s="102"/>
      <c r="J236" s="101"/>
      <c r="K236" s="101">
        <v>62400</v>
      </c>
      <c r="L236" s="101"/>
      <c r="M236" s="6"/>
      <c r="N236" s="6"/>
    </row>
    <row r="237" spans="1:16" s="48" customFormat="1" ht="18" customHeight="1" x14ac:dyDescent="0.25">
      <c r="A237" s="927" t="s">
        <v>201</v>
      </c>
      <c r="B237" s="926" t="s">
        <v>1388</v>
      </c>
      <c r="C237" s="860" t="s">
        <v>516</v>
      </c>
      <c r="D237" s="835"/>
      <c r="E237" s="835"/>
      <c r="F237" s="835"/>
      <c r="G237" s="97"/>
      <c r="H237" s="101"/>
      <c r="I237" s="102"/>
      <c r="J237" s="101"/>
      <c r="K237" s="101">
        <v>230000</v>
      </c>
      <c r="L237" s="101"/>
      <c r="M237" s="6"/>
      <c r="N237" s="6"/>
    </row>
    <row r="238" spans="1:16" s="48" customFormat="1" ht="18" customHeight="1" x14ac:dyDescent="0.25">
      <c r="A238" s="927" t="s">
        <v>201</v>
      </c>
      <c r="B238" s="926" t="s">
        <v>1388</v>
      </c>
      <c r="C238" s="860" t="s">
        <v>351</v>
      </c>
      <c r="D238" s="835"/>
      <c r="E238" s="835"/>
      <c r="F238" s="835"/>
      <c r="G238" s="97"/>
      <c r="H238" s="101"/>
      <c r="I238" s="102"/>
      <c r="J238" s="101"/>
      <c r="K238" s="101">
        <v>25000</v>
      </c>
      <c r="L238" s="101"/>
      <c r="M238" s="6"/>
      <c r="N238" s="6"/>
    </row>
    <row r="239" spans="1:16" s="48" customFormat="1" ht="18" customHeight="1" x14ac:dyDescent="0.25">
      <c r="A239" s="927" t="s">
        <v>201</v>
      </c>
      <c r="B239" s="926" t="s">
        <v>1388</v>
      </c>
      <c r="C239" s="860" t="s">
        <v>561</v>
      </c>
      <c r="D239" s="853"/>
      <c r="E239" s="853"/>
      <c r="F239" s="853"/>
      <c r="G239" s="168"/>
      <c r="H239" s="102"/>
      <c r="I239" s="102"/>
      <c r="J239" s="102"/>
      <c r="K239" s="102">
        <v>200000</v>
      </c>
      <c r="L239" s="101"/>
      <c r="M239" s="6"/>
      <c r="N239" s="6"/>
    </row>
    <row r="240" spans="1:16" s="48" customFormat="1" ht="18" customHeight="1" x14ac:dyDescent="0.25">
      <c r="A240" s="927" t="s">
        <v>201</v>
      </c>
      <c r="B240" s="926" t="s">
        <v>1388</v>
      </c>
      <c r="C240" s="860" t="s">
        <v>562</v>
      </c>
      <c r="D240" s="853"/>
      <c r="E240" s="853"/>
      <c r="F240" s="854"/>
      <c r="G240" s="168"/>
      <c r="H240" s="102"/>
      <c r="I240" s="102"/>
      <c r="J240" s="102"/>
      <c r="K240" s="102">
        <v>250000</v>
      </c>
      <c r="L240" s="101"/>
      <c r="M240" s="6"/>
      <c r="N240" s="6"/>
    </row>
    <row r="241" spans="1:16" s="48" customFormat="1" ht="18" customHeight="1" x14ac:dyDescent="0.25">
      <c r="A241" s="927" t="s">
        <v>201</v>
      </c>
      <c r="B241" s="926" t="s">
        <v>1388</v>
      </c>
      <c r="C241" s="859" t="s">
        <v>204</v>
      </c>
      <c r="D241" s="840"/>
      <c r="E241" s="840"/>
      <c r="F241" s="840"/>
      <c r="G241" s="168"/>
      <c r="H241" s="102"/>
      <c r="I241" s="102"/>
      <c r="J241" s="102"/>
      <c r="K241" s="102">
        <v>135000</v>
      </c>
      <c r="L241" s="101"/>
      <c r="M241" s="6"/>
      <c r="N241" s="6"/>
    </row>
    <row r="242" spans="1:16" s="48" customFormat="1" ht="18" customHeight="1" x14ac:dyDescent="0.25">
      <c r="A242" s="927" t="s">
        <v>201</v>
      </c>
      <c r="B242" s="926" t="s">
        <v>1388</v>
      </c>
      <c r="C242" s="836" t="s">
        <v>569</v>
      </c>
      <c r="D242" s="836"/>
      <c r="E242" s="836"/>
      <c r="F242" s="836"/>
      <c r="G242" s="97"/>
      <c r="H242" s="101">
        <v>0</v>
      </c>
      <c r="I242" s="102">
        <v>30000</v>
      </c>
      <c r="J242" s="101"/>
      <c r="K242" s="101">
        <v>32000</v>
      </c>
      <c r="L242" s="101"/>
      <c r="M242" s="6"/>
      <c r="N242" s="6"/>
    </row>
    <row r="243" spans="1:16" s="48" customFormat="1" ht="18" customHeight="1" x14ac:dyDescent="0.25">
      <c r="A243" s="927" t="s">
        <v>201</v>
      </c>
      <c r="B243" s="926" t="s">
        <v>1388</v>
      </c>
      <c r="C243" s="860" t="s">
        <v>203</v>
      </c>
      <c r="D243" s="835"/>
      <c r="E243" s="835"/>
      <c r="F243" s="835"/>
      <c r="G243" s="97"/>
      <c r="H243" s="101"/>
      <c r="I243" s="102"/>
      <c r="J243" s="101"/>
      <c r="K243" s="101">
        <v>75000</v>
      </c>
      <c r="L243" s="101"/>
      <c r="M243" s="6"/>
      <c r="N243" s="6"/>
    </row>
    <row r="244" spans="1:16" s="48" customFormat="1" ht="18" customHeight="1" x14ac:dyDescent="0.25">
      <c r="A244" s="927" t="s">
        <v>201</v>
      </c>
      <c r="B244" s="926" t="s">
        <v>1388</v>
      </c>
      <c r="C244" s="834" t="s">
        <v>572</v>
      </c>
      <c r="D244" s="835"/>
      <c r="E244" s="835"/>
      <c r="F244" s="835"/>
      <c r="G244" s="97"/>
      <c r="H244" s="101">
        <v>0</v>
      </c>
      <c r="I244" s="102">
        <v>100000</v>
      </c>
      <c r="J244" s="101"/>
      <c r="K244" s="101">
        <v>100000</v>
      </c>
      <c r="L244" s="101"/>
      <c r="M244" s="6"/>
      <c r="N244" s="6"/>
    </row>
    <row r="245" spans="1:16" s="48" customFormat="1" ht="18" customHeight="1" x14ac:dyDescent="0.25">
      <c r="A245" s="146" t="s">
        <v>201</v>
      </c>
      <c r="B245" s="926" t="s">
        <v>1388</v>
      </c>
      <c r="C245" s="860" t="s">
        <v>203</v>
      </c>
      <c r="D245" s="835"/>
      <c r="E245" s="835"/>
      <c r="F245" s="835"/>
      <c r="G245" s="376"/>
      <c r="H245" s="101"/>
      <c r="I245" s="102"/>
      <c r="J245" s="101"/>
      <c r="K245" s="101">
        <v>75000</v>
      </c>
      <c r="L245" s="101"/>
      <c r="M245" s="6"/>
      <c r="N245" s="6"/>
    </row>
    <row r="246" spans="1:16" s="48" customFormat="1" ht="18" customHeight="1" x14ac:dyDescent="0.25">
      <c r="A246" s="146" t="s">
        <v>201</v>
      </c>
      <c r="B246" s="926" t="s">
        <v>1388</v>
      </c>
      <c r="C246" s="174" t="s">
        <v>1269</v>
      </c>
      <c r="D246" s="174"/>
      <c r="E246" s="839"/>
      <c r="F246" s="842"/>
      <c r="G246" s="948"/>
      <c r="H246" s="105"/>
      <c r="I246" s="106"/>
      <c r="J246" s="105"/>
      <c r="K246" s="101">
        <v>160000</v>
      </c>
      <c r="L246" s="101"/>
      <c r="M246" s="6"/>
      <c r="N246" s="6"/>
    </row>
    <row r="247" spans="1:16" s="48" customFormat="1" ht="18" customHeight="1" x14ac:dyDescent="0.25">
      <c r="A247" s="146" t="s">
        <v>201</v>
      </c>
      <c r="B247" s="926" t="s">
        <v>1388</v>
      </c>
      <c r="C247" s="855" t="s">
        <v>1270</v>
      </c>
      <c r="D247" s="839"/>
      <c r="E247" s="839"/>
      <c r="F247" s="842"/>
      <c r="G247" s="238"/>
      <c r="H247" s="101"/>
      <c r="I247" s="111"/>
      <c r="J247" s="112"/>
      <c r="K247" s="101">
        <v>35000</v>
      </c>
      <c r="L247" s="112"/>
      <c r="M247" s="6"/>
      <c r="N247" s="6"/>
    </row>
    <row r="248" spans="1:16" s="48" customFormat="1" ht="18" customHeight="1" x14ac:dyDescent="0.25">
      <c r="A248" s="146" t="s">
        <v>201</v>
      </c>
      <c r="B248" s="926" t="s">
        <v>1388</v>
      </c>
      <c r="C248" s="855" t="s">
        <v>1271</v>
      </c>
      <c r="D248" s="839"/>
      <c r="E248" s="839"/>
      <c r="F248" s="842"/>
      <c r="G248" s="238"/>
      <c r="H248" s="101"/>
      <c r="I248" s="111"/>
      <c r="J248" s="112"/>
      <c r="K248" s="101">
        <v>14000</v>
      </c>
      <c r="L248" s="112"/>
      <c r="M248" s="6"/>
      <c r="N248" s="6"/>
    </row>
    <row r="249" spans="1:16" s="48" customFormat="1" ht="17.100000000000001" customHeight="1" x14ac:dyDescent="0.25">
      <c r="A249" s="146" t="s">
        <v>201</v>
      </c>
      <c r="B249" s="926" t="s">
        <v>1388</v>
      </c>
      <c r="C249" s="855" t="s">
        <v>1272</v>
      </c>
      <c r="D249" s="839"/>
      <c r="E249" s="839"/>
      <c r="F249" s="842"/>
      <c r="G249" s="238"/>
      <c r="H249" s="101"/>
      <c r="I249" s="111"/>
      <c r="J249" s="112"/>
      <c r="K249" s="101">
        <v>75000</v>
      </c>
      <c r="L249" s="112"/>
      <c r="M249" s="6"/>
      <c r="N249" s="6"/>
      <c r="O249" s="115"/>
      <c r="P249" s="115"/>
    </row>
    <row r="250" spans="1:16" s="48" customFormat="1" ht="18" customHeight="1" x14ac:dyDescent="0.25">
      <c r="A250" s="146" t="s">
        <v>201</v>
      </c>
      <c r="B250" s="926" t="s">
        <v>1388</v>
      </c>
      <c r="C250" s="174" t="s">
        <v>1273</v>
      </c>
      <c r="D250" s="174"/>
      <c r="E250" s="839"/>
      <c r="F250" s="842"/>
      <c r="G250" s="238"/>
      <c r="H250" s="101"/>
      <c r="I250" s="111"/>
      <c r="J250" s="112"/>
      <c r="K250" s="101">
        <v>26000</v>
      </c>
      <c r="L250" s="112"/>
      <c r="M250" s="6"/>
      <c r="N250" s="6"/>
    </row>
    <row r="251" spans="1:16" s="48" customFormat="1" ht="18" customHeight="1" x14ac:dyDescent="0.25">
      <c r="A251" s="191" t="s">
        <v>201</v>
      </c>
      <c r="B251" s="926" t="s">
        <v>1388</v>
      </c>
      <c r="C251" s="859" t="s">
        <v>1289</v>
      </c>
      <c r="D251" s="836"/>
      <c r="E251" s="836"/>
      <c r="F251" s="834"/>
      <c r="G251" s="97"/>
      <c r="H251" s="101"/>
      <c r="I251" s="111"/>
      <c r="J251" s="112"/>
      <c r="K251" s="101">
        <v>28000</v>
      </c>
      <c r="L251" s="112"/>
      <c r="M251" s="6"/>
      <c r="N251" s="6"/>
    </row>
    <row r="252" spans="1:16" s="48" customFormat="1" ht="18" customHeight="1" x14ac:dyDescent="0.25">
      <c r="A252" s="191" t="s">
        <v>201</v>
      </c>
      <c r="B252" s="926" t="s">
        <v>1388</v>
      </c>
      <c r="C252" s="859" t="s">
        <v>1290</v>
      </c>
      <c r="D252" s="834"/>
      <c r="E252" s="835"/>
      <c r="F252" s="835"/>
      <c r="G252" s="97"/>
      <c r="H252" s="101"/>
      <c r="I252" s="111"/>
      <c r="J252" s="112"/>
      <c r="K252" s="101">
        <v>23900</v>
      </c>
      <c r="L252" s="112"/>
      <c r="M252" s="6"/>
      <c r="N252" s="6"/>
      <c r="O252" s="115"/>
      <c r="P252" s="115"/>
    </row>
    <row r="253" spans="1:16" s="48" customFormat="1" ht="18" customHeight="1" x14ac:dyDescent="0.25">
      <c r="A253" s="191" t="s">
        <v>201</v>
      </c>
      <c r="B253" s="926" t="s">
        <v>1388</v>
      </c>
      <c r="C253" s="859" t="s">
        <v>1296</v>
      </c>
      <c r="D253" s="837"/>
      <c r="E253" s="837"/>
      <c r="F253" s="838"/>
      <c r="G253" s="97"/>
      <c r="H253" s="101">
        <v>0</v>
      </c>
      <c r="I253" s="111">
        <v>20000</v>
      </c>
      <c r="J253" s="112"/>
      <c r="K253" s="101">
        <v>26000</v>
      </c>
      <c r="L253" s="112"/>
      <c r="M253" s="6"/>
      <c r="N253" s="6"/>
    </row>
    <row r="254" spans="1:16" s="48" customFormat="1" ht="18" customHeight="1" x14ac:dyDescent="0.25">
      <c r="A254" t="s">
        <v>201</v>
      </c>
      <c r="B254" s="926" t="s">
        <v>1388</v>
      </c>
      <c r="C254" s="38" t="s">
        <v>1301</v>
      </c>
      <c r="D254" s="235"/>
      <c r="E254" s="235"/>
      <c r="F254" s="236"/>
      <c r="G254" s="947" t="s">
        <v>1302</v>
      </c>
      <c r="H254" s="105">
        <v>0</v>
      </c>
      <c r="I254" s="117">
        <v>0</v>
      </c>
      <c r="J254" s="118"/>
      <c r="K254" s="105">
        <v>30600</v>
      </c>
      <c r="L254" s="118"/>
      <c r="M254" s="6"/>
      <c r="N254" s="6"/>
      <c r="O254" s="115"/>
      <c r="P254" s="115"/>
    </row>
    <row r="255" spans="1:16" s="136" customFormat="1" ht="18" customHeight="1" x14ac:dyDescent="0.25">
      <c r="A255" t="s">
        <v>201</v>
      </c>
      <c r="B255" s="926" t="s">
        <v>1388</v>
      </c>
      <c r="C255" s="38" t="s">
        <v>204</v>
      </c>
      <c r="D255" s="235"/>
      <c r="E255" s="235"/>
      <c r="F255" s="236"/>
      <c r="G255" s="394"/>
      <c r="H255" s="101">
        <v>0</v>
      </c>
      <c r="I255" s="111">
        <v>80000</v>
      </c>
      <c r="J255" s="112">
        <v>0</v>
      </c>
      <c r="K255" s="121">
        <v>80000</v>
      </c>
      <c r="L255" s="112"/>
      <c r="M255" s="6"/>
      <c r="N255" s="6"/>
      <c r="O255" s="115"/>
      <c r="P255" s="115"/>
    </row>
    <row r="256" spans="1:16" s="136" customFormat="1" ht="18" customHeight="1" x14ac:dyDescent="0.25">
      <c r="A256" s="48" t="s">
        <v>163</v>
      </c>
      <c r="B256" s="926" t="s">
        <v>1386</v>
      </c>
      <c r="C256" s="44" t="s">
        <v>164</v>
      </c>
      <c r="D256" s="113"/>
      <c r="E256" s="113"/>
      <c r="F256" s="114"/>
      <c r="G256" s="100" t="s">
        <v>165</v>
      </c>
      <c r="H256" s="101">
        <v>227196.16</v>
      </c>
      <c r="I256" s="111">
        <v>500000</v>
      </c>
      <c r="J256" s="112">
        <v>39477</v>
      </c>
      <c r="K256" s="101">
        <v>700000</v>
      </c>
      <c r="L256" s="112"/>
      <c r="M256" s="6"/>
      <c r="N256" s="6"/>
      <c r="O256" s="115"/>
      <c r="P256" s="115"/>
    </row>
    <row r="257" spans="1:16" s="136" customFormat="1" ht="18" customHeight="1" x14ac:dyDescent="0.25">
      <c r="A257" s="48" t="s">
        <v>163</v>
      </c>
      <c r="B257" s="926" t="s">
        <v>1386</v>
      </c>
      <c r="C257" s="44" t="s">
        <v>166</v>
      </c>
      <c r="D257" s="113"/>
      <c r="E257" s="113"/>
      <c r="F257" s="114"/>
      <c r="G257" s="100" t="s">
        <v>167</v>
      </c>
      <c r="H257" s="101">
        <v>0</v>
      </c>
      <c r="I257" s="111">
        <v>300000</v>
      </c>
      <c r="J257" s="112"/>
      <c r="K257" s="101">
        <v>300000</v>
      </c>
      <c r="L257" s="112"/>
      <c r="M257" s="6"/>
      <c r="N257" s="6"/>
      <c r="O257" s="115"/>
      <c r="P257" s="115"/>
    </row>
    <row r="258" spans="1:16" s="136" customFormat="1" ht="18" customHeight="1" x14ac:dyDescent="0.25">
      <c r="A258" s="48" t="s">
        <v>163</v>
      </c>
      <c r="B258" s="926" t="s">
        <v>1386</v>
      </c>
      <c r="C258" s="44" t="s">
        <v>168</v>
      </c>
      <c r="D258" s="113"/>
      <c r="E258" s="113"/>
      <c r="F258" s="114"/>
      <c r="G258" s="100" t="s">
        <v>169</v>
      </c>
      <c r="H258" s="101">
        <v>2056630.5</v>
      </c>
      <c r="I258" s="111">
        <v>2950000</v>
      </c>
      <c r="J258" s="112">
        <v>1274568.25</v>
      </c>
      <c r="K258" s="101">
        <v>3355695</v>
      </c>
      <c r="L258" s="112"/>
      <c r="M258" s="6"/>
      <c r="N258" s="6"/>
      <c r="O258" s="115"/>
      <c r="P258" s="115"/>
    </row>
    <row r="259" spans="1:16" s="48" customFormat="1" ht="18" customHeight="1" x14ac:dyDescent="0.25">
      <c r="A259" s="48" t="s">
        <v>163</v>
      </c>
      <c r="B259" s="926" t="s">
        <v>1386</v>
      </c>
      <c r="C259" s="245" t="s">
        <v>170</v>
      </c>
      <c r="D259" s="116"/>
      <c r="E259" s="116"/>
      <c r="F259" s="116"/>
      <c r="G259" s="100" t="s">
        <v>171</v>
      </c>
      <c r="H259" s="101"/>
      <c r="I259" s="102"/>
      <c r="J259" s="101"/>
      <c r="K259" s="102">
        <v>2039927</v>
      </c>
      <c r="L259" s="101"/>
      <c r="M259" s="6"/>
      <c r="N259" s="6"/>
    </row>
    <row r="260" spans="1:16" s="48" customFormat="1" ht="18" customHeight="1" x14ac:dyDescent="0.25">
      <c r="A260" s="48" t="s">
        <v>163</v>
      </c>
      <c r="B260" s="926" t="s">
        <v>1386</v>
      </c>
      <c r="C260" s="245" t="s">
        <v>172</v>
      </c>
      <c r="D260" s="116"/>
      <c r="E260" s="116"/>
      <c r="F260" s="116"/>
      <c r="G260" s="100" t="s">
        <v>173</v>
      </c>
      <c r="H260" s="101">
        <v>514482.52</v>
      </c>
      <c r="I260" s="102">
        <v>1200000</v>
      </c>
      <c r="J260" s="101">
        <v>257974.41</v>
      </c>
      <c r="K260" s="101">
        <v>1500000</v>
      </c>
      <c r="L260" s="101"/>
      <c r="M260" s="6"/>
      <c r="N260" s="6"/>
    </row>
    <row r="261" spans="1:16" s="48" customFormat="1" ht="18" customHeight="1" x14ac:dyDescent="0.25">
      <c r="A261" s="48" t="s">
        <v>163</v>
      </c>
      <c r="B261" s="926" t="s">
        <v>1386</v>
      </c>
      <c r="C261" s="245" t="s">
        <v>178</v>
      </c>
      <c r="D261" s="116"/>
      <c r="E261" s="116"/>
      <c r="F261" s="116"/>
      <c r="G261" s="100" t="s">
        <v>179</v>
      </c>
      <c r="H261" s="101"/>
      <c r="I261" s="102"/>
      <c r="J261" s="101"/>
      <c r="K261" s="101">
        <f>480000+550000</f>
        <v>1030000</v>
      </c>
      <c r="L261" s="101"/>
      <c r="M261" s="6"/>
      <c r="N261" s="6"/>
    </row>
    <row r="262" spans="1:16" s="48" customFormat="1" ht="18" customHeight="1" x14ac:dyDescent="0.25">
      <c r="A262" s="48" t="s">
        <v>163</v>
      </c>
      <c r="B262" s="926" t="s">
        <v>1386</v>
      </c>
      <c r="C262" s="245" t="s">
        <v>184</v>
      </c>
      <c r="D262" s="116"/>
      <c r="E262" s="116"/>
      <c r="F262" s="116"/>
      <c r="G262" s="100" t="s">
        <v>185</v>
      </c>
      <c r="H262" s="101">
        <v>0</v>
      </c>
      <c r="I262" s="102">
        <v>221605.21</v>
      </c>
      <c r="J262" s="101"/>
      <c r="K262" s="101">
        <v>232912.19</v>
      </c>
      <c r="L262" s="101"/>
      <c r="M262" s="6"/>
      <c r="N262" s="6"/>
    </row>
    <row r="263" spans="1:16" s="48" customFormat="1" ht="18" customHeight="1" x14ac:dyDescent="0.25">
      <c r="A263" s="48" t="s">
        <v>163</v>
      </c>
      <c r="B263" s="926" t="s">
        <v>1386</v>
      </c>
      <c r="C263" s="44" t="s">
        <v>186</v>
      </c>
      <c r="D263" s="113"/>
      <c r="E263" s="113"/>
      <c r="F263" s="114"/>
      <c r="G263" s="100" t="s">
        <v>187</v>
      </c>
      <c r="H263" s="101"/>
      <c r="I263" s="102">
        <v>150000</v>
      </c>
      <c r="J263" s="101">
        <v>22308.16</v>
      </c>
      <c r="K263" s="101">
        <v>200000</v>
      </c>
      <c r="L263" s="101"/>
      <c r="M263" s="6"/>
      <c r="N263" s="6"/>
    </row>
    <row r="264" spans="1:16" s="48" customFormat="1" ht="18" customHeight="1" x14ac:dyDescent="0.25">
      <c r="A264" s="48" t="s">
        <v>163</v>
      </c>
      <c r="B264" s="926" t="s">
        <v>1386</v>
      </c>
      <c r="C264" s="245" t="s">
        <v>188</v>
      </c>
      <c r="D264" s="116"/>
      <c r="E264" s="116"/>
      <c r="F264" s="116"/>
      <c r="G264" s="100" t="s">
        <v>189</v>
      </c>
      <c r="H264" s="101">
        <v>178931</v>
      </c>
      <c r="I264" s="102">
        <v>1000000</v>
      </c>
      <c r="J264" s="101">
        <v>64181.86</v>
      </c>
      <c r="K264" s="101">
        <v>800000</v>
      </c>
      <c r="L264" s="101"/>
      <c r="M264" s="6"/>
      <c r="N264" s="6"/>
    </row>
    <row r="265" spans="1:16" s="48" customFormat="1" ht="18" customHeight="1" x14ac:dyDescent="0.25">
      <c r="A265" s="48" t="s">
        <v>163</v>
      </c>
      <c r="B265" s="926" t="s">
        <v>1386</v>
      </c>
      <c r="C265" s="245" t="s">
        <v>190</v>
      </c>
      <c r="D265" s="116"/>
      <c r="E265" s="116"/>
      <c r="F265" s="116"/>
      <c r="G265" s="100" t="s">
        <v>191</v>
      </c>
      <c r="H265" s="101"/>
      <c r="I265" s="102">
        <v>120000</v>
      </c>
      <c r="J265" s="101"/>
      <c r="K265" s="101">
        <v>120000</v>
      </c>
      <c r="L265" s="101"/>
      <c r="M265" s="6"/>
      <c r="N265" s="6"/>
    </row>
    <row r="266" spans="1:16" s="48" customFormat="1" ht="18" customHeight="1" x14ac:dyDescent="0.25">
      <c r="A266" s="48" t="s">
        <v>163</v>
      </c>
      <c r="B266" s="926" t="s">
        <v>1386</v>
      </c>
      <c r="C266" s="245" t="s">
        <v>192</v>
      </c>
      <c r="D266" s="116"/>
      <c r="E266" s="116"/>
      <c r="F266" s="116"/>
      <c r="G266" s="100" t="s">
        <v>193</v>
      </c>
      <c r="H266" s="101">
        <v>817830</v>
      </c>
      <c r="I266" s="102">
        <v>2400000</v>
      </c>
      <c r="J266" s="101">
        <v>56665</v>
      </c>
      <c r="K266" s="101">
        <v>2900000</v>
      </c>
      <c r="L266" s="101"/>
      <c r="M266" s="6"/>
      <c r="N266" s="6"/>
    </row>
    <row r="267" spans="1:16" s="48" customFormat="1" ht="18" customHeight="1" x14ac:dyDescent="0.25">
      <c r="A267" s="48" t="s">
        <v>163</v>
      </c>
      <c r="B267" s="926" t="s">
        <v>1386</v>
      </c>
      <c r="C267" s="245" t="s">
        <v>194</v>
      </c>
      <c r="D267" s="116"/>
      <c r="E267" s="116"/>
      <c r="F267" s="116"/>
      <c r="G267" s="100" t="s">
        <v>195</v>
      </c>
      <c r="H267" s="101">
        <v>0</v>
      </c>
      <c r="I267" s="102">
        <v>120000</v>
      </c>
      <c r="J267" s="101"/>
      <c r="K267" s="101">
        <v>120000</v>
      </c>
      <c r="L267" s="101"/>
      <c r="M267" s="6"/>
      <c r="N267" s="6"/>
    </row>
    <row r="268" spans="1:16" s="48" customFormat="1" ht="18" customHeight="1" x14ac:dyDescent="0.25">
      <c r="A268" s="48" t="s">
        <v>163</v>
      </c>
      <c r="B268" s="926" t="s">
        <v>1386</v>
      </c>
      <c r="C268" s="245" t="s">
        <v>196</v>
      </c>
      <c r="D268" s="116"/>
      <c r="E268" s="116"/>
      <c r="F268" s="116"/>
      <c r="G268" s="100" t="s">
        <v>197</v>
      </c>
      <c r="H268" s="101">
        <v>180000</v>
      </c>
      <c r="I268" s="102">
        <v>250000</v>
      </c>
      <c r="J268" s="101">
        <v>180000</v>
      </c>
      <c r="K268" s="101">
        <v>300000</v>
      </c>
      <c r="L268" s="101"/>
      <c r="M268" s="6"/>
      <c r="N268" s="6"/>
    </row>
    <row r="269" spans="1:16" s="48" customFormat="1" ht="18" customHeight="1" x14ac:dyDescent="0.25">
      <c r="A269" s="48" t="s">
        <v>163</v>
      </c>
      <c r="B269" s="926" t="s">
        <v>1386</v>
      </c>
      <c r="C269" s="44" t="s">
        <v>198</v>
      </c>
      <c r="D269" s="113"/>
      <c r="E269" s="113"/>
      <c r="F269" s="114"/>
      <c r="G269" s="100" t="s">
        <v>199</v>
      </c>
      <c r="H269" s="101">
        <v>929000.65</v>
      </c>
      <c r="I269" s="102">
        <v>3000000</v>
      </c>
      <c r="J269" s="101">
        <v>444340.9</v>
      </c>
      <c r="K269" s="101">
        <v>3000000</v>
      </c>
      <c r="L269" s="101"/>
      <c r="M269" s="6"/>
      <c r="N269" s="6"/>
    </row>
    <row r="270" spans="1:16" s="48" customFormat="1" ht="18" customHeight="1" x14ac:dyDescent="0.25">
      <c r="A270" s="48" t="s">
        <v>163</v>
      </c>
      <c r="B270" s="926" t="s">
        <v>1386</v>
      </c>
      <c r="C270" s="245" t="s">
        <v>168</v>
      </c>
      <c r="D270" s="97"/>
      <c r="E270" s="97"/>
      <c r="F270" s="97"/>
      <c r="G270" s="131" t="s">
        <v>169</v>
      </c>
      <c r="H270" s="101">
        <v>14115.5</v>
      </c>
      <c r="I270" s="102">
        <v>53305.5</v>
      </c>
      <c r="J270" s="101">
        <v>33543</v>
      </c>
      <c r="K270" s="101">
        <v>64245</v>
      </c>
      <c r="L270" s="101"/>
      <c r="M270" s="6"/>
      <c r="N270" s="6"/>
    </row>
    <row r="271" spans="1:16" s="48" customFormat="1" ht="18" customHeight="1" x14ac:dyDescent="0.25">
      <c r="A271" s="48" t="s">
        <v>163</v>
      </c>
      <c r="B271" s="926" t="s">
        <v>1386</v>
      </c>
      <c r="C271" s="245" t="s">
        <v>213</v>
      </c>
      <c r="D271" s="97"/>
      <c r="E271" s="97"/>
      <c r="F271" s="97"/>
      <c r="G271" s="131" t="s">
        <v>171</v>
      </c>
      <c r="H271" s="101"/>
      <c r="I271" s="102"/>
      <c r="J271" s="101"/>
      <c r="K271" s="101">
        <v>669129</v>
      </c>
      <c r="L271" s="101"/>
      <c r="M271" s="6"/>
      <c r="N271" s="6"/>
    </row>
    <row r="272" spans="1:16" s="48" customFormat="1" ht="18" customHeight="1" x14ac:dyDescent="0.25">
      <c r="A272" s="48" t="s">
        <v>163</v>
      </c>
      <c r="B272" s="926" t="s">
        <v>1386</v>
      </c>
      <c r="C272" s="860" t="s">
        <v>178</v>
      </c>
      <c r="D272" s="835"/>
      <c r="E272" s="835"/>
      <c r="F272" s="689"/>
      <c r="G272" s="131" t="s">
        <v>179</v>
      </c>
      <c r="H272" s="101"/>
      <c r="I272" s="102"/>
      <c r="J272" s="101"/>
      <c r="K272" s="101">
        <v>55680</v>
      </c>
      <c r="L272" s="101"/>
      <c r="M272" s="6"/>
      <c r="N272" s="6"/>
    </row>
    <row r="273" spans="1:16" s="48" customFormat="1" ht="18" customHeight="1" x14ac:dyDescent="0.25">
      <c r="A273" s="48" t="s">
        <v>163</v>
      </c>
      <c r="B273" s="926" t="s">
        <v>1386</v>
      </c>
      <c r="C273" s="245" t="s">
        <v>217</v>
      </c>
      <c r="D273" s="97"/>
      <c r="E273" s="97"/>
      <c r="F273" s="97"/>
      <c r="G273" s="133" t="s">
        <v>218</v>
      </c>
      <c r="H273" s="105"/>
      <c r="I273" s="106">
        <v>7200</v>
      </c>
      <c r="J273" s="105"/>
      <c r="K273" s="105">
        <v>7200</v>
      </c>
      <c r="L273" s="105"/>
      <c r="M273" s="6"/>
      <c r="N273" s="6"/>
    </row>
    <row r="274" spans="1:16" s="48" customFormat="1" ht="18" customHeight="1" x14ac:dyDescent="0.25">
      <c r="A274" s="48" t="s">
        <v>163</v>
      </c>
      <c r="B274" s="926" t="s">
        <v>1386</v>
      </c>
      <c r="C274" s="44" t="s">
        <v>198</v>
      </c>
      <c r="D274" s="125"/>
      <c r="E274" s="125"/>
      <c r="F274" s="134"/>
      <c r="G274" s="131" t="s">
        <v>199</v>
      </c>
      <c r="H274" s="101">
        <v>1192217.23</v>
      </c>
      <c r="I274" s="111">
        <v>2926687.92</v>
      </c>
      <c r="J274" s="112">
        <v>552261.06999999995</v>
      </c>
      <c r="K274" s="101">
        <v>3055235.04</v>
      </c>
      <c r="L274" s="112"/>
      <c r="M274" s="6"/>
      <c r="N274" s="6"/>
    </row>
    <row r="275" spans="1:16" s="48" customFormat="1" ht="18" customHeight="1" x14ac:dyDescent="0.25">
      <c r="A275" s="48" t="s">
        <v>163</v>
      </c>
      <c r="B275" s="926" t="s">
        <v>1387</v>
      </c>
      <c r="C275" s="44" t="s">
        <v>164</v>
      </c>
      <c r="D275" s="113"/>
      <c r="E275" s="113"/>
      <c r="F275" s="114"/>
      <c r="G275" s="131" t="s">
        <v>165</v>
      </c>
      <c r="H275" s="101">
        <v>2550</v>
      </c>
      <c r="I275" s="111">
        <v>15000</v>
      </c>
      <c r="J275" s="112"/>
      <c r="K275" s="101">
        <v>15000</v>
      </c>
      <c r="L275" s="112"/>
      <c r="M275" s="6"/>
      <c r="N275" s="6"/>
    </row>
    <row r="276" spans="1:16" s="48" customFormat="1" ht="18" customHeight="1" x14ac:dyDescent="0.25">
      <c r="A276" s="48" t="s">
        <v>163</v>
      </c>
      <c r="B276" s="926" t="s">
        <v>1387</v>
      </c>
      <c r="C276" s="44" t="s">
        <v>168</v>
      </c>
      <c r="D276" s="113"/>
      <c r="E276" s="113"/>
      <c r="F276" s="114"/>
      <c r="G276" s="131" t="s">
        <v>169</v>
      </c>
      <c r="H276" s="101">
        <v>34402</v>
      </c>
      <c r="I276" s="111">
        <v>54077</v>
      </c>
      <c r="J276" s="112">
        <v>18855</v>
      </c>
      <c r="K276" s="101">
        <v>54156</v>
      </c>
      <c r="L276" s="112"/>
      <c r="M276" s="6"/>
      <c r="N276" s="6"/>
    </row>
    <row r="277" spans="1:16" s="48" customFormat="1" ht="18" customHeight="1" x14ac:dyDescent="0.25">
      <c r="A277" s="48" t="s">
        <v>163</v>
      </c>
      <c r="B277" s="926" t="s">
        <v>1387</v>
      </c>
      <c r="C277" s="44" t="s">
        <v>213</v>
      </c>
      <c r="D277" s="113"/>
      <c r="E277" s="113"/>
      <c r="F277" s="114"/>
      <c r="G277" s="131" t="s">
        <v>171</v>
      </c>
      <c r="H277" s="101"/>
      <c r="I277" s="111"/>
      <c r="J277" s="112"/>
      <c r="K277" s="101">
        <v>23784</v>
      </c>
      <c r="L277" s="112"/>
      <c r="M277" s="6"/>
      <c r="N277" s="6"/>
    </row>
    <row r="278" spans="1:16" s="48" customFormat="1" ht="18" customHeight="1" x14ac:dyDescent="0.25">
      <c r="A278" s="48" t="s">
        <v>163</v>
      </c>
      <c r="B278" s="926" t="s">
        <v>1387</v>
      </c>
      <c r="C278" s="44" t="s">
        <v>178</v>
      </c>
      <c r="D278" s="113"/>
      <c r="E278" s="113"/>
      <c r="F278" s="114"/>
      <c r="G278" s="131" t="s">
        <v>179</v>
      </c>
      <c r="H278" s="101"/>
      <c r="I278" s="111"/>
      <c r="J278" s="112"/>
      <c r="K278" s="101">
        <v>5000</v>
      </c>
      <c r="L278" s="112"/>
      <c r="M278" s="6"/>
      <c r="N278" s="6"/>
      <c r="O278" s="115"/>
      <c r="P278" s="115"/>
    </row>
    <row r="279" spans="1:16" s="48" customFormat="1" ht="18" customHeight="1" x14ac:dyDescent="0.25">
      <c r="A279" s="48" t="s">
        <v>163</v>
      </c>
      <c r="B279" s="926" t="s">
        <v>1387</v>
      </c>
      <c r="C279" s="44" t="s">
        <v>182</v>
      </c>
      <c r="D279" s="113"/>
      <c r="E279" s="113"/>
      <c r="F279" s="114"/>
      <c r="G279" s="133" t="s">
        <v>183</v>
      </c>
      <c r="H279" s="101">
        <v>11237.95</v>
      </c>
      <c r="I279" s="117">
        <v>30000</v>
      </c>
      <c r="J279" s="118">
        <v>11968.71</v>
      </c>
      <c r="K279" s="105">
        <v>48000</v>
      </c>
      <c r="L279" s="118"/>
      <c r="M279" s="6"/>
      <c r="N279" s="6"/>
      <c r="O279" s="115"/>
      <c r="P279" s="115"/>
    </row>
    <row r="280" spans="1:16" s="136" customFormat="1" ht="18" customHeight="1" x14ac:dyDescent="0.25">
      <c r="A280" s="48" t="s">
        <v>163</v>
      </c>
      <c r="B280" s="926" t="s">
        <v>1387</v>
      </c>
      <c r="C280" s="44" t="s">
        <v>186</v>
      </c>
      <c r="D280" s="113"/>
      <c r="E280" s="113"/>
      <c r="F280" s="113"/>
      <c r="G280" s="131" t="s">
        <v>187</v>
      </c>
      <c r="H280" s="101">
        <v>0</v>
      </c>
      <c r="I280" s="111">
        <v>20000</v>
      </c>
      <c r="J280" s="112"/>
      <c r="K280" s="101">
        <v>20000</v>
      </c>
      <c r="L280" s="112"/>
      <c r="M280" s="6"/>
      <c r="N280" s="6"/>
      <c r="O280" s="115"/>
      <c r="P280" s="115"/>
    </row>
    <row r="281" spans="1:16" s="48" customFormat="1" ht="17.100000000000001" customHeight="1" x14ac:dyDescent="0.25">
      <c r="A281" s="48" t="s">
        <v>163</v>
      </c>
      <c r="B281" s="926" t="s">
        <v>1387</v>
      </c>
      <c r="C281" s="245" t="s">
        <v>198</v>
      </c>
      <c r="D281" s="116"/>
      <c r="E281" s="116"/>
      <c r="F281" s="116"/>
      <c r="G281" s="131" t="s">
        <v>199</v>
      </c>
      <c r="H281" s="101"/>
      <c r="I281" s="162">
        <v>203519.76</v>
      </c>
      <c r="J281" s="112">
        <v>75348.990000000005</v>
      </c>
      <c r="K281" s="101">
        <v>162024</v>
      </c>
      <c r="L281" s="112"/>
      <c r="M281" s="6"/>
      <c r="N281" s="6"/>
    </row>
    <row r="282" spans="1:16" s="48" customFormat="1" ht="17.100000000000001" customHeight="1" x14ac:dyDescent="0.25">
      <c r="A282" s="48" t="s">
        <v>163</v>
      </c>
      <c r="B282" s="926" t="s">
        <v>1388</v>
      </c>
      <c r="C282" s="44" t="s">
        <v>164</v>
      </c>
      <c r="D282" s="114"/>
      <c r="E282" s="116"/>
      <c r="F282" s="116"/>
      <c r="G282" s="131" t="s">
        <v>165</v>
      </c>
      <c r="H282" s="101">
        <v>5060</v>
      </c>
      <c r="I282" s="162">
        <v>10000</v>
      </c>
      <c r="J282" s="112"/>
      <c r="K282" s="101">
        <v>10000</v>
      </c>
      <c r="L282" s="112"/>
      <c r="M282" s="6"/>
      <c r="N282" s="6"/>
    </row>
    <row r="283" spans="1:16" s="48" customFormat="1" ht="17.100000000000001" customHeight="1" x14ac:dyDescent="0.25">
      <c r="A283" s="48" t="s">
        <v>163</v>
      </c>
      <c r="B283" s="926" t="s">
        <v>1388</v>
      </c>
      <c r="C283" s="245" t="s">
        <v>168</v>
      </c>
      <c r="D283" s="116"/>
      <c r="E283" s="116"/>
      <c r="F283" s="116"/>
      <c r="G283" s="131" t="s">
        <v>169</v>
      </c>
      <c r="H283" s="101">
        <v>138447.70000000001</v>
      </c>
      <c r="I283" s="162">
        <v>90000</v>
      </c>
      <c r="J283" s="112">
        <v>85691.25</v>
      </c>
      <c r="K283" s="101">
        <v>65810</v>
      </c>
      <c r="L283" s="112"/>
      <c r="M283" s="6"/>
      <c r="N283" s="6"/>
    </row>
    <row r="284" spans="1:16" s="48" customFormat="1" ht="17.100000000000001" customHeight="1" x14ac:dyDescent="0.25">
      <c r="A284" s="48" t="s">
        <v>163</v>
      </c>
      <c r="B284" s="926" t="s">
        <v>1388</v>
      </c>
      <c r="C284" s="245" t="s">
        <v>233</v>
      </c>
      <c r="D284" s="116"/>
      <c r="E284" s="116"/>
      <c r="F284" s="116"/>
      <c r="G284" s="131" t="s">
        <v>171</v>
      </c>
      <c r="H284" s="101"/>
      <c r="I284" s="162"/>
      <c r="J284" s="112"/>
      <c r="K284" s="101">
        <v>95084</v>
      </c>
      <c r="L284" s="112"/>
      <c r="M284" s="6"/>
      <c r="N284" s="6"/>
    </row>
    <row r="285" spans="1:16" s="48" customFormat="1" ht="17.100000000000001" customHeight="1" x14ac:dyDescent="0.25">
      <c r="A285" s="48" t="s">
        <v>163</v>
      </c>
      <c r="B285" s="926" t="s">
        <v>1388</v>
      </c>
      <c r="C285" s="245" t="s">
        <v>178</v>
      </c>
      <c r="D285" s="116"/>
      <c r="E285" s="116"/>
      <c r="F285" s="116"/>
      <c r="G285" s="131" t="s">
        <v>179</v>
      </c>
      <c r="H285" s="101"/>
      <c r="I285" s="162"/>
      <c r="J285" s="112"/>
      <c r="K285" s="101">
        <v>30000</v>
      </c>
      <c r="L285" s="112"/>
      <c r="M285" s="6"/>
      <c r="N285" s="6"/>
    </row>
    <row r="286" spans="1:16" s="48" customFormat="1" ht="17.100000000000001" customHeight="1" x14ac:dyDescent="0.25">
      <c r="A286" s="48" t="s">
        <v>163</v>
      </c>
      <c r="B286" s="926" t="s">
        <v>1388</v>
      </c>
      <c r="C286" s="245" t="s">
        <v>182</v>
      </c>
      <c r="D286" s="116"/>
      <c r="E286" s="116"/>
      <c r="F286" s="116"/>
      <c r="G286" s="131" t="s">
        <v>183</v>
      </c>
      <c r="H286" s="101">
        <v>22246.400000000001</v>
      </c>
      <c r="I286" s="162">
        <v>30000</v>
      </c>
      <c r="J286" s="112">
        <v>14156.8</v>
      </c>
      <c r="K286" s="101">
        <v>30000</v>
      </c>
      <c r="L286" s="112"/>
      <c r="M286" s="6"/>
      <c r="N286" s="6"/>
    </row>
    <row r="287" spans="1:16" s="48" customFormat="1" ht="17.100000000000001" customHeight="1" x14ac:dyDescent="0.25">
      <c r="A287" s="48" t="s">
        <v>163</v>
      </c>
      <c r="B287" s="926" t="s">
        <v>1388</v>
      </c>
      <c r="C287" s="860" t="s">
        <v>235</v>
      </c>
      <c r="D287" s="835"/>
      <c r="E287" s="835"/>
      <c r="F287" s="835"/>
      <c r="G287" s="131" t="s">
        <v>187</v>
      </c>
      <c r="H287" s="101"/>
      <c r="I287" s="162">
        <v>100000</v>
      </c>
      <c r="J287" s="112"/>
      <c r="K287" s="101">
        <v>40000</v>
      </c>
      <c r="L287" s="112"/>
      <c r="M287" s="6"/>
      <c r="N287" s="6"/>
    </row>
    <row r="288" spans="1:16" s="48" customFormat="1" ht="17.100000000000001" customHeight="1" x14ac:dyDescent="0.25">
      <c r="A288" s="48" t="s">
        <v>163</v>
      </c>
      <c r="B288" s="926" t="s">
        <v>1388</v>
      </c>
      <c r="C288" s="245" t="s">
        <v>236</v>
      </c>
      <c r="D288" s="116"/>
      <c r="E288" s="116"/>
      <c r="F288" s="116"/>
      <c r="G288" s="131" t="s">
        <v>237</v>
      </c>
      <c r="H288" s="101">
        <v>0</v>
      </c>
      <c r="I288" s="162">
        <v>5000</v>
      </c>
      <c r="J288" s="112"/>
      <c r="K288" s="101">
        <v>5000</v>
      </c>
      <c r="L288" s="112"/>
      <c r="M288" s="6"/>
      <c r="N288" s="6"/>
    </row>
    <row r="289" spans="1:14" s="48" customFormat="1" ht="17.100000000000001" customHeight="1" x14ac:dyDescent="0.25">
      <c r="A289" s="48" t="s">
        <v>163</v>
      </c>
      <c r="B289" s="926" t="s">
        <v>1388</v>
      </c>
      <c r="C289" s="245" t="s">
        <v>198</v>
      </c>
      <c r="D289" s="116"/>
      <c r="E289" s="116"/>
      <c r="F289" s="116"/>
      <c r="G289" s="131" t="s">
        <v>199</v>
      </c>
      <c r="H289" s="101">
        <v>264243.05</v>
      </c>
      <c r="I289" s="162">
        <v>731035.68</v>
      </c>
      <c r="J289" s="112">
        <v>163423.59</v>
      </c>
      <c r="K289" s="102">
        <v>420000</v>
      </c>
      <c r="L289" s="112"/>
      <c r="M289" s="6"/>
      <c r="N289" s="6"/>
    </row>
    <row r="290" spans="1:14" s="48" customFormat="1" ht="17.100000000000001" customHeight="1" x14ac:dyDescent="0.25">
      <c r="A290" s="48" t="s">
        <v>163</v>
      </c>
      <c r="B290" s="926" t="s">
        <v>1386</v>
      </c>
      <c r="C290" s="44" t="s">
        <v>164</v>
      </c>
      <c r="D290" s="113"/>
      <c r="E290" s="113"/>
      <c r="F290" s="114"/>
      <c r="G290" s="100" t="s">
        <v>165</v>
      </c>
      <c r="H290" s="101">
        <v>0</v>
      </c>
      <c r="I290" s="162">
        <v>15000</v>
      </c>
      <c r="J290" s="112"/>
      <c r="K290" s="101">
        <v>15000</v>
      </c>
      <c r="L290" s="112"/>
      <c r="M290" s="6"/>
      <c r="N290" s="6"/>
    </row>
    <row r="291" spans="1:14" s="48" customFormat="1" ht="17.100000000000001" customHeight="1" x14ac:dyDescent="0.25">
      <c r="A291" s="48" t="s">
        <v>163</v>
      </c>
      <c r="B291" s="926" t="s">
        <v>1386</v>
      </c>
      <c r="C291" s="245" t="s">
        <v>168</v>
      </c>
      <c r="D291" s="116"/>
      <c r="E291" s="116"/>
      <c r="F291" s="116"/>
      <c r="G291" s="100" t="s">
        <v>169</v>
      </c>
      <c r="H291" s="101">
        <v>102559</v>
      </c>
      <c r="I291" s="162">
        <v>92000</v>
      </c>
      <c r="J291" s="112">
        <v>22037</v>
      </c>
      <c r="K291" s="101">
        <v>92714</v>
      </c>
      <c r="L291" s="112"/>
      <c r="M291" s="6"/>
      <c r="N291" s="6"/>
    </row>
    <row r="292" spans="1:14" s="48" customFormat="1" ht="17.100000000000001" customHeight="1" x14ac:dyDescent="0.25">
      <c r="A292" s="48" t="s">
        <v>163</v>
      </c>
      <c r="B292" s="926" t="s">
        <v>1386</v>
      </c>
      <c r="C292" s="245" t="s">
        <v>213</v>
      </c>
      <c r="D292" s="116"/>
      <c r="E292" s="116"/>
      <c r="F292" s="116"/>
      <c r="G292" s="100" t="s">
        <v>171</v>
      </c>
      <c r="H292" s="101"/>
      <c r="I292" s="162"/>
      <c r="J292" s="112"/>
      <c r="K292" s="101">
        <v>31200</v>
      </c>
      <c r="L292" s="112"/>
      <c r="M292" s="6"/>
      <c r="N292" s="6"/>
    </row>
    <row r="293" spans="1:14" s="48" customFormat="1" ht="17.100000000000001" customHeight="1" x14ac:dyDescent="0.25">
      <c r="A293" s="48" t="s">
        <v>163</v>
      </c>
      <c r="B293" s="926" t="s">
        <v>1386</v>
      </c>
      <c r="C293" s="245" t="s">
        <v>178</v>
      </c>
      <c r="D293" s="703"/>
      <c r="E293" s="116"/>
      <c r="F293" s="116"/>
      <c r="G293" s="100" t="s">
        <v>179</v>
      </c>
      <c r="H293" s="101"/>
      <c r="I293" s="162"/>
      <c r="J293" s="112"/>
      <c r="K293" s="102">
        <v>7200</v>
      </c>
      <c r="L293" s="112"/>
      <c r="M293" s="6"/>
      <c r="N293" s="6"/>
    </row>
    <row r="294" spans="1:14" s="48" customFormat="1" ht="17.100000000000001" customHeight="1" x14ac:dyDescent="0.25">
      <c r="A294" s="48" t="s">
        <v>163</v>
      </c>
      <c r="B294" s="926" t="s">
        <v>1386</v>
      </c>
      <c r="C294" s="245" t="s">
        <v>186</v>
      </c>
      <c r="D294" s="116"/>
      <c r="E294" s="116"/>
      <c r="F294" s="116"/>
      <c r="G294" s="104" t="s">
        <v>187</v>
      </c>
      <c r="H294" s="105">
        <v>0</v>
      </c>
      <c r="I294" s="163">
        <v>10000</v>
      </c>
      <c r="J294" s="118"/>
      <c r="K294" s="105">
        <v>10000</v>
      </c>
      <c r="L294" s="118"/>
      <c r="M294" s="6"/>
      <c r="N294" s="6"/>
    </row>
    <row r="295" spans="1:14" s="48" customFormat="1" ht="17.100000000000001" customHeight="1" x14ac:dyDescent="0.25">
      <c r="A295" s="48" t="s">
        <v>163</v>
      </c>
      <c r="B295" s="926" t="s">
        <v>1386</v>
      </c>
      <c r="C295" s="44" t="s">
        <v>198</v>
      </c>
      <c r="D295" s="113"/>
      <c r="E295" s="113"/>
      <c r="F295" s="114"/>
      <c r="G295" s="100" t="s">
        <v>199</v>
      </c>
      <c r="H295" s="101">
        <v>0</v>
      </c>
      <c r="I295" s="162">
        <v>5000</v>
      </c>
      <c r="J295" s="112"/>
      <c r="K295" s="101">
        <v>5000</v>
      </c>
      <c r="L295" s="112"/>
      <c r="M295" s="6"/>
      <c r="N295" s="6"/>
    </row>
    <row r="296" spans="1:14" s="48" customFormat="1" ht="17.100000000000001" customHeight="1" x14ac:dyDescent="0.25">
      <c r="A296" s="48" t="s">
        <v>163</v>
      </c>
      <c r="B296" s="926" t="s">
        <v>1386</v>
      </c>
      <c r="C296" s="44" t="s">
        <v>164</v>
      </c>
      <c r="D296" s="113"/>
      <c r="E296" s="113"/>
      <c r="F296" s="114"/>
      <c r="G296" s="100" t="s">
        <v>165</v>
      </c>
      <c r="H296" s="101">
        <v>0</v>
      </c>
      <c r="I296" s="162">
        <v>15000</v>
      </c>
      <c r="J296" s="112">
        <v>0</v>
      </c>
      <c r="K296" s="101">
        <v>15000</v>
      </c>
      <c r="L296" s="112"/>
      <c r="M296" s="6"/>
      <c r="N296" s="6"/>
    </row>
    <row r="297" spans="1:14" s="48" customFormat="1" ht="17.100000000000001" customHeight="1" x14ac:dyDescent="0.25">
      <c r="A297" s="48" t="s">
        <v>163</v>
      </c>
      <c r="B297" s="926" t="s">
        <v>1386</v>
      </c>
      <c r="C297" s="44" t="s">
        <v>168</v>
      </c>
      <c r="D297" s="113"/>
      <c r="E297" s="113"/>
      <c r="F297" s="114"/>
      <c r="G297" s="100" t="s">
        <v>169</v>
      </c>
      <c r="H297" s="101">
        <v>218362.2</v>
      </c>
      <c r="I297" s="162">
        <v>217261.75</v>
      </c>
      <c r="J297" s="112">
        <v>122881</v>
      </c>
      <c r="K297" s="101">
        <v>234235</v>
      </c>
      <c r="L297" s="112"/>
      <c r="M297" s="6"/>
      <c r="N297" s="6">
        <f>34540+8730+12800</f>
        <v>56070</v>
      </c>
    </row>
    <row r="298" spans="1:14" s="48" customFormat="1" ht="17.100000000000001" customHeight="1" x14ac:dyDescent="0.25">
      <c r="A298" s="48" t="s">
        <v>163</v>
      </c>
      <c r="B298" s="926" t="s">
        <v>1386</v>
      </c>
      <c r="C298" s="859" t="s">
        <v>248</v>
      </c>
      <c r="D298" s="836"/>
      <c r="E298" s="836"/>
      <c r="F298" s="834"/>
      <c r="G298" s="100" t="s">
        <v>171</v>
      </c>
      <c r="H298" s="101"/>
      <c r="I298" s="162"/>
      <c r="J298" s="112"/>
      <c r="K298" s="101">
        <v>56070</v>
      </c>
      <c r="L298" s="112"/>
      <c r="M298" s="6"/>
      <c r="N298" s="6"/>
    </row>
    <row r="299" spans="1:14" s="48" customFormat="1" ht="17.100000000000001" customHeight="1" x14ac:dyDescent="0.25">
      <c r="A299" s="48" t="s">
        <v>163</v>
      </c>
      <c r="B299" s="926" t="s">
        <v>1386</v>
      </c>
      <c r="C299" s="44" t="s">
        <v>176</v>
      </c>
      <c r="D299" s="113"/>
      <c r="E299" s="113"/>
      <c r="F299" s="114"/>
      <c r="G299" s="100" t="s">
        <v>177</v>
      </c>
      <c r="H299" s="101">
        <v>5000</v>
      </c>
      <c r="I299" s="162">
        <v>5000</v>
      </c>
      <c r="J299" s="112"/>
      <c r="K299" s="101">
        <v>5000</v>
      </c>
      <c r="L299" s="112"/>
      <c r="M299" s="6"/>
      <c r="N299" s="6"/>
    </row>
    <row r="300" spans="1:14" s="48" customFormat="1" ht="17.100000000000001" customHeight="1" x14ac:dyDescent="0.25">
      <c r="A300" s="48" t="s">
        <v>163</v>
      </c>
      <c r="B300" s="926" t="s">
        <v>1386</v>
      </c>
      <c r="C300" s="44" t="s">
        <v>178</v>
      </c>
      <c r="D300" s="114"/>
      <c r="E300" s="116"/>
      <c r="F300" s="116"/>
      <c r="G300" s="100" t="s">
        <v>179</v>
      </c>
      <c r="H300" s="101"/>
      <c r="I300" s="162"/>
      <c r="J300" s="112"/>
      <c r="K300" s="101">
        <v>39000</v>
      </c>
      <c r="L300" s="112"/>
      <c r="M300" s="6"/>
      <c r="N300" s="6"/>
    </row>
    <row r="301" spans="1:14" s="48" customFormat="1" ht="17.100000000000001" customHeight="1" x14ac:dyDescent="0.25">
      <c r="A301" s="48" t="s">
        <v>163</v>
      </c>
      <c r="B301" s="926" t="s">
        <v>1386</v>
      </c>
      <c r="C301" s="44" t="s">
        <v>182</v>
      </c>
      <c r="D301" s="113"/>
      <c r="E301" s="113"/>
      <c r="F301" s="114"/>
      <c r="G301" s="100" t="s">
        <v>183</v>
      </c>
      <c r="H301" s="101"/>
      <c r="I301" s="162">
        <v>30000</v>
      </c>
      <c r="J301" s="112">
        <v>19808.71</v>
      </c>
      <c r="K301" s="101">
        <v>48000</v>
      </c>
      <c r="L301" s="112"/>
      <c r="M301" s="6"/>
      <c r="N301" s="6"/>
    </row>
    <row r="302" spans="1:14" s="48" customFormat="1" ht="17.100000000000001" customHeight="1" x14ac:dyDescent="0.25">
      <c r="A302" s="48" t="s">
        <v>163</v>
      </c>
      <c r="B302" s="926" t="s">
        <v>1386</v>
      </c>
      <c r="C302" s="44" t="s">
        <v>186</v>
      </c>
      <c r="D302" s="113"/>
      <c r="E302" s="113"/>
      <c r="F302" s="114"/>
      <c r="G302" s="100" t="s">
        <v>187</v>
      </c>
      <c r="H302" s="101">
        <v>0</v>
      </c>
      <c r="I302" s="162">
        <v>15000</v>
      </c>
      <c r="J302" s="112"/>
      <c r="K302" s="105">
        <v>15000</v>
      </c>
      <c r="L302" s="112"/>
      <c r="M302" s="6"/>
      <c r="N302" s="6"/>
    </row>
    <row r="303" spans="1:14" s="48" customFormat="1" ht="36.75" customHeight="1" x14ac:dyDescent="0.25">
      <c r="A303" s="48" t="s">
        <v>163</v>
      </c>
      <c r="B303" s="926" t="s">
        <v>1386</v>
      </c>
      <c r="C303" s="686" t="s">
        <v>198</v>
      </c>
      <c r="D303" s="938"/>
      <c r="E303" s="113"/>
      <c r="F303" s="113"/>
      <c r="G303" s="100" t="s">
        <v>199</v>
      </c>
      <c r="H303" s="101">
        <v>250723.37</v>
      </c>
      <c r="I303" s="111">
        <v>470953.44</v>
      </c>
      <c r="J303" s="112">
        <v>135125.38</v>
      </c>
      <c r="K303" s="101">
        <v>470953.44</v>
      </c>
      <c r="L303" s="112"/>
      <c r="M303" s="6"/>
      <c r="N303" s="6"/>
    </row>
    <row r="304" spans="1:14" s="48" customFormat="1" ht="18" customHeight="1" x14ac:dyDescent="0.25">
      <c r="A304" s="48" t="s">
        <v>163</v>
      </c>
      <c r="B304" s="926" t="s">
        <v>1386</v>
      </c>
      <c r="C304" s="44" t="s">
        <v>164</v>
      </c>
      <c r="D304" s="113"/>
      <c r="E304" s="113"/>
      <c r="F304" s="113"/>
      <c r="G304" s="131" t="s">
        <v>165</v>
      </c>
      <c r="H304" s="101"/>
      <c r="I304" s="111">
        <v>20000</v>
      </c>
      <c r="J304" s="112"/>
      <c r="K304" s="101">
        <v>20000</v>
      </c>
      <c r="L304" s="112"/>
      <c r="M304" s="6"/>
      <c r="N304" s="6"/>
    </row>
    <row r="305" spans="1:14" s="48" customFormat="1" ht="18" customHeight="1" x14ac:dyDescent="0.25">
      <c r="A305" s="48" t="s">
        <v>163</v>
      </c>
      <c r="B305" s="926" t="s">
        <v>1386</v>
      </c>
      <c r="C305" s="44" t="s">
        <v>168</v>
      </c>
      <c r="D305" s="113"/>
      <c r="E305" s="113"/>
      <c r="F305" s="113"/>
      <c r="G305" s="131" t="s">
        <v>169</v>
      </c>
      <c r="H305" s="101">
        <v>74511</v>
      </c>
      <c r="I305" s="111">
        <v>381751.5</v>
      </c>
      <c r="J305" s="112">
        <v>304584</v>
      </c>
      <c r="K305" s="101">
        <v>543095.1</v>
      </c>
      <c r="L305" s="112"/>
      <c r="M305" s="6"/>
      <c r="N305" s="6"/>
    </row>
    <row r="306" spans="1:14" s="48" customFormat="1" ht="18" customHeight="1" x14ac:dyDescent="0.25">
      <c r="A306" s="48" t="s">
        <v>163</v>
      </c>
      <c r="B306" s="926" t="s">
        <v>1386</v>
      </c>
      <c r="C306" s="44" t="s">
        <v>213</v>
      </c>
      <c r="D306" s="113"/>
      <c r="E306" s="113"/>
      <c r="F306" s="113"/>
      <c r="G306" s="131" t="s">
        <v>171</v>
      </c>
      <c r="H306" s="101"/>
      <c r="I306" s="111"/>
      <c r="J306" s="112"/>
      <c r="K306" s="101">
        <f>10380+12000</f>
        <v>22380</v>
      </c>
      <c r="L306" s="112"/>
      <c r="M306" s="6"/>
      <c r="N306" s="6"/>
    </row>
    <row r="307" spans="1:14" s="48" customFormat="1" ht="17.100000000000001" customHeight="1" x14ac:dyDescent="0.25">
      <c r="A307" s="48" t="s">
        <v>163</v>
      </c>
      <c r="B307" s="926" t="s">
        <v>1386</v>
      </c>
      <c r="C307" s="245" t="s">
        <v>178</v>
      </c>
      <c r="D307" s="116"/>
      <c r="E307" s="116"/>
      <c r="F307" s="116"/>
      <c r="G307" s="131" t="s">
        <v>179</v>
      </c>
      <c r="H307" s="101"/>
      <c r="I307" s="162"/>
      <c r="J307" s="112"/>
      <c r="K307" s="102">
        <v>18000</v>
      </c>
      <c r="L307" s="112"/>
      <c r="M307" s="6"/>
      <c r="N307" s="6"/>
    </row>
    <row r="308" spans="1:14" s="48" customFormat="1" ht="17.100000000000001" customHeight="1" x14ac:dyDescent="0.25">
      <c r="A308" s="48" t="s">
        <v>163</v>
      </c>
      <c r="B308" s="926" t="s">
        <v>1386</v>
      </c>
      <c r="C308" s="245" t="s">
        <v>182</v>
      </c>
      <c r="D308" s="116"/>
      <c r="E308" s="116"/>
      <c r="F308" s="116"/>
      <c r="G308" s="131" t="s">
        <v>183</v>
      </c>
      <c r="H308" s="101">
        <v>0</v>
      </c>
      <c r="I308" s="162">
        <v>42000</v>
      </c>
      <c r="J308" s="112"/>
      <c r="K308" s="102">
        <v>42000</v>
      </c>
      <c r="L308" s="112"/>
      <c r="M308" s="6"/>
      <c r="N308" s="6"/>
    </row>
    <row r="309" spans="1:14" s="48" customFormat="1" ht="17.100000000000001" customHeight="1" x14ac:dyDescent="0.25">
      <c r="A309" s="48" t="s">
        <v>163</v>
      </c>
      <c r="B309" s="926" t="s">
        <v>1386</v>
      </c>
      <c r="C309" s="245" t="s">
        <v>186</v>
      </c>
      <c r="D309" s="116"/>
      <c r="E309" s="116"/>
      <c r="F309" s="116"/>
      <c r="G309" s="131" t="s">
        <v>187</v>
      </c>
      <c r="H309" s="101">
        <v>0</v>
      </c>
      <c r="I309" s="162">
        <v>30000</v>
      </c>
      <c r="J309" s="112"/>
      <c r="K309" s="101">
        <v>110000</v>
      </c>
      <c r="L309" s="112"/>
      <c r="M309" s="6"/>
      <c r="N309" s="6"/>
    </row>
    <row r="310" spans="1:14" s="48" customFormat="1" ht="17.100000000000001" customHeight="1" x14ac:dyDescent="0.25">
      <c r="A310" s="48" t="s">
        <v>163</v>
      </c>
      <c r="B310" s="926" t="s">
        <v>1386</v>
      </c>
      <c r="C310" s="245" t="s">
        <v>198</v>
      </c>
      <c r="D310" s="116"/>
      <c r="E310" s="116"/>
      <c r="F310" s="116"/>
      <c r="G310" s="131" t="s">
        <v>199</v>
      </c>
      <c r="H310" s="101">
        <v>212843.66</v>
      </c>
      <c r="I310" s="162">
        <v>470953.44</v>
      </c>
      <c r="J310" s="112">
        <v>118466.51</v>
      </c>
      <c r="K310" s="101">
        <v>615600</v>
      </c>
      <c r="L310" s="112"/>
      <c r="M310" s="6"/>
      <c r="N310" s="6"/>
    </row>
    <row r="311" spans="1:14" s="48" customFormat="1" ht="17.100000000000001" customHeight="1" x14ac:dyDescent="0.25">
      <c r="A311" s="48" t="s">
        <v>163</v>
      </c>
      <c r="B311" s="926" t="s">
        <v>1388</v>
      </c>
      <c r="C311" s="245" t="s">
        <v>164</v>
      </c>
      <c r="D311" s="116"/>
      <c r="E311" s="116"/>
      <c r="F311" s="116"/>
      <c r="G311" s="131" t="s">
        <v>165</v>
      </c>
      <c r="H311" s="101">
        <v>9426</v>
      </c>
      <c r="I311" s="162">
        <v>20000</v>
      </c>
      <c r="J311" s="112"/>
      <c r="K311" s="101">
        <v>20000</v>
      </c>
      <c r="L311" s="112"/>
      <c r="M311" s="6"/>
      <c r="N311" s="6"/>
    </row>
    <row r="312" spans="1:14" s="48" customFormat="1" ht="17.100000000000001" customHeight="1" x14ac:dyDescent="0.25">
      <c r="A312" s="48" t="s">
        <v>163</v>
      </c>
      <c r="B312" s="926" t="s">
        <v>1388</v>
      </c>
      <c r="C312" s="245" t="s">
        <v>178</v>
      </c>
      <c r="D312" s="690"/>
      <c r="E312" s="690"/>
      <c r="F312" s="690"/>
      <c r="G312" s="172" t="s">
        <v>167</v>
      </c>
      <c r="H312" s="102"/>
      <c r="I312" s="162"/>
      <c r="J312" s="111"/>
      <c r="K312" s="102">
        <v>30000</v>
      </c>
      <c r="L312" s="112"/>
      <c r="M312" s="6"/>
      <c r="N312" s="6"/>
    </row>
    <row r="313" spans="1:14" s="48" customFormat="1" ht="17.100000000000001" customHeight="1" x14ac:dyDescent="0.25">
      <c r="A313" s="48" t="s">
        <v>163</v>
      </c>
      <c r="B313" s="926" t="s">
        <v>1388</v>
      </c>
      <c r="C313" s="245" t="s">
        <v>168</v>
      </c>
      <c r="D313" s="116"/>
      <c r="E313" s="116"/>
      <c r="F313" s="116"/>
      <c r="G313" s="131" t="s">
        <v>169</v>
      </c>
      <c r="H313" s="101">
        <v>22308.25</v>
      </c>
      <c r="I313" s="162">
        <v>33681</v>
      </c>
      <c r="J313" s="112">
        <v>23056.5</v>
      </c>
      <c r="K313" s="101">
        <v>20000</v>
      </c>
      <c r="L313" s="112"/>
      <c r="M313" s="6"/>
      <c r="N313" s="6"/>
    </row>
    <row r="314" spans="1:14" s="48" customFormat="1" ht="17.100000000000001" customHeight="1" x14ac:dyDescent="0.25">
      <c r="A314" s="48" t="s">
        <v>163</v>
      </c>
      <c r="B314" s="926" t="s">
        <v>1388</v>
      </c>
      <c r="C314" s="245" t="s">
        <v>213</v>
      </c>
      <c r="D314" s="116"/>
      <c r="E314" s="116"/>
      <c r="F314" s="116"/>
      <c r="G314" s="131" t="s">
        <v>171</v>
      </c>
      <c r="H314" s="101"/>
      <c r="I314" s="162"/>
      <c r="J314" s="112"/>
      <c r="K314" s="101">
        <v>113350</v>
      </c>
      <c r="L314" s="112"/>
      <c r="M314" s="6"/>
      <c r="N314" s="6"/>
    </row>
    <row r="315" spans="1:14" s="48" customFormat="1" ht="17.100000000000001" customHeight="1" x14ac:dyDescent="0.25">
      <c r="A315" s="48" t="s">
        <v>163</v>
      </c>
      <c r="B315" s="926" t="s">
        <v>1388</v>
      </c>
      <c r="C315" s="180" t="s">
        <v>281</v>
      </c>
      <c r="D315" s="174"/>
      <c r="E315" s="174"/>
      <c r="F315" s="175"/>
      <c r="G315" s="176" t="s">
        <v>282</v>
      </c>
      <c r="H315" s="101">
        <v>4200</v>
      </c>
      <c r="I315" s="162">
        <v>15000</v>
      </c>
      <c r="J315" s="112"/>
      <c r="K315" s="101">
        <v>15000</v>
      </c>
      <c r="L315" s="112"/>
      <c r="M315" s="6"/>
      <c r="N315" s="6"/>
    </row>
    <row r="316" spans="1:14" s="48" customFormat="1" ht="17.100000000000001" customHeight="1" x14ac:dyDescent="0.25">
      <c r="A316" s="48" t="s">
        <v>163</v>
      </c>
      <c r="B316" s="926" t="s">
        <v>1388</v>
      </c>
      <c r="C316" s="685" t="s">
        <v>198</v>
      </c>
      <c r="D316" s="693"/>
      <c r="E316" s="693"/>
      <c r="F316" s="693"/>
      <c r="G316" s="176" t="s">
        <v>199</v>
      </c>
      <c r="H316" s="101">
        <v>495365.91</v>
      </c>
      <c r="I316" s="162">
        <v>1435820.88</v>
      </c>
      <c r="J316" s="112">
        <v>354493</v>
      </c>
      <c r="K316" s="101">
        <v>1493678.16</v>
      </c>
      <c r="L316" s="112"/>
      <c r="M316" s="6"/>
      <c r="N316" s="6"/>
    </row>
    <row r="317" spans="1:14" s="48" customFormat="1" ht="17.100000000000001" customHeight="1" x14ac:dyDescent="0.25">
      <c r="A317" s="48" t="s">
        <v>163</v>
      </c>
      <c r="B317" s="926" t="s">
        <v>1387</v>
      </c>
      <c r="C317" s="245" t="s">
        <v>164</v>
      </c>
      <c r="D317" s="116"/>
      <c r="E317" s="116"/>
      <c r="F317" s="116"/>
      <c r="G317" s="131" t="s">
        <v>165</v>
      </c>
      <c r="H317" s="101">
        <v>0</v>
      </c>
      <c r="I317" s="162">
        <v>15000</v>
      </c>
      <c r="J317" s="112"/>
      <c r="K317" s="102">
        <v>15000</v>
      </c>
      <c r="L317" s="112"/>
      <c r="M317" s="6"/>
      <c r="N317" s="6"/>
    </row>
    <row r="318" spans="1:14" s="48" customFormat="1" ht="17.100000000000001" customHeight="1" x14ac:dyDescent="0.25">
      <c r="A318" s="48" t="s">
        <v>163</v>
      </c>
      <c r="B318" s="926" t="s">
        <v>1387</v>
      </c>
      <c r="C318" s="245" t="s">
        <v>168</v>
      </c>
      <c r="D318" s="116"/>
      <c r="E318" s="116"/>
      <c r="F318" s="116"/>
      <c r="G318" s="131" t="s">
        <v>169</v>
      </c>
      <c r="H318" s="101">
        <v>0</v>
      </c>
      <c r="I318" s="162">
        <v>49952</v>
      </c>
      <c r="J318" s="112">
        <v>35368</v>
      </c>
      <c r="K318" s="102">
        <v>49952</v>
      </c>
      <c r="L318" s="112"/>
      <c r="M318" s="6"/>
      <c r="N318" s="6"/>
    </row>
    <row r="319" spans="1:14" s="48" customFormat="1" ht="17.100000000000001" customHeight="1" x14ac:dyDescent="0.25">
      <c r="A319" s="48" t="s">
        <v>163</v>
      </c>
      <c r="B319" s="926" t="s">
        <v>1387</v>
      </c>
      <c r="C319" s="245" t="s">
        <v>288</v>
      </c>
      <c r="D319" s="116"/>
      <c r="E319" s="116"/>
      <c r="F319" s="116"/>
      <c r="G319" s="133" t="s">
        <v>171</v>
      </c>
      <c r="H319" s="105"/>
      <c r="I319" s="163"/>
      <c r="J319" s="118"/>
      <c r="K319" s="102">
        <v>33960</v>
      </c>
      <c r="L319" s="112"/>
      <c r="M319" s="6"/>
      <c r="N319" s="6"/>
    </row>
    <row r="320" spans="1:14" s="48" customFormat="1" ht="17.100000000000001" customHeight="1" x14ac:dyDescent="0.25">
      <c r="A320" s="48" t="s">
        <v>163</v>
      </c>
      <c r="B320" s="926" t="s">
        <v>1387</v>
      </c>
      <c r="C320" s="44" t="s">
        <v>176</v>
      </c>
      <c r="D320" s="113"/>
      <c r="E320" s="113"/>
      <c r="F320" s="114"/>
      <c r="G320" s="131" t="s">
        <v>177</v>
      </c>
      <c r="H320" s="101">
        <v>0</v>
      </c>
      <c r="I320" s="162">
        <v>5000</v>
      </c>
      <c r="J320" s="112"/>
      <c r="K320" s="102">
        <v>5000</v>
      </c>
      <c r="L320" s="112"/>
      <c r="M320" s="6"/>
      <c r="N320" s="6"/>
    </row>
    <row r="321" spans="1:14" s="48" customFormat="1" ht="17.100000000000001" customHeight="1" x14ac:dyDescent="0.25">
      <c r="A321" s="48" t="s">
        <v>163</v>
      </c>
      <c r="B321" s="926" t="s">
        <v>1387</v>
      </c>
      <c r="C321" s="44" t="s">
        <v>178</v>
      </c>
      <c r="D321" s="113"/>
      <c r="E321" s="113"/>
      <c r="F321" s="114"/>
      <c r="G321" s="131" t="s">
        <v>179</v>
      </c>
      <c r="H321" s="101"/>
      <c r="I321" s="162"/>
      <c r="J321" s="112"/>
      <c r="K321" s="102">
        <v>30000</v>
      </c>
      <c r="L321" s="112"/>
      <c r="M321" s="6"/>
      <c r="N321" s="6"/>
    </row>
    <row r="322" spans="1:14" s="48" customFormat="1" ht="17.100000000000001" customHeight="1" x14ac:dyDescent="0.25">
      <c r="A322" s="48" t="s">
        <v>163</v>
      </c>
      <c r="B322" s="926" t="s">
        <v>1387</v>
      </c>
      <c r="C322" s="44" t="s">
        <v>186</v>
      </c>
      <c r="D322" s="113"/>
      <c r="E322" s="113"/>
      <c r="F322" s="114"/>
      <c r="G322" s="131" t="s">
        <v>187</v>
      </c>
      <c r="H322" s="101">
        <v>0</v>
      </c>
      <c r="I322" s="162">
        <v>5000</v>
      </c>
      <c r="J322" s="112"/>
      <c r="K322" s="102">
        <v>5000</v>
      </c>
      <c r="L322" s="112"/>
      <c r="M322" s="6"/>
      <c r="N322" s="6"/>
    </row>
    <row r="323" spans="1:14" s="48" customFormat="1" ht="17.100000000000001" customHeight="1" x14ac:dyDescent="0.25">
      <c r="A323" s="48" t="s">
        <v>163</v>
      </c>
      <c r="B323" s="926" t="s">
        <v>1387</v>
      </c>
      <c r="C323" s="44" t="s">
        <v>198</v>
      </c>
      <c r="D323" s="113"/>
      <c r="E323" s="113"/>
      <c r="F323" s="114"/>
      <c r="G323" s="131" t="s">
        <v>199</v>
      </c>
      <c r="H323" s="101">
        <v>0</v>
      </c>
      <c r="I323" s="162">
        <v>5000</v>
      </c>
      <c r="J323" s="112"/>
      <c r="K323" s="102">
        <v>5000</v>
      </c>
      <c r="L323" s="112"/>
      <c r="M323" s="6"/>
      <c r="N323" s="6"/>
    </row>
    <row r="324" spans="1:14" s="48" customFormat="1" ht="17.100000000000001" customHeight="1" x14ac:dyDescent="0.25">
      <c r="A324" s="48" t="s">
        <v>163</v>
      </c>
      <c r="B324" s="926" t="s">
        <v>1386</v>
      </c>
      <c r="C324" s="44" t="s">
        <v>164</v>
      </c>
      <c r="D324" s="113"/>
      <c r="E324" s="113"/>
      <c r="F324" s="114"/>
      <c r="G324" s="131" t="s">
        <v>165</v>
      </c>
      <c r="H324" s="101"/>
      <c r="I324" s="162">
        <v>15000</v>
      </c>
      <c r="J324" s="112"/>
      <c r="K324" s="101">
        <v>15000</v>
      </c>
      <c r="L324" s="112"/>
      <c r="M324" s="6"/>
      <c r="N324" s="6"/>
    </row>
    <row r="325" spans="1:14" s="48" customFormat="1" ht="17.100000000000001" customHeight="1" x14ac:dyDescent="0.25">
      <c r="A325" s="48" t="s">
        <v>163</v>
      </c>
      <c r="B325" s="926" t="s">
        <v>1386</v>
      </c>
      <c r="C325" s="44" t="s">
        <v>168</v>
      </c>
      <c r="D325" s="113"/>
      <c r="E325" s="113"/>
      <c r="F325" s="114"/>
      <c r="G325" s="131" t="s">
        <v>169</v>
      </c>
      <c r="H325" s="101">
        <v>86104</v>
      </c>
      <c r="I325" s="162">
        <v>108208</v>
      </c>
      <c r="J325" s="112">
        <v>91397</v>
      </c>
      <c r="K325" s="101">
        <v>129613</v>
      </c>
      <c r="L325" s="112"/>
      <c r="M325" s="6"/>
      <c r="N325" s="6"/>
    </row>
    <row r="326" spans="1:14" s="48" customFormat="1" ht="17.100000000000001" customHeight="1" x14ac:dyDescent="0.25">
      <c r="A326" s="48" t="s">
        <v>163</v>
      </c>
      <c r="B326" s="926" t="s">
        <v>1386</v>
      </c>
      <c r="C326" s="44" t="s">
        <v>170</v>
      </c>
      <c r="D326" s="113"/>
      <c r="E326" s="113"/>
      <c r="F326" s="114"/>
      <c r="G326" s="131" t="s">
        <v>171</v>
      </c>
      <c r="H326" s="101"/>
      <c r="I326" s="162"/>
      <c r="J326" s="112"/>
      <c r="K326" s="105">
        <v>160974</v>
      </c>
      <c r="L326" s="112"/>
      <c r="M326" s="6"/>
      <c r="N326" s="6"/>
    </row>
    <row r="327" spans="1:14" s="136" customFormat="1" ht="18" customHeight="1" x14ac:dyDescent="0.25">
      <c r="A327" s="48" t="s">
        <v>163</v>
      </c>
      <c r="B327" s="926" t="s">
        <v>1386</v>
      </c>
      <c r="C327" s="44" t="s">
        <v>178</v>
      </c>
      <c r="D327" s="170"/>
      <c r="E327" s="170"/>
      <c r="F327" s="170"/>
      <c r="G327" s="172"/>
      <c r="H327" s="102"/>
      <c r="I327" s="111"/>
      <c r="J327" s="111"/>
      <c r="K327" s="102">
        <v>18000</v>
      </c>
      <c r="L327" s="112"/>
      <c r="M327" s="6"/>
      <c r="N327" s="6"/>
    </row>
    <row r="328" spans="1:14" s="136" customFormat="1" ht="18" customHeight="1" x14ac:dyDescent="0.25">
      <c r="A328" s="48" t="s">
        <v>163</v>
      </c>
      <c r="B328" s="926" t="s">
        <v>1386</v>
      </c>
      <c r="C328" s="44" t="s">
        <v>182</v>
      </c>
      <c r="D328" s="170"/>
      <c r="E328" s="170"/>
      <c r="F328" s="170"/>
      <c r="G328" s="172" t="s">
        <v>183</v>
      </c>
      <c r="H328" s="102">
        <v>26388</v>
      </c>
      <c r="I328" s="111">
        <v>30000</v>
      </c>
      <c r="J328" s="111">
        <v>15393</v>
      </c>
      <c r="K328" s="102">
        <v>30000</v>
      </c>
      <c r="L328" s="112"/>
      <c r="M328" s="6"/>
      <c r="N328" s="6"/>
    </row>
    <row r="329" spans="1:14" s="136" customFormat="1" ht="18" customHeight="1" x14ac:dyDescent="0.25">
      <c r="A329" s="48" t="s">
        <v>163</v>
      </c>
      <c r="B329" s="926" t="s">
        <v>1386</v>
      </c>
      <c r="C329" s="44" t="s">
        <v>198</v>
      </c>
      <c r="D329" s="113"/>
      <c r="E329" s="113"/>
      <c r="F329" s="113"/>
      <c r="G329" s="131" t="s">
        <v>199</v>
      </c>
      <c r="H329" s="101">
        <v>276338.58</v>
      </c>
      <c r="I329" s="111">
        <v>1360194.72</v>
      </c>
      <c r="J329" s="112">
        <v>178921.72</v>
      </c>
      <c r="K329" s="101">
        <v>1360194.72</v>
      </c>
      <c r="L329" s="112"/>
      <c r="M329" s="6"/>
      <c r="N329" s="6"/>
    </row>
    <row r="330" spans="1:14" s="136" customFormat="1" ht="18" customHeight="1" x14ac:dyDescent="0.25">
      <c r="A330" s="48" t="s">
        <v>163</v>
      </c>
      <c r="B330" s="926" t="s">
        <v>1386</v>
      </c>
      <c r="C330" s="44" t="s">
        <v>164</v>
      </c>
      <c r="D330" s="113"/>
      <c r="E330" s="113"/>
      <c r="F330" s="113"/>
      <c r="G330" s="131" t="s">
        <v>292</v>
      </c>
      <c r="H330" s="101"/>
      <c r="I330" s="111">
        <v>350000</v>
      </c>
      <c r="J330" s="112"/>
      <c r="K330" s="101">
        <v>350000</v>
      </c>
      <c r="L330" s="112"/>
      <c r="M330" s="6"/>
      <c r="N330" s="6"/>
    </row>
    <row r="331" spans="1:14" s="136" customFormat="1" ht="18" customHeight="1" x14ac:dyDescent="0.25">
      <c r="A331" s="48" t="s">
        <v>163</v>
      </c>
      <c r="B331" s="926" t="s">
        <v>1386</v>
      </c>
      <c r="C331" s="38" t="s">
        <v>166</v>
      </c>
      <c r="D331" s="184"/>
      <c r="E331" s="184"/>
      <c r="F331" s="184"/>
      <c r="G331" s="131" t="s">
        <v>293</v>
      </c>
      <c r="H331" s="101">
        <v>0</v>
      </c>
      <c r="I331" s="111">
        <v>750000</v>
      </c>
      <c r="J331" s="112"/>
      <c r="K331" s="101">
        <v>750000</v>
      </c>
      <c r="L331" s="112"/>
      <c r="M331" s="6"/>
      <c r="N331" s="6"/>
    </row>
    <row r="332" spans="1:14" s="136" customFormat="1" ht="18" customHeight="1" x14ac:dyDescent="0.25">
      <c r="A332" s="48" t="s">
        <v>163</v>
      </c>
      <c r="B332" s="926" t="s">
        <v>1386</v>
      </c>
      <c r="C332" s="38" t="s">
        <v>294</v>
      </c>
      <c r="D332" s="184"/>
      <c r="E332" s="184"/>
      <c r="F332" s="184"/>
      <c r="G332" s="131" t="s">
        <v>169</v>
      </c>
      <c r="H332" s="101">
        <v>183121.55</v>
      </c>
      <c r="I332" s="111">
        <v>300000</v>
      </c>
      <c r="J332" s="112">
        <v>141068</v>
      </c>
      <c r="K332" s="101">
        <v>350000</v>
      </c>
      <c r="L332" s="112"/>
      <c r="M332" s="6"/>
      <c r="N332" s="6"/>
    </row>
    <row r="333" spans="1:14" s="136" customFormat="1" ht="18" customHeight="1" x14ac:dyDescent="0.25">
      <c r="A333" s="48" t="s">
        <v>163</v>
      </c>
      <c r="B333" s="926" t="s">
        <v>1386</v>
      </c>
      <c r="C333" s="38" t="s">
        <v>295</v>
      </c>
      <c r="D333" s="184"/>
      <c r="E333" s="184"/>
      <c r="F333" s="184"/>
      <c r="G333" s="131" t="s">
        <v>173</v>
      </c>
      <c r="H333" s="101">
        <v>94311.4</v>
      </c>
      <c r="I333" s="111">
        <v>250000</v>
      </c>
      <c r="J333" s="112">
        <v>69180.5</v>
      </c>
      <c r="K333" s="101">
        <v>250000</v>
      </c>
      <c r="L333" s="111"/>
      <c r="M333" s="6"/>
      <c r="N333" s="6"/>
    </row>
    <row r="334" spans="1:14" s="48" customFormat="1" ht="18" customHeight="1" x14ac:dyDescent="0.25">
      <c r="A334" s="48" t="s">
        <v>163</v>
      </c>
      <c r="B334" s="926" t="s">
        <v>1386</v>
      </c>
      <c r="C334" s="941" t="s">
        <v>213</v>
      </c>
      <c r="D334" s="688"/>
      <c r="E334" s="688"/>
      <c r="F334" s="688"/>
      <c r="G334" s="131" t="s">
        <v>171</v>
      </c>
      <c r="H334" s="101">
        <v>203550</v>
      </c>
      <c r="I334" s="102">
        <v>300000</v>
      </c>
      <c r="J334" s="101"/>
      <c r="K334" s="101">
        <v>80000</v>
      </c>
      <c r="L334" s="101"/>
      <c r="M334" s="6"/>
      <c r="N334" s="6"/>
    </row>
    <row r="335" spans="1:14" s="48" customFormat="1" ht="18" customHeight="1" x14ac:dyDescent="0.25">
      <c r="A335" s="48" t="s">
        <v>163</v>
      </c>
      <c r="B335" s="926" t="s">
        <v>1386</v>
      </c>
      <c r="C335" s="38" t="s">
        <v>296</v>
      </c>
      <c r="D335" s="185"/>
      <c r="E335" s="688"/>
      <c r="F335" s="688"/>
      <c r="G335" s="131" t="s">
        <v>177</v>
      </c>
      <c r="H335" s="101">
        <v>0</v>
      </c>
      <c r="I335" s="102">
        <v>15000</v>
      </c>
      <c r="J335" s="101"/>
      <c r="K335" s="101">
        <v>15000</v>
      </c>
      <c r="L335" s="101"/>
      <c r="M335" s="6"/>
      <c r="N335" s="6"/>
    </row>
    <row r="336" spans="1:14" s="48" customFormat="1" ht="18" customHeight="1" x14ac:dyDescent="0.25">
      <c r="A336" s="48" t="s">
        <v>163</v>
      </c>
      <c r="B336" s="926" t="s">
        <v>1386</v>
      </c>
      <c r="C336" s="941" t="s">
        <v>178</v>
      </c>
      <c r="D336" s="688"/>
      <c r="E336" s="688"/>
      <c r="F336" s="688"/>
      <c r="G336" s="131" t="s">
        <v>179</v>
      </c>
      <c r="H336" s="101"/>
      <c r="I336" s="102"/>
      <c r="J336" s="101"/>
      <c r="K336" s="101">
        <v>88800</v>
      </c>
      <c r="L336" s="101"/>
      <c r="M336" s="6"/>
      <c r="N336" s="6"/>
    </row>
    <row r="337" spans="1:14" s="48" customFormat="1" ht="18" customHeight="1" x14ac:dyDescent="0.25">
      <c r="A337" s="48" t="s">
        <v>163</v>
      </c>
      <c r="B337" s="926" t="s">
        <v>1386</v>
      </c>
      <c r="C337" s="44" t="s">
        <v>182</v>
      </c>
      <c r="D337" s="113"/>
      <c r="E337" s="113"/>
      <c r="F337" s="114"/>
      <c r="G337" s="131" t="s">
        <v>183</v>
      </c>
      <c r="H337" s="101">
        <v>38401.5</v>
      </c>
      <c r="I337" s="102">
        <v>72000</v>
      </c>
      <c r="J337" s="101">
        <v>33172.68</v>
      </c>
      <c r="K337" s="101">
        <v>72000</v>
      </c>
      <c r="L337" s="101"/>
      <c r="M337" s="6"/>
      <c r="N337" s="6"/>
    </row>
    <row r="338" spans="1:14" s="48" customFormat="1" ht="18" customHeight="1" x14ac:dyDescent="0.25">
      <c r="A338" s="48" t="s">
        <v>163</v>
      </c>
      <c r="B338" s="926" t="s">
        <v>1386</v>
      </c>
      <c r="C338" s="941" t="s">
        <v>297</v>
      </c>
      <c r="D338" s="688"/>
      <c r="E338" s="688"/>
      <c r="F338" s="688"/>
      <c r="G338" s="131" t="s">
        <v>187</v>
      </c>
      <c r="H338" s="101"/>
      <c r="I338" s="102">
        <v>100000</v>
      </c>
      <c r="J338" s="101"/>
      <c r="K338" s="101">
        <v>100000</v>
      </c>
      <c r="L338" s="101"/>
      <c r="M338" s="6"/>
      <c r="N338" s="6"/>
    </row>
    <row r="339" spans="1:14" s="48" customFormat="1" ht="18" customHeight="1" x14ac:dyDescent="0.25">
      <c r="A339" s="48" t="s">
        <v>163</v>
      </c>
      <c r="B339" s="926" t="s">
        <v>1386</v>
      </c>
      <c r="C339" s="941" t="s">
        <v>298</v>
      </c>
      <c r="D339" s="688"/>
      <c r="E339" s="688"/>
      <c r="F339" s="688"/>
      <c r="G339" s="131" t="s">
        <v>189</v>
      </c>
      <c r="H339" s="101">
        <v>180668.74</v>
      </c>
      <c r="I339" s="102">
        <v>350000</v>
      </c>
      <c r="J339" s="101">
        <v>5775</v>
      </c>
      <c r="K339" s="101">
        <v>350000</v>
      </c>
      <c r="L339" s="101"/>
      <c r="M339" s="6"/>
      <c r="N339" s="6"/>
    </row>
    <row r="340" spans="1:14" s="48" customFormat="1" ht="18" customHeight="1" x14ac:dyDescent="0.25">
      <c r="A340" s="48" t="s">
        <v>163</v>
      </c>
      <c r="B340" s="926" t="s">
        <v>1386</v>
      </c>
      <c r="C340" s="941" t="s">
        <v>190</v>
      </c>
      <c r="D340" s="688"/>
      <c r="E340" s="688"/>
      <c r="F340" s="688"/>
      <c r="G340" s="131" t="s">
        <v>191</v>
      </c>
      <c r="H340" s="101">
        <v>5000</v>
      </c>
      <c r="I340" s="102">
        <v>150000</v>
      </c>
      <c r="J340" s="101"/>
      <c r="K340" s="101">
        <v>150000</v>
      </c>
      <c r="L340" s="101"/>
      <c r="M340" s="6"/>
      <c r="N340" s="6"/>
    </row>
    <row r="341" spans="1:14" s="48" customFormat="1" ht="18" customHeight="1" x14ac:dyDescent="0.25">
      <c r="A341" s="48" t="s">
        <v>163</v>
      </c>
      <c r="B341" s="926" t="s">
        <v>1386</v>
      </c>
      <c r="C341" s="941" t="s">
        <v>192</v>
      </c>
      <c r="D341" s="688"/>
      <c r="E341" s="688"/>
      <c r="F341" s="688"/>
      <c r="G341" s="131" t="s">
        <v>193</v>
      </c>
      <c r="H341" s="101">
        <v>30600</v>
      </c>
      <c r="I341" s="102">
        <v>300000</v>
      </c>
      <c r="J341" s="101"/>
      <c r="K341" s="101">
        <v>300000</v>
      </c>
      <c r="L341" s="101"/>
      <c r="M341" s="6"/>
      <c r="N341" s="6"/>
    </row>
    <row r="342" spans="1:14" s="48" customFormat="1" ht="18" customHeight="1" x14ac:dyDescent="0.25">
      <c r="A342" s="48" t="s">
        <v>163</v>
      </c>
      <c r="B342" s="926" t="s">
        <v>1386</v>
      </c>
      <c r="C342" s="941" t="s">
        <v>299</v>
      </c>
      <c r="D342" s="688"/>
      <c r="E342" s="688"/>
      <c r="F342" s="688"/>
      <c r="G342" s="131" t="s">
        <v>237</v>
      </c>
      <c r="H342" s="101">
        <v>0</v>
      </c>
      <c r="I342" s="102">
        <v>20000</v>
      </c>
      <c r="J342" s="101"/>
      <c r="K342" s="101">
        <v>20000</v>
      </c>
      <c r="L342" s="101"/>
      <c r="M342" s="6"/>
      <c r="N342" s="6"/>
    </row>
    <row r="343" spans="1:14" s="48" customFormat="1" ht="18" customHeight="1" x14ac:dyDescent="0.25">
      <c r="A343" s="48" t="s">
        <v>163</v>
      </c>
      <c r="B343" s="926" t="s">
        <v>1386</v>
      </c>
      <c r="C343" s="38" t="s">
        <v>300</v>
      </c>
      <c r="D343" s="184"/>
      <c r="E343" s="184"/>
      <c r="F343" s="185"/>
      <c r="G343" s="131" t="s">
        <v>199</v>
      </c>
      <c r="H343" s="101"/>
      <c r="I343" s="102">
        <v>1000000</v>
      </c>
      <c r="J343" s="101"/>
      <c r="K343" s="101">
        <v>1000000</v>
      </c>
      <c r="L343" s="101"/>
      <c r="M343" s="6"/>
      <c r="N343" s="6"/>
    </row>
    <row r="344" spans="1:14" s="48" customFormat="1" ht="18" customHeight="1" x14ac:dyDescent="0.25">
      <c r="A344" s="48" t="s">
        <v>163</v>
      </c>
      <c r="B344" s="926" t="s">
        <v>1386</v>
      </c>
      <c r="C344" s="941" t="s">
        <v>301</v>
      </c>
      <c r="D344" s="688"/>
      <c r="E344" s="688"/>
      <c r="F344" s="688"/>
      <c r="G344" s="131"/>
      <c r="H344" s="101">
        <v>0</v>
      </c>
      <c r="I344" s="102">
        <v>750000</v>
      </c>
      <c r="J344" s="101"/>
      <c r="K344" s="101">
        <v>750000</v>
      </c>
      <c r="L344" s="101"/>
      <c r="M344" s="6"/>
      <c r="N344" s="6"/>
    </row>
    <row r="345" spans="1:14" s="48" customFormat="1" ht="18" customHeight="1" x14ac:dyDescent="0.25">
      <c r="A345" s="169" t="s">
        <v>163</v>
      </c>
      <c r="B345" s="926" t="s">
        <v>1386</v>
      </c>
      <c r="C345" s="245" t="s">
        <v>164</v>
      </c>
      <c r="D345" s="116"/>
      <c r="E345" s="116"/>
      <c r="F345" s="116"/>
      <c r="G345" s="131" t="s">
        <v>165</v>
      </c>
      <c r="H345" s="101">
        <v>112087</v>
      </c>
      <c r="I345" s="102">
        <v>1200000</v>
      </c>
      <c r="J345" s="101"/>
      <c r="K345" s="101">
        <v>1200000</v>
      </c>
      <c r="L345" s="101"/>
      <c r="M345" s="6"/>
      <c r="N345" s="6"/>
    </row>
    <row r="346" spans="1:14" s="48" customFormat="1" ht="18" customHeight="1" x14ac:dyDescent="0.25">
      <c r="A346" s="169" t="s">
        <v>163</v>
      </c>
      <c r="B346" s="926" t="s">
        <v>1386</v>
      </c>
      <c r="C346" s="941" t="s">
        <v>166</v>
      </c>
      <c r="D346" s="688"/>
      <c r="E346" s="688"/>
      <c r="F346" s="688"/>
      <c r="G346" s="131" t="s">
        <v>293</v>
      </c>
      <c r="H346" s="101">
        <v>309500</v>
      </c>
      <c r="I346" s="102">
        <v>1000000</v>
      </c>
      <c r="J346" s="101"/>
      <c r="K346" s="101">
        <v>1000000</v>
      </c>
      <c r="L346" s="101"/>
      <c r="M346" s="6"/>
      <c r="N346" s="6"/>
    </row>
    <row r="347" spans="1:14" s="48" customFormat="1" ht="18" customHeight="1" x14ac:dyDescent="0.25">
      <c r="A347" s="169" t="s">
        <v>163</v>
      </c>
      <c r="B347" s="926" t="s">
        <v>1386</v>
      </c>
      <c r="C347" s="941" t="s">
        <v>294</v>
      </c>
      <c r="D347" s="688"/>
      <c r="E347" s="688"/>
      <c r="F347" s="688"/>
      <c r="G347" s="133" t="s">
        <v>169</v>
      </c>
      <c r="H347" s="105">
        <v>1714287.2</v>
      </c>
      <c r="I347" s="106">
        <v>2400000</v>
      </c>
      <c r="J347" s="105">
        <v>1496205</v>
      </c>
      <c r="K347" s="105">
        <v>2640000</v>
      </c>
      <c r="L347" s="105"/>
      <c r="M347" s="6"/>
      <c r="N347" s="6"/>
    </row>
    <row r="348" spans="1:14" s="48" customFormat="1" ht="18" customHeight="1" x14ac:dyDescent="0.25">
      <c r="A348" s="169" t="s">
        <v>163</v>
      </c>
      <c r="B348" s="926" t="s">
        <v>1386</v>
      </c>
      <c r="C348" s="38" t="s">
        <v>295</v>
      </c>
      <c r="D348" s="184"/>
      <c r="E348" s="184"/>
      <c r="F348" s="185"/>
      <c r="G348" s="131" t="s">
        <v>173</v>
      </c>
      <c r="H348" s="101">
        <v>41609.61</v>
      </c>
      <c r="I348" s="102">
        <v>200000</v>
      </c>
      <c r="J348" s="101">
        <v>22232.85</v>
      </c>
      <c r="K348" s="101">
        <v>200000</v>
      </c>
      <c r="L348" s="101"/>
      <c r="M348" s="6"/>
      <c r="N348" s="6"/>
    </row>
    <row r="349" spans="1:14" s="48" customFormat="1" ht="18" customHeight="1" x14ac:dyDescent="0.25">
      <c r="A349" s="169" t="s">
        <v>163</v>
      </c>
      <c r="B349" s="926" t="s">
        <v>1386</v>
      </c>
      <c r="C349" s="38" t="s">
        <v>213</v>
      </c>
      <c r="D349" s="184"/>
      <c r="E349" s="184"/>
      <c r="F349" s="185"/>
      <c r="G349" s="131" t="s">
        <v>171</v>
      </c>
      <c r="H349" s="101">
        <v>192050</v>
      </c>
      <c r="I349" s="102">
        <v>250000</v>
      </c>
      <c r="J349" s="101"/>
      <c r="K349" s="101">
        <v>180000</v>
      </c>
      <c r="L349" s="102"/>
      <c r="M349" s="6"/>
      <c r="N349" s="6"/>
    </row>
    <row r="350" spans="1:14" s="48" customFormat="1" ht="18" customHeight="1" x14ac:dyDescent="0.25">
      <c r="A350" s="169" t="s">
        <v>163</v>
      </c>
      <c r="B350" s="926" t="s">
        <v>1386</v>
      </c>
      <c r="C350" s="38" t="s">
        <v>296</v>
      </c>
      <c r="D350" s="184"/>
      <c r="E350" s="184"/>
      <c r="F350" s="185"/>
      <c r="G350" s="131" t="s">
        <v>177</v>
      </c>
      <c r="H350" s="101">
        <v>0</v>
      </c>
      <c r="I350" s="102">
        <v>15000</v>
      </c>
      <c r="J350" s="101"/>
      <c r="K350" s="101">
        <v>15000</v>
      </c>
      <c r="L350" s="101"/>
      <c r="M350" s="6"/>
      <c r="N350" s="6"/>
    </row>
    <row r="351" spans="1:14" s="48" customFormat="1" ht="18" customHeight="1" x14ac:dyDescent="0.25">
      <c r="A351" s="169" t="s">
        <v>163</v>
      </c>
      <c r="B351" s="926" t="s">
        <v>1386</v>
      </c>
      <c r="C351" s="38" t="s">
        <v>178</v>
      </c>
      <c r="D351" s="184"/>
      <c r="E351" s="184"/>
      <c r="F351" s="185"/>
      <c r="G351" s="131" t="s">
        <v>179</v>
      </c>
      <c r="H351" s="101"/>
      <c r="I351" s="102"/>
      <c r="J351" s="101"/>
      <c r="K351" s="101">
        <v>748800</v>
      </c>
      <c r="L351" s="101"/>
      <c r="M351" s="6"/>
      <c r="N351" s="6"/>
    </row>
    <row r="352" spans="1:14" s="179" customFormat="1" ht="21.75" customHeight="1" x14ac:dyDescent="0.25">
      <c r="A352" s="169" t="s">
        <v>163</v>
      </c>
      <c r="B352" s="926" t="s">
        <v>1386</v>
      </c>
      <c r="C352" s="44" t="s">
        <v>182</v>
      </c>
      <c r="D352" s="113"/>
      <c r="E352" s="113"/>
      <c r="F352" s="114"/>
      <c r="G352" s="131" t="s">
        <v>183</v>
      </c>
      <c r="H352" s="101">
        <v>7944.43</v>
      </c>
      <c r="I352" s="162">
        <v>72000</v>
      </c>
      <c r="J352" s="112"/>
      <c r="K352" s="101">
        <v>72000</v>
      </c>
      <c r="L352" s="112"/>
      <c r="M352" s="177"/>
      <c r="N352" s="177"/>
    </row>
    <row r="353" spans="1:16" s="179" customFormat="1" ht="18" customHeight="1" x14ac:dyDescent="0.25">
      <c r="A353" s="169" t="s">
        <v>163</v>
      </c>
      <c r="B353" s="926" t="s">
        <v>1386</v>
      </c>
      <c r="C353" s="38" t="s">
        <v>307</v>
      </c>
      <c r="D353" s="184"/>
      <c r="E353" s="184"/>
      <c r="F353" s="185"/>
      <c r="G353" s="133" t="s">
        <v>308</v>
      </c>
      <c r="H353" s="105"/>
      <c r="I353" s="106">
        <v>350000</v>
      </c>
      <c r="J353" s="105"/>
      <c r="K353" s="105">
        <v>350000</v>
      </c>
      <c r="L353" s="105"/>
      <c r="M353" s="177"/>
      <c r="N353" s="177">
        <f>1435820.88+276480</f>
        <v>1712300.88</v>
      </c>
      <c r="O353" s="178"/>
      <c r="P353" s="178"/>
    </row>
    <row r="354" spans="1:16" s="136" customFormat="1" ht="18" customHeight="1" x14ac:dyDescent="0.25">
      <c r="A354" s="169" t="s">
        <v>163</v>
      </c>
      <c r="B354" s="926" t="s">
        <v>1386</v>
      </c>
      <c r="C354" s="38" t="s">
        <v>297</v>
      </c>
      <c r="D354" s="184"/>
      <c r="E354" s="184"/>
      <c r="F354" s="184"/>
      <c r="G354" s="131" t="s">
        <v>187</v>
      </c>
      <c r="H354" s="101">
        <v>0</v>
      </c>
      <c r="I354" s="102">
        <v>200000</v>
      </c>
      <c r="J354" s="101">
        <v>770</v>
      </c>
      <c r="K354" s="101">
        <v>200000</v>
      </c>
      <c r="L354" s="101"/>
      <c r="M354" s="6"/>
      <c r="N354" s="6"/>
      <c r="O354" s="115"/>
      <c r="P354" s="115"/>
    </row>
    <row r="355" spans="1:16" s="136" customFormat="1" ht="18" customHeight="1" x14ac:dyDescent="0.25">
      <c r="A355" s="169" t="s">
        <v>163</v>
      </c>
      <c r="B355" s="926" t="s">
        <v>1386</v>
      </c>
      <c r="C355" s="38" t="s">
        <v>298</v>
      </c>
      <c r="D355" s="184"/>
      <c r="E355" s="184"/>
      <c r="F355" s="185"/>
      <c r="G355" s="131" t="s">
        <v>189</v>
      </c>
      <c r="H355" s="101"/>
      <c r="I355" s="102">
        <v>200000</v>
      </c>
      <c r="J355" s="101"/>
      <c r="K355" s="101">
        <v>200000</v>
      </c>
      <c r="L355" s="101"/>
      <c r="M355" s="6"/>
      <c r="N355" s="6"/>
      <c r="O355" s="115"/>
      <c r="P355" s="115"/>
    </row>
    <row r="356" spans="1:16" s="48" customFormat="1" ht="17.100000000000001" customHeight="1" x14ac:dyDescent="0.25">
      <c r="A356" s="169" t="s">
        <v>163</v>
      </c>
      <c r="B356" s="926" t="s">
        <v>1386</v>
      </c>
      <c r="C356" s="941" t="s">
        <v>190</v>
      </c>
      <c r="D356" s="688"/>
      <c r="E356" s="688"/>
      <c r="F356" s="688"/>
      <c r="G356" s="131" t="s">
        <v>191</v>
      </c>
      <c r="H356" s="101"/>
      <c r="I356" s="162"/>
      <c r="J356" s="112"/>
      <c r="K356" s="101">
        <v>125000</v>
      </c>
      <c r="L356" s="112"/>
      <c r="M356" s="6"/>
      <c r="N356" s="6"/>
    </row>
    <row r="357" spans="1:16" s="48" customFormat="1" ht="17.100000000000001" customHeight="1" x14ac:dyDescent="0.25">
      <c r="A357" s="169" t="s">
        <v>163</v>
      </c>
      <c r="B357" s="926" t="s">
        <v>1386</v>
      </c>
      <c r="C357" s="941" t="s">
        <v>192</v>
      </c>
      <c r="D357" s="688"/>
      <c r="E357" s="688"/>
      <c r="F357" s="688"/>
      <c r="G357" s="131" t="s">
        <v>193</v>
      </c>
      <c r="H357" s="101">
        <v>0</v>
      </c>
      <c r="I357" s="162">
        <v>500000</v>
      </c>
      <c r="J357" s="112">
        <v>6000</v>
      </c>
      <c r="K357" s="101">
        <v>500000</v>
      </c>
      <c r="L357" s="112"/>
      <c r="M357" s="6"/>
      <c r="N357" s="6"/>
    </row>
    <row r="358" spans="1:16" s="48" customFormat="1" ht="17.100000000000001" customHeight="1" x14ac:dyDescent="0.25">
      <c r="A358" s="169" t="s">
        <v>163</v>
      </c>
      <c r="B358" s="926" t="s">
        <v>1386</v>
      </c>
      <c r="C358" s="941" t="s">
        <v>299</v>
      </c>
      <c r="D358" s="688"/>
      <c r="E358" s="688"/>
      <c r="F358" s="688"/>
      <c r="G358" s="131" t="s">
        <v>237</v>
      </c>
      <c r="H358" s="101">
        <v>15000</v>
      </c>
      <c r="I358" s="162">
        <v>125000</v>
      </c>
      <c r="J358" s="112"/>
      <c r="K358" s="101">
        <v>500000</v>
      </c>
      <c r="L358" s="112"/>
      <c r="M358" s="6"/>
      <c r="N358" s="6"/>
    </row>
    <row r="359" spans="1:16" s="48" customFormat="1" ht="17.100000000000001" customHeight="1" x14ac:dyDescent="0.25">
      <c r="A359" s="169" t="s">
        <v>163</v>
      </c>
      <c r="B359" s="926" t="s">
        <v>1386</v>
      </c>
      <c r="C359" s="941" t="s">
        <v>301</v>
      </c>
      <c r="D359" s="688"/>
      <c r="E359" s="688"/>
      <c r="F359" s="688"/>
      <c r="G359" s="131"/>
      <c r="H359" s="101">
        <v>0</v>
      </c>
      <c r="I359" s="162">
        <v>1000000</v>
      </c>
      <c r="J359" s="112"/>
      <c r="K359" s="101">
        <v>1000000</v>
      </c>
      <c r="L359" s="112"/>
      <c r="M359" s="6"/>
      <c r="N359" s="6"/>
    </row>
    <row r="360" spans="1:16" s="48" customFormat="1" ht="17.100000000000001" customHeight="1" x14ac:dyDescent="0.25">
      <c r="A360" s="169" t="s">
        <v>163</v>
      </c>
      <c r="B360" s="926" t="s">
        <v>1386</v>
      </c>
      <c r="C360" s="245" t="s">
        <v>164</v>
      </c>
      <c r="D360" s="116"/>
      <c r="E360" s="116"/>
      <c r="F360" s="116"/>
      <c r="G360" s="131" t="s">
        <v>165</v>
      </c>
      <c r="H360" s="101"/>
      <c r="I360" s="162">
        <v>300000</v>
      </c>
      <c r="J360" s="112"/>
      <c r="K360" s="101">
        <v>300000</v>
      </c>
      <c r="L360" s="112"/>
      <c r="M360" s="6"/>
      <c r="N360" s="6"/>
    </row>
    <row r="361" spans="1:16" s="48" customFormat="1" ht="17.100000000000001" customHeight="1" x14ac:dyDescent="0.25">
      <c r="A361" s="169" t="s">
        <v>163</v>
      </c>
      <c r="B361" s="926" t="s">
        <v>1386</v>
      </c>
      <c r="C361" s="941" t="s">
        <v>312</v>
      </c>
      <c r="D361" s="688"/>
      <c r="E361" s="688"/>
      <c r="F361" s="688"/>
      <c r="G361" s="131" t="s">
        <v>293</v>
      </c>
      <c r="H361" s="101"/>
      <c r="I361" s="162">
        <v>200000</v>
      </c>
      <c r="J361" s="112"/>
      <c r="K361" s="101">
        <v>200000</v>
      </c>
      <c r="L361" s="112"/>
      <c r="M361" s="6"/>
      <c r="N361" s="6"/>
    </row>
    <row r="362" spans="1:16" s="48" customFormat="1" ht="17.100000000000001" customHeight="1" x14ac:dyDescent="0.25">
      <c r="A362" s="169" t="s">
        <v>163</v>
      </c>
      <c r="B362" s="926" t="s">
        <v>1386</v>
      </c>
      <c r="C362" s="941" t="s">
        <v>294</v>
      </c>
      <c r="D362" s="688"/>
      <c r="E362" s="688"/>
      <c r="F362" s="688"/>
      <c r="G362" s="131" t="s">
        <v>169</v>
      </c>
      <c r="H362" s="101">
        <v>1343354.5</v>
      </c>
      <c r="I362" s="162">
        <v>1800000</v>
      </c>
      <c r="J362" s="112">
        <v>353966</v>
      </c>
      <c r="K362" s="101">
        <v>2000000</v>
      </c>
      <c r="L362" s="112"/>
      <c r="M362" s="6"/>
      <c r="N362" s="6"/>
    </row>
    <row r="363" spans="1:16" s="48" customFormat="1" ht="17.100000000000001" customHeight="1" x14ac:dyDescent="0.25">
      <c r="A363" s="169" t="s">
        <v>163</v>
      </c>
      <c r="B363" s="926" t="s">
        <v>1386</v>
      </c>
      <c r="C363" s="941" t="s">
        <v>295</v>
      </c>
      <c r="D363" s="688"/>
      <c r="E363" s="688"/>
      <c r="F363" s="688"/>
      <c r="G363" s="131" t="s">
        <v>173</v>
      </c>
      <c r="H363" s="101">
        <v>32944.839999999997</v>
      </c>
      <c r="I363" s="162">
        <v>100000</v>
      </c>
      <c r="J363" s="112"/>
      <c r="K363" s="101">
        <v>100000</v>
      </c>
      <c r="L363" s="112"/>
      <c r="M363" s="6"/>
      <c r="N363" s="6"/>
    </row>
    <row r="364" spans="1:16" s="48" customFormat="1" ht="17.100000000000001" customHeight="1" x14ac:dyDescent="0.25">
      <c r="A364" s="169" t="s">
        <v>163</v>
      </c>
      <c r="B364" s="926" t="s">
        <v>1386</v>
      </c>
      <c r="C364" s="38" t="s">
        <v>213</v>
      </c>
      <c r="D364" s="184"/>
      <c r="E364" s="184"/>
      <c r="F364" s="185"/>
      <c r="G364" s="131" t="s">
        <v>171</v>
      </c>
      <c r="H364" s="101"/>
      <c r="I364" s="162"/>
      <c r="J364" s="112"/>
      <c r="K364" s="101">
        <v>120000</v>
      </c>
      <c r="L364" s="112"/>
      <c r="M364" s="6"/>
      <c r="N364" s="6"/>
    </row>
    <row r="365" spans="1:16" s="48" customFormat="1" ht="17.100000000000001" customHeight="1" x14ac:dyDescent="0.25">
      <c r="A365" s="169" t="s">
        <v>163</v>
      </c>
      <c r="B365" s="926" t="s">
        <v>1386</v>
      </c>
      <c r="C365" s="941" t="s">
        <v>296</v>
      </c>
      <c r="D365" s="688"/>
      <c r="E365" s="688"/>
      <c r="F365" s="688"/>
      <c r="G365" s="131" t="s">
        <v>177</v>
      </c>
      <c r="H365" s="101"/>
      <c r="I365" s="162">
        <v>15000</v>
      </c>
      <c r="J365" s="112"/>
      <c r="K365" s="101">
        <v>15000</v>
      </c>
      <c r="L365" s="112"/>
      <c r="M365" s="6"/>
      <c r="N365" s="6"/>
    </row>
    <row r="366" spans="1:16" s="48" customFormat="1" ht="17.100000000000001" customHeight="1" x14ac:dyDescent="0.15">
      <c r="A366" s="169" t="s">
        <v>163</v>
      </c>
      <c r="B366" s="926" t="s">
        <v>1386</v>
      </c>
      <c r="C366" s="685" t="s">
        <v>178</v>
      </c>
      <c r="D366" s="688"/>
      <c r="E366" s="688"/>
      <c r="F366" s="688"/>
      <c r="G366" s="131" t="s">
        <v>179</v>
      </c>
      <c r="H366" s="101"/>
      <c r="I366" s="162"/>
      <c r="J366" s="112"/>
      <c r="K366" s="101">
        <v>88800</v>
      </c>
      <c r="L366" s="112"/>
      <c r="M366" s="6"/>
      <c r="N366" s="6"/>
    </row>
    <row r="367" spans="1:16" s="48" customFormat="1" ht="17.100000000000001" customHeight="1" x14ac:dyDescent="0.25">
      <c r="A367" s="169" t="s">
        <v>163</v>
      </c>
      <c r="B367" s="926" t="s">
        <v>1386</v>
      </c>
      <c r="C367" s="941" t="s">
        <v>314</v>
      </c>
      <c r="D367" s="688"/>
      <c r="E367" s="688"/>
      <c r="F367" s="688"/>
      <c r="G367" s="131" t="s">
        <v>183</v>
      </c>
      <c r="H367" s="101">
        <v>29058.16</v>
      </c>
      <c r="I367" s="162">
        <v>72000</v>
      </c>
      <c r="J367" s="112">
        <v>16793</v>
      </c>
      <c r="K367" s="101">
        <v>72000</v>
      </c>
      <c r="L367" s="112"/>
      <c r="M367" s="6"/>
      <c r="N367" s="6"/>
    </row>
    <row r="368" spans="1:16" s="48" customFormat="1" ht="17.100000000000001" customHeight="1" x14ac:dyDescent="0.25">
      <c r="A368" s="169" t="s">
        <v>163</v>
      </c>
      <c r="B368" s="926" t="s">
        <v>1386</v>
      </c>
      <c r="C368" s="941" t="s">
        <v>297</v>
      </c>
      <c r="D368" s="688"/>
      <c r="E368" s="688"/>
      <c r="F368" s="688"/>
      <c r="G368" s="133" t="s">
        <v>187</v>
      </c>
      <c r="H368" s="105"/>
      <c r="I368" s="163">
        <v>250000</v>
      </c>
      <c r="J368" s="118"/>
      <c r="K368" s="105">
        <v>250000</v>
      </c>
      <c r="L368" s="118"/>
      <c r="M368" s="6"/>
      <c r="N368" s="6"/>
    </row>
    <row r="369" spans="1:14" s="48" customFormat="1" ht="17.100000000000001" customHeight="1" x14ac:dyDescent="0.25">
      <c r="A369" s="169" t="s">
        <v>163</v>
      </c>
      <c r="B369" s="926" t="s">
        <v>1386</v>
      </c>
      <c r="C369" s="38" t="s">
        <v>298</v>
      </c>
      <c r="D369" s="184"/>
      <c r="E369" s="184"/>
      <c r="F369" s="185"/>
      <c r="G369" s="131" t="s">
        <v>189</v>
      </c>
      <c r="H369" s="101">
        <v>0</v>
      </c>
      <c r="I369" s="162">
        <v>100000</v>
      </c>
      <c r="J369" s="112"/>
      <c r="K369" s="699">
        <v>100000</v>
      </c>
      <c r="L369" s="112"/>
      <c r="M369" s="6"/>
      <c r="N369" s="6"/>
    </row>
    <row r="370" spans="1:14" s="48" customFormat="1" ht="17.100000000000001" customHeight="1" x14ac:dyDescent="0.25">
      <c r="A370" s="169" t="s">
        <v>163</v>
      </c>
      <c r="B370" s="926" t="s">
        <v>1386</v>
      </c>
      <c r="C370" s="38" t="s">
        <v>300</v>
      </c>
      <c r="D370" s="184"/>
      <c r="E370" s="184"/>
      <c r="F370" s="185"/>
      <c r="G370" s="131" t="s">
        <v>199</v>
      </c>
      <c r="H370" s="101"/>
      <c r="I370" s="162">
        <v>200000</v>
      </c>
      <c r="J370" s="112"/>
      <c r="K370" s="699">
        <v>200000</v>
      </c>
      <c r="L370" s="112"/>
      <c r="M370" s="6"/>
      <c r="N370" s="6"/>
    </row>
    <row r="371" spans="1:14" s="48" customFormat="1" ht="17.100000000000001" customHeight="1" x14ac:dyDescent="0.25">
      <c r="A371" s="169" t="s">
        <v>163</v>
      </c>
      <c r="B371" s="926" t="s">
        <v>1386</v>
      </c>
      <c r="C371" s="38" t="s">
        <v>315</v>
      </c>
      <c r="D371" s="184"/>
      <c r="E371" s="184"/>
      <c r="F371" s="185"/>
      <c r="G371" s="131"/>
      <c r="H371" s="101"/>
      <c r="I371" s="162">
        <v>150000</v>
      </c>
      <c r="J371" s="112"/>
      <c r="K371" s="699">
        <v>150000</v>
      </c>
      <c r="L371" s="112"/>
      <c r="M371" s="6"/>
      <c r="N371" s="6"/>
    </row>
    <row r="372" spans="1:14" s="48" customFormat="1" ht="17.100000000000001" customHeight="1" x14ac:dyDescent="0.25">
      <c r="A372" s="169" t="s">
        <v>163</v>
      </c>
      <c r="B372" s="926" t="s">
        <v>1387</v>
      </c>
      <c r="C372" s="44" t="s">
        <v>164</v>
      </c>
      <c r="D372" s="113"/>
      <c r="E372" s="113"/>
      <c r="F372" s="114"/>
      <c r="G372" s="131" t="s">
        <v>165</v>
      </c>
      <c r="H372" s="101"/>
      <c r="I372" s="162">
        <v>20000</v>
      </c>
      <c r="J372" s="112"/>
      <c r="K372" s="699">
        <v>20000</v>
      </c>
      <c r="L372" s="112"/>
      <c r="M372" s="6"/>
      <c r="N372" s="6"/>
    </row>
    <row r="373" spans="1:14" s="48" customFormat="1" ht="17.100000000000001" customHeight="1" x14ac:dyDescent="0.25">
      <c r="A373" s="169" t="s">
        <v>163</v>
      </c>
      <c r="B373" s="926" t="s">
        <v>1387</v>
      </c>
      <c r="C373" s="38" t="s">
        <v>294</v>
      </c>
      <c r="D373" s="184"/>
      <c r="E373" s="184"/>
      <c r="F373" s="185"/>
      <c r="G373" s="131" t="s">
        <v>169</v>
      </c>
      <c r="H373" s="101">
        <v>28209</v>
      </c>
      <c r="I373" s="162">
        <v>50000</v>
      </c>
      <c r="J373" s="112">
        <v>30196</v>
      </c>
      <c r="K373" s="699">
        <v>50000</v>
      </c>
      <c r="L373" s="112"/>
      <c r="M373" s="6"/>
      <c r="N373" s="6"/>
    </row>
    <row r="374" spans="1:14" s="48" customFormat="1" ht="17.100000000000001" customHeight="1" x14ac:dyDescent="0.25">
      <c r="A374" s="169" t="s">
        <v>163</v>
      </c>
      <c r="B374" s="926" t="s">
        <v>1387</v>
      </c>
      <c r="C374" s="38" t="s">
        <v>319</v>
      </c>
      <c r="D374" s="184"/>
      <c r="E374" s="184"/>
      <c r="F374" s="185"/>
      <c r="G374" s="131" t="s">
        <v>171</v>
      </c>
      <c r="H374" s="101"/>
      <c r="I374" s="162"/>
      <c r="J374" s="112"/>
      <c r="K374" s="699">
        <v>30000</v>
      </c>
      <c r="L374" s="112"/>
      <c r="M374" s="6"/>
      <c r="N374" s="6"/>
    </row>
    <row r="375" spans="1:14" s="48" customFormat="1" ht="17.100000000000001" customHeight="1" x14ac:dyDescent="0.25">
      <c r="A375" s="169" t="s">
        <v>163</v>
      </c>
      <c r="B375" s="926" t="s">
        <v>1387</v>
      </c>
      <c r="C375" s="38" t="s">
        <v>178</v>
      </c>
      <c r="D375" s="184"/>
      <c r="E375" s="184"/>
      <c r="F375" s="185"/>
      <c r="G375" s="131" t="s">
        <v>179</v>
      </c>
      <c r="H375" s="101"/>
      <c r="I375" s="162"/>
      <c r="J375" s="112"/>
      <c r="K375" s="699">
        <v>28800</v>
      </c>
      <c r="L375" s="112"/>
      <c r="M375" s="6"/>
      <c r="N375" s="6">
        <v>720</v>
      </c>
    </row>
    <row r="376" spans="1:14" s="48" customFormat="1" ht="17.100000000000001" customHeight="1" x14ac:dyDescent="0.25">
      <c r="A376" s="169" t="s">
        <v>163</v>
      </c>
      <c r="B376" s="926" t="s">
        <v>1387</v>
      </c>
      <c r="C376" s="941" t="s">
        <v>182</v>
      </c>
      <c r="D376" s="688"/>
      <c r="E376" s="688"/>
      <c r="F376" s="688"/>
      <c r="G376" s="131" t="s">
        <v>183</v>
      </c>
      <c r="H376" s="101">
        <v>26389</v>
      </c>
      <c r="I376" s="162">
        <v>67200</v>
      </c>
      <c r="J376" s="112">
        <v>14394</v>
      </c>
      <c r="K376" s="101">
        <v>67200</v>
      </c>
      <c r="L376" s="112"/>
      <c r="M376" s="6"/>
      <c r="N376" s="6"/>
    </row>
    <row r="377" spans="1:14" s="48" customFormat="1" ht="18" customHeight="1" x14ac:dyDescent="0.25">
      <c r="A377" s="169" t="s">
        <v>163</v>
      </c>
      <c r="B377" s="926" t="s">
        <v>1387</v>
      </c>
      <c r="C377" s="941" t="s">
        <v>297</v>
      </c>
      <c r="D377" s="688"/>
      <c r="E377" s="688"/>
      <c r="F377" s="688"/>
      <c r="G377" s="131" t="s">
        <v>187</v>
      </c>
      <c r="H377" s="101">
        <v>0</v>
      </c>
      <c r="I377" s="102">
        <v>30000</v>
      </c>
      <c r="J377" s="101"/>
      <c r="K377" s="101">
        <v>30000</v>
      </c>
      <c r="L377" s="101"/>
      <c r="M377" s="6"/>
      <c r="N377" s="6"/>
    </row>
    <row r="378" spans="1:14" s="48" customFormat="1" ht="17.100000000000001" customHeight="1" x14ac:dyDescent="0.25">
      <c r="A378" s="169" t="s">
        <v>163</v>
      </c>
      <c r="B378" s="926" t="s">
        <v>1387</v>
      </c>
      <c r="C378" s="941" t="s">
        <v>300</v>
      </c>
      <c r="D378" s="688"/>
      <c r="E378" s="688"/>
      <c r="F378" s="688"/>
      <c r="G378" s="131" t="s">
        <v>199</v>
      </c>
      <c r="H378" s="101">
        <v>12664</v>
      </c>
      <c r="I378" s="162">
        <v>33000</v>
      </c>
      <c r="J378" s="112">
        <v>6556</v>
      </c>
      <c r="K378" s="101">
        <v>33000</v>
      </c>
      <c r="L378" s="112"/>
      <c r="M378" s="6"/>
      <c r="N378" s="6"/>
    </row>
    <row r="379" spans="1:14" s="48" customFormat="1" ht="17.100000000000001" customHeight="1" x14ac:dyDescent="0.25">
      <c r="A379" s="169" t="s">
        <v>163</v>
      </c>
      <c r="B379" s="926" t="s">
        <v>1386</v>
      </c>
      <c r="C379" s="941" t="s">
        <v>294</v>
      </c>
      <c r="D379" s="688"/>
      <c r="E379" s="688"/>
      <c r="F379" s="688"/>
      <c r="G379" s="131" t="s">
        <v>169</v>
      </c>
      <c r="H379" s="101">
        <v>0</v>
      </c>
      <c r="I379" s="162">
        <v>10000</v>
      </c>
      <c r="J379" s="112"/>
      <c r="K379" s="102">
        <v>68000</v>
      </c>
      <c r="L379" s="112"/>
      <c r="M379" s="6"/>
      <c r="N379" s="6"/>
    </row>
    <row r="380" spans="1:14" s="48" customFormat="1" ht="17.100000000000001" customHeight="1" x14ac:dyDescent="0.25">
      <c r="A380" s="169" t="s">
        <v>163</v>
      </c>
      <c r="B380" s="926" t="s">
        <v>1386</v>
      </c>
      <c r="C380" s="941" t="s">
        <v>213</v>
      </c>
      <c r="D380" s="688"/>
      <c r="E380" s="688"/>
      <c r="F380" s="688"/>
      <c r="G380" s="131"/>
      <c r="H380" s="101"/>
      <c r="I380" s="162"/>
      <c r="J380" s="112"/>
      <c r="K380" s="102">
        <v>8000</v>
      </c>
      <c r="L380" s="112"/>
      <c r="M380" s="6"/>
      <c r="N380" s="6"/>
    </row>
    <row r="381" spans="1:14" s="48" customFormat="1" ht="17.100000000000001" customHeight="1" x14ac:dyDescent="0.25">
      <c r="A381" s="169" t="s">
        <v>163</v>
      </c>
      <c r="B381" s="926" t="s">
        <v>1386</v>
      </c>
      <c r="C381" s="38" t="s">
        <v>296</v>
      </c>
      <c r="D381" s="185"/>
      <c r="E381" s="688"/>
      <c r="F381" s="688"/>
      <c r="G381" s="131" t="s">
        <v>177</v>
      </c>
      <c r="H381" s="101">
        <v>0</v>
      </c>
      <c r="I381" s="162">
        <v>10000</v>
      </c>
      <c r="J381" s="112"/>
      <c r="K381" s="102">
        <v>10000</v>
      </c>
      <c r="L381" s="112">
        <v>41784.83</v>
      </c>
      <c r="M381" s="6"/>
      <c r="N381" s="6"/>
    </row>
    <row r="382" spans="1:14" s="48" customFormat="1" ht="17.100000000000001" customHeight="1" x14ac:dyDescent="0.25">
      <c r="A382" s="169" t="s">
        <v>163</v>
      </c>
      <c r="B382" s="926" t="s">
        <v>1386</v>
      </c>
      <c r="C382" s="941" t="s">
        <v>178</v>
      </c>
      <c r="D382" s="688"/>
      <c r="E382" s="688"/>
      <c r="F382" s="688"/>
      <c r="G382" s="131" t="s">
        <v>179</v>
      </c>
      <c r="H382" s="101"/>
      <c r="I382" s="162"/>
      <c r="J382" s="112"/>
      <c r="K382" s="102">
        <v>54000</v>
      </c>
      <c r="L382" s="112"/>
      <c r="M382" s="6"/>
      <c r="N382" s="6"/>
    </row>
    <row r="383" spans="1:14" s="48" customFormat="1" ht="17.100000000000001" customHeight="1" x14ac:dyDescent="0.25">
      <c r="A383" s="169" t="s">
        <v>163</v>
      </c>
      <c r="B383" s="926" t="s">
        <v>1386</v>
      </c>
      <c r="C383" s="941" t="s">
        <v>297</v>
      </c>
      <c r="D383" s="688"/>
      <c r="E383" s="688"/>
      <c r="F383" s="688"/>
      <c r="G383" s="131" t="s">
        <v>187</v>
      </c>
      <c r="H383" s="101">
        <v>0</v>
      </c>
      <c r="I383" s="162">
        <v>10000</v>
      </c>
      <c r="J383" s="112"/>
      <c r="K383" s="102">
        <v>10000</v>
      </c>
      <c r="L383" s="112"/>
      <c r="M383" s="6"/>
      <c r="N383" s="6"/>
    </row>
    <row r="384" spans="1:14" s="48" customFormat="1" ht="17.100000000000001" customHeight="1" x14ac:dyDescent="0.25">
      <c r="A384" s="169" t="s">
        <v>163</v>
      </c>
      <c r="B384" s="926" t="s">
        <v>1386</v>
      </c>
      <c r="C384" s="941" t="s">
        <v>300</v>
      </c>
      <c r="D384" s="688"/>
      <c r="E384" s="688"/>
      <c r="F384" s="688"/>
      <c r="G384" s="131" t="s">
        <v>199</v>
      </c>
      <c r="H384" s="101">
        <v>0</v>
      </c>
      <c r="I384" s="162">
        <v>150000</v>
      </c>
      <c r="J384" s="112"/>
      <c r="K384" s="102">
        <v>150000</v>
      </c>
      <c r="L384" s="112"/>
      <c r="M384" s="6"/>
      <c r="N384" s="6"/>
    </row>
    <row r="385" spans="1:14" s="48" customFormat="1" ht="17.100000000000001" customHeight="1" x14ac:dyDescent="0.25">
      <c r="A385" s="169" t="s">
        <v>163</v>
      </c>
      <c r="B385" s="926" t="s">
        <v>1386</v>
      </c>
      <c r="C385" s="941" t="s">
        <v>294</v>
      </c>
      <c r="D385" s="688"/>
      <c r="E385" s="688"/>
      <c r="F385" s="688"/>
      <c r="G385" s="100" t="s">
        <v>169</v>
      </c>
      <c r="H385" s="101">
        <v>0</v>
      </c>
      <c r="I385" s="162">
        <v>10000</v>
      </c>
      <c r="J385" s="112"/>
      <c r="K385" s="102">
        <v>10000</v>
      </c>
      <c r="L385" s="112"/>
      <c r="M385" s="6"/>
      <c r="N385" s="6"/>
    </row>
    <row r="386" spans="1:14" s="48" customFormat="1" ht="17.100000000000001" customHeight="1" x14ac:dyDescent="0.25">
      <c r="A386" s="169" t="s">
        <v>163</v>
      </c>
      <c r="B386" s="926" t="s">
        <v>1386</v>
      </c>
      <c r="C386" s="38" t="s">
        <v>178</v>
      </c>
      <c r="D386" s="184"/>
      <c r="E386" s="184"/>
      <c r="F386" s="185"/>
      <c r="G386" s="100" t="s">
        <v>179</v>
      </c>
      <c r="H386" s="101"/>
      <c r="I386" s="162"/>
      <c r="J386" s="112"/>
      <c r="K386" s="102">
        <v>42000</v>
      </c>
      <c r="L386" s="112"/>
      <c r="M386" s="6"/>
      <c r="N386" s="6"/>
    </row>
    <row r="387" spans="1:14" s="48" customFormat="1" ht="17.100000000000001" customHeight="1" x14ac:dyDescent="0.25">
      <c r="A387" s="169" t="s">
        <v>163</v>
      </c>
      <c r="B387" s="926" t="s">
        <v>1386</v>
      </c>
      <c r="C387" s="941" t="s">
        <v>327</v>
      </c>
      <c r="D387" s="688"/>
      <c r="E387" s="688"/>
      <c r="F387" s="688"/>
      <c r="G387" s="100" t="s">
        <v>237</v>
      </c>
      <c r="H387" s="101">
        <v>0</v>
      </c>
      <c r="I387" s="162">
        <v>6000</v>
      </c>
      <c r="J387" s="112"/>
      <c r="K387" s="102">
        <v>6000</v>
      </c>
      <c r="L387" s="112"/>
      <c r="M387" s="6"/>
      <c r="N387" s="6"/>
    </row>
    <row r="388" spans="1:14" s="48" customFormat="1" ht="17.100000000000001" customHeight="1" x14ac:dyDescent="0.25">
      <c r="A388" s="169" t="s">
        <v>163</v>
      </c>
      <c r="B388" s="926" t="s">
        <v>1386</v>
      </c>
      <c r="C388" s="941" t="s">
        <v>300</v>
      </c>
      <c r="D388" s="688"/>
      <c r="E388" s="688"/>
      <c r="F388" s="688"/>
      <c r="G388" s="100" t="s">
        <v>199</v>
      </c>
      <c r="H388" s="101">
        <v>0</v>
      </c>
      <c r="I388" s="162">
        <v>46600</v>
      </c>
      <c r="J388" s="112"/>
      <c r="K388" s="102">
        <v>46600</v>
      </c>
      <c r="L388" s="112"/>
      <c r="M388" s="6"/>
      <c r="N388" s="6"/>
    </row>
    <row r="389" spans="1:14" s="48" customFormat="1" ht="17.100000000000001" customHeight="1" x14ac:dyDescent="0.25">
      <c r="A389" s="169" t="s">
        <v>163</v>
      </c>
      <c r="B389" s="926" t="s">
        <v>1386</v>
      </c>
      <c r="C389" s="245" t="s">
        <v>164</v>
      </c>
      <c r="D389" s="116"/>
      <c r="E389" s="116"/>
      <c r="F389" s="116"/>
      <c r="G389" s="100" t="s">
        <v>165</v>
      </c>
      <c r="H389" s="101">
        <v>5060</v>
      </c>
      <c r="I389" s="162">
        <v>25000</v>
      </c>
      <c r="J389" s="112"/>
      <c r="K389" s="101">
        <v>25000</v>
      </c>
      <c r="L389" s="112"/>
      <c r="M389" s="6"/>
      <c r="N389" s="6"/>
    </row>
    <row r="390" spans="1:14" s="48" customFormat="1" ht="17.100000000000001" customHeight="1" x14ac:dyDescent="0.25">
      <c r="A390" s="169" t="s">
        <v>163</v>
      </c>
      <c r="B390" s="926" t="s">
        <v>1386</v>
      </c>
      <c r="C390" s="941" t="s">
        <v>294</v>
      </c>
      <c r="D390" s="688"/>
      <c r="E390" s="688"/>
      <c r="F390" s="688"/>
      <c r="G390" s="104" t="s">
        <v>169</v>
      </c>
      <c r="H390" s="105">
        <v>94208.12</v>
      </c>
      <c r="I390" s="163">
        <v>154335.5</v>
      </c>
      <c r="J390" s="118">
        <v>69023</v>
      </c>
      <c r="K390" s="105">
        <v>168481</v>
      </c>
      <c r="L390" s="118"/>
      <c r="M390" s="6"/>
      <c r="N390" s="6"/>
    </row>
    <row r="391" spans="1:14" s="48" customFormat="1" ht="17.100000000000001" customHeight="1" x14ac:dyDescent="0.25">
      <c r="A391" s="169" t="s">
        <v>163</v>
      </c>
      <c r="B391" s="926" t="s">
        <v>1386</v>
      </c>
      <c r="C391" s="38" t="s">
        <v>170</v>
      </c>
      <c r="D391" s="184"/>
      <c r="E391" s="184"/>
      <c r="F391" s="185"/>
      <c r="G391" s="100" t="s">
        <v>171</v>
      </c>
      <c r="H391" s="101"/>
      <c r="I391" s="162"/>
      <c r="J391" s="112"/>
      <c r="K391" s="101">
        <v>323314</v>
      </c>
      <c r="L391" s="112"/>
      <c r="M391" s="6"/>
      <c r="N391" s="6"/>
    </row>
    <row r="392" spans="1:14" s="48" customFormat="1" ht="17.100000000000001" customHeight="1" x14ac:dyDescent="0.25">
      <c r="A392" s="169" t="s">
        <v>163</v>
      </c>
      <c r="B392" s="926" t="s">
        <v>1386</v>
      </c>
      <c r="C392" s="38" t="s">
        <v>178</v>
      </c>
      <c r="D392" s="184"/>
      <c r="E392" s="184"/>
      <c r="F392" s="185"/>
      <c r="G392" s="100" t="s">
        <v>179</v>
      </c>
      <c r="H392" s="101"/>
      <c r="I392" s="162"/>
      <c r="J392" s="112"/>
      <c r="K392" s="101">
        <v>54000</v>
      </c>
      <c r="L392" s="112"/>
      <c r="M392" s="6"/>
      <c r="N392" s="6"/>
    </row>
    <row r="393" spans="1:14" s="48" customFormat="1" ht="17.100000000000001" customHeight="1" x14ac:dyDescent="0.25">
      <c r="A393" s="169" t="s">
        <v>163</v>
      </c>
      <c r="B393" s="926" t="s">
        <v>1386</v>
      </c>
      <c r="C393" s="38" t="s">
        <v>297</v>
      </c>
      <c r="D393" s="184"/>
      <c r="E393" s="184"/>
      <c r="F393" s="185"/>
      <c r="G393" s="100" t="s">
        <v>187</v>
      </c>
      <c r="H393" s="101">
        <v>784</v>
      </c>
      <c r="I393" s="162">
        <v>25000</v>
      </c>
      <c r="J393" s="112"/>
      <c r="K393" s="101">
        <v>25000</v>
      </c>
      <c r="L393" s="112"/>
      <c r="M393" s="6"/>
      <c r="N393" s="6"/>
    </row>
    <row r="394" spans="1:14" s="48" customFormat="1" ht="17.100000000000001" customHeight="1" x14ac:dyDescent="0.25">
      <c r="A394" s="169" t="s">
        <v>163</v>
      </c>
      <c r="B394" s="926" t="s">
        <v>1386</v>
      </c>
      <c r="C394" s="38" t="s">
        <v>331</v>
      </c>
      <c r="D394" s="184"/>
      <c r="E394" s="184"/>
      <c r="F394" s="185"/>
      <c r="G394" s="100" t="s">
        <v>282</v>
      </c>
      <c r="H394" s="101">
        <v>0</v>
      </c>
      <c r="I394" s="162">
        <v>100000</v>
      </c>
      <c r="J394" s="112"/>
      <c r="K394" s="101">
        <v>100000</v>
      </c>
      <c r="L394" s="111"/>
      <c r="M394" s="6"/>
      <c r="N394" s="6"/>
    </row>
    <row r="395" spans="1:14" s="48" customFormat="1" ht="18" customHeight="1" x14ac:dyDescent="0.25">
      <c r="A395" s="169" t="s">
        <v>163</v>
      </c>
      <c r="B395" s="926" t="s">
        <v>1386</v>
      </c>
      <c r="C395" s="38" t="s">
        <v>299</v>
      </c>
      <c r="D395" s="184"/>
      <c r="E395" s="184"/>
      <c r="F395" s="185"/>
      <c r="G395" s="100" t="s">
        <v>237</v>
      </c>
      <c r="H395" s="101">
        <v>0</v>
      </c>
      <c r="I395" s="102">
        <v>8000</v>
      </c>
      <c r="J395" s="101"/>
      <c r="K395" s="101">
        <v>8000</v>
      </c>
      <c r="L395" s="102"/>
      <c r="M395" s="6"/>
      <c r="N395" s="6"/>
    </row>
    <row r="396" spans="1:14" s="48" customFormat="1" ht="17.100000000000001" customHeight="1" x14ac:dyDescent="0.25">
      <c r="A396" s="169" t="s">
        <v>163</v>
      </c>
      <c r="B396" s="926" t="s">
        <v>1386</v>
      </c>
      <c r="C396" s="38" t="s">
        <v>300</v>
      </c>
      <c r="D396" s="184"/>
      <c r="E396" s="184"/>
      <c r="F396" s="185"/>
      <c r="G396" s="100" t="s">
        <v>199</v>
      </c>
      <c r="H396" s="101">
        <v>48000</v>
      </c>
      <c r="I396" s="162">
        <v>140000</v>
      </c>
      <c r="J396" s="112"/>
      <c r="K396" s="105">
        <v>145000</v>
      </c>
      <c r="L396" s="112"/>
      <c r="M396" s="6"/>
      <c r="N396" s="6"/>
    </row>
    <row r="397" spans="1:14" s="48" customFormat="1" ht="18" customHeight="1" x14ac:dyDescent="0.25">
      <c r="A397" s="169" t="s">
        <v>163</v>
      </c>
      <c r="B397" s="926" t="s">
        <v>1386</v>
      </c>
      <c r="C397" s="245" t="s">
        <v>164</v>
      </c>
      <c r="D397" s="116"/>
      <c r="E397" s="116"/>
      <c r="F397" s="116"/>
      <c r="G397" s="100" t="s">
        <v>165</v>
      </c>
      <c r="H397" s="101">
        <v>8615</v>
      </c>
      <c r="I397" s="102">
        <v>60000</v>
      </c>
      <c r="J397" s="101"/>
      <c r="K397" s="101">
        <v>60000</v>
      </c>
      <c r="L397" s="101"/>
      <c r="M397" s="6"/>
      <c r="N397" s="47"/>
    </row>
    <row r="398" spans="1:14" s="48" customFormat="1" ht="18" customHeight="1" x14ac:dyDescent="0.25">
      <c r="A398" s="169" t="s">
        <v>163</v>
      </c>
      <c r="B398" s="926" t="s">
        <v>1386</v>
      </c>
      <c r="C398" s="941" t="s">
        <v>294</v>
      </c>
      <c r="D398" s="688"/>
      <c r="E398" s="688"/>
      <c r="F398" s="688"/>
      <c r="G398" s="100" t="s">
        <v>169</v>
      </c>
      <c r="H398" s="101">
        <v>144027.5</v>
      </c>
      <c r="I398" s="102">
        <v>262402.5</v>
      </c>
      <c r="J398" s="101">
        <v>62658.5</v>
      </c>
      <c r="K398" s="101">
        <v>641000</v>
      </c>
      <c r="L398" s="101"/>
      <c r="M398" s="6"/>
      <c r="N398" s="47"/>
    </row>
    <row r="399" spans="1:14" s="48" customFormat="1" ht="18" customHeight="1" x14ac:dyDescent="0.25">
      <c r="A399" s="169" t="s">
        <v>163</v>
      </c>
      <c r="B399" s="926" t="s">
        <v>1386</v>
      </c>
      <c r="C399" s="38" t="s">
        <v>213</v>
      </c>
      <c r="D399" s="185"/>
      <c r="E399" s="688"/>
      <c r="F399" s="688"/>
      <c r="G399" s="100" t="s">
        <v>171</v>
      </c>
      <c r="H399" s="101"/>
      <c r="I399" s="102"/>
      <c r="J399" s="101"/>
      <c r="K399" s="101">
        <f>27000+2500</f>
        <v>29500</v>
      </c>
      <c r="L399" s="101"/>
      <c r="M399" s="6"/>
      <c r="N399" s="47"/>
    </row>
    <row r="400" spans="1:14" s="48" customFormat="1" ht="18" customHeight="1" x14ac:dyDescent="0.25">
      <c r="A400" s="169" t="s">
        <v>163</v>
      </c>
      <c r="B400" s="926" t="s">
        <v>1386</v>
      </c>
      <c r="C400" s="941" t="s">
        <v>296</v>
      </c>
      <c r="D400" s="688"/>
      <c r="E400" s="688"/>
      <c r="F400" s="688"/>
      <c r="G400" s="100" t="s">
        <v>177</v>
      </c>
      <c r="H400" s="101">
        <v>0</v>
      </c>
      <c r="I400" s="102">
        <v>1000</v>
      </c>
      <c r="J400" s="101"/>
      <c r="K400" s="101">
        <v>1000</v>
      </c>
      <c r="L400" s="101"/>
      <c r="M400" s="6"/>
      <c r="N400" s="47"/>
    </row>
    <row r="401" spans="1:14" s="48" customFormat="1" ht="18" customHeight="1" x14ac:dyDescent="0.25">
      <c r="A401" s="169" t="s">
        <v>163</v>
      </c>
      <c r="B401" s="926" t="s">
        <v>1386</v>
      </c>
      <c r="C401" s="941" t="s">
        <v>178</v>
      </c>
      <c r="D401" s="688"/>
      <c r="E401" s="688"/>
      <c r="F401" s="688"/>
      <c r="G401" s="100" t="s">
        <v>179</v>
      </c>
      <c r="H401" s="101"/>
      <c r="I401" s="102"/>
      <c r="J401" s="101"/>
      <c r="K401" s="101">
        <v>70800</v>
      </c>
      <c r="L401" s="101"/>
      <c r="M401" s="6"/>
      <c r="N401" s="47"/>
    </row>
    <row r="402" spans="1:14" s="48" customFormat="1" ht="18" customHeight="1" x14ac:dyDescent="0.25">
      <c r="A402" s="169" t="s">
        <v>163</v>
      </c>
      <c r="B402" s="926" t="s">
        <v>1386</v>
      </c>
      <c r="C402" s="941" t="s">
        <v>182</v>
      </c>
      <c r="D402" s="688"/>
      <c r="E402" s="688"/>
      <c r="F402" s="688"/>
      <c r="G402" s="100" t="s">
        <v>183</v>
      </c>
      <c r="H402" s="101"/>
      <c r="I402" s="102"/>
      <c r="J402" s="101"/>
      <c r="K402" s="101">
        <v>42000</v>
      </c>
      <c r="L402" s="101"/>
      <c r="M402" s="6"/>
      <c r="N402" s="47"/>
    </row>
    <row r="403" spans="1:14" s="48" customFormat="1" ht="18" customHeight="1" x14ac:dyDescent="0.25">
      <c r="A403" s="169" t="s">
        <v>163</v>
      </c>
      <c r="B403" s="926" t="s">
        <v>1386</v>
      </c>
      <c r="C403" s="941" t="s">
        <v>297</v>
      </c>
      <c r="D403" s="694"/>
      <c r="E403" s="694"/>
      <c r="F403" s="694"/>
      <c r="G403" s="205" t="s">
        <v>187</v>
      </c>
      <c r="H403" s="102"/>
      <c r="I403" s="102">
        <v>60000</v>
      </c>
      <c r="J403" s="102">
        <v>24258</v>
      </c>
      <c r="K403" s="102">
        <v>80000</v>
      </c>
      <c r="L403" s="101"/>
      <c r="M403" s="6"/>
      <c r="N403" s="47"/>
    </row>
    <row r="404" spans="1:14" s="48" customFormat="1" ht="18" customHeight="1" x14ac:dyDescent="0.25">
      <c r="A404" s="169" t="s">
        <v>163</v>
      </c>
      <c r="B404" s="926" t="s">
        <v>1386</v>
      </c>
      <c r="C404" s="941" t="s">
        <v>331</v>
      </c>
      <c r="D404" s="694"/>
      <c r="E404" s="694"/>
      <c r="F404" s="694"/>
      <c r="G404" s="205"/>
      <c r="H404" s="102"/>
      <c r="I404" s="102"/>
      <c r="J404" s="102"/>
      <c r="K404" s="102">
        <v>50000</v>
      </c>
      <c r="L404" s="101"/>
      <c r="M404" s="6"/>
      <c r="N404" s="47">
        <f>27004+176489</f>
        <v>203493</v>
      </c>
    </row>
    <row r="405" spans="1:14" s="48" customFormat="1" ht="18" customHeight="1" x14ac:dyDescent="0.25">
      <c r="A405" s="169" t="s">
        <v>163</v>
      </c>
      <c r="B405" s="926" t="s">
        <v>1386</v>
      </c>
      <c r="C405" s="941" t="s">
        <v>299</v>
      </c>
      <c r="D405" s="688"/>
      <c r="E405" s="688"/>
      <c r="F405" s="688"/>
      <c r="G405" s="100" t="s">
        <v>237</v>
      </c>
      <c r="H405" s="101">
        <v>5000</v>
      </c>
      <c r="I405" s="102">
        <v>12000</v>
      </c>
      <c r="J405" s="101"/>
      <c r="K405" s="101">
        <v>12000</v>
      </c>
      <c r="L405" s="101"/>
      <c r="M405" s="6"/>
      <c r="N405" s="47">
        <f>178342+27004</f>
        <v>205346</v>
      </c>
    </row>
    <row r="406" spans="1:14" s="48" customFormat="1" ht="18" customHeight="1" x14ac:dyDescent="0.25">
      <c r="A406" s="169" t="s">
        <v>163</v>
      </c>
      <c r="B406" s="926" t="s">
        <v>1386</v>
      </c>
      <c r="C406" s="941" t="s">
        <v>300</v>
      </c>
      <c r="D406" s="688"/>
      <c r="E406" s="688"/>
      <c r="F406" s="688"/>
      <c r="G406" s="100" t="s">
        <v>199</v>
      </c>
      <c r="H406" s="101"/>
      <c r="I406" s="102">
        <v>186796.08</v>
      </c>
      <c r="J406" s="101"/>
      <c r="K406" s="101">
        <v>375310.76</v>
      </c>
      <c r="L406" s="101"/>
      <c r="M406" s="6"/>
      <c r="N406" s="47">
        <f>25000+10000</f>
        <v>35000</v>
      </c>
    </row>
    <row r="407" spans="1:14" s="48" customFormat="1" ht="18" customHeight="1" x14ac:dyDescent="0.25">
      <c r="A407" s="48" t="s">
        <v>163</v>
      </c>
      <c r="B407" s="926" t="s">
        <v>1386</v>
      </c>
      <c r="C407" s="245" t="s">
        <v>164</v>
      </c>
      <c r="D407" s="116"/>
      <c r="E407" s="116"/>
      <c r="F407" s="116"/>
      <c r="G407" s="100" t="s">
        <v>165</v>
      </c>
      <c r="H407" s="101">
        <v>2250</v>
      </c>
      <c r="I407" s="102">
        <v>50000</v>
      </c>
      <c r="J407" s="101"/>
      <c r="K407" s="101">
        <v>50000</v>
      </c>
      <c r="L407" s="101"/>
      <c r="M407" s="6"/>
      <c r="N407" s="47"/>
    </row>
    <row r="408" spans="1:14" s="48" customFormat="1" ht="18" customHeight="1" x14ac:dyDescent="0.25">
      <c r="A408" s="48" t="s">
        <v>163</v>
      </c>
      <c r="B408" s="926" t="s">
        <v>1386</v>
      </c>
      <c r="C408" s="44" t="s">
        <v>168</v>
      </c>
      <c r="D408" s="113"/>
      <c r="E408" s="113"/>
      <c r="F408" s="114"/>
      <c r="G408" s="100" t="s">
        <v>169</v>
      </c>
      <c r="H408" s="101">
        <v>193656.3</v>
      </c>
      <c r="I408" s="102">
        <v>221512.5</v>
      </c>
      <c r="J408" s="101">
        <v>159943</v>
      </c>
      <c r="K408" s="101">
        <v>239599</v>
      </c>
      <c r="L408" s="101"/>
      <c r="M408" s="6"/>
      <c r="N408" s="47">
        <f>15000+6000</f>
        <v>21000</v>
      </c>
    </row>
    <row r="409" spans="1:14" s="48" customFormat="1" ht="18" customHeight="1" x14ac:dyDescent="0.25">
      <c r="A409" s="48" t="s">
        <v>163</v>
      </c>
      <c r="B409" s="926" t="s">
        <v>1386</v>
      </c>
      <c r="C409" s="245" t="s">
        <v>170</v>
      </c>
      <c r="D409" s="116"/>
      <c r="E409" s="116"/>
      <c r="F409" s="116"/>
      <c r="G409" s="100" t="s">
        <v>171</v>
      </c>
      <c r="H409" s="101"/>
      <c r="I409" s="102"/>
      <c r="J409" s="101"/>
      <c r="K409" s="101">
        <v>26245</v>
      </c>
      <c r="L409" s="101"/>
      <c r="M409" s="6"/>
      <c r="N409" s="47">
        <f>38885.76+255390.24</f>
        <v>294276</v>
      </c>
    </row>
    <row r="410" spans="1:14" s="48" customFormat="1" ht="18" customHeight="1" x14ac:dyDescent="0.25">
      <c r="A410" s="48" t="s">
        <v>163</v>
      </c>
      <c r="B410" s="926" t="s">
        <v>1386</v>
      </c>
      <c r="C410" s="245" t="s">
        <v>176</v>
      </c>
      <c r="D410" s="116"/>
      <c r="E410" s="116"/>
      <c r="F410" s="116"/>
      <c r="G410" s="100" t="s">
        <v>177</v>
      </c>
      <c r="H410" s="101">
        <v>0</v>
      </c>
      <c r="I410" s="102">
        <v>1000</v>
      </c>
      <c r="J410" s="101"/>
      <c r="K410" s="101">
        <v>1000</v>
      </c>
      <c r="L410" s="101"/>
      <c r="M410" s="6"/>
      <c r="N410" s="47">
        <f>6000+2400</f>
        <v>8400</v>
      </c>
    </row>
    <row r="411" spans="1:14" s="48" customFormat="1" ht="18" customHeight="1" x14ac:dyDescent="0.25">
      <c r="A411" s="48" t="s">
        <v>163</v>
      </c>
      <c r="B411" s="926" t="s">
        <v>1386</v>
      </c>
      <c r="C411" s="245" t="s">
        <v>178</v>
      </c>
      <c r="D411" s="116"/>
      <c r="E411" s="116"/>
      <c r="F411" s="116"/>
      <c r="G411" s="100" t="s">
        <v>179</v>
      </c>
      <c r="H411" s="101"/>
      <c r="I411" s="102"/>
      <c r="J411" s="101"/>
      <c r="K411" s="101">
        <f>12000+42000</f>
        <v>54000</v>
      </c>
      <c r="L411" s="101"/>
      <c r="M411" s="6"/>
      <c r="N411" s="47">
        <f>12984+79462.72</f>
        <v>92446.720000000001</v>
      </c>
    </row>
    <row r="412" spans="1:14" s="48" customFormat="1" ht="18" customHeight="1" x14ac:dyDescent="0.25">
      <c r="A412" s="48" t="s">
        <v>163</v>
      </c>
      <c r="B412" s="926" t="s">
        <v>1386</v>
      </c>
      <c r="C412" s="245" t="s">
        <v>182</v>
      </c>
      <c r="D412" s="116"/>
      <c r="E412" s="116"/>
      <c r="F412" s="116"/>
      <c r="G412" s="104" t="s">
        <v>183</v>
      </c>
      <c r="H412" s="105"/>
      <c r="I412" s="106"/>
      <c r="J412" s="105"/>
      <c r="K412" s="105">
        <v>42000</v>
      </c>
      <c r="L412" s="105"/>
      <c r="M412" s="6"/>
      <c r="N412" s="47">
        <f>6000+2400</f>
        <v>8400</v>
      </c>
    </row>
    <row r="413" spans="1:14" s="48" customFormat="1" ht="18" customHeight="1" x14ac:dyDescent="0.25">
      <c r="A413" s="48" t="s">
        <v>163</v>
      </c>
      <c r="B413" s="926" t="s">
        <v>1386</v>
      </c>
      <c r="C413" s="44" t="s">
        <v>186</v>
      </c>
      <c r="D413" s="113"/>
      <c r="E413" s="113"/>
      <c r="F413" s="114"/>
      <c r="G413" s="100" t="s">
        <v>187</v>
      </c>
      <c r="H413" s="101">
        <v>9061.92</v>
      </c>
      <c r="I413" s="102">
        <v>50000</v>
      </c>
      <c r="J413" s="101">
        <v>11044.12</v>
      </c>
      <c r="K413" s="101">
        <v>50000</v>
      </c>
      <c r="L413" s="101"/>
      <c r="M413" s="6"/>
      <c r="N413" s="47"/>
    </row>
    <row r="414" spans="1:14" s="48" customFormat="1" ht="18" customHeight="1" x14ac:dyDescent="0.25">
      <c r="A414" s="48" t="s">
        <v>163</v>
      </c>
      <c r="B414" s="926" t="s">
        <v>1386</v>
      </c>
      <c r="C414" s="44" t="s">
        <v>236</v>
      </c>
      <c r="D414" s="113"/>
      <c r="E414" s="113"/>
      <c r="F414" s="113"/>
      <c r="G414" s="100" t="s">
        <v>237</v>
      </c>
      <c r="H414" s="101">
        <v>0</v>
      </c>
      <c r="I414" s="102">
        <v>6000</v>
      </c>
      <c r="J414" s="101"/>
      <c r="K414" s="101">
        <v>6000</v>
      </c>
      <c r="L414" s="101"/>
      <c r="M414" s="6"/>
      <c r="N414" s="47"/>
    </row>
    <row r="415" spans="1:14" s="48" customFormat="1" ht="18" customHeight="1" x14ac:dyDescent="0.25">
      <c r="A415" s="48" t="s">
        <v>163</v>
      </c>
      <c r="B415" s="926" t="s">
        <v>1386</v>
      </c>
      <c r="C415" s="44" t="s">
        <v>198</v>
      </c>
      <c r="D415" s="113"/>
      <c r="E415" s="113"/>
      <c r="F415" s="113"/>
      <c r="G415" s="100" t="s">
        <v>199</v>
      </c>
      <c r="H415" s="101">
        <v>130911.65</v>
      </c>
      <c r="I415" s="102">
        <v>257704</v>
      </c>
      <c r="J415" s="101">
        <v>35268.300000000003</v>
      </c>
      <c r="K415" s="101">
        <v>282000</v>
      </c>
      <c r="L415" s="101"/>
      <c r="M415" s="6"/>
      <c r="N415" s="47"/>
    </row>
    <row r="416" spans="1:14" s="48" customFormat="1" ht="18" customHeight="1" x14ac:dyDescent="0.25">
      <c r="A416" s="48" t="s">
        <v>163</v>
      </c>
      <c r="B416" s="926" t="s">
        <v>1386</v>
      </c>
      <c r="C416" s="44" t="s">
        <v>353</v>
      </c>
      <c r="D416" s="113"/>
      <c r="E416" s="113"/>
      <c r="F416" s="114"/>
      <c r="G416" s="131" t="s">
        <v>165</v>
      </c>
      <c r="H416" s="101">
        <v>11256</v>
      </c>
      <c r="I416" s="102">
        <v>60000</v>
      </c>
      <c r="J416" s="101"/>
      <c r="K416" s="101">
        <v>60000</v>
      </c>
      <c r="L416" s="101"/>
      <c r="M416" s="6"/>
      <c r="N416" s="47"/>
    </row>
    <row r="417" spans="1:16" s="48" customFormat="1" ht="18" customHeight="1" x14ac:dyDescent="0.25">
      <c r="A417" s="48" t="s">
        <v>163</v>
      </c>
      <c r="B417" s="926" t="s">
        <v>1386</v>
      </c>
      <c r="C417" s="44" t="s">
        <v>168</v>
      </c>
      <c r="D417" s="113"/>
      <c r="E417" s="113"/>
      <c r="F417" s="113"/>
      <c r="G417" s="131" t="s">
        <v>169</v>
      </c>
      <c r="H417" s="101">
        <v>366645.25</v>
      </c>
      <c r="I417" s="102">
        <v>320000</v>
      </c>
      <c r="J417" s="101">
        <v>189722.5</v>
      </c>
      <c r="K417" s="101">
        <v>378061</v>
      </c>
      <c r="L417" s="101"/>
      <c r="M417" s="6"/>
      <c r="N417" s="47"/>
    </row>
    <row r="418" spans="1:16" s="48" customFormat="1" ht="18" customHeight="1" x14ac:dyDescent="0.25">
      <c r="A418" s="48" t="s">
        <v>163</v>
      </c>
      <c r="B418" s="926" t="s">
        <v>1386</v>
      </c>
      <c r="C418" s="44" t="s">
        <v>213</v>
      </c>
      <c r="D418" s="113"/>
      <c r="E418" s="113"/>
      <c r="F418" s="113"/>
      <c r="G418" s="131" t="s">
        <v>171</v>
      </c>
      <c r="H418" s="101"/>
      <c r="I418" s="102"/>
      <c r="J418" s="101"/>
      <c r="K418" s="101">
        <v>94793</v>
      </c>
      <c r="L418" s="101"/>
      <c r="M418" s="6"/>
      <c r="N418" s="47"/>
    </row>
    <row r="419" spans="1:16" s="48" customFormat="1" ht="18" customHeight="1" x14ac:dyDescent="0.25">
      <c r="A419" s="48" t="s">
        <v>163</v>
      </c>
      <c r="B419" s="926" t="s">
        <v>1386</v>
      </c>
      <c r="C419" s="44" t="s">
        <v>178</v>
      </c>
      <c r="D419" s="113"/>
      <c r="E419" s="113"/>
      <c r="F419" s="113"/>
      <c r="G419" s="131" t="s">
        <v>179</v>
      </c>
      <c r="H419" s="101"/>
      <c r="I419" s="102"/>
      <c r="J419" s="101"/>
      <c r="K419" s="101">
        <v>60000</v>
      </c>
      <c r="L419" s="101"/>
      <c r="M419" s="6"/>
      <c r="N419" s="47"/>
    </row>
    <row r="420" spans="1:16" s="48" customFormat="1" ht="18" customHeight="1" x14ac:dyDescent="0.25">
      <c r="A420" s="48" t="s">
        <v>163</v>
      </c>
      <c r="B420" s="926" t="s">
        <v>1386</v>
      </c>
      <c r="C420" s="44" t="s">
        <v>182</v>
      </c>
      <c r="D420" s="113"/>
      <c r="E420" s="113"/>
      <c r="F420" s="113"/>
      <c r="G420" s="131" t="s">
        <v>183</v>
      </c>
      <c r="H420" s="101">
        <v>4995</v>
      </c>
      <c r="I420" s="102">
        <v>20400</v>
      </c>
      <c r="J420" s="101"/>
      <c r="K420" s="101">
        <v>36000</v>
      </c>
      <c r="L420" s="101"/>
      <c r="M420" s="6"/>
      <c r="N420" s="47"/>
    </row>
    <row r="421" spans="1:16" s="48" customFormat="1" ht="18" customHeight="1" x14ac:dyDescent="0.25">
      <c r="A421" s="48" t="s">
        <v>163</v>
      </c>
      <c r="B421" s="926" t="s">
        <v>1386</v>
      </c>
      <c r="C421" s="44" t="s">
        <v>186</v>
      </c>
      <c r="D421" s="113"/>
      <c r="E421" s="113"/>
      <c r="F421" s="113"/>
      <c r="G421" s="131"/>
      <c r="H421" s="101"/>
      <c r="I421" s="102"/>
      <c r="J421" s="101"/>
      <c r="K421" s="101">
        <v>30000</v>
      </c>
      <c r="L421" s="101"/>
      <c r="M421" s="6"/>
      <c r="N421" s="47"/>
    </row>
    <row r="422" spans="1:16" s="48" customFormat="1" ht="18" customHeight="1" x14ac:dyDescent="0.25">
      <c r="A422" s="48" t="s">
        <v>163</v>
      </c>
      <c r="B422" s="926" t="s">
        <v>1386</v>
      </c>
      <c r="C422" s="44" t="s">
        <v>357</v>
      </c>
      <c r="D422" s="113"/>
      <c r="E422" s="113"/>
      <c r="F422" s="113"/>
      <c r="G422" s="131" t="s">
        <v>237</v>
      </c>
      <c r="H422" s="101">
        <v>300</v>
      </c>
      <c r="I422" s="102">
        <v>10000</v>
      </c>
      <c r="J422" s="101"/>
      <c r="K422" s="101">
        <v>10000</v>
      </c>
      <c r="L422" s="101"/>
      <c r="M422" s="6"/>
      <c r="N422" s="47"/>
    </row>
    <row r="423" spans="1:16" s="48" customFormat="1" ht="18" customHeight="1" x14ac:dyDescent="0.25">
      <c r="A423" s="48" t="s">
        <v>163</v>
      </c>
      <c r="B423" s="926" t="s">
        <v>1386</v>
      </c>
      <c r="C423" s="44" t="s">
        <v>198</v>
      </c>
      <c r="D423" s="113"/>
      <c r="E423" s="113"/>
      <c r="F423" s="113"/>
      <c r="G423" s="131" t="s">
        <v>199</v>
      </c>
      <c r="H423" s="101">
        <v>379521.71</v>
      </c>
      <c r="I423" s="102">
        <v>552764.80000000005</v>
      </c>
      <c r="J423" s="101">
        <v>163277.51999999999</v>
      </c>
      <c r="K423" s="101">
        <v>550790.64</v>
      </c>
      <c r="L423" s="101"/>
      <c r="M423" s="6"/>
      <c r="N423" s="47"/>
    </row>
    <row r="424" spans="1:16" s="48" customFormat="1" ht="18" customHeight="1" x14ac:dyDescent="0.25">
      <c r="A424" s="48" t="s">
        <v>163</v>
      </c>
      <c r="B424" s="926" t="s">
        <v>1386</v>
      </c>
      <c r="C424" s="44" t="s">
        <v>353</v>
      </c>
      <c r="D424" s="125"/>
      <c r="E424" s="125"/>
      <c r="F424" s="125"/>
      <c r="G424" s="131" t="s">
        <v>165</v>
      </c>
      <c r="H424" s="101">
        <v>10094</v>
      </c>
      <c r="I424" s="102">
        <v>80000</v>
      </c>
      <c r="J424" s="101">
        <v>7750</v>
      </c>
      <c r="K424" s="101">
        <v>80000</v>
      </c>
      <c r="L424" s="101"/>
      <c r="M424" s="6"/>
      <c r="N424" s="47"/>
    </row>
    <row r="425" spans="1:16" s="48" customFormat="1" ht="18" customHeight="1" x14ac:dyDescent="0.25">
      <c r="A425" s="48" t="s">
        <v>163</v>
      </c>
      <c r="B425" s="926" t="s">
        <v>1386</v>
      </c>
      <c r="C425" s="44" t="s">
        <v>168</v>
      </c>
      <c r="D425" s="125"/>
      <c r="E425" s="125"/>
      <c r="F425" s="125"/>
      <c r="G425" s="131" t="s">
        <v>169</v>
      </c>
      <c r="H425" s="101">
        <v>465620.04</v>
      </c>
      <c r="I425" s="102">
        <v>500000</v>
      </c>
      <c r="J425" s="101">
        <v>322354.5</v>
      </c>
      <c r="K425" s="101">
        <v>372200</v>
      </c>
      <c r="L425" s="101"/>
      <c r="M425" s="6"/>
      <c r="N425" s="47"/>
    </row>
    <row r="426" spans="1:16" s="48" customFormat="1" ht="18" customHeight="1" x14ac:dyDescent="0.25">
      <c r="A426" s="48" t="s">
        <v>163</v>
      </c>
      <c r="B426" s="926" t="s">
        <v>1386</v>
      </c>
      <c r="C426" s="44" t="s">
        <v>369</v>
      </c>
      <c r="D426" s="125"/>
      <c r="E426" s="125"/>
      <c r="F426" s="125"/>
      <c r="G426" s="131" t="s">
        <v>173</v>
      </c>
      <c r="H426" s="101">
        <v>1675752.84</v>
      </c>
      <c r="I426" s="102">
        <v>2449000</v>
      </c>
      <c r="J426" s="101">
        <v>717072.08</v>
      </c>
      <c r="K426" s="101">
        <f>3995000+200000</f>
        <v>4195000</v>
      </c>
      <c r="L426" s="101"/>
      <c r="M426" s="6"/>
      <c r="N426" s="47"/>
    </row>
    <row r="427" spans="1:16" s="48" customFormat="1" ht="18" customHeight="1" x14ac:dyDescent="0.25">
      <c r="A427" s="48" t="s">
        <v>163</v>
      </c>
      <c r="B427" s="926" t="s">
        <v>1386</v>
      </c>
      <c r="C427" s="44" t="s">
        <v>371</v>
      </c>
      <c r="D427" s="125"/>
      <c r="E427" s="125"/>
      <c r="F427" s="125"/>
      <c r="G427" s="131" t="s">
        <v>173</v>
      </c>
      <c r="H427" s="105">
        <v>261256</v>
      </c>
      <c r="I427" s="106">
        <v>600000</v>
      </c>
      <c r="J427" s="105">
        <v>60955.199999999997</v>
      </c>
      <c r="K427" s="105">
        <v>600000</v>
      </c>
      <c r="L427" s="105"/>
      <c r="M427" s="6"/>
      <c r="N427" s="47"/>
    </row>
    <row r="428" spans="1:16" s="146" customFormat="1" ht="18" customHeight="1" x14ac:dyDescent="0.25">
      <c r="A428" s="48" t="s">
        <v>163</v>
      </c>
      <c r="B428" s="926" t="s">
        <v>1386</v>
      </c>
      <c r="C428" s="245" t="s">
        <v>372</v>
      </c>
      <c r="D428" s="97"/>
      <c r="E428" s="97"/>
      <c r="F428" s="97"/>
      <c r="G428" s="131" t="s">
        <v>173</v>
      </c>
      <c r="H428" s="101">
        <v>43007.1</v>
      </c>
      <c r="I428" s="102">
        <v>150000</v>
      </c>
      <c r="J428" s="101">
        <v>22236.95</v>
      </c>
      <c r="K428" s="101">
        <v>150000</v>
      </c>
      <c r="L428" s="101"/>
      <c r="M428" s="10"/>
      <c r="N428" s="10"/>
      <c r="O428"/>
      <c r="P428"/>
    </row>
    <row r="429" spans="1:16" s="146" customFormat="1" ht="18" customHeight="1" x14ac:dyDescent="0.25">
      <c r="A429" s="48" t="s">
        <v>163</v>
      </c>
      <c r="B429" s="926" t="s">
        <v>1386</v>
      </c>
      <c r="C429" s="245" t="s">
        <v>288</v>
      </c>
      <c r="D429" s="97"/>
      <c r="E429" s="97"/>
      <c r="F429" s="97"/>
      <c r="G429" s="131" t="s">
        <v>171</v>
      </c>
      <c r="H429" s="101"/>
      <c r="I429" s="102"/>
      <c r="J429" s="101"/>
      <c r="K429" s="101">
        <v>6910600</v>
      </c>
      <c r="L429" s="101"/>
      <c r="M429" s="10"/>
      <c r="N429" s="10"/>
      <c r="O429"/>
      <c r="P429"/>
    </row>
    <row r="430" spans="1:16" s="146" customFormat="1" ht="18" customHeight="1" x14ac:dyDescent="0.25">
      <c r="A430" s="48" t="s">
        <v>163</v>
      </c>
      <c r="B430" s="926" t="s">
        <v>1386</v>
      </c>
      <c r="C430" s="245" t="s">
        <v>382</v>
      </c>
      <c r="D430" s="97"/>
      <c r="E430" s="97"/>
      <c r="F430" s="97"/>
      <c r="G430" s="131" t="s">
        <v>383</v>
      </c>
      <c r="H430" s="101">
        <v>17360.68</v>
      </c>
      <c r="I430" s="102">
        <v>20000</v>
      </c>
      <c r="J430" s="101">
        <v>1512</v>
      </c>
      <c r="K430" s="101">
        <v>20000</v>
      </c>
      <c r="L430" s="101"/>
      <c r="M430" s="10"/>
      <c r="N430" s="10"/>
      <c r="O430"/>
      <c r="P430"/>
    </row>
    <row r="431" spans="1:16" s="146" customFormat="1" ht="18" customHeight="1" x14ac:dyDescent="0.25">
      <c r="A431" s="48" t="s">
        <v>163</v>
      </c>
      <c r="B431" s="926" t="s">
        <v>1386</v>
      </c>
      <c r="C431" s="245" t="s">
        <v>384</v>
      </c>
      <c r="D431" s="97"/>
      <c r="E431" s="97"/>
      <c r="F431" s="97"/>
      <c r="G431" s="166" t="s">
        <v>385</v>
      </c>
      <c r="H431" s="101">
        <v>5437756.3799999999</v>
      </c>
      <c r="I431" s="102">
        <v>6000000</v>
      </c>
      <c r="J431" s="101">
        <v>2768213.53</v>
      </c>
      <c r="K431" s="101">
        <v>6000000</v>
      </c>
      <c r="L431" s="101"/>
      <c r="M431" s="10"/>
      <c r="N431" s="10">
        <f>600000+288000</f>
        <v>888000</v>
      </c>
      <c r="O431"/>
      <c r="P431"/>
    </row>
    <row r="432" spans="1:16" s="146" customFormat="1" ht="18" customHeight="1" x14ac:dyDescent="0.25">
      <c r="A432" s="48" t="s">
        <v>163</v>
      </c>
      <c r="B432" s="926" t="s">
        <v>1386</v>
      </c>
      <c r="C432" s="245" t="s">
        <v>178</v>
      </c>
      <c r="D432" s="97"/>
      <c r="E432" s="97"/>
      <c r="F432" s="97"/>
      <c r="G432" s="131" t="s">
        <v>179</v>
      </c>
      <c r="H432" s="101"/>
      <c r="I432" s="102">
        <v>0</v>
      </c>
      <c r="J432" s="101"/>
      <c r="K432" s="101">
        <v>50000</v>
      </c>
      <c r="L432" s="101"/>
      <c r="M432" s="10"/>
      <c r="N432" s="10"/>
      <c r="O432"/>
      <c r="P432"/>
    </row>
    <row r="433" spans="1:16" s="146" customFormat="1" ht="18" customHeight="1" x14ac:dyDescent="0.25">
      <c r="A433" s="48" t="s">
        <v>163</v>
      </c>
      <c r="B433" s="926" t="s">
        <v>1386</v>
      </c>
      <c r="C433" s="245" t="s">
        <v>181</v>
      </c>
      <c r="D433" s="97"/>
      <c r="E433" s="97"/>
      <c r="F433" s="97"/>
      <c r="G433" s="131" t="s">
        <v>179</v>
      </c>
      <c r="H433" s="101">
        <v>42000</v>
      </c>
      <c r="I433" s="102">
        <v>50000</v>
      </c>
      <c r="J433" s="101">
        <v>21000</v>
      </c>
      <c r="K433" s="101"/>
      <c r="L433" s="101"/>
      <c r="M433" s="10"/>
      <c r="N433" s="10"/>
      <c r="O433"/>
      <c r="P433"/>
    </row>
    <row r="434" spans="1:16" s="146" customFormat="1" ht="18" customHeight="1" x14ac:dyDescent="0.25">
      <c r="A434" s="48" t="s">
        <v>163</v>
      </c>
      <c r="B434" s="926" t="s">
        <v>1386</v>
      </c>
      <c r="C434" s="245" t="s">
        <v>182</v>
      </c>
      <c r="D434" s="97"/>
      <c r="E434" s="97"/>
      <c r="F434" s="97"/>
      <c r="G434" s="131" t="s">
        <v>183</v>
      </c>
      <c r="H434" s="101">
        <v>36525.360000000001</v>
      </c>
      <c r="I434" s="102">
        <v>42000</v>
      </c>
      <c r="J434" s="101">
        <v>21306.46</v>
      </c>
      <c r="K434" s="101">
        <v>42000</v>
      </c>
      <c r="L434" s="101"/>
      <c r="M434" s="10"/>
      <c r="N434" s="10"/>
      <c r="O434"/>
      <c r="P434"/>
    </row>
    <row r="435" spans="1:16" s="146" customFormat="1" ht="18" customHeight="1" x14ac:dyDescent="0.25">
      <c r="A435" s="48" t="s">
        <v>163</v>
      </c>
      <c r="B435" s="926" t="s">
        <v>1386</v>
      </c>
      <c r="C435" s="245" t="s">
        <v>386</v>
      </c>
      <c r="D435" s="97"/>
      <c r="E435" s="97"/>
      <c r="F435" s="97"/>
      <c r="G435" s="131" t="s">
        <v>187</v>
      </c>
      <c r="H435" s="101">
        <v>0</v>
      </c>
      <c r="I435" s="102">
        <v>190000</v>
      </c>
      <c r="J435" s="101"/>
      <c r="K435" s="102">
        <v>700000</v>
      </c>
      <c r="L435" s="101"/>
      <c r="M435" s="10"/>
      <c r="N435" s="10">
        <f>72000+150000</f>
        <v>222000</v>
      </c>
      <c r="O435"/>
      <c r="P435"/>
    </row>
    <row r="436" spans="1:16" s="146" customFormat="1" ht="18" x14ac:dyDescent="0.25">
      <c r="A436" s="48" t="s">
        <v>163</v>
      </c>
      <c r="B436" s="926" t="s">
        <v>1386</v>
      </c>
      <c r="C436" s="44" t="s">
        <v>387</v>
      </c>
      <c r="D436" s="134"/>
      <c r="E436" s="97"/>
      <c r="F436" s="97"/>
      <c r="G436" s="131" t="s">
        <v>388</v>
      </c>
      <c r="H436" s="101"/>
      <c r="I436" s="102">
        <v>300000</v>
      </c>
      <c r="J436" s="101"/>
      <c r="K436" s="102">
        <v>300000</v>
      </c>
      <c r="L436" s="101">
        <v>704334.78</v>
      </c>
      <c r="M436" s="10"/>
      <c r="N436" s="10"/>
      <c r="O436"/>
      <c r="P436"/>
    </row>
    <row r="437" spans="1:16" s="146" customFormat="1" ht="18" customHeight="1" x14ac:dyDescent="0.25">
      <c r="A437" s="48" t="s">
        <v>163</v>
      </c>
      <c r="B437" s="926" t="s">
        <v>1386</v>
      </c>
      <c r="C437" s="245" t="s">
        <v>389</v>
      </c>
      <c r="D437" s="97"/>
      <c r="E437" s="97"/>
      <c r="F437" s="97"/>
      <c r="G437" s="131" t="s">
        <v>388</v>
      </c>
      <c r="H437" s="101"/>
      <c r="I437" s="102">
        <v>200000</v>
      </c>
      <c r="J437" s="101"/>
      <c r="K437" s="102">
        <v>200000</v>
      </c>
      <c r="L437" s="101"/>
      <c r="M437" s="10"/>
      <c r="N437" s="10">
        <f>980829+274628</f>
        <v>1255457</v>
      </c>
      <c r="O437"/>
      <c r="P437"/>
    </row>
    <row r="438" spans="1:16" s="146" customFormat="1" ht="18" customHeight="1" x14ac:dyDescent="0.25">
      <c r="A438" s="48" t="s">
        <v>163</v>
      </c>
      <c r="B438" s="926" t="s">
        <v>1386</v>
      </c>
      <c r="C438" s="245" t="s">
        <v>390</v>
      </c>
      <c r="D438" s="97"/>
      <c r="E438" s="97"/>
      <c r="F438" s="97"/>
      <c r="G438" s="131" t="s">
        <v>391</v>
      </c>
      <c r="H438" s="101">
        <v>148597</v>
      </c>
      <c r="I438" s="102">
        <v>500000</v>
      </c>
      <c r="J438" s="101"/>
      <c r="K438" s="102">
        <v>500000</v>
      </c>
      <c r="L438" s="101"/>
      <c r="M438" s="10"/>
      <c r="N438" s="10">
        <f>274628+995457</f>
        <v>1270085</v>
      </c>
      <c r="O438"/>
      <c r="P438"/>
    </row>
    <row r="439" spans="1:16" s="146" customFormat="1" ht="18" x14ac:dyDescent="0.25">
      <c r="A439" s="48" t="s">
        <v>163</v>
      </c>
      <c r="B439" s="926" t="s">
        <v>1386</v>
      </c>
      <c r="C439" s="245" t="s">
        <v>392</v>
      </c>
      <c r="D439" s="97"/>
      <c r="E439" s="97"/>
      <c r="F439" s="97"/>
      <c r="G439" s="131" t="s">
        <v>189</v>
      </c>
      <c r="H439" s="101">
        <v>0</v>
      </c>
      <c r="I439" s="102">
        <v>3730000</v>
      </c>
      <c r="J439" s="101">
        <v>22871.4</v>
      </c>
      <c r="K439" s="102">
        <v>6753266</v>
      </c>
      <c r="L439" s="101"/>
      <c r="M439" s="10"/>
      <c r="N439" s="10">
        <f>60000+125000</f>
        <v>185000</v>
      </c>
      <c r="O439"/>
      <c r="P439"/>
    </row>
    <row r="440" spans="1:16" s="146" customFormat="1" ht="18" customHeight="1" x14ac:dyDescent="0.25">
      <c r="A440" s="48" t="s">
        <v>163</v>
      </c>
      <c r="B440" s="926" t="s">
        <v>1386</v>
      </c>
      <c r="C440" s="685" t="s">
        <v>396</v>
      </c>
      <c r="D440" s="333"/>
      <c r="E440" s="333"/>
      <c r="F440" s="333"/>
      <c r="G440" s="176" t="s">
        <v>395</v>
      </c>
      <c r="H440" s="101">
        <v>159551.29999999999</v>
      </c>
      <c r="I440" s="102">
        <v>304000</v>
      </c>
      <c r="J440" s="101">
        <v>65712.539999999994</v>
      </c>
      <c r="K440" s="101">
        <v>304000</v>
      </c>
      <c r="L440" s="101"/>
      <c r="M440" s="10"/>
      <c r="N440" s="10"/>
      <c r="O440"/>
      <c r="P440"/>
    </row>
    <row r="441" spans="1:16" s="146" customFormat="1" ht="18" customHeight="1" x14ac:dyDescent="0.25">
      <c r="A441" s="48" t="s">
        <v>163</v>
      </c>
      <c r="B441" s="926" t="s">
        <v>1386</v>
      </c>
      <c r="C441" s="180" t="s">
        <v>397</v>
      </c>
      <c r="D441" s="225"/>
      <c r="E441" s="225"/>
      <c r="F441" s="226"/>
      <c r="G441" s="176" t="s">
        <v>395</v>
      </c>
      <c r="H441" s="101">
        <v>442353.9</v>
      </c>
      <c r="I441" s="102">
        <v>1470000</v>
      </c>
      <c r="J441" s="101">
        <v>216394.47</v>
      </c>
      <c r="K441" s="101">
        <v>1465000</v>
      </c>
      <c r="L441" s="101"/>
      <c r="M441" s="10"/>
      <c r="N441" s="10">
        <f>75000+36000</f>
        <v>111000</v>
      </c>
      <c r="O441"/>
      <c r="P441"/>
    </row>
    <row r="442" spans="1:16" s="146" customFormat="1" ht="18" customHeight="1" x14ac:dyDescent="0.25">
      <c r="A442" s="48" t="s">
        <v>163</v>
      </c>
      <c r="B442" s="926" t="s">
        <v>1386</v>
      </c>
      <c r="C442" s="685" t="s">
        <v>398</v>
      </c>
      <c r="D442" s="333"/>
      <c r="E442" s="333"/>
      <c r="F442" s="333"/>
      <c r="G442" s="176" t="s">
        <v>395</v>
      </c>
      <c r="H442" s="101">
        <v>45400</v>
      </c>
      <c r="I442" s="102">
        <v>39700</v>
      </c>
      <c r="J442" s="101">
        <v>17536</v>
      </c>
      <c r="K442" s="101">
        <v>52400</v>
      </c>
      <c r="L442" s="101"/>
      <c r="M442" s="10"/>
      <c r="N442" s="10">
        <f>1422925.92+395464.32</f>
        <v>1818390.24</v>
      </c>
      <c r="O442"/>
      <c r="P442"/>
    </row>
    <row r="443" spans="1:16" s="146" customFormat="1" ht="18" customHeight="1" x14ac:dyDescent="0.25">
      <c r="A443" s="48" t="s">
        <v>163</v>
      </c>
      <c r="B443" s="926" t="s">
        <v>1386</v>
      </c>
      <c r="C443" s="245" t="s">
        <v>399</v>
      </c>
      <c r="D443" s="97"/>
      <c r="E443" s="97"/>
      <c r="F443" s="97"/>
      <c r="G443" s="131" t="s">
        <v>395</v>
      </c>
      <c r="H443" s="101">
        <v>502096</v>
      </c>
      <c r="I443" s="102">
        <v>760000</v>
      </c>
      <c r="J443" s="101">
        <v>361222.40000000002</v>
      </c>
      <c r="K443" s="101">
        <v>760000</v>
      </c>
      <c r="L443" s="101"/>
      <c r="M443" s="10"/>
      <c r="N443" s="10">
        <f>30000+14400</f>
        <v>44400</v>
      </c>
      <c r="O443"/>
      <c r="P443"/>
    </row>
    <row r="444" spans="1:16" s="146" customFormat="1" ht="18" customHeight="1" x14ac:dyDescent="0.25">
      <c r="A444" s="48" t="s">
        <v>163</v>
      </c>
      <c r="B444" s="926" t="s">
        <v>1386</v>
      </c>
      <c r="C444" s="245" t="s">
        <v>400</v>
      </c>
      <c r="D444" s="97"/>
      <c r="E444" s="97"/>
      <c r="F444" s="97"/>
      <c r="G444" s="131" t="s">
        <v>237</v>
      </c>
      <c r="H444" s="101"/>
      <c r="I444" s="102">
        <v>6000</v>
      </c>
      <c r="J444" s="101"/>
      <c r="K444" s="101">
        <v>6000</v>
      </c>
      <c r="L444" s="101"/>
      <c r="M444" s="10"/>
      <c r="N444" s="10">
        <f>460800+132012</f>
        <v>592812</v>
      </c>
      <c r="O444"/>
      <c r="P444"/>
    </row>
    <row r="445" spans="1:16" s="146" customFormat="1" ht="18" customHeight="1" x14ac:dyDescent="0.25">
      <c r="A445" s="48" t="s">
        <v>163</v>
      </c>
      <c r="B445" s="926" t="s">
        <v>1386</v>
      </c>
      <c r="C445" s="245" t="s">
        <v>198</v>
      </c>
      <c r="D445" s="97"/>
      <c r="E445" s="97"/>
      <c r="F445" s="97"/>
      <c r="G445" s="131" t="s">
        <v>199</v>
      </c>
      <c r="H445" s="105">
        <v>1846475.78</v>
      </c>
      <c r="I445" s="106">
        <v>4250364.6399999997</v>
      </c>
      <c r="J445" s="105">
        <v>890407.89</v>
      </c>
      <c r="K445" s="105">
        <v>4375332</v>
      </c>
      <c r="L445" s="105"/>
      <c r="M445" s="10"/>
      <c r="N445" s="10">
        <f>30000+14400</f>
        <v>44400</v>
      </c>
      <c r="O445"/>
      <c r="P445"/>
    </row>
    <row r="446" spans="1:16" s="146" customFormat="1" ht="18" customHeight="1" x14ac:dyDescent="0.25">
      <c r="A446" s="169" t="s">
        <v>163</v>
      </c>
      <c r="B446" s="926" t="s">
        <v>1386</v>
      </c>
      <c r="C446" s="44" t="s">
        <v>353</v>
      </c>
      <c r="D446" s="125"/>
      <c r="E446" s="125"/>
      <c r="F446" s="134"/>
      <c r="G446" s="131" t="s">
        <v>165</v>
      </c>
      <c r="H446" s="101">
        <v>29917</v>
      </c>
      <c r="I446" s="102">
        <v>58500</v>
      </c>
      <c r="J446" s="101">
        <v>5300</v>
      </c>
      <c r="K446" s="101">
        <v>58500</v>
      </c>
      <c r="L446" s="101"/>
      <c r="M446" s="10"/>
      <c r="N446" s="10"/>
      <c r="O446"/>
      <c r="P446"/>
    </row>
    <row r="447" spans="1:16" s="146" customFormat="1" ht="18" x14ac:dyDescent="0.25">
      <c r="A447" s="169" t="s">
        <v>163</v>
      </c>
      <c r="B447" s="926" t="s">
        <v>1386</v>
      </c>
      <c r="C447" s="44" t="s">
        <v>168</v>
      </c>
      <c r="D447" s="125"/>
      <c r="E447" s="125"/>
      <c r="F447" s="125"/>
      <c r="G447" s="131" t="s">
        <v>169</v>
      </c>
      <c r="H447" s="101">
        <v>369935</v>
      </c>
      <c r="I447" s="102">
        <v>343605</v>
      </c>
      <c r="J447" s="101">
        <v>161285</v>
      </c>
      <c r="K447" s="101">
        <v>332049</v>
      </c>
      <c r="L447" s="101"/>
      <c r="M447" s="10"/>
      <c r="N447" s="10"/>
      <c r="O447"/>
      <c r="P447"/>
    </row>
    <row r="448" spans="1:16" s="146" customFormat="1" ht="18" x14ac:dyDescent="0.25">
      <c r="A448" s="169" t="s">
        <v>163</v>
      </c>
      <c r="B448" s="926" t="s">
        <v>1386</v>
      </c>
      <c r="C448" s="44" t="s">
        <v>426</v>
      </c>
      <c r="D448" s="125"/>
      <c r="E448" s="125"/>
      <c r="F448" s="125"/>
      <c r="G448" s="131" t="s">
        <v>427</v>
      </c>
      <c r="H448" s="101">
        <v>694725</v>
      </c>
      <c r="I448" s="102">
        <v>1634825</v>
      </c>
      <c r="J448" s="101">
        <v>30000</v>
      </c>
      <c r="K448" s="101">
        <v>1432325</v>
      </c>
      <c r="L448" s="101"/>
      <c r="M448" s="10"/>
      <c r="N448" s="10"/>
      <c r="O448"/>
      <c r="P448"/>
    </row>
    <row r="449" spans="1:16" s="146" customFormat="1" ht="18" customHeight="1" x14ac:dyDescent="0.25">
      <c r="A449" s="169" t="s">
        <v>163</v>
      </c>
      <c r="B449" s="926" t="s">
        <v>1386</v>
      </c>
      <c r="C449" s="44" t="s">
        <v>288</v>
      </c>
      <c r="D449" s="125"/>
      <c r="E449" s="125"/>
      <c r="F449" s="134"/>
      <c r="G449" s="131" t="s">
        <v>171</v>
      </c>
      <c r="H449" s="101"/>
      <c r="I449" s="102"/>
      <c r="J449" s="101"/>
      <c r="K449" s="101">
        <v>73552</v>
      </c>
      <c r="L449" s="101"/>
      <c r="M449" s="10"/>
      <c r="N449" s="10"/>
      <c r="O449"/>
      <c r="P449"/>
    </row>
    <row r="450" spans="1:16" s="146" customFormat="1" ht="18" x14ac:dyDescent="0.25">
      <c r="A450" s="169" t="s">
        <v>163</v>
      </c>
      <c r="B450" s="926" t="s">
        <v>1386</v>
      </c>
      <c r="C450" s="44" t="s">
        <v>176</v>
      </c>
      <c r="D450" s="125"/>
      <c r="E450" s="125"/>
      <c r="F450" s="125"/>
      <c r="G450" s="131" t="s">
        <v>177</v>
      </c>
      <c r="H450" s="101">
        <v>1475</v>
      </c>
      <c r="I450" s="102">
        <v>15000</v>
      </c>
      <c r="J450" s="101"/>
      <c r="K450" s="101">
        <v>15000</v>
      </c>
      <c r="L450" s="101"/>
      <c r="M450" s="10"/>
      <c r="N450" s="10"/>
      <c r="O450"/>
      <c r="P450"/>
    </row>
    <row r="451" spans="1:16" ht="18" x14ac:dyDescent="0.25">
      <c r="A451" s="169" t="s">
        <v>163</v>
      </c>
      <c r="B451" s="926" t="s">
        <v>1386</v>
      </c>
      <c r="C451" s="44" t="s">
        <v>178</v>
      </c>
      <c r="D451" s="125"/>
      <c r="E451" s="125"/>
      <c r="F451" s="125"/>
      <c r="G451" s="131" t="s">
        <v>179</v>
      </c>
      <c r="H451" s="101"/>
      <c r="I451" s="102"/>
      <c r="J451" s="101"/>
      <c r="K451" s="101">
        <v>100800</v>
      </c>
      <c r="L451" s="101"/>
    </row>
    <row r="452" spans="1:16" ht="18" x14ac:dyDescent="0.25">
      <c r="A452" s="169" t="s">
        <v>163</v>
      </c>
      <c r="B452" s="926" t="s">
        <v>1386</v>
      </c>
      <c r="C452" s="44" t="s">
        <v>217</v>
      </c>
      <c r="D452" s="125"/>
      <c r="E452" s="125"/>
      <c r="F452" s="125"/>
      <c r="G452" s="131" t="s">
        <v>218</v>
      </c>
      <c r="H452" s="101">
        <v>5700</v>
      </c>
      <c r="I452" s="102">
        <v>5700</v>
      </c>
      <c r="J452" s="101">
        <v>3325</v>
      </c>
      <c r="K452" s="101">
        <v>5700</v>
      </c>
      <c r="L452" s="101"/>
    </row>
    <row r="453" spans="1:16" ht="18" x14ac:dyDescent="0.25">
      <c r="A453" s="169" t="s">
        <v>163</v>
      </c>
      <c r="B453" s="926" t="s">
        <v>1386</v>
      </c>
      <c r="C453" s="44" t="s">
        <v>186</v>
      </c>
      <c r="D453" s="125"/>
      <c r="E453" s="125"/>
      <c r="F453" s="125"/>
      <c r="G453" s="131"/>
      <c r="H453" s="101"/>
      <c r="I453" s="102"/>
      <c r="J453" s="101"/>
      <c r="K453" s="101">
        <v>50000</v>
      </c>
      <c r="L453" s="101"/>
    </row>
    <row r="454" spans="1:16" ht="18" x14ac:dyDescent="0.25">
      <c r="A454" s="169" t="s">
        <v>163</v>
      </c>
      <c r="B454" s="926" t="s">
        <v>1386</v>
      </c>
      <c r="C454" s="44" t="s">
        <v>430</v>
      </c>
      <c r="D454" s="125"/>
      <c r="E454" s="125"/>
      <c r="F454" s="125"/>
      <c r="G454" s="131" t="s">
        <v>431</v>
      </c>
      <c r="H454" s="101">
        <v>274275</v>
      </c>
      <c r="I454" s="102">
        <v>350000</v>
      </c>
      <c r="J454" s="101">
        <v>29250</v>
      </c>
      <c r="K454" s="101">
        <v>400000</v>
      </c>
      <c r="L454" s="101"/>
    </row>
    <row r="455" spans="1:16" ht="18" x14ac:dyDescent="0.25">
      <c r="A455" s="169" t="s">
        <v>163</v>
      </c>
      <c r="B455" s="926" t="s">
        <v>1386</v>
      </c>
      <c r="C455" s="44" t="s">
        <v>432</v>
      </c>
      <c r="D455" s="125"/>
      <c r="E455" s="125"/>
      <c r="F455" s="125"/>
      <c r="G455" s="131" t="s">
        <v>237</v>
      </c>
      <c r="H455" s="101">
        <v>0</v>
      </c>
      <c r="I455" s="102">
        <v>12000</v>
      </c>
      <c r="J455" s="101"/>
      <c r="K455" s="101">
        <v>12000</v>
      </c>
      <c r="L455" s="101"/>
    </row>
    <row r="456" spans="1:16" ht="18" x14ac:dyDescent="0.25">
      <c r="A456" s="169" t="s">
        <v>163</v>
      </c>
      <c r="B456" s="926" t="s">
        <v>1386</v>
      </c>
      <c r="C456" s="44" t="s">
        <v>198</v>
      </c>
      <c r="D456" s="125"/>
      <c r="E456" s="125"/>
      <c r="F456" s="125"/>
      <c r="G456" s="131" t="s">
        <v>199</v>
      </c>
      <c r="H456" s="101">
        <v>119631.61</v>
      </c>
      <c r="I456" s="102">
        <v>156984.48000000001</v>
      </c>
      <c r="J456" s="101">
        <v>7574.4</v>
      </c>
      <c r="K456" s="101">
        <v>156984.48000000001</v>
      </c>
      <c r="L456" s="101"/>
    </row>
    <row r="457" spans="1:16" ht="18" x14ac:dyDescent="0.25">
      <c r="A457" s="169" t="s">
        <v>163</v>
      </c>
      <c r="B457" s="926" t="s">
        <v>1386</v>
      </c>
      <c r="C457" s="44" t="s">
        <v>353</v>
      </c>
      <c r="D457" s="125"/>
      <c r="E457" s="125"/>
      <c r="F457" s="125"/>
      <c r="G457" s="131" t="s">
        <v>165</v>
      </c>
      <c r="H457" s="101"/>
      <c r="I457" s="102">
        <v>100000</v>
      </c>
      <c r="J457" s="101"/>
      <c r="K457" s="101">
        <v>100000</v>
      </c>
      <c r="L457" s="101"/>
    </row>
    <row r="458" spans="1:16" ht="18" x14ac:dyDescent="0.25">
      <c r="A458" s="169" t="s">
        <v>163</v>
      </c>
      <c r="B458" s="926" t="s">
        <v>1386</v>
      </c>
      <c r="C458" s="44" t="s">
        <v>168</v>
      </c>
      <c r="D458" s="125"/>
      <c r="E458" s="125"/>
      <c r="F458" s="125"/>
      <c r="G458" s="131" t="s">
        <v>169</v>
      </c>
      <c r="H458" s="101">
        <v>174513.4</v>
      </c>
      <c r="I458" s="102">
        <v>614979</v>
      </c>
      <c r="J458" s="101">
        <v>271088</v>
      </c>
      <c r="K458" s="101">
        <v>698338</v>
      </c>
      <c r="L458" s="101"/>
    </row>
    <row r="459" spans="1:16" ht="18" x14ac:dyDescent="0.25">
      <c r="A459" s="169" t="s">
        <v>163</v>
      </c>
      <c r="B459" s="926" t="s">
        <v>1386</v>
      </c>
      <c r="C459" s="44" t="s">
        <v>288</v>
      </c>
      <c r="D459" s="125"/>
      <c r="E459" s="125"/>
      <c r="F459" s="125"/>
      <c r="G459" s="131" t="s">
        <v>171</v>
      </c>
      <c r="H459" s="101"/>
      <c r="I459" s="102"/>
      <c r="J459" s="101"/>
      <c r="K459" s="101">
        <v>121650</v>
      </c>
      <c r="L459" s="101"/>
    </row>
    <row r="460" spans="1:16" ht="18" x14ac:dyDescent="0.25">
      <c r="A460" s="169" t="s">
        <v>163</v>
      </c>
      <c r="B460" s="926" t="s">
        <v>1386</v>
      </c>
      <c r="C460" s="44" t="s">
        <v>176</v>
      </c>
      <c r="D460" s="125"/>
      <c r="E460" s="125"/>
      <c r="F460" s="125"/>
      <c r="G460" s="131" t="s">
        <v>177</v>
      </c>
      <c r="H460" s="105"/>
      <c r="I460" s="106">
        <v>5000</v>
      </c>
      <c r="J460" s="105">
        <v>660</v>
      </c>
      <c r="K460" s="105">
        <v>5000</v>
      </c>
      <c r="L460" s="105"/>
    </row>
    <row r="461" spans="1:16" s="146" customFormat="1" ht="18" customHeight="1" x14ac:dyDescent="0.25">
      <c r="A461" s="169" t="s">
        <v>163</v>
      </c>
      <c r="B461" s="926" t="s">
        <v>1386</v>
      </c>
      <c r="C461" s="245" t="s">
        <v>178</v>
      </c>
      <c r="D461" s="97"/>
      <c r="E461" s="97"/>
      <c r="F461" s="97"/>
      <c r="G461" s="131" t="s">
        <v>179</v>
      </c>
      <c r="H461" s="101"/>
      <c r="I461" s="102"/>
      <c r="J461" s="101"/>
      <c r="K461" s="101">
        <v>49200</v>
      </c>
      <c r="L461" s="101"/>
      <c r="M461" s="10"/>
      <c r="N461" s="10"/>
      <c r="O461"/>
      <c r="P461"/>
    </row>
    <row r="462" spans="1:16" s="146" customFormat="1" ht="18" customHeight="1" x14ac:dyDescent="0.25">
      <c r="A462" s="169" t="s">
        <v>163</v>
      </c>
      <c r="B462" s="926" t="s">
        <v>1386</v>
      </c>
      <c r="C462" s="245" t="s">
        <v>186</v>
      </c>
      <c r="D462" s="97"/>
      <c r="E462" s="97"/>
      <c r="F462" s="97"/>
      <c r="G462" s="131" t="s">
        <v>187</v>
      </c>
      <c r="H462" s="101"/>
      <c r="I462" s="102">
        <v>50000</v>
      </c>
      <c r="J462" s="101"/>
      <c r="K462" s="101">
        <v>50000</v>
      </c>
      <c r="L462" s="101"/>
      <c r="M462" s="10"/>
      <c r="N462" s="10"/>
      <c r="O462"/>
      <c r="P462"/>
    </row>
    <row r="463" spans="1:16" s="146" customFormat="1" ht="18" customHeight="1" x14ac:dyDescent="0.25">
      <c r="A463" s="169" t="s">
        <v>163</v>
      </c>
      <c r="B463" s="926" t="s">
        <v>1386</v>
      </c>
      <c r="C463" s="245" t="s">
        <v>439</v>
      </c>
      <c r="D463" s="97"/>
      <c r="E463" s="97"/>
      <c r="F463" s="97"/>
      <c r="G463" s="131" t="s">
        <v>237</v>
      </c>
      <c r="H463" s="101">
        <v>0</v>
      </c>
      <c r="I463" s="102">
        <v>6000</v>
      </c>
      <c r="J463" s="101"/>
      <c r="K463" s="101">
        <v>6000</v>
      </c>
      <c r="L463" s="101"/>
      <c r="M463" s="10"/>
      <c r="N463" s="10"/>
      <c r="O463"/>
      <c r="P463"/>
    </row>
    <row r="464" spans="1:16" s="146" customFormat="1" ht="18" customHeight="1" x14ac:dyDescent="0.25">
      <c r="A464" s="169" t="s">
        <v>163</v>
      </c>
      <c r="B464" s="926" t="s">
        <v>1386</v>
      </c>
      <c r="C464" s="245" t="s">
        <v>198</v>
      </c>
      <c r="D464" s="97"/>
      <c r="E464" s="97"/>
      <c r="F464" s="97"/>
      <c r="G464" s="131" t="s">
        <v>199</v>
      </c>
      <c r="H464" s="101">
        <v>795170.9</v>
      </c>
      <c r="I464" s="102">
        <v>470953.44</v>
      </c>
      <c r="J464" s="101">
        <v>164400.6</v>
      </c>
      <c r="K464" s="101">
        <v>470953.44</v>
      </c>
      <c r="L464" s="101"/>
      <c r="M464" s="10"/>
      <c r="N464" s="10"/>
      <c r="O464"/>
      <c r="P464"/>
    </row>
    <row r="465" spans="1:16" s="146" customFormat="1" ht="18" customHeight="1" x14ac:dyDescent="0.25">
      <c r="A465" s="169" t="s">
        <v>163</v>
      </c>
      <c r="B465" s="926" t="s">
        <v>1386</v>
      </c>
      <c r="C465" s="834" t="s">
        <v>441</v>
      </c>
      <c r="D465" s="835"/>
      <c r="E465" s="835"/>
      <c r="F465" s="835"/>
      <c r="G465" s="131"/>
      <c r="H465" s="101">
        <v>0</v>
      </c>
      <c r="I465" s="102">
        <v>50000</v>
      </c>
      <c r="J465" s="101"/>
      <c r="K465" s="101">
        <v>50000</v>
      </c>
      <c r="L465" s="101"/>
      <c r="M465" s="10"/>
      <c r="N465" s="10"/>
      <c r="O465"/>
      <c r="P465"/>
    </row>
    <row r="466" spans="1:16" s="146" customFormat="1" ht="18" customHeight="1" x14ac:dyDescent="0.25">
      <c r="A466" s="169" t="s">
        <v>163</v>
      </c>
      <c r="B466" s="926" t="s">
        <v>1386</v>
      </c>
      <c r="C466" s="834" t="s">
        <v>443</v>
      </c>
      <c r="D466" s="835"/>
      <c r="E466" s="835"/>
      <c r="F466" s="835"/>
      <c r="G466" s="131"/>
      <c r="H466" s="101">
        <v>362232.12</v>
      </c>
      <c r="I466" s="102">
        <v>1000000</v>
      </c>
      <c r="J466" s="101">
        <v>62550.92</v>
      </c>
      <c r="K466" s="101">
        <v>1000000</v>
      </c>
      <c r="L466" s="101"/>
      <c r="M466" s="10"/>
      <c r="N466" s="10"/>
      <c r="O466"/>
      <c r="P466"/>
    </row>
    <row r="467" spans="1:16" s="146" customFormat="1" ht="18" x14ac:dyDescent="0.25">
      <c r="A467" s="229" t="s">
        <v>163</v>
      </c>
      <c r="B467" s="926" t="s">
        <v>1386</v>
      </c>
      <c r="C467" s="245" t="s">
        <v>353</v>
      </c>
      <c r="D467" s="97"/>
      <c r="E467" s="97"/>
      <c r="F467" s="97"/>
      <c r="G467" s="131" t="s">
        <v>165</v>
      </c>
      <c r="H467" s="101">
        <v>750</v>
      </c>
      <c r="I467" s="102">
        <v>20000</v>
      </c>
      <c r="J467" s="101"/>
      <c r="K467" s="101">
        <v>15000</v>
      </c>
      <c r="L467" s="101"/>
      <c r="M467" s="10"/>
      <c r="N467" s="10"/>
      <c r="O467"/>
      <c r="P467"/>
    </row>
    <row r="468" spans="1:16" s="146" customFormat="1" ht="18" customHeight="1" x14ac:dyDescent="0.25">
      <c r="A468" s="229" t="s">
        <v>163</v>
      </c>
      <c r="B468" s="926" t="s">
        <v>1386</v>
      </c>
      <c r="C468" s="245" t="s">
        <v>168</v>
      </c>
      <c r="D468" s="97"/>
      <c r="E468" s="97"/>
      <c r="F468" s="97"/>
      <c r="G468" s="131" t="s">
        <v>169</v>
      </c>
      <c r="H468" s="101">
        <v>123140</v>
      </c>
      <c r="I468" s="102">
        <v>143239</v>
      </c>
      <c r="J468" s="101">
        <v>113528</v>
      </c>
      <c r="K468" s="101">
        <v>199035</v>
      </c>
      <c r="L468" s="101"/>
      <c r="M468" s="10"/>
      <c r="N468" s="10"/>
      <c r="O468"/>
      <c r="P468"/>
    </row>
    <row r="469" spans="1:16" s="146" customFormat="1" ht="18" customHeight="1" x14ac:dyDescent="0.25">
      <c r="A469" s="229" t="s">
        <v>163</v>
      </c>
      <c r="B469" s="926" t="s">
        <v>1386</v>
      </c>
      <c r="C469" s="245" t="s">
        <v>213</v>
      </c>
      <c r="D469" s="97"/>
      <c r="E469" s="97"/>
      <c r="F469" s="97"/>
      <c r="G469" s="131" t="s">
        <v>171</v>
      </c>
      <c r="H469" s="101"/>
      <c r="I469" s="102">
        <v>12000</v>
      </c>
      <c r="J469" s="101"/>
      <c r="K469" s="101">
        <v>110974</v>
      </c>
      <c r="L469" s="101"/>
      <c r="M469" s="10"/>
      <c r="N469" s="10"/>
      <c r="O469"/>
      <c r="P469"/>
    </row>
    <row r="470" spans="1:16" s="146" customFormat="1" ht="18" customHeight="1" x14ac:dyDescent="0.25">
      <c r="A470" s="229" t="s">
        <v>163</v>
      </c>
      <c r="B470" s="926" t="s">
        <v>1386</v>
      </c>
      <c r="C470" s="245" t="s">
        <v>176</v>
      </c>
      <c r="D470" s="97"/>
      <c r="E470" s="97"/>
      <c r="F470" s="97"/>
      <c r="G470" s="131" t="s">
        <v>177</v>
      </c>
      <c r="H470" s="101"/>
      <c r="I470" s="102">
        <v>10000</v>
      </c>
      <c r="J470" s="101"/>
      <c r="K470" s="101">
        <v>10000</v>
      </c>
      <c r="L470" s="101"/>
      <c r="M470" s="10"/>
      <c r="N470" s="10"/>
      <c r="O470"/>
      <c r="P470"/>
    </row>
    <row r="471" spans="1:16" s="146" customFormat="1" ht="18" x14ac:dyDescent="0.25">
      <c r="A471" s="229" t="s">
        <v>163</v>
      </c>
      <c r="B471" s="926" t="s">
        <v>1386</v>
      </c>
      <c r="C471" s="245" t="s">
        <v>178</v>
      </c>
      <c r="D471" s="97"/>
      <c r="E471" s="97"/>
      <c r="F471" s="97"/>
      <c r="G471" s="131" t="s">
        <v>179</v>
      </c>
      <c r="H471" s="101"/>
      <c r="I471" s="102"/>
      <c r="J471" s="101"/>
      <c r="K471" s="101">
        <v>42000</v>
      </c>
      <c r="L471" s="101"/>
      <c r="M471" s="10"/>
      <c r="N471" s="10"/>
      <c r="O471"/>
      <c r="P471"/>
    </row>
    <row r="472" spans="1:16" s="146" customFormat="1" ht="18" customHeight="1" x14ac:dyDescent="0.25">
      <c r="A472" s="229" t="s">
        <v>163</v>
      </c>
      <c r="B472" s="926" t="s">
        <v>1386</v>
      </c>
      <c r="C472" s="245" t="s">
        <v>182</v>
      </c>
      <c r="D472" s="97"/>
      <c r="E472" s="97"/>
      <c r="F472" s="97"/>
      <c r="G472" s="131" t="s">
        <v>183</v>
      </c>
      <c r="H472" s="101">
        <v>24189</v>
      </c>
      <c r="I472" s="102">
        <v>27000</v>
      </c>
      <c r="J472" s="101">
        <v>15239.07</v>
      </c>
      <c r="K472" s="102">
        <v>54000</v>
      </c>
      <c r="L472" s="101"/>
      <c r="M472" s="10"/>
      <c r="N472" s="10"/>
      <c r="O472"/>
      <c r="P472"/>
    </row>
    <row r="473" spans="1:16" s="146" customFormat="1" ht="18" x14ac:dyDescent="0.25">
      <c r="A473" s="229" t="s">
        <v>163</v>
      </c>
      <c r="B473" s="926" t="s">
        <v>1386</v>
      </c>
      <c r="C473" s="44" t="s">
        <v>186</v>
      </c>
      <c r="D473" s="125"/>
      <c r="E473" s="125"/>
      <c r="F473" s="134"/>
      <c r="G473" s="131" t="s">
        <v>187</v>
      </c>
      <c r="H473" s="101"/>
      <c r="I473" s="102">
        <v>10000</v>
      </c>
      <c r="J473" s="101"/>
      <c r="K473" s="101">
        <v>10000</v>
      </c>
      <c r="L473" s="101"/>
      <c r="M473" s="10"/>
      <c r="N473" s="10"/>
      <c r="O473"/>
      <c r="P473"/>
    </row>
    <row r="474" spans="1:16" s="146" customFormat="1" ht="18" x14ac:dyDescent="0.25">
      <c r="A474" s="229" t="s">
        <v>163</v>
      </c>
      <c r="B474" s="926" t="s">
        <v>1386</v>
      </c>
      <c r="C474" s="44" t="s">
        <v>198</v>
      </c>
      <c r="D474" s="125"/>
      <c r="E474" s="125"/>
      <c r="F474" s="134"/>
      <c r="G474" s="131" t="s">
        <v>199</v>
      </c>
      <c r="H474" s="101">
        <v>125475.13</v>
      </c>
      <c r="I474" s="102">
        <v>313968.96000000002</v>
      </c>
      <c r="J474" s="101">
        <v>62236.942999999999</v>
      </c>
      <c r="K474" s="101">
        <v>319968.96000000002</v>
      </c>
      <c r="L474" s="102"/>
      <c r="M474" s="10"/>
      <c r="N474" s="10"/>
    </row>
    <row r="475" spans="1:16" s="146" customFormat="1" ht="18" customHeight="1" x14ac:dyDescent="0.25">
      <c r="A475" s="229" t="s">
        <v>163</v>
      </c>
      <c r="B475" s="926" t="s">
        <v>1387</v>
      </c>
      <c r="C475" s="245" t="s">
        <v>353</v>
      </c>
      <c r="D475" s="97"/>
      <c r="E475" s="97"/>
      <c r="F475" s="97"/>
      <c r="G475" s="131" t="s">
        <v>165</v>
      </c>
      <c r="H475" s="101">
        <v>50079.32</v>
      </c>
      <c r="I475" s="102">
        <v>826000</v>
      </c>
      <c r="J475" s="101">
        <v>2380</v>
      </c>
      <c r="K475" s="101">
        <v>176000</v>
      </c>
      <c r="L475" s="101"/>
      <c r="M475" s="10"/>
      <c r="N475" s="10"/>
      <c r="O475"/>
      <c r="P475"/>
    </row>
    <row r="476" spans="1:16" s="146" customFormat="1" ht="18" customHeight="1" x14ac:dyDescent="0.25">
      <c r="A476" s="229" t="s">
        <v>163</v>
      </c>
      <c r="B476" s="926" t="s">
        <v>1387</v>
      </c>
      <c r="C476" s="245" t="s">
        <v>168</v>
      </c>
      <c r="D476" s="97"/>
      <c r="E476" s="97"/>
      <c r="F476" s="97"/>
      <c r="G476" s="131" t="s">
        <v>169</v>
      </c>
      <c r="H476" s="101">
        <v>564940.5</v>
      </c>
      <c r="I476" s="102">
        <v>763408</v>
      </c>
      <c r="J476" s="101">
        <v>377106.5</v>
      </c>
      <c r="K476" s="101">
        <v>1189083</v>
      </c>
      <c r="L476" s="101"/>
      <c r="M476" s="10"/>
      <c r="N476" s="10"/>
      <c r="O476"/>
      <c r="P476"/>
    </row>
    <row r="477" spans="1:16" s="146" customFormat="1" ht="18" customHeight="1" x14ac:dyDescent="0.25">
      <c r="A477" s="229" t="s">
        <v>163</v>
      </c>
      <c r="B477" s="926" t="s">
        <v>1387</v>
      </c>
      <c r="C477" s="245" t="s">
        <v>466</v>
      </c>
      <c r="D477" s="97"/>
      <c r="E477" s="97"/>
      <c r="F477" s="97"/>
      <c r="G477" s="131" t="s">
        <v>467</v>
      </c>
      <c r="H477" s="101"/>
      <c r="I477" s="102"/>
      <c r="J477" s="101"/>
      <c r="K477" s="101">
        <v>17571466</v>
      </c>
      <c r="L477" s="101"/>
      <c r="M477" s="10"/>
      <c r="N477" s="10"/>
      <c r="O477"/>
      <c r="P477"/>
    </row>
    <row r="478" spans="1:16" s="146" customFormat="1" ht="18" customHeight="1" x14ac:dyDescent="0.25">
      <c r="A478" s="229" t="s">
        <v>163</v>
      </c>
      <c r="B478" s="926" t="s">
        <v>1387</v>
      </c>
      <c r="C478" s="245" t="s">
        <v>468</v>
      </c>
      <c r="D478" s="97"/>
      <c r="E478" s="97"/>
      <c r="F478" s="97"/>
      <c r="G478" s="131" t="s">
        <v>469</v>
      </c>
      <c r="H478" s="105">
        <v>4463519</v>
      </c>
      <c r="I478" s="106">
        <v>11378111</v>
      </c>
      <c r="J478" s="105"/>
      <c r="K478" s="105">
        <v>41354789</v>
      </c>
      <c r="L478" s="105"/>
      <c r="M478" s="10"/>
      <c r="N478" s="10"/>
      <c r="O478"/>
      <c r="P478"/>
    </row>
    <row r="479" spans="1:16" s="146" customFormat="1" ht="18" customHeight="1" x14ac:dyDescent="0.25">
      <c r="A479" s="229" t="s">
        <v>163</v>
      </c>
      <c r="B479" s="926" t="s">
        <v>1387</v>
      </c>
      <c r="C479" s="859" t="s">
        <v>170</v>
      </c>
      <c r="D479" s="837"/>
      <c r="E479" s="837"/>
      <c r="F479" s="838"/>
      <c r="G479" s="131" t="s">
        <v>171</v>
      </c>
      <c r="H479" s="101"/>
      <c r="I479" s="102">
        <v>367100</v>
      </c>
      <c r="J479" s="101"/>
      <c r="K479" s="101">
        <v>1679955</v>
      </c>
      <c r="L479" s="101"/>
      <c r="M479" s="10"/>
      <c r="N479" s="10"/>
      <c r="O479"/>
      <c r="P479"/>
    </row>
    <row r="480" spans="1:16" s="146" customFormat="1" ht="18" x14ac:dyDescent="0.25">
      <c r="A480" s="229" t="s">
        <v>163</v>
      </c>
      <c r="B480" s="926" t="s">
        <v>1387</v>
      </c>
      <c r="C480" s="44" t="s">
        <v>382</v>
      </c>
      <c r="D480" s="125"/>
      <c r="E480" s="125"/>
      <c r="F480" s="125"/>
      <c r="G480" s="131" t="s">
        <v>383</v>
      </c>
      <c r="H480" s="101">
        <v>4627.95</v>
      </c>
      <c r="I480" s="102">
        <v>10800</v>
      </c>
      <c r="J480" s="101">
        <v>1512</v>
      </c>
      <c r="K480" s="101">
        <v>10800</v>
      </c>
      <c r="L480" s="101"/>
      <c r="M480" s="10"/>
      <c r="N480" s="10"/>
      <c r="O480"/>
      <c r="P480"/>
    </row>
    <row r="481" spans="1:16" s="146" customFormat="1" ht="18" x14ac:dyDescent="0.25">
      <c r="A481" s="229" t="s">
        <v>163</v>
      </c>
      <c r="B481" s="926" t="s">
        <v>1387</v>
      </c>
      <c r="C481" s="44" t="s">
        <v>296</v>
      </c>
      <c r="D481" s="125"/>
      <c r="E481" s="125"/>
      <c r="F481" s="125"/>
      <c r="G481" s="131" t="s">
        <v>177</v>
      </c>
      <c r="H481" s="101">
        <v>0</v>
      </c>
      <c r="I481" s="102">
        <v>3000</v>
      </c>
      <c r="J481" s="101"/>
      <c r="K481" s="101">
        <v>8000</v>
      </c>
      <c r="L481" s="101"/>
      <c r="M481" s="10"/>
      <c r="N481" s="10"/>
      <c r="O481"/>
      <c r="P481"/>
    </row>
    <row r="482" spans="1:16" ht="18" x14ac:dyDescent="0.25">
      <c r="A482" s="229" t="s">
        <v>163</v>
      </c>
      <c r="B482" s="926" t="s">
        <v>1387</v>
      </c>
      <c r="C482" s="44" t="s">
        <v>178</v>
      </c>
      <c r="D482" s="125"/>
      <c r="E482" s="125"/>
      <c r="F482" s="125"/>
      <c r="G482" s="131" t="s">
        <v>179</v>
      </c>
      <c r="H482" s="101"/>
      <c r="I482" s="102"/>
      <c r="J482" s="101"/>
      <c r="K482" s="101">
        <v>109200</v>
      </c>
      <c r="L482" s="101"/>
    </row>
    <row r="483" spans="1:16" ht="18" x14ac:dyDescent="0.25">
      <c r="A483" s="229" t="s">
        <v>163</v>
      </c>
      <c r="B483" s="926" t="s">
        <v>1387</v>
      </c>
      <c r="C483" s="44" t="s">
        <v>182</v>
      </c>
      <c r="D483" s="125"/>
      <c r="E483" s="125"/>
      <c r="F483" s="125"/>
      <c r="G483" s="131" t="s">
        <v>183</v>
      </c>
      <c r="H483" s="101">
        <v>58770</v>
      </c>
      <c r="I483" s="102">
        <v>97200</v>
      </c>
      <c r="J483" s="101">
        <v>30786</v>
      </c>
      <c r="K483" s="101">
        <v>100000</v>
      </c>
      <c r="L483" s="101"/>
    </row>
    <row r="484" spans="1:16" ht="18" x14ac:dyDescent="0.25">
      <c r="A484" s="229" t="s">
        <v>163</v>
      </c>
      <c r="B484" s="926" t="s">
        <v>1387</v>
      </c>
      <c r="C484" s="44" t="s">
        <v>472</v>
      </c>
      <c r="D484" s="125"/>
      <c r="E484" s="125"/>
      <c r="F484" s="125"/>
      <c r="G484" s="131" t="s">
        <v>218</v>
      </c>
      <c r="H484" s="101">
        <v>6000</v>
      </c>
      <c r="I484" s="102">
        <v>9000</v>
      </c>
      <c r="J484" s="101">
        <v>2625</v>
      </c>
      <c r="K484" s="101">
        <v>9000</v>
      </c>
      <c r="L484" s="101"/>
    </row>
    <row r="485" spans="1:16" ht="18" x14ac:dyDescent="0.25">
      <c r="A485" s="229" t="s">
        <v>163</v>
      </c>
      <c r="B485" s="926" t="s">
        <v>1387</v>
      </c>
      <c r="C485" s="44" t="s">
        <v>186</v>
      </c>
      <c r="D485" s="125"/>
      <c r="E485" s="125"/>
      <c r="F485" s="125"/>
      <c r="G485" s="131" t="s">
        <v>356</v>
      </c>
      <c r="H485" s="101">
        <v>0</v>
      </c>
      <c r="I485" s="102">
        <v>215000</v>
      </c>
      <c r="J485" s="101">
        <v>771</v>
      </c>
      <c r="K485" s="101">
        <v>250000</v>
      </c>
      <c r="L485" s="101"/>
    </row>
    <row r="486" spans="1:16" ht="18" x14ac:dyDescent="0.25">
      <c r="A486" s="229" t="s">
        <v>163</v>
      </c>
      <c r="B486" s="926" t="s">
        <v>1387</v>
      </c>
      <c r="C486" s="44" t="s">
        <v>473</v>
      </c>
      <c r="D486" s="125"/>
      <c r="E486" s="125"/>
      <c r="F486" s="125"/>
      <c r="G486" s="131" t="s">
        <v>474</v>
      </c>
      <c r="H486" s="101">
        <v>0</v>
      </c>
      <c r="I486" s="102">
        <v>1000000</v>
      </c>
      <c r="J486" s="101"/>
      <c r="K486" s="101">
        <v>1000000</v>
      </c>
      <c r="L486" s="101"/>
    </row>
    <row r="487" spans="1:16" ht="18" x14ac:dyDescent="0.25">
      <c r="A487" s="229" t="s">
        <v>163</v>
      </c>
      <c r="B487" s="926" t="s">
        <v>1387</v>
      </c>
      <c r="C487" s="44" t="s">
        <v>188</v>
      </c>
      <c r="D487" s="125"/>
      <c r="E487" s="125"/>
      <c r="F487" s="125"/>
      <c r="G487" s="131" t="s">
        <v>189</v>
      </c>
      <c r="H487" s="101">
        <v>0</v>
      </c>
      <c r="I487" s="102">
        <v>105000</v>
      </c>
      <c r="J487" s="101"/>
      <c r="K487" s="101">
        <v>1000000</v>
      </c>
      <c r="L487" s="101"/>
    </row>
    <row r="488" spans="1:16" ht="18" x14ac:dyDescent="0.25">
      <c r="A488" s="229" t="s">
        <v>163</v>
      </c>
      <c r="B488" s="926" t="s">
        <v>1387</v>
      </c>
      <c r="C488" s="44" t="s">
        <v>439</v>
      </c>
      <c r="D488" s="125"/>
      <c r="E488" s="125"/>
      <c r="F488" s="125"/>
      <c r="G488" s="131" t="s">
        <v>237</v>
      </c>
      <c r="H488" s="101">
        <v>0</v>
      </c>
      <c r="I488" s="102">
        <v>10000</v>
      </c>
      <c r="J488" s="101"/>
      <c r="K488" s="101">
        <v>10000</v>
      </c>
      <c r="L488" s="101"/>
    </row>
    <row r="489" spans="1:16" ht="18" x14ac:dyDescent="0.25">
      <c r="A489" s="229" t="s">
        <v>163</v>
      </c>
      <c r="B489" s="926" t="s">
        <v>1387</v>
      </c>
      <c r="C489" s="44" t="s">
        <v>198</v>
      </c>
      <c r="D489" s="125"/>
      <c r="E489" s="125"/>
      <c r="F489" s="125"/>
      <c r="G489" s="131" t="s">
        <v>199</v>
      </c>
      <c r="H489" s="101">
        <v>1551312.8</v>
      </c>
      <c r="I489" s="102">
        <v>2303755</v>
      </c>
      <c r="J489" s="101">
        <v>1093411.57</v>
      </c>
      <c r="K489" s="101">
        <v>5608932.1600000001</v>
      </c>
      <c r="L489" s="101"/>
    </row>
    <row r="490" spans="1:16" ht="18" x14ac:dyDescent="0.25">
      <c r="A490" s="388" t="s">
        <v>163</v>
      </c>
      <c r="B490" s="926" t="s">
        <v>1387</v>
      </c>
      <c r="C490" s="44" t="s">
        <v>353</v>
      </c>
      <c r="D490" s="113"/>
      <c r="E490" s="113"/>
      <c r="F490" s="113"/>
      <c r="G490" s="131" t="s">
        <v>165</v>
      </c>
      <c r="H490" s="105">
        <v>20722</v>
      </c>
      <c r="I490" s="106">
        <v>50000</v>
      </c>
      <c r="J490" s="105">
        <v>24300</v>
      </c>
      <c r="K490" s="106">
        <v>100000</v>
      </c>
      <c r="L490" s="105"/>
    </row>
    <row r="491" spans="1:16" s="146" customFormat="1" ht="18" customHeight="1" x14ac:dyDescent="0.25">
      <c r="A491" s="388" t="s">
        <v>163</v>
      </c>
      <c r="B491" s="926" t="s">
        <v>1387</v>
      </c>
      <c r="C491" s="245" t="s">
        <v>168</v>
      </c>
      <c r="D491" s="116"/>
      <c r="E491" s="116"/>
      <c r="F491" s="116"/>
      <c r="G491" s="131" t="s">
        <v>169</v>
      </c>
      <c r="H491" s="101">
        <v>84368.1</v>
      </c>
      <c r="I491" s="102">
        <v>120000</v>
      </c>
      <c r="J491" s="101">
        <v>111812.5</v>
      </c>
      <c r="K491" s="101">
        <v>138756</v>
      </c>
      <c r="L491" s="101"/>
      <c r="M491" s="10"/>
      <c r="N491" s="10"/>
      <c r="O491"/>
      <c r="P491"/>
    </row>
    <row r="492" spans="1:16" s="146" customFormat="1" ht="18" customHeight="1" x14ac:dyDescent="0.25">
      <c r="A492" s="388" t="s">
        <v>163</v>
      </c>
      <c r="B492" s="926" t="s">
        <v>1387</v>
      </c>
      <c r="C492" s="245" t="s">
        <v>213</v>
      </c>
      <c r="D492" s="116"/>
      <c r="E492" s="116"/>
      <c r="F492" s="116"/>
      <c r="G492" s="131" t="s">
        <v>171</v>
      </c>
      <c r="H492" s="101">
        <v>0</v>
      </c>
      <c r="I492" s="102"/>
      <c r="J492" s="101"/>
      <c r="K492" s="101">
        <v>19415</v>
      </c>
      <c r="L492" s="101"/>
      <c r="M492" s="10"/>
      <c r="N492" s="10"/>
      <c r="O492"/>
      <c r="P492"/>
    </row>
    <row r="493" spans="1:16" s="146" customFormat="1" ht="18" customHeight="1" x14ac:dyDescent="0.25">
      <c r="A493" s="388" t="s">
        <v>163</v>
      </c>
      <c r="B493" s="926" t="s">
        <v>1387</v>
      </c>
      <c r="C493" s="245" t="s">
        <v>176</v>
      </c>
      <c r="D493" s="116"/>
      <c r="E493" s="116"/>
      <c r="F493" s="116"/>
      <c r="G493" s="131" t="s">
        <v>177</v>
      </c>
      <c r="H493" s="101">
        <v>0</v>
      </c>
      <c r="I493" s="102">
        <v>1000</v>
      </c>
      <c r="J493" s="101">
        <v>200</v>
      </c>
      <c r="K493" s="101">
        <v>1000</v>
      </c>
      <c r="L493" s="101"/>
      <c r="M493" s="10"/>
      <c r="N493" s="10"/>
      <c r="O493"/>
      <c r="P493"/>
    </row>
    <row r="494" spans="1:16" s="146" customFormat="1" ht="18" customHeight="1" x14ac:dyDescent="0.25">
      <c r="A494" s="388" t="s">
        <v>163</v>
      </c>
      <c r="B494" s="926" t="s">
        <v>1387</v>
      </c>
      <c r="C494" s="245" t="s">
        <v>178</v>
      </c>
      <c r="D494" s="116"/>
      <c r="E494" s="116"/>
      <c r="F494" s="116"/>
      <c r="G494" s="131" t="s">
        <v>179</v>
      </c>
      <c r="H494" s="101"/>
      <c r="I494" s="102"/>
      <c r="J494" s="101"/>
      <c r="K494" s="101">
        <v>42000</v>
      </c>
      <c r="L494" s="101"/>
      <c r="M494" s="10"/>
      <c r="N494" s="10"/>
      <c r="O494"/>
      <c r="P494"/>
    </row>
    <row r="495" spans="1:16" s="146" customFormat="1" ht="18" customHeight="1" x14ac:dyDescent="0.25">
      <c r="A495" s="388" t="s">
        <v>163</v>
      </c>
      <c r="B495" s="926" t="s">
        <v>1387</v>
      </c>
      <c r="C495" s="245" t="s">
        <v>182</v>
      </c>
      <c r="D495" s="116"/>
      <c r="E495" s="116"/>
      <c r="F495" s="116"/>
      <c r="G495" s="131"/>
      <c r="H495" s="101"/>
      <c r="I495" s="102"/>
      <c r="J495" s="101"/>
      <c r="K495" s="101">
        <v>48000</v>
      </c>
      <c r="L495" s="101"/>
      <c r="M495" s="10"/>
      <c r="N495" s="10"/>
      <c r="O495"/>
      <c r="P495"/>
    </row>
    <row r="496" spans="1:16" s="146" customFormat="1" ht="18" x14ac:dyDescent="0.25">
      <c r="A496" s="388" t="s">
        <v>163</v>
      </c>
      <c r="B496" s="926" t="s">
        <v>1387</v>
      </c>
      <c r="C496" s="245" t="s">
        <v>198</v>
      </c>
      <c r="D496" s="116"/>
      <c r="E496" s="116"/>
      <c r="F496" s="116"/>
      <c r="G496" s="131" t="s">
        <v>199</v>
      </c>
      <c r="H496" s="101">
        <v>1144445.42</v>
      </c>
      <c r="I496" s="102">
        <v>1051570.6399999999</v>
      </c>
      <c r="J496" s="101">
        <v>246959.51</v>
      </c>
      <c r="K496" s="101">
        <v>963526.56</v>
      </c>
      <c r="L496" s="101"/>
      <c r="M496" s="10"/>
      <c r="N496" s="10"/>
      <c r="O496"/>
      <c r="P496"/>
    </row>
    <row r="497" spans="1:16" s="146" customFormat="1" ht="18" customHeight="1" x14ac:dyDescent="0.25">
      <c r="A497" s="48" t="s">
        <v>163</v>
      </c>
      <c r="B497" s="926" t="s">
        <v>1388</v>
      </c>
      <c r="C497" s="245" t="s">
        <v>164</v>
      </c>
      <c r="D497" s="97"/>
      <c r="E497" s="97"/>
      <c r="F497" s="97"/>
      <c r="G497" s="131" t="s">
        <v>165</v>
      </c>
      <c r="H497" s="101">
        <v>436061</v>
      </c>
      <c r="I497" s="102">
        <v>890000</v>
      </c>
      <c r="J497" s="101">
        <v>293615</v>
      </c>
      <c r="K497" s="101">
        <v>932000</v>
      </c>
      <c r="L497" s="101"/>
      <c r="M497" s="10"/>
      <c r="N497" s="10"/>
      <c r="O497"/>
      <c r="P497"/>
    </row>
    <row r="498" spans="1:16" s="146" customFormat="1" ht="18" x14ac:dyDescent="0.25">
      <c r="A498" s="48" t="s">
        <v>163</v>
      </c>
      <c r="B498" s="926" t="s">
        <v>1388</v>
      </c>
      <c r="C498" s="44" t="s">
        <v>166</v>
      </c>
      <c r="D498" s="125"/>
      <c r="E498" s="125"/>
      <c r="F498" s="134"/>
      <c r="G498" s="131" t="s">
        <v>293</v>
      </c>
      <c r="H498" s="101"/>
      <c r="I498" s="102"/>
      <c r="J498" s="101"/>
      <c r="K498" s="101">
        <v>50000</v>
      </c>
      <c r="L498" s="101"/>
      <c r="M498" s="10"/>
      <c r="N498" s="10"/>
      <c r="O498"/>
      <c r="P498"/>
    </row>
    <row r="499" spans="1:16" s="146" customFormat="1" ht="18" customHeight="1" x14ac:dyDescent="0.25">
      <c r="A499" s="48" t="s">
        <v>163</v>
      </c>
      <c r="B499" s="926" t="s">
        <v>1388</v>
      </c>
      <c r="C499" s="245" t="s">
        <v>168</v>
      </c>
      <c r="D499" s="97"/>
      <c r="E499" s="97"/>
      <c r="F499" s="97"/>
      <c r="G499" s="131" t="s">
        <v>169</v>
      </c>
      <c r="H499" s="101">
        <v>320917.34999999998</v>
      </c>
      <c r="I499" s="102">
        <v>457586.25</v>
      </c>
      <c r="J499" s="101">
        <v>211691</v>
      </c>
      <c r="K499" s="102">
        <v>1087166.5</v>
      </c>
      <c r="L499" s="101"/>
      <c r="M499" s="10"/>
      <c r="N499" s="10"/>
      <c r="O499"/>
      <c r="P499"/>
    </row>
    <row r="500" spans="1:16" s="146" customFormat="1" ht="18" customHeight="1" x14ac:dyDescent="0.25">
      <c r="A500" s="48" t="s">
        <v>163</v>
      </c>
      <c r="B500" s="926" t="s">
        <v>1388</v>
      </c>
      <c r="C500" s="245" t="s">
        <v>170</v>
      </c>
      <c r="D500" s="97"/>
      <c r="E500" s="97"/>
      <c r="F500" s="97"/>
      <c r="G500" s="131" t="s">
        <v>171</v>
      </c>
      <c r="H500" s="101"/>
      <c r="I500" s="102"/>
      <c r="J500" s="101"/>
      <c r="K500" s="102">
        <v>417885</v>
      </c>
      <c r="L500" s="101"/>
      <c r="M500" s="10"/>
      <c r="N500" s="10"/>
      <c r="O500"/>
      <c r="P500"/>
    </row>
    <row r="501" spans="1:16" s="146" customFormat="1" ht="18" customHeight="1" x14ac:dyDescent="0.25">
      <c r="A501" s="48" t="s">
        <v>163</v>
      </c>
      <c r="B501" s="926" t="s">
        <v>1388</v>
      </c>
      <c r="C501" s="245" t="s">
        <v>176</v>
      </c>
      <c r="D501" s="97"/>
      <c r="E501" s="97"/>
      <c r="F501" s="97"/>
      <c r="G501" s="131" t="s">
        <v>177</v>
      </c>
      <c r="H501" s="101">
        <v>0</v>
      </c>
      <c r="I501" s="102">
        <v>4500</v>
      </c>
      <c r="J501" s="101"/>
      <c r="K501" s="101">
        <v>4500</v>
      </c>
      <c r="L501" s="101"/>
      <c r="M501" s="10"/>
      <c r="N501" s="10"/>
      <c r="O501"/>
      <c r="P501"/>
    </row>
    <row r="502" spans="1:16" s="146" customFormat="1" ht="18" customHeight="1" x14ac:dyDescent="0.25">
      <c r="A502" s="48" t="s">
        <v>163</v>
      </c>
      <c r="B502" s="926" t="s">
        <v>1388</v>
      </c>
      <c r="C502" s="245" t="s">
        <v>178</v>
      </c>
      <c r="D502" s="97"/>
      <c r="E502" s="97"/>
      <c r="F502" s="97"/>
      <c r="G502" s="131" t="s">
        <v>179</v>
      </c>
      <c r="H502" s="105"/>
      <c r="I502" s="106"/>
      <c r="J502" s="105"/>
      <c r="K502" s="106">
        <v>84000</v>
      </c>
      <c r="L502" s="105"/>
      <c r="M502" s="10"/>
      <c r="N502" s="10"/>
      <c r="O502"/>
      <c r="P502"/>
    </row>
    <row r="503" spans="1:16" ht="18" customHeight="1" x14ac:dyDescent="0.25">
      <c r="A503" s="48" t="s">
        <v>163</v>
      </c>
      <c r="B503" s="926" t="s">
        <v>1388</v>
      </c>
      <c r="C503" s="44" t="s">
        <v>186</v>
      </c>
      <c r="D503" s="125"/>
      <c r="E503" s="125"/>
      <c r="F503" s="134"/>
      <c r="G503" s="131" t="s">
        <v>187</v>
      </c>
      <c r="H503" s="101">
        <v>13000</v>
      </c>
      <c r="I503" s="102">
        <v>155000</v>
      </c>
      <c r="J503" s="101"/>
      <c r="K503" s="101">
        <v>185000</v>
      </c>
      <c r="L503" s="101"/>
    </row>
    <row r="504" spans="1:16" ht="18" x14ac:dyDescent="0.25">
      <c r="A504" s="48" t="s">
        <v>163</v>
      </c>
      <c r="B504" s="926" t="s">
        <v>1388</v>
      </c>
      <c r="C504" s="44" t="s">
        <v>1518</v>
      </c>
      <c r="D504" s="125"/>
      <c r="E504" s="125"/>
      <c r="F504" s="125"/>
      <c r="G504" s="131" t="s">
        <v>189</v>
      </c>
      <c r="H504" s="101"/>
      <c r="I504" s="102">
        <v>0</v>
      </c>
      <c r="J504" s="101"/>
      <c r="K504" s="101">
        <v>100000</v>
      </c>
      <c r="L504" s="101"/>
    </row>
    <row r="505" spans="1:16" ht="18" x14ac:dyDescent="0.25">
      <c r="A505" s="48" t="s">
        <v>163</v>
      </c>
      <c r="B505" s="926" t="s">
        <v>1388</v>
      </c>
      <c r="C505" s="44" t="s">
        <v>198</v>
      </c>
      <c r="D505" s="125"/>
      <c r="E505" s="125"/>
      <c r="F505" s="125"/>
      <c r="G505" s="131" t="s">
        <v>199</v>
      </c>
      <c r="H505" s="101">
        <v>371478.43</v>
      </c>
      <c r="I505" s="102">
        <v>1343892.4</v>
      </c>
      <c r="J505" s="101">
        <v>271288.32000000001</v>
      </c>
      <c r="K505" s="101">
        <v>2056360.4</v>
      </c>
      <c r="L505" s="101"/>
      <c r="O505" s="191"/>
      <c r="P505" s="191"/>
    </row>
    <row r="506" spans="1:16" s="191" customFormat="1" ht="18" x14ac:dyDescent="0.25">
      <c r="A506" s="136" t="s">
        <v>163</v>
      </c>
      <c r="B506" s="926" t="s">
        <v>1388</v>
      </c>
      <c r="C506" s="44" t="s">
        <v>164</v>
      </c>
      <c r="D506" s="113"/>
      <c r="E506" s="113"/>
      <c r="F506" s="113"/>
      <c r="G506" s="131" t="s">
        <v>165</v>
      </c>
      <c r="H506" s="101">
        <v>4030</v>
      </c>
      <c r="I506" s="102">
        <v>54000</v>
      </c>
      <c r="J506" s="101"/>
      <c r="K506" s="101">
        <v>30000</v>
      </c>
      <c r="L506" s="101"/>
      <c r="M506" s="10"/>
      <c r="N506" s="10"/>
    </row>
    <row r="507" spans="1:16" s="191" customFormat="1" ht="18" x14ac:dyDescent="0.25">
      <c r="A507" s="136" t="s">
        <v>163</v>
      </c>
      <c r="B507" s="926" t="s">
        <v>1388</v>
      </c>
      <c r="C507" s="44" t="s">
        <v>168</v>
      </c>
      <c r="D507" s="113"/>
      <c r="E507" s="113"/>
      <c r="F507" s="113"/>
      <c r="G507" s="131" t="s">
        <v>169</v>
      </c>
      <c r="H507" s="101">
        <v>57584</v>
      </c>
      <c r="I507" s="102">
        <v>144146</v>
      </c>
      <c r="J507" s="101">
        <v>52392</v>
      </c>
      <c r="K507" s="101">
        <v>99547</v>
      </c>
      <c r="L507" s="101"/>
      <c r="M507" s="10"/>
      <c r="N507" s="10"/>
      <c r="O507"/>
      <c r="P507"/>
    </row>
    <row r="508" spans="1:16" ht="18" x14ac:dyDescent="0.25">
      <c r="A508" s="136" t="s">
        <v>163</v>
      </c>
      <c r="B508" s="926" t="s">
        <v>1388</v>
      </c>
      <c r="C508" s="44" t="s">
        <v>248</v>
      </c>
      <c r="D508" s="113"/>
      <c r="E508" s="113"/>
      <c r="F508" s="113"/>
      <c r="G508" s="131" t="s">
        <v>171</v>
      </c>
      <c r="H508" s="101"/>
      <c r="I508" s="102"/>
      <c r="J508" s="101"/>
      <c r="K508" s="102">
        <v>574810</v>
      </c>
      <c r="L508" s="101"/>
    </row>
    <row r="509" spans="1:16" ht="18" x14ac:dyDescent="0.25">
      <c r="A509" s="136" t="s">
        <v>163</v>
      </c>
      <c r="B509" s="926" t="s">
        <v>1388</v>
      </c>
      <c r="C509" s="44" t="s">
        <v>178</v>
      </c>
      <c r="D509" s="113"/>
      <c r="E509" s="113"/>
      <c r="F509" s="113"/>
      <c r="G509" s="131" t="s">
        <v>179</v>
      </c>
      <c r="H509" s="105"/>
      <c r="I509" s="106"/>
      <c r="J509" s="105"/>
      <c r="K509" s="105">
        <v>42000</v>
      </c>
      <c r="L509" s="105"/>
    </row>
    <row r="510" spans="1:16" s="146" customFormat="1" ht="18" customHeight="1" x14ac:dyDescent="0.25">
      <c r="A510" s="136" t="s">
        <v>163</v>
      </c>
      <c r="B510" s="926" t="s">
        <v>1388</v>
      </c>
      <c r="C510" s="245" t="s">
        <v>186</v>
      </c>
      <c r="D510" s="116"/>
      <c r="E510" s="116"/>
      <c r="F510" s="116"/>
      <c r="G510" s="131"/>
      <c r="H510" s="101"/>
      <c r="I510" s="102"/>
      <c r="J510" s="101"/>
      <c r="K510" s="101">
        <v>10000</v>
      </c>
      <c r="L510" s="101"/>
      <c r="M510" s="10"/>
      <c r="N510" s="10"/>
      <c r="O510"/>
      <c r="P510"/>
    </row>
    <row r="511" spans="1:16" s="146" customFormat="1" ht="18" customHeight="1" x14ac:dyDescent="0.25">
      <c r="A511" s="136" t="s">
        <v>163</v>
      </c>
      <c r="B511" s="926" t="s">
        <v>1388</v>
      </c>
      <c r="C511" s="245" t="s">
        <v>393</v>
      </c>
      <c r="D511" s="116"/>
      <c r="E511" s="116"/>
      <c r="F511" s="116"/>
      <c r="G511" s="131" t="s">
        <v>189</v>
      </c>
      <c r="H511" s="101"/>
      <c r="I511" s="102">
        <v>10000</v>
      </c>
      <c r="J511" s="101"/>
      <c r="K511" s="101">
        <v>10000</v>
      </c>
      <c r="L511" s="101"/>
      <c r="M511" s="10"/>
      <c r="N511" s="10"/>
      <c r="O511"/>
      <c r="P511"/>
    </row>
    <row r="512" spans="1:16" s="146" customFormat="1" ht="18" customHeight="1" x14ac:dyDescent="0.25">
      <c r="A512" s="136" t="s">
        <v>163</v>
      </c>
      <c r="B512" s="926" t="s">
        <v>1388</v>
      </c>
      <c r="C512" s="245" t="s">
        <v>198</v>
      </c>
      <c r="D512" s="690"/>
      <c r="E512" s="690"/>
      <c r="F512" s="690"/>
      <c r="G512" s="172" t="s">
        <v>199</v>
      </c>
      <c r="H512" s="102">
        <v>0</v>
      </c>
      <c r="I512" s="102">
        <v>160000</v>
      </c>
      <c r="J512" s="102"/>
      <c r="K512" s="102">
        <v>200000</v>
      </c>
      <c r="L512" s="101"/>
      <c r="M512" s="10"/>
      <c r="N512" s="10"/>
      <c r="O512"/>
      <c r="P512"/>
    </row>
    <row r="513" spans="1:16" s="146" customFormat="1" ht="18" customHeight="1" x14ac:dyDescent="0.25">
      <c r="A513" s="927" t="s">
        <v>163</v>
      </c>
      <c r="B513" s="926" t="s">
        <v>1388</v>
      </c>
      <c r="C513" s="245" t="s">
        <v>164</v>
      </c>
      <c r="D513" s="116"/>
      <c r="E513" s="116"/>
      <c r="F513" s="116"/>
      <c r="G513" s="131" t="s">
        <v>165</v>
      </c>
      <c r="H513" s="101">
        <v>5900</v>
      </c>
      <c r="I513" s="102">
        <v>75000</v>
      </c>
      <c r="J513" s="101"/>
      <c r="K513" s="101">
        <v>75000</v>
      </c>
      <c r="L513" s="101"/>
      <c r="M513" s="10"/>
      <c r="N513" s="10"/>
      <c r="O513"/>
      <c r="P513"/>
    </row>
    <row r="514" spans="1:16" s="146" customFormat="1" ht="18" customHeight="1" x14ac:dyDescent="0.25">
      <c r="A514" s="927" t="s">
        <v>163</v>
      </c>
      <c r="B514" s="926" t="s">
        <v>1388</v>
      </c>
      <c r="C514" s="245" t="s">
        <v>555</v>
      </c>
      <c r="D514" s="116"/>
      <c r="E514" s="116"/>
      <c r="F514" s="116"/>
      <c r="G514" s="131" t="s">
        <v>169</v>
      </c>
      <c r="H514" s="101">
        <v>126695.6</v>
      </c>
      <c r="I514" s="102">
        <v>233027</v>
      </c>
      <c r="J514" s="101">
        <v>161308</v>
      </c>
      <c r="K514" s="101">
        <v>270816</v>
      </c>
      <c r="L514" s="101"/>
      <c r="M514" s="10"/>
      <c r="N514" s="10"/>
      <c r="O514"/>
      <c r="P514"/>
    </row>
    <row r="515" spans="1:16" s="146" customFormat="1" ht="18" customHeight="1" x14ac:dyDescent="0.25">
      <c r="A515" s="927" t="s">
        <v>163</v>
      </c>
      <c r="B515" s="926" t="s">
        <v>1388</v>
      </c>
      <c r="C515" s="245" t="s">
        <v>213</v>
      </c>
      <c r="D515" s="116"/>
      <c r="E515" s="116"/>
      <c r="F515" s="116"/>
      <c r="G515" s="131" t="s">
        <v>171</v>
      </c>
      <c r="H515" s="101"/>
      <c r="I515" s="102"/>
      <c r="J515" s="101"/>
      <c r="K515" s="101">
        <v>216240</v>
      </c>
      <c r="L515" s="101"/>
      <c r="M515" s="10"/>
      <c r="N515" s="10"/>
      <c r="O515"/>
      <c r="P515"/>
    </row>
    <row r="516" spans="1:16" s="146" customFormat="1" ht="18" customHeight="1" x14ac:dyDescent="0.25">
      <c r="A516" s="927" t="s">
        <v>163</v>
      </c>
      <c r="B516" s="926" t="s">
        <v>1388</v>
      </c>
      <c r="C516" s="245" t="s">
        <v>382</v>
      </c>
      <c r="D516" s="116"/>
      <c r="E516" s="116"/>
      <c r="F516" s="116"/>
      <c r="G516" s="131" t="s">
        <v>383</v>
      </c>
      <c r="H516" s="101"/>
      <c r="I516" s="102">
        <v>60000</v>
      </c>
      <c r="J516" s="101"/>
      <c r="K516" s="101">
        <v>35000</v>
      </c>
      <c r="L516" s="101"/>
      <c r="M516" s="10"/>
      <c r="N516" s="10"/>
      <c r="O516"/>
      <c r="P516"/>
    </row>
    <row r="517" spans="1:16" s="146" customFormat="1" ht="18" customHeight="1" x14ac:dyDescent="0.25">
      <c r="A517" s="927" t="s">
        <v>163</v>
      </c>
      <c r="B517" s="926" t="s">
        <v>1388</v>
      </c>
      <c r="C517" s="245" t="s">
        <v>178</v>
      </c>
      <c r="D517" s="116"/>
      <c r="E517" s="116"/>
      <c r="F517" s="116"/>
      <c r="G517" s="131" t="s">
        <v>179</v>
      </c>
      <c r="H517" s="101"/>
      <c r="I517" s="102"/>
      <c r="J517" s="101"/>
      <c r="K517" s="101">
        <v>42000</v>
      </c>
      <c r="L517" s="101"/>
      <c r="M517" s="10"/>
      <c r="N517" s="10"/>
      <c r="O517"/>
      <c r="P517"/>
    </row>
    <row r="518" spans="1:16" s="146" customFormat="1" ht="18" x14ac:dyDescent="0.25">
      <c r="A518" s="927" t="s">
        <v>163</v>
      </c>
      <c r="B518" s="926" t="s">
        <v>1388</v>
      </c>
      <c r="C518" s="245" t="s">
        <v>182</v>
      </c>
      <c r="D518" s="116"/>
      <c r="E518" s="116"/>
      <c r="F518" s="116"/>
      <c r="G518" s="131" t="s">
        <v>179</v>
      </c>
      <c r="H518" s="101">
        <v>36525.35</v>
      </c>
      <c r="I518" s="102">
        <v>54000</v>
      </c>
      <c r="J518" s="101"/>
      <c r="K518" s="101">
        <v>54000</v>
      </c>
      <c r="L518" s="101"/>
      <c r="M518" s="10"/>
      <c r="N518" s="10"/>
      <c r="O518"/>
      <c r="P518"/>
    </row>
    <row r="519" spans="1:16" s="146" customFormat="1" ht="18" customHeight="1" x14ac:dyDescent="0.25">
      <c r="A519" s="927" t="s">
        <v>163</v>
      </c>
      <c r="B519" s="926" t="s">
        <v>1388</v>
      </c>
      <c r="C519" s="245" t="s">
        <v>1519</v>
      </c>
      <c r="D519" s="116"/>
      <c r="E519" s="116"/>
      <c r="F519" s="116"/>
      <c r="G519" s="131"/>
      <c r="H519" s="101"/>
      <c r="I519" s="102"/>
      <c r="J519" s="101"/>
      <c r="K519" s="101">
        <v>50000</v>
      </c>
      <c r="L519" s="101"/>
      <c r="M519" s="10"/>
      <c r="N519" s="10"/>
      <c r="O519"/>
      <c r="P519"/>
    </row>
    <row r="520" spans="1:16" s="146" customFormat="1" ht="18" customHeight="1" x14ac:dyDescent="0.25">
      <c r="A520" s="927" t="s">
        <v>163</v>
      </c>
      <c r="B520" s="926" t="s">
        <v>1388</v>
      </c>
      <c r="C520" s="44" t="s">
        <v>557</v>
      </c>
      <c r="D520" s="114"/>
      <c r="E520" s="116"/>
      <c r="F520" s="116"/>
      <c r="G520" s="131" t="s">
        <v>189</v>
      </c>
      <c r="H520" s="101">
        <v>536047.02</v>
      </c>
      <c r="I520" s="102">
        <v>5315000</v>
      </c>
      <c r="J520" s="101">
        <v>168993</v>
      </c>
      <c r="K520" s="101">
        <v>5000000</v>
      </c>
      <c r="L520" s="101"/>
      <c r="M520" s="10"/>
      <c r="N520" s="10"/>
      <c r="O520"/>
      <c r="P520"/>
    </row>
    <row r="521" spans="1:16" s="146" customFormat="1" ht="18" customHeight="1" x14ac:dyDescent="0.25">
      <c r="A521" s="927" t="s">
        <v>163</v>
      </c>
      <c r="B521" s="926" t="s">
        <v>1388</v>
      </c>
      <c r="C521" s="245" t="s">
        <v>457</v>
      </c>
      <c r="D521" s="116"/>
      <c r="E521" s="116"/>
      <c r="F521" s="116"/>
      <c r="G521" s="131" t="s">
        <v>237</v>
      </c>
      <c r="H521" s="101">
        <v>0</v>
      </c>
      <c r="I521" s="102">
        <v>7000</v>
      </c>
      <c r="J521" s="101"/>
      <c r="K521" s="101">
        <v>7000</v>
      </c>
      <c r="L521" s="101"/>
      <c r="M521" s="10"/>
      <c r="N521" s="10"/>
      <c r="O521"/>
      <c r="P521"/>
    </row>
    <row r="522" spans="1:16" s="146" customFormat="1" ht="18" customHeight="1" x14ac:dyDescent="0.25">
      <c r="A522" s="927" t="s">
        <v>163</v>
      </c>
      <c r="B522" s="926" t="s">
        <v>1388</v>
      </c>
      <c r="C522" s="245" t="s">
        <v>198</v>
      </c>
      <c r="D522" s="116"/>
      <c r="E522" s="116"/>
      <c r="F522" s="116"/>
      <c r="G522" s="131" t="s">
        <v>199</v>
      </c>
      <c r="H522" s="101">
        <v>1613193.71</v>
      </c>
      <c r="I522" s="102">
        <v>2989610.88</v>
      </c>
      <c r="J522" s="101">
        <v>580328.39</v>
      </c>
      <c r="K522" s="101">
        <v>2372108.16</v>
      </c>
      <c r="L522" s="101"/>
      <c r="M522" s="10"/>
      <c r="N522" s="10"/>
      <c r="O522"/>
      <c r="P522"/>
    </row>
    <row r="523" spans="1:16" s="146" customFormat="1" ht="18" customHeight="1" x14ac:dyDescent="0.25">
      <c r="A523" s="927" t="s">
        <v>163</v>
      </c>
      <c r="B523" s="926" t="s">
        <v>1388</v>
      </c>
      <c r="C523" s="245" t="s">
        <v>558</v>
      </c>
      <c r="D523" s="690"/>
      <c r="E523" s="944"/>
      <c r="F523" s="944"/>
      <c r="G523" s="172"/>
      <c r="H523" s="101">
        <v>999700</v>
      </c>
      <c r="I523" s="102">
        <v>2500000</v>
      </c>
      <c r="J523" s="101"/>
      <c r="K523" s="101">
        <v>3500000</v>
      </c>
      <c r="L523" s="101"/>
      <c r="M523" s="10"/>
      <c r="N523" s="10"/>
      <c r="O523"/>
      <c r="P523"/>
    </row>
    <row r="524" spans="1:16" s="146" customFormat="1" ht="18" customHeight="1" x14ac:dyDescent="0.25">
      <c r="A524" s="927" t="s">
        <v>163</v>
      </c>
      <c r="B524" s="926" t="s">
        <v>1388</v>
      </c>
      <c r="C524" s="245" t="s">
        <v>164</v>
      </c>
      <c r="D524" s="97"/>
      <c r="E524" s="97"/>
      <c r="F524" s="97"/>
      <c r="G524" s="133" t="s">
        <v>165</v>
      </c>
      <c r="H524" s="105"/>
      <c r="I524" s="106">
        <v>35000</v>
      </c>
      <c r="J524" s="105"/>
      <c r="K524" s="105">
        <v>35000</v>
      </c>
      <c r="L524" s="105"/>
      <c r="M524" s="10"/>
      <c r="N524" s="10"/>
      <c r="O524"/>
      <c r="P524"/>
    </row>
    <row r="525" spans="1:16" s="146" customFormat="1" ht="18" x14ac:dyDescent="0.25">
      <c r="A525" s="927" t="s">
        <v>163</v>
      </c>
      <c r="B525" s="926" t="s">
        <v>1388</v>
      </c>
      <c r="C525" s="44" t="s">
        <v>555</v>
      </c>
      <c r="D525" s="125"/>
      <c r="E525" s="125"/>
      <c r="F525" s="125"/>
      <c r="G525" s="131" t="s">
        <v>169</v>
      </c>
      <c r="H525" s="101">
        <v>327395.45</v>
      </c>
      <c r="I525" s="102">
        <v>397352</v>
      </c>
      <c r="J525" s="101">
        <v>317462.5</v>
      </c>
      <c r="K525" s="101">
        <v>255222.5</v>
      </c>
      <c r="L525" s="101"/>
      <c r="M525" s="10"/>
      <c r="N525" s="10"/>
      <c r="O525"/>
      <c r="P525"/>
    </row>
    <row r="526" spans="1:16" s="146" customFormat="1" ht="18" x14ac:dyDescent="0.25">
      <c r="A526" s="927" t="s">
        <v>163</v>
      </c>
      <c r="B526" s="926" t="s">
        <v>1388</v>
      </c>
      <c r="C526" s="44" t="s">
        <v>213</v>
      </c>
      <c r="D526" s="125"/>
      <c r="E526" s="125"/>
      <c r="F526" s="125"/>
      <c r="G526" s="131" t="s">
        <v>171</v>
      </c>
      <c r="H526" s="101"/>
      <c r="I526" s="102"/>
      <c r="J526" s="101"/>
      <c r="K526" s="101">
        <v>39017</v>
      </c>
      <c r="L526" s="101"/>
      <c r="M526" s="10"/>
      <c r="N526" s="10"/>
      <c r="O526"/>
      <c r="P526"/>
    </row>
    <row r="527" spans="1:16" s="146" customFormat="1" ht="18" x14ac:dyDescent="0.25">
      <c r="A527" s="927" t="s">
        <v>163</v>
      </c>
      <c r="B527" s="926" t="s">
        <v>1388</v>
      </c>
      <c r="C527" s="44" t="s">
        <v>176</v>
      </c>
      <c r="D527" s="125"/>
      <c r="E527" s="125"/>
      <c r="F527" s="125"/>
      <c r="G527" s="131" t="s">
        <v>177</v>
      </c>
      <c r="H527" s="101">
        <v>5400</v>
      </c>
      <c r="I527" s="102">
        <v>5900</v>
      </c>
      <c r="J527" s="101">
        <v>5650</v>
      </c>
      <c r="K527" s="101">
        <v>7800</v>
      </c>
      <c r="L527" s="101"/>
      <c r="M527" s="10"/>
      <c r="N527" s="10"/>
      <c r="O527"/>
      <c r="P527"/>
    </row>
    <row r="528" spans="1:16" s="146" customFormat="1" ht="18" x14ac:dyDescent="0.25">
      <c r="A528" s="927" t="s">
        <v>163</v>
      </c>
      <c r="B528" s="926" t="s">
        <v>1388</v>
      </c>
      <c r="C528" s="44" t="s">
        <v>567</v>
      </c>
      <c r="D528" s="125"/>
      <c r="E528" s="125"/>
      <c r="F528" s="125"/>
      <c r="G528" s="131" t="s">
        <v>179</v>
      </c>
      <c r="H528" s="101"/>
      <c r="I528" s="102">
        <v>30000</v>
      </c>
      <c r="J528" s="101">
        <v>13194</v>
      </c>
      <c r="K528" s="102">
        <v>60000</v>
      </c>
      <c r="L528" s="101"/>
      <c r="M528" s="10"/>
      <c r="N528" s="10"/>
      <c r="O528"/>
      <c r="P528"/>
    </row>
    <row r="529" spans="1:16" s="146" customFormat="1" ht="18" x14ac:dyDescent="0.25">
      <c r="A529" s="927" t="s">
        <v>163</v>
      </c>
      <c r="B529" s="926" t="s">
        <v>1388</v>
      </c>
      <c r="C529" s="44" t="s">
        <v>178</v>
      </c>
      <c r="D529" s="125"/>
      <c r="E529" s="125"/>
      <c r="F529" s="125"/>
      <c r="G529" s="131" t="s">
        <v>179</v>
      </c>
      <c r="H529" s="101"/>
      <c r="I529" s="102"/>
      <c r="J529" s="101"/>
      <c r="K529" s="101">
        <v>42000</v>
      </c>
      <c r="L529" s="101"/>
      <c r="M529" s="10"/>
      <c r="N529" s="10"/>
      <c r="O529"/>
      <c r="P529"/>
    </row>
    <row r="530" spans="1:16" s="146" customFormat="1" ht="18" x14ac:dyDescent="0.25">
      <c r="A530" s="927" t="s">
        <v>163</v>
      </c>
      <c r="B530" s="926" t="s">
        <v>1388</v>
      </c>
      <c r="C530" s="44" t="s">
        <v>186</v>
      </c>
      <c r="D530" s="125"/>
      <c r="E530" s="125"/>
      <c r="F530" s="125"/>
      <c r="G530" s="131"/>
      <c r="H530" s="101"/>
      <c r="I530" s="102"/>
      <c r="J530" s="101"/>
      <c r="K530" s="101">
        <v>80000</v>
      </c>
      <c r="L530" s="101"/>
      <c r="M530" s="10"/>
      <c r="N530" s="10"/>
      <c r="O530"/>
      <c r="P530"/>
    </row>
    <row r="531" spans="1:16" s="194" customFormat="1" ht="18" x14ac:dyDescent="0.25">
      <c r="A531" s="927" t="s">
        <v>163</v>
      </c>
      <c r="B531" s="926" t="s">
        <v>1388</v>
      </c>
      <c r="C531" s="44" t="s">
        <v>457</v>
      </c>
      <c r="D531" s="125"/>
      <c r="E531" s="125"/>
      <c r="F531" s="134"/>
      <c r="G531" s="131" t="s">
        <v>199</v>
      </c>
      <c r="H531" s="101"/>
      <c r="I531" s="102">
        <v>7000</v>
      </c>
      <c r="J531" s="101"/>
      <c r="K531" s="101">
        <v>7000</v>
      </c>
      <c r="L531" s="101"/>
      <c r="M531" s="10"/>
      <c r="N531" s="10"/>
      <c r="O531" s="191"/>
      <c r="P531" s="191"/>
    </row>
    <row r="532" spans="1:16" s="146" customFormat="1" ht="18" customHeight="1" x14ac:dyDescent="0.25">
      <c r="A532" s="927" t="s">
        <v>163</v>
      </c>
      <c r="B532" s="926" t="s">
        <v>1388</v>
      </c>
      <c r="C532" s="245" t="s">
        <v>198</v>
      </c>
      <c r="D532" s="97"/>
      <c r="E532" s="97"/>
      <c r="F532" s="97"/>
      <c r="G532" s="131" t="s">
        <v>199</v>
      </c>
      <c r="H532" s="101">
        <v>334924.61</v>
      </c>
      <c r="I532" s="102">
        <v>1024539.44</v>
      </c>
      <c r="J532" s="101">
        <v>117623.02</v>
      </c>
      <c r="K532" s="101">
        <v>1151063.6000000001</v>
      </c>
      <c r="L532" s="101"/>
      <c r="M532" s="10"/>
      <c r="N532" s="10"/>
      <c r="O532"/>
      <c r="P532"/>
    </row>
    <row r="533" spans="1:16" s="146" customFormat="1" ht="18" customHeight="1" x14ac:dyDescent="0.25">
      <c r="A533" s="229" t="s">
        <v>163</v>
      </c>
      <c r="B533" s="926" t="s">
        <v>1388</v>
      </c>
      <c r="C533" s="245" t="s">
        <v>168</v>
      </c>
      <c r="D533" s="97"/>
      <c r="E533" s="97"/>
      <c r="F533" s="97"/>
      <c r="G533" s="100" t="s">
        <v>169</v>
      </c>
      <c r="H533" s="101">
        <v>73940</v>
      </c>
      <c r="I533" s="102">
        <v>92706</v>
      </c>
      <c r="J533" s="101">
        <v>48916.5</v>
      </c>
      <c r="K533" s="101">
        <v>96656</v>
      </c>
      <c r="L533" s="101"/>
      <c r="M533" s="10"/>
      <c r="N533" s="10"/>
      <c r="O533"/>
      <c r="P533"/>
    </row>
    <row r="534" spans="1:16" s="146" customFormat="1" ht="18" customHeight="1" x14ac:dyDescent="0.25">
      <c r="A534" s="229" t="s">
        <v>163</v>
      </c>
      <c r="B534" s="926" t="s">
        <v>1388</v>
      </c>
      <c r="C534" s="245" t="s">
        <v>172</v>
      </c>
      <c r="D534" s="97"/>
      <c r="E534" s="97"/>
      <c r="F534" s="97"/>
      <c r="G534" s="100" t="s">
        <v>173</v>
      </c>
      <c r="H534" s="101">
        <v>781124.36</v>
      </c>
      <c r="I534" s="102">
        <v>1525050</v>
      </c>
      <c r="J534" s="101">
        <v>312132.07</v>
      </c>
      <c r="K534" s="101">
        <v>1503330</v>
      </c>
      <c r="L534" s="101"/>
      <c r="M534" s="10"/>
      <c r="N534" s="10"/>
      <c r="O534"/>
      <c r="P534"/>
    </row>
    <row r="535" spans="1:16" s="146" customFormat="1" ht="18" customHeight="1" x14ac:dyDescent="0.25">
      <c r="A535" s="229" t="s">
        <v>163</v>
      </c>
      <c r="B535" s="926" t="s">
        <v>1388</v>
      </c>
      <c r="C535" s="245" t="s">
        <v>170</v>
      </c>
      <c r="D535" s="97"/>
      <c r="E535" s="97"/>
      <c r="F535" s="687"/>
      <c r="G535" s="100" t="s">
        <v>171</v>
      </c>
      <c r="H535" s="101"/>
      <c r="I535" s="102"/>
      <c r="J535" s="101"/>
      <c r="K535" s="101">
        <f>1962843+852559.16</f>
        <v>2815402.16</v>
      </c>
      <c r="L535" s="101"/>
      <c r="M535" s="10"/>
      <c r="N535" s="10"/>
      <c r="O535"/>
      <c r="P535"/>
    </row>
    <row r="536" spans="1:16" s="146" customFormat="1" ht="18" customHeight="1" x14ac:dyDescent="0.25">
      <c r="A536" s="229" t="s">
        <v>163</v>
      </c>
      <c r="B536" s="926" t="s">
        <v>1388</v>
      </c>
      <c r="C536" s="245" t="s">
        <v>384</v>
      </c>
      <c r="D536" s="97"/>
      <c r="E536" s="97"/>
      <c r="F536" s="97"/>
      <c r="G536" s="100" t="s">
        <v>385</v>
      </c>
      <c r="H536" s="101">
        <v>1246510.8</v>
      </c>
      <c r="I536" s="102">
        <v>1500000</v>
      </c>
      <c r="J536" s="101">
        <v>700334.34</v>
      </c>
      <c r="K536" s="101">
        <v>1500000</v>
      </c>
      <c r="L536" s="101"/>
      <c r="M536" s="10"/>
      <c r="N536" s="10"/>
      <c r="O536"/>
      <c r="P536"/>
    </row>
    <row r="537" spans="1:16" s="146" customFormat="1" ht="18" customHeight="1" x14ac:dyDescent="0.25">
      <c r="A537" s="229" t="s">
        <v>163</v>
      </c>
      <c r="B537" s="926" t="s">
        <v>1388</v>
      </c>
      <c r="C537" s="245" t="s">
        <v>178</v>
      </c>
      <c r="D537" s="97"/>
      <c r="E537" s="97"/>
      <c r="F537" s="97"/>
      <c r="G537" s="100"/>
      <c r="H537" s="101"/>
      <c r="I537" s="102"/>
      <c r="J537" s="101"/>
      <c r="K537" s="101">
        <v>30000</v>
      </c>
      <c r="L537" s="101"/>
      <c r="M537" s="10"/>
      <c r="N537" s="10"/>
      <c r="O537"/>
      <c r="P537"/>
    </row>
    <row r="538" spans="1:16" s="146" customFormat="1" ht="18" customHeight="1" x14ac:dyDescent="0.25">
      <c r="A538" s="229" t="s">
        <v>163</v>
      </c>
      <c r="B538" s="926" t="s">
        <v>1388</v>
      </c>
      <c r="C538" s="245" t="s">
        <v>1266</v>
      </c>
      <c r="D538" s="97"/>
      <c r="E538" s="97"/>
      <c r="F538" s="97"/>
      <c r="G538" s="100" t="s">
        <v>308</v>
      </c>
      <c r="H538" s="101">
        <v>337991</v>
      </c>
      <c r="I538" s="102">
        <v>2000000</v>
      </c>
      <c r="J538" s="101">
        <v>231060</v>
      </c>
      <c r="K538" s="101">
        <v>1000000</v>
      </c>
      <c r="L538" s="101"/>
      <c r="M538" s="10"/>
      <c r="N538" s="10"/>
      <c r="O538"/>
      <c r="P538"/>
    </row>
    <row r="539" spans="1:16" s="146" customFormat="1" ht="18" x14ac:dyDescent="0.25">
      <c r="A539" s="229" t="s">
        <v>163</v>
      </c>
      <c r="B539" s="926" t="s">
        <v>1388</v>
      </c>
      <c r="C539" s="245" t="s">
        <v>186</v>
      </c>
      <c r="D539" s="97"/>
      <c r="E539" s="97"/>
      <c r="F539" s="97"/>
      <c r="G539" s="100" t="s">
        <v>187</v>
      </c>
      <c r="H539" s="101">
        <v>84240</v>
      </c>
      <c r="I539" s="102">
        <v>100000</v>
      </c>
      <c r="J539" s="101"/>
      <c r="K539" s="101">
        <v>200000</v>
      </c>
      <c r="L539" s="101"/>
      <c r="M539" s="10"/>
      <c r="N539" s="10"/>
      <c r="O539"/>
      <c r="P539"/>
    </row>
    <row r="540" spans="1:16" s="146" customFormat="1" ht="18" customHeight="1" x14ac:dyDescent="0.25">
      <c r="A540" s="229" t="s">
        <v>163</v>
      </c>
      <c r="B540" s="926" t="s">
        <v>1388</v>
      </c>
      <c r="C540" s="245" t="s">
        <v>1518</v>
      </c>
      <c r="D540" s="97"/>
      <c r="E540" s="687"/>
      <c r="F540" s="687"/>
      <c r="G540" s="100" t="s">
        <v>189</v>
      </c>
      <c r="H540" s="101"/>
      <c r="I540" s="102">
        <v>234000</v>
      </c>
      <c r="J540" s="101"/>
      <c r="K540" s="101">
        <v>200000</v>
      </c>
      <c r="L540" s="101"/>
      <c r="M540" s="10"/>
      <c r="N540" s="10"/>
      <c r="O540"/>
      <c r="P540"/>
    </row>
    <row r="541" spans="1:16" s="146" customFormat="1" ht="18" x14ac:dyDescent="0.25">
      <c r="A541" s="229" t="s">
        <v>163</v>
      </c>
      <c r="B541" s="926" t="s">
        <v>1388</v>
      </c>
      <c r="C541" s="44" t="s">
        <v>198</v>
      </c>
      <c r="D541" s="125"/>
      <c r="E541" s="125"/>
      <c r="F541" s="134"/>
      <c r="G541" s="100" t="s">
        <v>199</v>
      </c>
      <c r="H541" s="101">
        <v>1302470.25</v>
      </c>
      <c r="I541" s="102">
        <v>1607030</v>
      </c>
      <c r="J541" s="101">
        <v>587500.54</v>
      </c>
      <c r="K541" s="101">
        <v>1768634.16</v>
      </c>
      <c r="L541" s="101"/>
      <c r="M541" s="10"/>
      <c r="N541" s="10"/>
      <c r="O541"/>
      <c r="P541"/>
    </row>
    <row r="542" spans="1:16" s="146" customFormat="1" ht="18" customHeight="1" x14ac:dyDescent="0.25">
      <c r="A542" s="212" t="s">
        <v>163</v>
      </c>
      <c r="B542" s="926" t="s">
        <v>1388</v>
      </c>
      <c r="C542" s="245" t="s">
        <v>164</v>
      </c>
      <c r="D542" s="97"/>
      <c r="E542" s="97"/>
      <c r="F542" s="97"/>
      <c r="G542" s="100" t="s">
        <v>165</v>
      </c>
      <c r="H542" s="101">
        <v>1950</v>
      </c>
      <c r="I542" s="102">
        <v>30000</v>
      </c>
      <c r="J542" s="101"/>
      <c r="K542" s="101">
        <v>30000</v>
      </c>
      <c r="L542" s="101"/>
      <c r="M542" s="10"/>
      <c r="N542" s="10"/>
      <c r="O542"/>
      <c r="P542"/>
    </row>
    <row r="543" spans="1:16" s="146" customFormat="1" ht="18" customHeight="1" x14ac:dyDescent="0.25">
      <c r="A543" s="212" t="s">
        <v>163</v>
      </c>
      <c r="B543" s="926" t="s">
        <v>1388</v>
      </c>
      <c r="C543" s="245" t="s">
        <v>384</v>
      </c>
      <c r="D543" s="97"/>
      <c r="E543" s="97"/>
      <c r="F543" s="97"/>
      <c r="G543" s="100" t="s">
        <v>1285</v>
      </c>
      <c r="H543" s="101">
        <v>65429.38</v>
      </c>
      <c r="I543" s="102">
        <v>50000</v>
      </c>
      <c r="J543" s="101">
        <v>24794.44</v>
      </c>
      <c r="K543" s="101">
        <v>50000</v>
      </c>
      <c r="L543" s="101"/>
      <c r="M543" s="10"/>
      <c r="N543" s="10"/>
      <c r="O543"/>
      <c r="P543"/>
    </row>
    <row r="544" spans="1:16" s="146" customFormat="1" ht="18" customHeight="1" x14ac:dyDescent="0.25">
      <c r="A544" s="212" t="s">
        <v>163</v>
      </c>
      <c r="B544" s="926" t="s">
        <v>1388</v>
      </c>
      <c r="C544" s="245" t="s">
        <v>168</v>
      </c>
      <c r="D544" s="97"/>
      <c r="E544" s="97"/>
      <c r="F544" s="97"/>
      <c r="G544" s="100" t="s">
        <v>169</v>
      </c>
      <c r="H544" s="101">
        <v>41492</v>
      </c>
      <c r="I544" s="102">
        <v>55000.5</v>
      </c>
      <c r="J544" s="101">
        <v>32996</v>
      </c>
      <c r="K544" s="101">
        <v>55000</v>
      </c>
      <c r="L544" s="101"/>
      <c r="M544" s="10"/>
      <c r="N544" s="10"/>
      <c r="O544"/>
      <c r="P544"/>
    </row>
    <row r="545" spans="1:16" s="146" customFormat="1" ht="18" customHeight="1" x14ac:dyDescent="0.25">
      <c r="A545" s="212" t="s">
        <v>163</v>
      </c>
      <c r="B545" s="926" t="s">
        <v>1388</v>
      </c>
      <c r="C545" s="245" t="s">
        <v>172</v>
      </c>
      <c r="D545" s="97"/>
      <c r="E545" s="97"/>
      <c r="F545" s="97"/>
      <c r="G545" s="100" t="s">
        <v>173</v>
      </c>
      <c r="H545" s="101">
        <v>62762.55</v>
      </c>
      <c r="I545" s="102">
        <v>280010</v>
      </c>
      <c r="J545" s="101">
        <v>76160.5</v>
      </c>
      <c r="K545" s="101">
        <v>280010</v>
      </c>
      <c r="L545" s="101"/>
      <c r="M545" s="10"/>
      <c r="N545" s="10"/>
      <c r="O545"/>
      <c r="P545"/>
    </row>
    <row r="546" spans="1:16" s="146" customFormat="1" ht="18" x14ac:dyDescent="0.25">
      <c r="A546" s="212" t="s">
        <v>163</v>
      </c>
      <c r="B546" s="926" t="s">
        <v>1388</v>
      </c>
      <c r="C546" s="44" t="s">
        <v>213</v>
      </c>
      <c r="D546" s="125"/>
      <c r="E546" s="125"/>
      <c r="F546" s="837"/>
      <c r="G546" s="100" t="s">
        <v>171</v>
      </c>
      <c r="H546" s="101"/>
      <c r="I546" s="102"/>
      <c r="J546" s="101"/>
      <c r="K546" s="101">
        <f>200100+300000</f>
        <v>500100</v>
      </c>
      <c r="L546" s="101"/>
      <c r="M546" s="10"/>
      <c r="N546" s="10"/>
      <c r="O546"/>
      <c r="P546"/>
    </row>
    <row r="547" spans="1:16" s="146" customFormat="1" ht="18" x14ac:dyDescent="0.25">
      <c r="A547" s="212" t="s">
        <v>163</v>
      </c>
      <c r="B547" s="926" t="s">
        <v>1388</v>
      </c>
      <c r="C547" s="44" t="s">
        <v>182</v>
      </c>
      <c r="D547" s="125"/>
      <c r="E547" s="125"/>
      <c r="F547" s="125"/>
      <c r="G547" s="100" t="s">
        <v>183</v>
      </c>
      <c r="H547" s="101"/>
      <c r="I547" s="102">
        <v>42000</v>
      </c>
      <c r="J547" s="101"/>
      <c r="K547" s="101">
        <v>42000</v>
      </c>
      <c r="L547" s="101"/>
      <c r="M547" s="10"/>
      <c r="N547" s="10"/>
      <c r="O547"/>
      <c r="P547"/>
    </row>
    <row r="548" spans="1:16" s="146" customFormat="1" ht="18" x14ac:dyDescent="0.25">
      <c r="A548" s="212" t="s">
        <v>163</v>
      </c>
      <c r="B548" s="926" t="s">
        <v>1388</v>
      </c>
      <c r="C548" s="44" t="s">
        <v>1287</v>
      </c>
      <c r="D548" s="125"/>
      <c r="E548" s="125"/>
      <c r="F548" s="125"/>
      <c r="G548" s="100" t="s">
        <v>308</v>
      </c>
      <c r="H548" s="101">
        <v>0</v>
      </c>
      <c r="I548" s="102">
        <v>150000</v>
      </c>
      <c r="J548" s="101"/>
      <c r="K548" s="101">
        <v>800000</v>
      </c>
      <c r="L548" s="101"/>
      <c r="M548" s="10"/>
      <c r="N548" s="10"/>
      <c r="O548"/>
      <c r="P548"/>
    </row>
    <row r="549" spans="1:16" s="146" customFormat="1" ht="18" x14ac:dyDescent="0.25">
      <c r="A549" s="212" t="s">
        <v>163</v>
      </c>
      <c r="B549" s="926" t="s">
        <v>1388</v>
      </c>
      <c r="C549" s="44" t="s">
        <v>1519</v>
      </c>
      <c r="D549" s="125"/>
      <c r="E549" s="125"/>
      <c r="F549" s="125"/>
      <c r="G549" s="100"/>
      <c r="H549" s="105"/>
      <c r="I549" s="106"/>
      <c r="J549" s="105"/>
      <c r="K549" s="105">
        <v>90000</v>
      </c>
      <c r="L549" s="105"/>
      <c r="M549" s="10"/>
      <c r="N549" s="10"/>
      <c r="O549"/>
      <c r="P549"/>
    </row>
    <row r="550" spans="1:16" s="146" customFormat="1" ht="18" customHeight="1" x14ac:dyDescent="0.25">
      <c r="A550" s="212" t="s">
        <v>163</v>
      </c>
      <c r="B550" s="926" t="s">
        <v>1388</v>
      </c>
      <c r="C550" s="245" t="s">
        <v>1518</v>
      </c>
      <c r="D550" s="97"/>
      <c r="E550" s="97"/>
      <c r="F550" s="97"/>
      <c r="G550" s="100"/>
      <c r="H550" s="101"/>
      <c r="I550" s="102"/>
      <c r="J550" s="101"/>
      <c r="K550" s="101">
        <v>40000</v>
      </c>
      <c r="L550" s="101"/>
      <c r="M550" s="10"/>
      <c r="N550" s="10"/>
      <c r="O550"/>
      <c r="P550"/>
    </row>
    <row r="551" spans="1:16" s="146" customFormat="1" ht="18" customHeight="1" x14ac:dyDescent="0.25">
      <c r="A551" s="212" t="s">
        <v>163</v>
      </c>
      <c r="B551" s="926" t="s">
        <v>1388</v>
      </c>
      <c r="C551" s="245" t="s">
        <v>198</v>
      </c>
      <c r="D551" s="97"/>
      <c r="E551" s="97"/>
      <c r="F551" s="97"/>
      <c r="G551" s="100" t="s">
        <v>199</v>
      </c>
      <c r="H551" s="101">
        <v>0</v>
      </c>
      <c r="I551" s="102"/>
      <c r="J551" s="101"/>
      <c r="K551" s="101">
        <v>442040.64</v>
      </c>
      <c r="L551" s="101"/>
      <c r="M551" s="10"/>
      <c r="N551" s="10"/>
      <c r="O551"/>
      <c r="P551"/>
    </row>
    <row r="552" spans="1:16" s="146" customFormat="1" ht="18" customHeight="1" x14ac:dyDescent="0.25">
      <c r="A552" s="229" t="s">
        <v>163</v>
      </c>
      <c r="B552" s="926" t="s">
        <v>1388</v>
      </c>
      <c r="C552" s="245" t="s">
        <v>164</v>
      </c>
      <c r="D552" s="97"/>
      <c r="E552" s="97"/>
      <c r="F552" s="97"/>
      <c r="G552" s="100" t="s">
        <v>165</v>
      </c>
      <c r="H552" s="101">
        <v>7260</v>
      </c>
      <c r="I552" s="102">
        <v>30000</v>
      </c>
      <c r="J552" s="101"/>
      <c r="K552" s="101">
        <v>30000</v>
      </c>
      <c r="L552" s="101"/>
      <c r="M552" s="10"/>
      <c r="N552" s="10"/>
      <c r="O552"/>
      <c r="P552"/>
    </row>
    <row r="553" spans="1:16" s="146" customFormat="1" ht="18" customHeight="1" x14ac:dyDescent="0.25">
      <c r="A553" s="229" t="s">
        <v>163</v>
      </c>
      <c r="B553" s="926" t="s">
        <v>1388</v>
      </c>
      <c r="C553" s="245" t="s">
        <v>168</v>
      </c>
      <c r="D553" s="97"/>
      <c r="E553" s="97"/>
      <c r="F553" s="97"/>
      <c r="G553" s="100" t="s">
        <v>169</v>
      </c>
      <c r="H553" s="101">
        <v>184687</v>
      </c>
      <c r="I553" s="102">
        <v>226890</v>
      </c>
      <c r="J553" s="101">
        <v>103305</v>
      </c>
      <c r="K553" s="101">
        <v>91953</v>
      </c>
      <c r="L553" s="101"/>
      <c r="M553" s="10"/>
      <c r="N553" s="10"/>
      <c r="O553"/>
      <c r="P553"/>
    </row>
    <row r="554" spans="1:16" s="146" customFormat="1" ht="18" customHeight="1" x14ac:dyDescent="0.25">
      <c r="A554" s="229" t="s">
        <v>163</v>
      </c>
      <c r="B554" s="926" t="s">
        <v>1388</v>
      </c>
      <c r="C554" s="245" t="s">
        <v>1299</v>
      </c>
      <c r="D554" s="97"/>
      <c r="E554" s="97"/>
      <c r="F554" s="687"/>
      <c r="G554" s="100" t="s">
        <v>427</v>
      </c>
      <c r="H554" s="101">
        <v>640450</v>
      </c>
      <c r="I554" s="102">
        <v>850500</v>
      </c>
      <c r="J554" s="101"/>
      <c r="K554" s="101">
        <v>1342000</v>
      </c>
      <c r="L554" s="101"/>
      <c r="M554" s="10"/>
      <c r="N554" s="10"/>
      <c r="O554"/>
      <c r="P554"/>
    </row>
    <row r="555" spans="1:16" s="146" customFormat="1" ht="18" x14ac:dyDescent="0.25">
      <c r="A555" s="229" t="s">
        <v>163</v>
      </c>
      <c r="B555" s="926" t="s">
        <v>1388</v>
      </c>
      <c r="C555" s="245" t="s">
        <v>172</v>
      </c>
      <c r="D555" s="97"/>
      <c r="E555" s="97"/>
      <c r="F555" s="97"/>
      <c r="G555" s="100" t="s">
        <v>173</v>
      </c>
      <c r="H555" s="101">
        <v>8662.25</v>
      </c>
      <c r="I555" s="102">
        <v>20000</v>
      </c>
      <c r="J555" s="101">
        <v>5685.05</v>
      </c>
      <c r="K555" s="101">
        <v>20000</v>
      </c>
      <c r="L555" s="101"/>
      <c r="M555" s="10"/>
      <c r="N555" s="10"/>
      <c r="O555"/>
      <c r="P555"/>
    </row>
    <row r="556" spans="1:16" s="146" customFormat="1" ht="18" customHeight="1" x14ac:dyDescent="0.25">
      <c r="A556" s="229" t="s">
        <v>163</v>
      </c>
      <c r="B556" s="926" t="s">
        <v>1388</v>
      </c>
      <c r="C556" s="860" t="s">
        <v>170</v>
      </c>
      <c r="D556" s="687"/>
      <c r="E556" s="687"/>
      <c r="F556" s="687"/>
      <c r="G556" s="100" t="s">
        <v>171</v>
      </c>
      <c r="H556" s="101"/>
      <c r="I556" s="102"/>
      <c r="J556" s="101"/>
      <c r="K556" s="101">
        <f>103264+500000</f>
        <v>603264</v>
      </c>
      <c r="L556" s="101"/>
      <c r="M556" s="10"/>
      <c r="N556" s="10"/>
      <c r="O556"/>
      <c r="P556"/>
    </row>
    <row r="557" spans="1:16" s="146" customFormat="1" ht="18" customHeight="1" x14ac:dyDescent="0.25">
      <c r="A557" s="229" t="s">
        <v>163</v>
      </c>
      <c r="B557" s="926" t="s">
        <v>1388</v>
      </c>
      <c r="C557" s="245" t="s">
        <v>182</v>
      </c>
      <c r="D557" s="97"/>
      <c r="E557" s="97"/>
      <c r="F557" s="97"/>
      <c r="G557" s="100" t="s">
        <v>183</v>
      </c>
      <c r="H557" s="101">
        <v>0</v>
      </c>
      <c r="I557" s="102">
        <v>42000</v>
      </c>
      <c r="J557" s="101"/>
      <c r="K557" s="101">
        <v>42000</v>
      </c>
      <c r="L557" s="1616"/>
      <c r="M557" s="10"/>
      <c r="N557" s="10">
        <v>181975.71</v>
      </c>
      <c r="O557"/>
      <c r="P557"/>
    </row>
    <row r="558" spans="1:16" s="146" customFormat="1" ht="18" customHeight="1" x14ac:dyDescent="0.25">
      <c r="A558" s="229" t="s">
        <v>163</v>
      </c>
      <c r="B558" s="926" t="s">
        <v>1388</v>
      </c>
      <c r="C558" s="245" t="s">
        <v>186</v>
      </c>
      <c r="D558" s="97"/>
      <c r="E558" s="97"/>
      <c r="F558" s="97"/>
      <c r="G558" s="100"/>
      <c r="H558" s="101"/>
      <c r="I558" s="102"/>
      <c r="J558" s="101"/>
      <c r="K558" s="101">
        <v>20000</v>
      </c>
      <c r="L558" s="1616"/>
      <c r="M558" s="10"/>
      <c r="N558" s="10">
        <v>704334.78</v>
      </c>
      <c r="O558"/>
      <c r="P558"/>
    </row>
    <row r="559" spans="1:16" s="146" customFormat="1" ht="54" x14ac:dyDescent="0.25">
      <c r="A559" s="48" t="s">
        <v>123</v>
      </c>
      <c r="B559" s="926" t="s">
        <v>1386</v>
      </c>
      <c r="C559" s="834" t="s">
        <v>124</v>
      </c>
      <c r="D559" s="835"/>
      <c r="E559" s="835"/>
      <c r="F559" s="835"/>
      <c r="G559" s="100" t="s">
        <v>125</v>
      </c>
      <c r="H559" s="101">
        <v>3147218.82</v>
      </c>
      <c r="I559" s="102">
        <v>3501828</v>
      </c>
      <c r="J559" s="101">
        <v>1888265.32</v>
      </c>
      <c r="K559" s="101">
        <v>3709416</v>
      </c>
      <c r="L559" s="101"/>
      <c r="M559" s="10"/>
      <c r="N559" s="10">
        <v>346576.64000000001</v>
      </c>
      <c r="O559"/>
      <c r="P559"/>
    </row>
    <row r="560" spans="1:16" s="146" customFormat="1" ht="18" customHeight="1" x14ac:dyDescent="0.25">
      <c r="A560" s="48" t="s">
        <v>123</v>
      </c>
      <c r="B560" s="926" t="s">
        <v>1386</v>
      </c>
      <c r="C560" s="834" t="s">
        <v>126</v>
      </c>
      <c r="D560" s="835"/>
      <c r="E560" s="835"/>
      <c r="F560" s="850"/>
      <c r="G560" s="100" t="s">
        <v>127</v>
      </c>
      <c r="H560" s="101">
        <v>1033913.74</v>
      </c>
      <c r="I560" s="102">
        <v>382512</v>
      </c>
      <c r="J560" s="101">
        <v>205139.85</v>
      </c>
      <c r="K560" s="101">
        <v>415128</v>
      </c>
      <c r="L560" s="101"/>
      <c r="M560" s="10"/>
      <c r="N560" s="10">
        <v>1085872.56</v>
      </c>
      <c r="O560"/>
      <c r="P560"/>
    </row>
    <row r="561" spans="1:16" s="146" customFormat="1" ht="36" x14ac:dyDescent="0.25">
      <c r="A561" s="48" t="s">
        <v>123</v>
      </c>
      <c r="B561" s="926" t="s">
        <v>1386</v>
      </c>
      <c r="C561" s="836" t="s">
        <v>128</v>
      </c>
      <c r="D561" s="836"/>
      <c r="E561" s="836"/>
      <c r="F561" s="836"/>
      <c r="G561" s="100" t="s">
        <v>125</v>
      </c>
      <c r="H561" s="101">
        <v>0</v>
      </c>
      <c r="I561" s="102">
        <v>0</v>
      </c>
      <c r="J561" s="101"/>
      <c r="K561" s="101">
        <v>18936.91</v>
      </c>
      <c r="L561" s="101"/>
      <c r="M561" s="10"/>
      <c r="N561" s="10">
        <v>1216270.04</v>
      </c>
      <c r="O561"/>
      <c r="P561"/>
    </row>
    <row r="562" spans="1:16" s="146" customFormat="1" ht="18" customHeight="1" x14ac:dyDescent="0.25">
      <c r="A562" s="48" t="s">
        <v>123</v>
      </c>
      <c r="B562" s="926" t="s">
        <v>1386</v>
      </c>
      <c r="C562" s="834" t="s">
        <v>129</v>
      </c>
      <c r="D562" s="835"/>
      <c r="E562" s="835"/>
      <c r="F562" s="835"/>
      <c r="G562" s="103" t="s">
        <v>130</v>
      </c>
      <c r="H562" s="101">
        <v>246908.67</v>
      </c>
      <c r="I562" s="102">
        <v>264000</v>
      </c>
      <c r="J562" s="101">
        <v>120636.34</v>
      </c>
      <c r="K562" s="101">
        <v>264000</v>
      </c>
      <c r="L562" s="101"/>
      <c r="M562" s="10"/>
      <c r="N562" s="10"/>
      <c r="O562"/>
      <c r="P562"/>
    </row>
    <row r="563" spans="1:16" s="146" customFormat="1" ht="18" customHeight="1" x14ac:dyDescent="0.25">
      <c r="A563" s="48" t="s">
        <v>123</v>
      </c>
      <c r="B563" s="926" t="s">
        <v>1386</v>
      </c>
      <c r="C563" s="834" t="s">
        <v>131</v>
      </c>
      <c r="D563" s="835"/>
      <c r="E563" s="835"/>
      <c r="F563" s="835"/>
      <c r="G563" s="100" t="s">
        <v>132</v>
      </c>
      <c r="H563" s="101">
        <v>96000</v>
      </c>
      <c r="I563" s="102">
        <v>96000</v>
      </c>
      <c r="J563" s="101">
        <v>56000</v>
      </c>
      <c r="K563" s="101">
        <v>96000</v>
      </c>
      <c r="L563" s="101"/>
      <c r="M563" s="10"/>
      <c r="N563" s="10"/>
      <c r="O563"/>
      <c r="P563"/>
    </row>
    <row r="564" spans="1:16" s="146" customFormat="1" ht="18" customHeight="1" x14ac:dyDescent="0.25">
      <c r="A564" s="48" t="s">
        <v>123</v>
      </c>
      <c r="B564" s="926" t="s">
        <v>1386</v>
      </c>
      <c r="C564" s="834" t="s">
        <v>135</v>
      </c>
      <c r="D564" s="835"/>
      <c r="E564" s="835"/>
      <c r="F564" s="835"/>
      <c r="G564" s="100" t="s">
        <v>136</v>
      </c>
      <c r="H564" s="101">
        <v>477040.65</v>
      </c>
      <c r="I564" s="102">
        <v>129892.15</v>
      </c>
      <c r="J564" s="101">
        <v>188147.95</v>
      </c>
      <c r="K564" s="102">
        <v>449366.65</v>
      </c>
      <c r="L564" s="101"/>
      <c r="M564" s="10"/>
      <c r="N564" s="10"/>
      <c r="O564"/>
      <c r="P564"/>
    </row>
    <row r="565" spans="1:16" s="146" customFormat="1" ht="18" customHeight="1" x14ac:dyDescent="0.25">
      <c r="A565" s="48" t="s">
        <v>123</v>
      </c>
      <c r="B565" s="926" t="s">
        <v>1386</v>
      </c>
      <c r="C565" s="834" t="s">
        <v>137</v>
      </c>
      <c r="D565" s="835"/>
      <c r="E565" s="835"/>
      <c r="F565" s="835"/>
      <c r="G565" s="100" t="s">
        <v>138</v>
      </c>
      <c r="H565" s="101">
        <v>36000</v>
      </c>
      <c r="I565" s="102">
        <v>66000</v>
      </c>
      <c r="J565" s="101">
        <v>54000</v>
      </c>
      <c r="K565" s="101">
        <v>66000</v>
      </c>
      <c r="L565" s="101"/>
      <c r="M565" s="10"/>
      <c r="N565" s="10"/>
      <c r="O565"/>
      <c r="P565"/>
    </row>
    <row r="566" spans="1:16" s="146" customFormat="1" ht="18" customHeight="1" x14ac:dyDescent="0.25">
      <c r="A566" s="48" t="s">
        <v>123</v>
      </c>
      <c r="B566" s="926" t="s">
        <v>1386</v>
      </c>
      <c r="C566" s="836" t="s">
        <v>139</v>
      </c>
      <c r="D566" s="836"/>
      <c r="E566" s="836"/>
      <c r="F566" s="834"/>
      <c r="G566" s="100" t="s">
        <v>140</v>
      </c>
      <c r="H566" s="101">
        <v>326902</v>
      </c>
      <c r="I566" s="102">
        <v>323695</v>
      </c>
      <c r="J566" s="101">
        <v>303083</v>
      </c>
      <c r="K566" s="101">
        <v>344152</v>
      </c>
      <c r="L566" s="101"/>
      <c r="M566" s="10"/>
      <c r="N566" s="10"/>
      <c r="O566"/>
      <c r="P566"/>
    </row>
    <row r="567" spans="1:16" s="146" customFormat="1" ht="36" x14ac:dyDescent="0.25">
      <c r="A567" s="48" t="s">
        <v>123</v>
      </c>
      <c r="B567" s="926" t="s">
        <v>1386</v>
      </c>
      <c r="C567" s="836" t="s">
        <v>141</v>
      </c>
      <c r="D567" s="836"/>
      <c r="E567" s="836"/>
      <c r="F567" s="836"/>
      <c r="G567" s="100" t="s">
        <v>142</v>
      </c>
      <c r="H567" s="101">
        <v>338980</v>
      </c>
      <c r="I567" s="102">
        <v>323695</v>
      </c>
      <c r="J567" s="101"/>
      <c r="K567" s="101">
        <v>346616</v>
      </c>
      <c r="L567" s="101"/>
      <c r="M567" s="10"/>
      <c r="N567" s="10"/>
      <c r="O567"/>
      <c r="P567"/>
    </row>
    <row r="568" spans="1:16" s="146" customFormat="1" ht="18" x14ac:dyDescent="0.25">
      <c r="A568" s="48" t="s">
        <v>123</v>
      </c>
      <c r="B568" s="926" t="s">
        <v>1386</v>
      </c>
      <c r="C568" s="836" t="s">
        <v>143</v>
      </c>
      <c r="D568" s="836"/>
      <c r="E568" s="836"/>
      <c r="F568" s="836"/>
      <c r="G568" s="100" t="s">
        <v>144</v>
      </c>
      <c r="H568" s="101">
        <v>65000</v>
      </c>
      <c r="I568" s="102">
        <v>55000</v>
      </c>
      <c r="J568" s="101"/>
      <c r="K568" s="101">
        <v>55000</v>
      </c>
      <c r="L568" s="101"/>
      <c r="M568" s="10"/>
      <c r="N568" s="10"/>
      <c r="O568"/>
      <c r="P568"/>
    </row>
    <row r="569" spans="1:16" s="146" customFormat="1" ht="54" x14ac:dyDescent="0.25">
      <c r="A569" s="48" t="s">
        <v>123</v>
      </c>
      <c r="B569" s="926" t="s">
        <v>1386</v>
      </c>
      <c r="C569" s="836" t="s">
        <v>145</v>
      </c>
      <c r="D569" s="836"/>
      <c r="E569" s="836"/>
      <c r="F569" s="836"/>
      <c r="G569" s="100" t="s">
        <v>146</v>
      </c>
      <c r="H569" s="101">
        <v>65000</v>
      </c>
      <c r="I569" s="102">
        <v>55000</v>
      </c>
      <c r="J569" s="101"/>
      <c r="K569" s="101">
        <v>55000</v>
      </c>
      <c r="L569" s="101"/>
      <c r="M569" s="10"/>
      <c r="N569" s="10"/>
      <c r="O569"/>
      <c r="P569"/>
    </row>
    <row r="570" spans="1:16" s="146" customFormat="1" ht="18" x14ac:dyDescent="0.25">
      <c r="A570" s="48" t="s">
        <v>123</v>
      </c>
      <c r="B570" s="926" t="s">
        <v>1386</v>
      </c>
      <c r="C570" s="859" t="s">
        <v>147</v>
      </c>
      <c r="D570" s="836"/>
      <c r="E570" s="836"/>
      <c r="F570" s="836"/>
      <c r="G570" s="100" t="s">
        <v>148</v>
      </c>
      <c r="H570" s="101"/>
      <c r="I570" s="102"/>
      <c r="J570" s="101"/>
      <c r="K570" s="101">
        <v>33000</v>
      </c>
      <c r="L570" s="101"/>
      <c r="M570" s="10"/>
      <c r="N570" s="10"/>
      <c r="O570"/>
      <c r="P570"/>
    </row>
    <row r="571" spans="1:16" s="146" customFormat="1" ht="54" x14ac:dyDescent="0.25">
      <c r="A571" s="48" t="s">
        <v>123</v>
      </c>
      <c r="B571" s="926" t="s">
        <v>1386</v>
      </c>
      <c r="C571" s="836" t="s">
        <v>153</v>
      </c>
      <c r="D571" s="836"/>
      <c r="E571" s="836"/>
      <c r="F571" s="836"/>
      <c r="G571" s="100" t="s">
        <v>154</v>
      </c>
      <c r="H571" s="101">
        <v>447627.83</v>
      </c>
      <c r="I571" s="102">
        <v>466120.8</v>
      </c>
      <c r="J571" s="101">
        <v>252515.92</v>
      </c>
      <c r="K571" s="101">
        <v>497217.71</v>
      </c>
      <c r="L571" s="101"/>
      <c r="M571" s="10"/>
      <c r="N571" s="10"/>
      <c r="O571"/>
      <c r="P571"/>
    </row>
    <row r="572" spans="1:16" s="146" customFormat="1" ht="36" x14ac:dyDescent="0.25">
      <c r="A572" s="48" t="s">
        <v>123</v>
      </c>
      <c r="B572" s="926" t="s">
        <v>1386</v>
      </c>
      <c r="C572" s="836" t="s">
        <v>155</v>
      </c>
      <c r="D572" s="836"/>
      <c r="E572" s="836"/>
      <c r="F572" s="836"/>
      <c r="G572" s="100" t="s">
        <v>156</v>
      </c>
      <c r="H572" s="101">
        <v>12100</v>
      </c>
      <c r="I572" s="102">
        <v>13200</v>
      </c>
      <c r="J572" s="101">
        <v>6300</v>
      </c>
      <c r="K572" s="101">
        <v>13200</v>
      </c>
      <c r="L572" s="101"/>
      <c r="M572" s="10"/>
      <c r="N572" s="10"/>
      <c r="O572"/>
      <c r="P572"/>
    </row>
    <row r="573" spans="1:16" s="146" customFormat="1" ht="36" x14ac:dyDescent="0.25">
      <c r="A573" s="48" t="s">
        <v>123</v>
      </c>
      <c r="B573" s="926" t="s">
        <v>1386</v>
      </c>
      <c r="C573" s="836" t="s">
        <v>157</v>
      </c>
      <c r="D573" s="836"/>
      <c r="E573" s="836"/>
      <c r="F573" s="836"/>
      <c r="G573" s="100" t="s">
        <v>158</v>
      </c>
      <c r="H573" s="105">
        <v>40065.17</v>
      </c>
      <c r="I573" s="106">
        <v>52166.52</v>
      </c>
      <c r="J573" s="105">
        <v>22569.93</v>
      </c>
      <c r="K573" s="105">
        <v>131146.12</v>
      </c>
      <c r="L573" s="105"/>
      <c r="M573" s="10"/>
      <c r="N573" s="10"/>
      <c r="O573"/>
      <c r="P573"/>
    </row>
    <row r="574" spans="1:16" s="146" customFormat="1" ht="18" customHeight="1" x14ac:dyDescent="0.25">
      <c r="A574" s="48" t="s">
        <v>123</v>
      </c>
      <c r="B574" s="926" t="s">
        <v>1386</v>
      </c>
      <c r="C574" s="856" t="s">
        <v>159</v>
      </c>
      <c r="D574" s="856"/>
      <c r="E574" s="836"/>
      <c r="F574" s="836"/>
      <c r="G574" s="100" t="s">
        <v>160</v>
      </c>
      <c r="H574" s="101">
        <v>12102.16</v>
      </c>
      <c r="I574" s="102">
        <v>13200</v>
      </c>
      <c r="J574" s="101">
        <v>6300</v>
      </c>
      <c r="K574" s="121">
        <v>13200</v>
      </c>
      <c r="L574" s="101"/>
      <c r="M574" s="10"/>
      <c r="N574" s="10"/>
      <c r="O574"/>
      <c r="P574"/>
    </row>
    <row r="575" spans="1:16" s="146" customFormat="1" ht="18" customHeight="1" x14ac:dyDescent="0.25">
      <c r="A575" s="48" t="s">
        <v>123</v>
      </c>
      <c r="B575" s="926" t="s">
        <v>1386</v>
      </c>
      <c r="C575" s="836" t="s">
        <v>124</v>
      </c>
      <c r="D575" s="836"/>
      <c r="E575" s="836"/>
      <c r="F575" s="836"/>
      <c r="G575" s="131" t="s">
        <v>125</v>
      </c>
      <c r="H575" s="101">
        <v>94995.56</v>
      </c>
      <c r="I575" s="102">
        <v>1818504</v>
      </c>
      <c r="J575" s="101">
        <v>114765.45</v>
      </c>
      <c r="K575" s="101">
        <v>2081280</v>
      </c>
      <c r="L575" s="102"/>
      <c r="M575" s="10"/>
      <c r="N575" s="10"/>
      <c r="O575"/>
      <c r="P575"/>
    </row>
    <row r="576" spans="1:16" s="146" customFormat="1" ht="18" customHeight="1" x14ac:dyDescent="0.25">
      <c r="A576" s="48" t="s">
        <v>123</v>
      </c>
      <c r="B576" s="926" t="s">
        <v>1386</v>
      </c>
      <c r="C576" s="836" t="s">
        <v>126</v>
      </c>
      <c r="D576" s="836"/>
      <c r="E576" s="836"/>
      <c r="F576" s="836"/>
      <c r="G576" s="131" t="s">
        <v>127</v>
      </c>
      <c r="H576" s="101">
        <v>1249579.1200000001</v>
      </c>
      <c r="I576" s="102">
        <v>2310216</v>
      </c>
      <c r="J576" s="101">
        <v>827059.91</v>
      </c>
      <c r="K576" s="101">
        <v>2507424</v>
      </c>
      <c r="L576" s="102"/>
      <c r="M576" s="10"/>
      <c r="N576" s="10"/>
      <c r="O576"/>
      <c r="P576"/>
    </row>
    <row r="577" spans="1:16" s="146" customFormat="1" ht="17.45" customHeight="1" x14ac:dyDescent="0.25">
      <c r="A577" s="48" t="s">
        <v>123</v>
      </c>
      <c r="B577" s="926" t="s">
        <v>1386</v>
      </c>
      <c r="C577" s="834" t="s">
        <v>129</v>
      </c>
      <c r="D577" s="835"/>
      <c r="E577" s="835"/>
      <c r="F577" s="835"/>
      <c r="G577" s="132" t="s">
        <v>130</v>
      </c>
      <c r="H577" s="101">
        <v>135000</v>
      </c>
      <c r="I577" s="102">
        <v>720000</v>
      </c>
      <c r="J577" s="101">
        <v>155909.01</v>
      </c>
      <c r="K577" s="101">
        <v>720000</v>
      </c>
      <c r="L577" s="101"/>
      <c r="M577" s="10"/>
      <c r="N577" s="10"/>
      <c r="O577"/>
      <c r="P577"/>
    </row>
    <row r="578" spans="1:16" s="146" customFormat="1" ht="17.45" customHeight="1" x14ac:dyDescent="0.25">
      <c r="A578" s="48" t="s">
        <v>123</v>
      </c>
      <c r="B578" s="926" t="s">
        <v>1386</v>
      </c>
      <c r="C578" s="834" t="s">
        <v>135</v>
      </c>
      <c r="D578" s="835"/>
      <c r="E578" s="835"/>
      <c r="F578" s="835"/>
      <c r="G578" s="131" t="s">
        <v>136</v>
      </c>
      <c r="H578" s="101">
        <v>176070.76</v>
      </c>
      <c r="I578" s="102">
        <v>701230</v>
      </c>
      <c r="J578" s="101">
        <v>215394.07</v>
      </c>
      <c r="K578" s="101">
        <v>625404.56000000006</v>
      </c>
      <c r="L578" s="101"/>
      <c r="M578" s="10"/>
      <c r="N578" s="10"/>
      <c r="O578"/>
      <c r="P578"/>
    </row>
    <row r="579" spans="1:16" s="146" customFormat="1" ht="17.45" customHeight="1" x14ac:dyDescent="0.25">
      <c r="A579" s="48" t="s">
        <v>123</v>
      </c>
      <c r="B579" s="926" t="s">
        <v>1386</v>
      </c>
      <c r="C579" s="834" t="s">
        <v>137</v>
      </c>
      <c r="D579" s="835"/>
      <c r="E579" s="835"/>
      <c r="F579" s="835"/>
      <c r="G579" s="131" t="s">
        <v>138</v>
      </c>
      <c r="H579" s="101">
        <v>0</v>
      </c>
      <c r="I579" s="102">
        <v>180000</v>
      </c>
      <c r="J579" s="101">
        <v>72000</v>
      </c>
      <c r="K579" s="101">
        <v>180000</v>
      </c>
      <c r="L579" s="101"/>
      <c r="M579" s="10"/>
      <c r="N579" s="10"/>
      <c r="O579"/>
      <c r="P579"/>
    </row>
    <row r="580" spans="1:16" s="146" customFormat="1" ht="17.45" customHeight="1" x14ac:dyDescent="0.25">
      <c r="A580" s="48" t="s">
        <v>123</v>
      </c>
      <c r="B580" s="926" t="s">
        <v>1386</v>
      </c>
      <c r="C580" s="834" t="s">
        <v>139</v>
      </c>
      <c r="D580" s="835"/>
      <c r="E580" s="835"/>
      <c r="F580" s="835"/>
      <c r="G580" s="131" t="s">
        <v>140</v>
      </c>
      <c r="H580" s="101">
        <v>94997</v>
      </c>
      <c r="I580" s="102">
        <v>344060</v>
      </c>
      <c r="J580" s="101"/>
      <c r="K580" s="101">
        <v>382392</v>
      </c>
      <c r="L580" s="101"/>
      <c r="M580" s="10"/>
      <c r="N580" s="10"/>
      <c r="O580"/>
      <c r="P580"/>
    </row>
    <row r="581" spans="1:16" s="146" customFormat="1" ht="17.45" customHeight="1" x14ac:dyDescent="0.25">
      <c r="A581" s="48" t="s">
        <v>123</v>
      </c>
      <c r="B581" s="926" t="s">
        <v>1386</v>
      </c>
      <c r="C581" s="834" t="s">
        <v>141</v>
      </c>
      <c r="D581" s="835"/>
      <c r="E581" s="835"/>
      <c r="F581" s="835"/>
      <c r="G581" s="131" t="s">
        <v>142</v>
      </c>
      <c r="H581" s="101">
        <v>94997</v>
      </c>
      <c r="I581" s="102">
        <v>344060</v>
      </c>
      <c r="J581" s="101">
        <v>133606</v>
      </c>
      <c r="K581" s="101">
        <v>382392</v>
      </c>
      <c r="L581" s="101"/>
      <c r="M581" s="10"/>
      <c r="N581" s="10"/>
      <c r="O581"/>
      <c r="P581"/>
    </row>
    <row r="582" spans="1:16" s="146" customFormat="1" ht="17.45" customHeight="1" x14ac:dyDescent="0.25">
      <c r="A582" s="48" t="s">
        <v>123</v>
      </c>
      <c r="B582" s="926" t="s">
        <v>1386</v>
      </c>
      <c r="C582" s="834" t="s">
        <v>143</v>
      </c>
      <c r="D582" s="835"/>
      <c r="E582" s="835"/>
      <c r="F582" s="835"/>
      <c r="G582" s="131" t="s">
        <v>144</v>
      </c>
      <c r="H582" s="101">
        <v>45000</v>
      </c>
      <c r="I582" s="102">
        <v>150000</v>
      </c>
      <c r="J582" s="101"/>
      <c r="K582" s="101">
        <v>150000</v>
      </c>
      <c r="L582" s="101"/>
      <c r="M582" s="10"/>
      <c r="N582" s="10"/>
      <c r="O582"/>
      <c r="P582"/>
    </row>
    <row r="583" spans="1:16" s="146" customFormat="1" ht="17.45" customHeight="1" x14ac:dyDescent="0.25">
      <c r="A583" s="48" t="s">
        <v>123</v>
      </c>
      <c r="B583" s="926" t="s">
        <v>1386</v>
      </c>
      <c r="C583" s="834" t="s">
        <v>145</v>
      </c>
      <c r="D583" s="835"/>
      <c r="E583" s="835"/>
      <c r="F583" s="835"/>
      <c r="G583" s="131" t="s">
        <v>146</v>
      </c>
      <c r="H583" s="101">
        <v>45000</v>
      </c>
      <c r="I583" s="102">
        <v>150000</v>
      </c>
      <c r="J583" s="101"/>
      <c r="K583" s="101">
        <v>150000</v>
      </c>
      <c r="L583" s="101"/>
      <c r="M583" s="10"/>
      <c r="N583" s="10"/>
      <c r="O583"/>
      <c r="P583"/>
    </row>
    <row r="584" spans="1:16" s="146" customFormat="1" ht="17.45" customHeight="1" x14ac:dyDescent="0.25">
      <c r="A584" s="48" t="s">
        <v>123</v>
      </c>
      <c r="B584" s="926" t="s">
        <v>1386</v>
      </c>
      <c r="C584" s="860" t="s">
        <v>147</v>
      </c>
      <c r="D584" s="835"/>
      <c r="E584" s="835"/>
      <c r="F584" s="835"/>
      <c r="G584" s="131" t="s">
        <v>148</v>
      </c>
      <c r="H584" s="101"/>
      <c r="I584" s="102"/>
      <c r="J584" s="101"/>
      <c r="K584" s="101">
        <v>84000</v>
      </c>
      <c r="L584" s="101"/>
      <c r="M584" s="10"/>
      <c r="N584" s="10"/>
      <c r="O584"/>
      <c r="P584"/>
    </row>
    <row r="585" spans="1:16" s="146" customFormat="1" ht="17.45" customHeight="1" x14ac:dyDescent="0.25">
      <c r="A585" s="48" t="s">
        <v>123</v>
      </c>
      <c r="B585" s="926" t="s">
        <v>1386</v>
      </c>
      <c r="C585" s="860" t="s">
        <v>210</v>
      </c>
      <c r="D585" s="835"/>
      <c r="E585" s="835"/>
      <c r="F585" s="835"/>
      <c r="G585" s="131" t="s">
        <v>148</v>
      </c>
      <c r="H585" s="101"/>
      <c r="I585" s="102"/>
      <c r="J585" s="101"/>
      <c r="K585" s="101">
        <v>18000</v>
      </c>
      <c r="L585" s="101"/>
      <c r="M585" s="10"/>
      <c r="N585" s="10"/>
      <c r="O585"/>
      <c r="P585"/>
    </row>
    <row r="586" spans="1:16" s="146" customFormat="1" ht="17.45" customHeight="1" x14ac:dyDescent="0.25">
      <c r="A586" s="48" t="s">
        <v>123</v>
      </c>
      <c r="B586" s="926" t="s">
        <v>1386</v>
      </c>
      <c r="C586" s="860" t="s">
        <v>211</v>
      </c>
      <c r="D586" s="835"/>
      <c r="E586" s="835"/>
      <c r="F586" s="835"/>
      <c r="G586" s="131" t="s">
        <v>212</v>
      </c>
      <c r="H586" s="101"/>
      <c r="I586" s="102"/>
      <c r="J586" s="101"/>
      <c r="K586" s="101">
        <v>1800</v>
      </c>
      <c r="L586" s="101"/>
      <c r="M586" s="10"/>
      <c r="N586" s="10"/>
      <c r="O586"/>
      <c r="P586"/>
    </row>
    <row r="587" spans="1:16" s="146" customFormat="1" ht="17.45" customHeight="1" x14ac:dyDescent="0.25">
      <c r="A587" s="48" t="s">
        <v>123</v>
      </c>
      <c r="B587" s="926" t="s">
        <v>1386</v>
      </c>
      <c r="C587" s="834" t="s">
        <v>149</v>
      </c>
      <c r="D587" s="835"/>
      <c r="E587" s="835"/>
      <c r="F587" s="835"/>
      <c r="G587" s="131" t="s">
        <v>150</v>
      </c>
      <c r="H587" s="101">
        <v>144900</v>
      </c>
      <c r="I587" s="102">
        <v>0</v>
      </c>
      <c r="J587" s="101"/>
      <c r="K587" s="101">
        <v>84234</v>
      </c>
      <c r="L587" s="101"/>
      <c r="M587" s="10"/>
      <c r="N587" s="10"/>
      <c r="O587"/>
      <c r="P587"/>
    </row>
    <row r="588" spans="1:16" s="146" customFormat="1" ht="17.45" customHeight="1" x14ac:dyDescent="0.25">
      <c r="A588" s="48" t="s">
        <v>123</v>
      </c>
      <c r="B588" s="926" t="s">
        <v>1386</v>
      </c>
      <c r="C588" s="834" t="s">
        <v>153</v>
      </c>
      <c r="D588" s="835"/>
      <c r="E588" s="835"/>
      <c r="F588" s="835"/>
      <c r="G588" s="131" t="s">
        <v>154</v>
      </c>
      <c r="H588" s="101">
        <v>87438.42</v>
      </c>
      <c r="I588" s="102">
        <v>495446.4</v>
      </c>
      <c r="J588" s="101">
        <v>117134.56</v>
      </c>
      <c r="K588" s="101">
        <v>550644.47999999998</v>
      </c>
      <c r="L588" s="101"/>
      <c r="M588" s="10"/>
      <c r="N588" s="10"/>
      <c r="O588"/>
      <c r="P588"/>
    </row>
    <row r="589" spans="1:16" s="146" customFormat="1" ht="17.45" customHeight="1" x14ac:dyDescent="0.25">
      <c r="A589" s="48" t="s">
        <v>123</v>
      </c>
      <c r="B589" s="926" t="s">
        <v>1386</v>
      </c>
      <c r="C589" s="836" t="s">
        <v>155</v>
      </c>
      <c r="D589" s="836"/>
      <c r="E589" s="836"/>
      <c r="F589" s="834"/>
      <c r="G589" s="131" t="s">
        <v>156</v>
      </c>
      <c r="H589" s="101">
        <v>6300</v>
      </c>
      <c r="I589" s="102">
        <v>36000</v>
      </c>
      <c r="J589" s="101">
        <v>8800</v>
      </c>
      <c r="K589" s="101">
        <v>36000</v>
      </c>
      <c r="L589" s="101"/>
      <c r="M589" s="10"/>
      <c r="N589" s="10"/>
      <c r="O589"/>
      <c r="P589"/>
    </row>
    <row r="590" spans="1:16" s="146" customFormat="1" ht="17.45" customHeight="1" x14ac:dyDescent="0.25">
      <c r="A590" s="48" t="s">
        <v>123</v>
      </c>
      <c r="B590" s="926" t="s">
        <v>1386</v>
      </c>
      <c r="C590" s="834" t="s">
        <v>157</v>
      </c>
      <c r="D590" s="835"/>
      <c r="E590" s="835"/>
      <c r="F590" s="835"/>
      <c r="G590" s="131" t="s">
        <v>158</v>
      </c>
      <c r="H590" s="101">
        <v>10206.41</v>
      </c>
      <c r="I590" s="102">
        <v>72252.600000000006</v>
      </c>
      <c r="J590" s="101">
        <v>15880.26</v>
      </c>
      <c r="K590" s="101">
        <v>183804</v>
      </c>
      <c r="L590" s="101"/>
      <c r="M590" s="10"/>
      <c r="N590" s="10"/>
      <c r="O590"/>
      <c r="P590"/>
    </row>
    <row r="591" spans="1:16" s="146" customFormat="1" ht="17.45" customHeight="1" x14ac:dyDescent="0.25">
      <c r="A591" s="48" t="s">
        <v>123</v>
      </c>
      <c r="B591" s="926" t="s">
        <v>1386</v>
      </c>
      <c r="C591" s="834" t="s">
        <v>159</v>
      </c>
      <c r="D591" s="835"/>
      <c r="E591" s="835"/>
      <c r="F591" s="835"/>
      <c r="G591" s="131" t="s">
        <v>160</v>
      </c>
      <c r="H591" s="101">
        <v>6307.56</v>
      </c>
      <c r="I591" s="102">
        <v>36000</v>
      </c>
      <c r="J591" s="101">
        <v>8800</v>
      </c>
      <c r="K591" s="101">
        <v>36000</v>
      </c>
      <c r="L591" s="101"/>
      <c r="M591" s="10"/>
      <c r="N591" s="10"/>
      <c r="O591"/>
      <c r="P591"/>
    </row>
    <row r="592" spans="1:16" s="146" customFormat="1" ht="17.45" customHeight="1" x14ac:dyDescent="0.25">
      <c r="A592" s="48" t="s">
        <v>123</v>
      </c>
      <c r="B592" s="926" t="s">
        <v>1387</v>
      </c>
      <c r="C592" s="834" t="s">
        <v>124</v>
      </c>
      <c r="D592" s="835"/>
      <c r="E592" s="835"/>
      <c r="F592" s="835"/>
      <c r="G592" s="131" t="s">
        <v>125</v>
      </c>
      <c r="H592" s="101"/>
      <c r="I592" s="102">
        <v>256836</v>
      </c>
      <c r="J592" s="101"/>
      <c r="K592" s="101">
        <v>286056</v>
      </c>
      <c r="L592" s="101"/>
      <c r="M592" s="10"/>
      <c r="N592" s="10"/>
      <c r="O592"/>
      <c r="P592"/>
    </row>
    <row r="593" spans="1:16" s="146" customFormat="1" ht="17.45" customHeight="1" x14ac:dyDescent="0.25">
      <c r="A593" s="48" t="s">
        <v>123</v>
      </c>
      <c r="B593" s="926" t="s">
        <v>1387</v>
      </c>
      <c r="C593" s="860" t="s">
        <v>126</v>
      </c>
      <c r="D593" s="835"/>
      <c r="E593" s="835"/>
      <c r="F593" s="835"/>
      <c r="G593" s="131" t="s">
        <v>132</v>
      </c>
      <c r="H593" s="105"/>
      <c r="I593" s="106">
        <v>132552</v>
      </c>
      <c r="J593" s="105">
        <v>70776.45</v>
      </c>
      <c r="K593" s="105">
        <v>143928</v>
      </c>
      <c r="L593" s="105"/>
      <c r="M593" s="10"/>
      <c r="N593" s="10"/>
      <c r="O593"/>
      <c r="P593"/>
    </row>
    <row r="594" spans="1:16" s="146" customFormat="1" ht="17.45" customHeight="1" x14ac:dyDescent="0.25">
      <c r="A594" s="48" t="s">
        <v>123</v>
      </c>
      <c r="B594" s="926" t="s">
        <v>1387</v>
      </c>
      <c r="C594" s="836" t="s">
        <v>129</v>
      </c>
      <c r="D594" s="836"/>
      <c r="E594" s="836"/>
      <c r="F594" s="834"/>
      <c r="G594" s="132" t="s">
        <v>130</v>
      </c>
      <c r="H594" s="101"/>
      <c r="I594" s="102">
        <v>48000</v>
      </c>
      <c r="J594" s="101">
        <v>12181.81</v>
      </c>
      <c r="K594" s="101">
        <v>48000</v>
      </c>
      <c r="L594" s="101"/>
      <c r="M594" s="10"/>
      <c r="N594" s="10"/>
      <c r="O594"/>
      <c r="P594"/>
    </row>
    <row r="595" spans="1:16" s="146" customFormat="1" ht="17.45" customHeight="1" x14ac:dyDescent="0.25">
      <c r="A595" s="48" t="s">
        <v>123</v>
      </c>
      <c r="B595" s="926" t="s">
        <v>1387</v>
      </c>
      <c r="C595" s="836" t="s">
        <v>137</v>
      </c>
      <c r="D595" s="836"/>
      <c r="E595" s="836"/>
      <c r="F595" s="836"/>
      <c r="G595" s="131" t="s">
        <v>138</v>
      </c>
      <c r="H595" s="101"/>
      <c r="I595" s="102">
        <v>12000</v>
      </c>
      <c r="J595" s="101">
        <v>6000</v>
      </c>
      <c r="K595" s="101">
        <v>12000</v>
      </c>
      <c r="L595" s="101"/>
      <c r="M595" s="10"/>
      <c r="N595" s="10"/>
      <c r="O595"/>
      <c r="P595"/>
    </row>
    <row r="596" spans="1:16" s="146" customFormat="1" ht="17.45" customHeight="1" x14ac:dyDescent="0.25">
      <c r="A596" s="48" t="s">
        <v>123</v>
      </c>
      <c r="B596" s="926" t="s">
        <v>1387</v>
      </c>
      <c r="C596" s="836" t="s">
        <v>139</v>
      </c>
      <c r="D596" s="836"/>
      <c r="E596" s="836"/>
      <c r="F596" s="836"/>
      <c r="G596" s="131" t="s">
        <v>140</v>
      </c>
      <c r="H596" s="101"/>
      <c r="I596" s="102">
        <v>32449</v>
      </c>
      <c r="J596" s="101">
        <v>11520</v>
      </c>
      <c r="K596" s="101">
        <v>35832</v>
      </c>
      <c r="L596" s="101"/>
      <c r="M596" s="10"/>
      <c r="N596" s="10"/>
      <c r="O596"/>
      <c r="P596"/>
    </row>
    <row r="597" spans="1:16" s="146" customFormat="1" ht="17.45" customHeight="1" x14ac:dyDescent="0.25">
      <c r="A597" s="48" t="s">
        <v>123</v>
      </c>
      <c r="B597" s="926" t="s">
        <v>1387</v>
      </c>
      <c r="C597" s="836" t="s">
        <v>227</v>
      </c>
      <c r="D597" s="836"/>
      <c r="E597" s="836"/>
      <c r="F597" s="836"/>
      <c r="G597" s="131" t="s">
        <v>228</v>
      </c>
      <c r="H597" s="101"/>
      <c r="I597" s="102"/>
      <c r="J597" s="101"/>
      <c r="K597" s="101">
        <v>48000</v>
      </c>
      <c r="L597" s="101"/>
      <c r="M597" s="10"/>
      <c r="N597" s="10"/>
      <c r="O597"/>
      <c r="P597"/>
    </row>
    <row r="598" spans="1:16" s="146" customFormat="1" ht="17.45" customHeight="1" x14ac:dyDescent="0.25">
      <c r="A598" s="48" t="s">
        <v>123</v>
      </c>
      <c r="B598" s="926" t="s">
        <v>1387</v>
      </c>
      <c r="C598" s="836" t="s">
        <v>141</v>
      </c>
      <c r="D598" s="836"/>
      <c r="E598" s="836"/>
      <c r="F598" s="836"/>
      <c r="G598" s="131" t="s">
        <v>142</v>
      </c>
      <c r="H598" s="101"/>
      <c r="I598" s="102">
        <v>32449</v>
      </c>
      <c r="J598" s="101"/>
      <c r="K598" s="101">
        <v>35832</v>
      </c>
      <c r="L598" s="101"/>
      <c r="M598" s="10"/>
      <c r="N598" s="10">
        <f>42000+28800</f>
        <v>70800</v>
      </c>
      <c r="O598"/>
      <c r="P598"/>
    </row>
    <row r="599" spans="1:16" s="146" customFormat="1" ht="17.45" customHeight="1" x14ac:dyDescent="0.25">
      <c r="A599" s="48" t="s">
        <v>123</v>
      </c>
      <c r="B599" s="926" t="s">
        <v>1387</v>
      </c>
      <c r="C599" s="836" t="s">
        <v>143</v>
      </c>
      <c r="D599" s="836"/>
      <c r="E599" s="836"/>
      <c r="F599" s="836"/>
      <c r="G599" s="131" t="s">
        <v>144</v>
      </c>
      <c r="H599" s="101"/>
      <c r="I599" s="102">
        <v>10000</v>
      </c>
      <c r="J599" s="101"/>
      <c r="K599" s="101">
        <v>10000</v>
      </c>
      <c r="L599" s="101"/>
      <c r="M599" s="10"/>
      <c r="N599" s="10"/>
      <c r="O599"/>
      <c r="P599"/>
    </row>
    <row r="600" spans="1:16" s="146" customFormat="1" ht="17.45" customHeight="1" x14ac:dyDescent="0.25">
      <c r="A600" s="48" t="s">
        <v>123</v>
      </c>
      <c r="B600" s="926" t="s">
        <v>1387</v>
      </c>
      <c r="C600" s="836" t="s">
        <v>145</v>
      </c>
      <c r="D600" s="836"/>
      <c r="E600" s="836"/>
      <c r="F600" s="836"/>
      <c r="G600" s="131" t="s">
        <v>146</v>
      </c>
      <c r="H600" s="101"/>
      <c r="I600" s="102">
        <v>10000</v>
      </c>
      <c r="J600" s="101"/>
      <c r="K600" s="101">
        <v>10000</v>
      </c>
      <c r="L600" s="102"/>
      <c r="M600" s="10"/>
      <c r="N600" s="10"/>
      <c r="O600"/>
      <c r="P600"/>
    </row>
    <row r="601" spans="1:16" s="146" customFormat="1" ht="17.45" customHeight="1" x14ac:dyDescent="0.25">
      <c r="A601" s="48" t="s">
        <v>123</v>
      </c>
      <c r="B601" s="926" t="s">
        <v>1387</v>
      </c>
      <c r="C601" s="859" t="s">
        <v>147</v>
      </c>
      <c r="D601" s="836"/>
      <c r="E601" s="836"/>
      <c r="F601" s="836"/>
      <c r="G601" s="131" t="s">
        <v>148</v>
      </c>
      <c r="H601" s="101"/>
      <c r="I601" s="102"/>
      <c r="J601" s="101"/>
      <c r="K601" s="101">
        <v>3000</v>
      </c>
      <c r="L601" s="102"/>
      <c r="M601" s="10"/>
      <c r="N601" s="10"/>
      <c r="O601"/>
      <c r="P601"/>
    </row>
    <row r="602" spans="1:16" ht="17.45" customHeight="1" x14ac:dyDescent="0.25">
      <c r="A602" s="48" t="s">
        <v>123</v>
      </c>
      <c r="B602" s="926" t="s">
        <v>1387</v>
      </c>
      <c r="C602" s="836" t="s">
        <v>153</v>
      </c>
      <c r="D602" s="836"/>
      <c r="E602" s="836"/>
      <c r="F602" s="836"/>
      <c r="G602" s="131" t="s">
        <v>154</v>
      </c>
      <c r="H602" s="101"/>
      <c r="I602" s="102">
        <v>46726.559999999998</v>
      </c>
      <c r="J602" s="101">
        <v>8985.6</v>
      </c>
      <c r="K602" s="101">
        <v>51598.080000000002</v>
      </c>
      <c r="L602" s="101"/>
    </row>
    <row r="603" spans="1:16" ht="17.45" customHeight="1" x14ac:dyDescent="0.25">
      <c r="A603" s="48" t="s">
        <v>123</v>
      </c>
      <c r="B603" s="926" t="s">
        <v>1387</v>
      </c>
      <c r="C603" s="836" t="s">
        <v>155</v>
      </c>
      <c r="D603" s="836"/>
      <c r="E603" s="836"/>
      <c r="F603" s="836"/>
      <c r="G603" s="131" t="s">
        <v>156</v>
      </c>
      <c r="H603" s="105"/>
      <c r="I603" s="106">
        <v>2400</v>
      </c>
      <c r="J603" s="105">
        <v>700</v>
      </c>
      <c r="K603" s="105">
        <v>2400</v>
      </c>
      <c r="L603" s="105"/>
    </row>
    <row r="604" spans="1:16" s="208" customFormat="1" ht="17.45" customHeight="1" x14ac:dyDescent="0.25">
      <c r="A604" s="48" t="s">
        <v>123</v>
      </c>
      <c r="B604" s="926" t="s">
        <v>1387</v>
      </c>
      <c r="C604" s="836" t="s">
        <v>157</v>
      </c>
      <c r="D604" s="836"/>
      <c r="E604" s="836"/>
      <c r="F604" s="836"/>
      <c r="G604" s="131" t="s">
        <v>158</v>
      </c>
      <c r="H604" s="101"/>
      <c r="I604" s="102">
        <v>6814.29</v>
      </c>
      <c r="J604" s="101">
        <v>1209.5999999999999</v>
      </c>
      <c r="K604" s="101">
        <v>17208</v>
      </c>
      <c r="L604" s="102"/>
      <c r="M604" s="207"/>
      <c r="N604" s="207">
        <f>160000+135000</f>
        <v>295000</v>
      </c>
    </row>
    <row r="605" spans="1:16" s="208" customFormat="1" ht="17.45" customHeight="1" x14ac:dyDescent="0.25">
      <c r="A605" s="48" t="s">
        <v>123</v>
      </c>
      <c r="B605" s="926" t="s">
        <v>1387</v>
      </c>
      <c r="C605" s="836" t="s">
        <v>159</v>
      </c>
      <c r="D605" s="836"/>
      <c r="E605" s="836"/>
      <c r="F605" s="836"/>
      <c r="G605" s="131" t="s">
        <v>160</v>
      </c>
      <c r="H605" s="101"/>
      <c r="I605" s="102">
        <v>2400</v>
      </c>
      <c r="J605" s="101">
        <v>700</v>
      </c>
      <c r="K605" s="101">
        <v>2400</v>
      </c>
      <c r="L605" s="102"/>
      <c r="M605" s="207"/>
      <c r="N605" s="207"/>
    </row>
    <row r="606" spans="1:16" s="208" customFormat="1" ht="17.45" customHeight="1" x14ac:dyDescent="0.25">
      <c r="A606" s="48" t="s">
        <v>123</v>
      </c>
      <c r="B606" s="926" t="s">
        <v>1388</v>
      </c>
      <c r="C606" s="836" t="s">
        <v>124</v>
      </c>
      <c r="D606" s="836"/>
      <c r="E606" s="836"/>
      <c r="F606" s="836"/>
      <c r="G606" s="131" t="s">
        <v>125</v>
      </c>
      <c r="H606" s="101">
        <v>695268</v>
      </c>
      <c r="I606" s="102">
        <v>909504</v>
      </c>
      <c r="J606" s="101">
        <v>421456</v>
      </c>
      <c r="K606" s="101">
        <v>993912</v>
      </c>
      <c r="L606" s="102"/>
      <c r="M606" s="207"/>
      <c r="N606" s="207"/>
    </row>
    <row r="607" spans="1:16" s="208" customFormat="1" ht="36" customHeight="1" x14ac:dyDescent="0.25">
      <c r="A607" s="48" t="s">
        <v>123</v>
      </c>
      <c r="B607" s="926" t="s">
        <v>1388</v>
      </c>
      <c r="C607" s="836" t="s">
        <v>126</v>
      </c>
      <c r="D607" s="836"/>
      <c r="E607" s="836"/>
      <c r="F607" s="836"/>
      <c r="G607" s="131" t="s">
        <v>127</v>
      </c>
      <c r="H607" s="101">
        <v>149929.13</v>
      </c>
      <c r="I607" s="102">
        <v>132552</v>
      </c>
      <c r="J607" s="101">
        <v>70776.45</v>
      </c>
      <c r="K607" s="101">
        <v>143928</v>
      </c>
      <c r="L607" s="102"/>
      <c r="M607" s="207"/>
      <c r="N607" s="207"/>
    </row>
    <row r="608" spans="1:16" s="48" customFormat="1" ht="18" customHeight="1" x14ac:dyDescent="0.25">
      <c r="A608" s="48" t="s">
        <v>123</v>
      </c>
      <c r="B608" s="926" t="s">
        <v>1388</v>
      </c>
      <c r="C608" s="134" t="s">
        <v>128</v>
      </c>
      <c r="D608" s="97"/>
      <c r="E608" s="835"/>
      <c r="F608" s="835"/>
      <c r="G608" s="131" t="s">
        <v>125</v>
      </c>
      <c r="H608" s="101"/>
      <c r="I608" s="102"/>
      <c r="J608" s="101"/>
      <c r="K608" s="101">
        <v>6070</v>
      </c>
      <c r="L608" s="101"/>
      <c r="M608" s="6"/>
      <c r="N608" s="6"/>
    </row>
    <row r="609" spans="1:14" s="48" customFormat="1" ht="18" customHeight="1" x14ac:dyDescent="0.25">
      <c r="A609" s="48" t="s">
        <v>123</v>
      </c>
      <c r="B609" s="926" t="s">
        <v>1388</v>
      </c>
      <c r="C609" s="834" t="s">
        <v>129</v>
      </c>
      <c r="D609" s="835"/>
      <c r="E609" s="835"/>
      <c r="F609" s="835"/>
      <c r="G609" s="132" t="s">
        <v>130</v>
      </c>
      <c r="H609" s="101">
        <v>86272.55</v>
      </c>
      <c r="I609" s="102">
        <v>120000</v>
      </c>
      <c r="J609" s="101">
        <v>54181.81</v>
      </c>
      <c r="K609" s="101">
        <v>120000</v>
      </c>
      <c r="L609" s="101"/>
      <c r="M609" s="6"/>
      <c r="N609" s="6">
        <f>40*1250</f>
        <v>50000</v>
      </c>
    </row>
    <row r="610" spans="1:14" s="48" customFormat="1" ht="18" customHeight="1" x14ac:dyDescent="0.25">
      <c r="A610" s="48" t="s">
        <v>123</v>
      </c>
      <c r="B610" s="926" t="s">
        <v>1388</v>
      </c>
      <c r="C610" s="834" t="s">
        <v>135</v>
      </c>
      <c r="D610" s="835"/>
      <c r="E610" s="835"/>
      <c r="F610" s="835"/>
      <c r="G610" s="131" t="s">
        <v>136</v>
      </c>
      <c r="H610" s="101">
        <v>0</v>
      </c>
      <c r="I610" s="102">
        <v>204879.09</v>
      </c>
      <c r="J610" s="101"/>
      <c r="K610" s="101">
        <v>50000</v>
      </c>
      <c r="L610" s="101"/>
      <c r="M610" s="6"/>
      <c r="N610" s="6"/>
    </row>
    <row r="611" spans="1:14" s="48" customFormat="1" ht="18" customHeight="1" x14ac:dyDescent="0.25">
      <c r="A611" s="48" t="s">
        <v>123</v>
      </c>
      <c r="B611" s="926" t="s">
        <v>1388</v>
      </c>
      <c r="C611" s="834" t="s">
        <v>137</v>
      </c>
      <c r="D611" s="835"/>
      <c r="E611" s="835"/>
      <c r="F611" s="835"/>
      <c r="G611" s="131" t="s">
        <v>138</v>
      </c>
      <c r="H611" s="101">
        <v>18000</v>
      </c>
      <c r="I611" s="102">
        <v>30000</v>
      </c>
      <c r="J611" s="101">
        <v>24000</v>
      </c>
      <c r="K611" s="101">
        <v>30000</v>
      </c>
      <c r="L611" s="101"/>
      <c r="M611" s="6"/>
      <c r="N611" s="6"/>
    </row>
    <row r="612" spans="1:14" s="48" customFormat="1" ht="18" customHeight="1" x14ac:dyDescent="0.25">
      <c r="A612" s="48" t="s">
        <v>123</v>
      </c>
      <c r="B612" s="926" t="s">
        <v>1388</v>
      </c>
      <c r="C612" s="834" t="s">
        <v>139</v>
      </c>
      <c r="D612" s="835"/>
      <c r="E612" s="835"/>
      <c r="F612" s="835"/>
      <c r="G612" s="131" t="s">
        <v>140</v>
      </c>
      <c r="H612" s="101">
        <v>68985</v>
      </c>
      <c r="I612" s="102">
        <v>86838</v>
      </c>
      <c r="J612" s="101">
        <v>71728</v>
      </c>
      <c r="K612" s="101">
        <v>95427</v>
      </c>
      <c r="L612" s="101"/>
      <c r="M612" s="6"/>
      <c r="N612" s="6"/>
    </row>
    <row r="613" spans="1:14" s="48" customFormat="1" ht="18" customHeight="1" x14ac:dyDescent="0.25">
      <c r="A613" s="48" t="s">
        <v>123</v>
      </c>
      <c r="B613" s="926" t="s">
        <v>1388</v>
      </c>
      <c r="C613" s="834" t="s">
        <v>141</v>
      </c>
      <c r="D613" s="835"/>
      <c r="E613" s="835"/>
      <c r="F613" s="835"/>
      <c r="G613" s="131" t="s">
        <v>142</v>
      </c>
      <c r="H613" s="101">
        <v>68985</v>
      </c>
      <c r="I613" s="102">
        <v>86838</v>
      </c>
      <c r="J613" s="101"/>
      <c r="K613" s="101">
        <v>95427</v>
      </c>
      <c r="L613" s="101"/>
      <c r="M613" s="6"/>
      <c r="N613" s="6"/>
    </row>
    <row r="614" spans="1:14" s="48" customFormat="1" ht="18" customHeight="1" x14ac:dyDescent="0.25">
      <c r="A614" s="48" t="s">
        <v>123</v>
      </c>
      <c r="B614" s="926" t="s">
        <v>1388</v>
      </c>
      <c r="C614" s="834" t="s">
        <v>143</v>
      </c>
      <c r="D614" s="835"/>
      <c r="E614" s="835"/>
      <c r="F614" s="835"/>
      <c r="G614" s="131" t="s">
        <v>144</v>
      </c>
      <c r="H614" s="101">
        <v>20000</v>
      </c>
      <c r="I614" s="102">
        <v>25000</v>
      </c>
      <c r="J614" s="101"/>
      <c r="K614" s="101">
        <v>25000</v>
      </c>
      <c r="L614" s="101"/>
      <c r="M614" s="6"/>
      <c r="N614" s="6"/>
    </row>
    <row r="615" spans="1:14" s="48" customFormat="1" ht="18" customHeight="1" x14ac:dyDescent="0.25">
      <c r="A615" s="48" t="s">
        <v>123</v>
      </c>
      <c r="B615" s="926" t="s">
        <v>1388</v>
      </c>
      <c r="C615" s="834" t="s">
        <v>145</v>
      </c>
      <c r="D615" s="835"/>
      <c r="E615" s="835"/>
      <c r="F615" s="835"/>
      <c r="G615" s="131" t="s">
        <v>146</v>
      </c>
      <c r="H615" s="101">
        <v>20000</v>
      </c>
      <c r="I615" s="102">
        <v>25000</v>
      </c>
      <c r="J615" s="101"/>
      <c r="K615" s="101">
        <v>25000</v>
      </c>
      <c r="L615" s="101"/>
      <c r="M615" s="6"/>
      <c r="N615" s="6"/>
    </row>
    <row r="616" spans="1:14" s="48" customFormat="1" ht="18" customHeight="1" x14ac:dyDescent="0.25">
      <c r="A616" s="48" t="s">
        <v>123</v>
      </c>
      <c r="B616" s="926" t="s">
        <v>1388</v>
      </c>
      <c r="C616" s="852" t="s">
        <v>231</v>
      </c>
      <c r="D616" s="835"/>
      <c r="E616" s="835"/>
      <c r="F616" s="835"/>
      <c r="G616" s="131" t="s">
        <v>232</v>
      </c>
      <c r="H616" s="101"/>
      <c r="I616" s="102"/>
      <c r="J616" s="101"/>
      <c r="K616" s="101">
        <v>5000</v>
      </c>
      <c r="L616" s="101"/>
      <c r="M616" s="6"/>
      <c r="N616" s="6"/>
    </row>
    <row r="617" spans="1:14" s="48" customFormat="1" ht="18" customHeight="1" x14ac:dyDescent="0.25">
      <c r="A617" s="48" t="s">
        <v>123</v>
      </c>
      <c r="B617" s="926" t="s">
        <v>1388</v>
      </c>
      <c r="C617" s="860" t="s">
        <v>147</v>
      </c>
      <c r="D617" s="835"/>
      <c r="E617" s="835"/>
      <c r="F617" s="835"/>
      <c r="G617" s="131" t="s">
        <v>148</v>
      </c>
      <c r="H617" s="101"/>
      <c r="I617" s="102"/>
      <c r="J617" s="101"/>
      <c r="K617" s="101">
        <v>15000</v>
      </c>
      <c r="L617" s="101"/>
      <c r="M617" s="6"/>
      <c r="N617" s="6"/>
    </row>
    <row r="618" spans="1:14" s="48" customFormat="1" ht="18" customHeight="1" x14ac:dyDescent="0.25">
      <c r="A618" s="48" t="s">
        <v>123</v>
      </c>
      <c r="B618" s="926" t="s">
        <v>1388</v>
      </c>
      <c r="C618" s="834" t="s">
        <v>153</v>
      </c>
      <c r="D618" s="835"/>
      <c r="E618" s="835"/>
      <c r="F618" s="835"/>
      <c r="G618" s="131" t="s">
        <v>154</v>
      </c>
      <c r="H618" s="101">
        <v>93601.56</v>
      </c>
      <c r="I618" s="102">
        <v>125046.72</v>
      </c>
      <c r="J618" s="101">
        <v>59560.32</v>
      </c>
      <c r="K618" s="101">
        <v>137269.20000000001</v>
      </c>
      <c r="L618" s="101"/>
      <c r="M618" s="6"/>
      <c r="N618" s="6"/>
    </row>
    <row r="619" spans="1:14" s="48" customFormat="1" ht="18" customHeight="1" x14ac:dyDescent="0.25">
      <c r="A619" s="48" t="s">
        <v>123</v>
      </c>
      <c r="B619" s="926" t="s">
        <v>1388</v>
      </c>
      <c r="C619" s="834" t="s">
        <v>155</v>
      </c>
      <c r="D619" s="835"/>
      <c r="E619" s="835"/>
      <c r="F619" s="835"/>
      <c r="G619" s="131" t="s">
        <v>156</v>
      </c>
      <c r="H619" s="101">
        <v>4300</v>
      </c>
      <c r="I619" s="102">
        <v>6000</v>
      </c>
      <c r="J619" s="101">
        <v>2800</v>
      </c>
      <c r="K619" s="101">
        <v>6000</v>
      </c>
      <c r="L619" s="101"/>
      <c r="M619" s="6"/>
      <c r="N619" s="6"/>
    </row>
    <row r="620" spans="1:14" s="48" customFormat="1" ht="18" customHeight="1" x14ac:dyDescent="0.25">
      <c r="A620" s="48" t="s">
        <v>123</v>
      </c>
      <c r="B620" s="926" t="s">
        <v>1388</v>
      </c>
      <c r="C620" s="836" t="s">
        <v>157</v>
      </c>
      <c r="D620" s="836"/>
      <c r="E620" s="836"/>
      <c r="F620" s="834"/>
      <c r="G620" s="131" t="s">
        <v>158</v>
      </c>
      <c r="H620" s="101">
        <v>11617.43</v>
      </c>
      <c r="I620" s="102">
        <v>18235.98</v>
      </c>
      <c r="J620" s="101">
        <v>7531.49</v>
      </c>
      <c r="K620" s="101">
        <v>45782.8</v>
      </c>
      <c r="L620" s="101"/>
      <c r="M620" s="6"/>
      <c r="N620" s="6"/>
    </row>
    <row r="621" spans="1:14" s="48" customFormat="1" ht="18" customHeight="1" x14ac:dyDescent="0.25">
      <c r="A621" s="48" t="s">
        <v>123</v>
      </c>
      <c r="B621" s="926" t="s">
        <v>1388</v>
      </c>
      <c r="C621" s="836" t="s">
        <v>159</v>
      </c>
      <c r="D621" s="836"/>
      <c r="E621" s="836"/>
      <c r="F621" s="834"/>
      <c r="G621" s="131" t="s">
        <v>160</v>
      </c>
      <c r="H621" s="101">
        <v>4300</v>
      </c>
      <c r="I621" s="102">
        <v>6000</v>
      </c>
      <c r="J621" s="101">
        <v>2800</v>
      </c>
      <c r="K621" s="101">
        <v>6000</v>
      </c>
      <c r="L621" s="101"/>
      <c r="M621" s="6"/>
      <c r="N621" s="6"/>
    </row>
    <row r="622" spans="1:14" s="48" customFormat="1" ht="18" customHeight="1" x14ac:dyDescent="0.25">
      <c r="A622" s="48" t="s">
        <v>123</v>
      </c>
      <c r="B622" s="926" t="s">
        <v>1386</v>
      </c>
      <c r="C622" s="834" t="s">
        <v>124</v>
      </c>
      <c r="D622" s="835"/>
      <c r="E622" s="835"/>
      <c r="F622" s="835"/>
      <c r="G622" s="100" t="s">
        <v>125</v>
      </c>
      <c r="H622" s="101">
        <v>648024</v>
      </c>
      <c r="I622" s="102">
        <v>648024</v>
      </c>
      <c r="J622" s="101">
        <v>396419.55</v>
      </c>
      <c r="K622" s="101">
        <v>712428</v>
      </c>
      <c r="L622" s="101"/>
      <c r="M622" s="6"/>
      <c r="N622" s="6"/>
    </row>
    <row r="623" spans="1:14" s="48" customFormat="1" ht="18" customHeight="1" x14ac:dyDescent="0.25">
      <c r="A623" s="48" t="s">
        <v>123</v>
      </c>
      <c r="B623" s="926" t="s">
        <v>1386</v>
      </c>
      <c r="C623" s="834" t="s">
        <v>126</v>
      </c>
      <c r="D623" s="835"/>
      <c r="E623" s="835"/>
      <c r="F623" s="835"/>
      <c r="G623" s="100" t="s">
        <v>127</v>
      </c>
      <c r="H623" s="101">
        <v>147691.04999999999</v>
      </c>
      <c r="I623" s="102">
        <v>132552</v>
      </c>
      <c r="J623" s="101">
        <v>70776.45</v>
      </c>
      <c r="K623" s="101">
        <v>143928</v>
      </c>
      <c r="L623" s="101"/>
      <c r="M623" s="6"/>
      <c r="N623" s="6"/>
    </row>
    <row r="624" spans="1:14" s="48" customFormat="1" ht="18" customHeight="1" x14ac:dyDescent="0.25">
      <c r="A624" s="48" t="s">
        <v>123</v>
      </c>
      <c r="B624" s="926" t="s">
        <v>1386</v>
      </c>
      <c r="C624" s="834" t="s">
        <v>128</v>
      </c>
      <c r="D624" s="835"/>
      <c r="E624" s="835"/>
      <c r="F624" s="835"/>
      <c r="G624" s="100" t="s">
        <v>125</v>
      </c>
      <c r="H624" s="101"/>
      <c r="I624" s="102">
        <v>810</v>
      </c>
      <c r="J624" s="101"/>
      <c r="K624" s="101">
        <v>3477.64</v>
      </c>
      <c r="L624" s="101"/>
      <c r="M624" s="6"/>
      <c r="N624" s="6"/>
    </row>
    <row r="625" spans="1:14" s="48" customFormat="1" ht="18" customHeight="1" x14ac:dyDescent="0.25">
      <c r="A625" s="48" t="s">
        <v>123</v>
      </c>
      <c r="B625" s="926" t="s">
        <v>1386</v>
      </c>
      <c r="C625" s="834" t="s">
        <v>129</v>
      </c>
      <c r="D625" s="835"/>
      <c r="E625" s="835"/>
      <c r="F625" s="835"/>
      <c r="G625" s="949" t="s">
        <v>130</v>
      </c>
      <c r="H625" s="105">
        <v>86181.56</v>
      </c>
      <c r="I625" s="106">
        <v>96000</v>
      </c>
      <c r="J625" s="105">
        <v>54181.81</v>
      </c>
      <c r="K625" s="105">
        <v>96000</v>
      </c>
      <c r="L625" s="105"/>
      <c r="M625" s="6"/>
      <c r="N625" s="6"/>
    </row>
    <row r="626" spans="1:14" s="48" customFormat="1" ht="18" customHeight="1" x14ac:dyDescent="0.25">
      <c r="A626" s="48" t="s">
        <v>123</v>
      </c>
      <c r="B626" s="926" t="s">
        <v>1386</v>
      </c>
      <c r="C626" s="859" t="s">
        <v>135</v>
      </c>
      <c r="D626" s="836"/>
      <c r="E626" s="836"/>
      <c r="F626" s="834"/>
      <c r="G626" s="100" t="s">
        <v>136</v>
      </c>
      <c r="H626" s="101"/>
      <c r="I626" s="102">
        <v>62788.800000000003</v>
      </c>
      <c r="J626" s="101"/>
      <c r="K626" s="102">
        <v>62788.800000000003</v>
      </c>
      <c r="L626" s="101"/>
      <c r="M626" s="6"/>
      <c r="N626" s="6"/>
    </row>
    <row r="627" spans="1:14" s="48" customFormat="1" ht="18" customHeight="1" x14ac:dyDescent="0.25">
      <c r="A627" s="48" t="s">
        <v>123</v>
      </c>
      <c r="B627" s="926" t="s">
        <v>1386</v>
      </c>
      <c r="C627" s="836" t="s">
        <v>137</v>
      </c>
      <c r="D627" s="836"/>
      <c r="E627" s="836"/>
      <c r="F627" s="834"/>
      <c r="G627" s="100" t="s">
        <v>138</v>
      </c>
      <c r="H627" s="101">
        <v>18000</v>
      </c>
      <c r="I627" s="102">
        <v>24000</v>
      </c>
      <c r="J627" s="101">
        <v>24000</v>
      </c>
      <c r="K627" s="101">
        <v>24000</v>
      </c>
      <c r="L627" s="101"/>
      <c r="M627" s="6"/>
      <c r="N627" s="6"/>
    </row>
    <row r="628" spans="1:14" s="48" customFormat="1" ht="18" customHeight="1" x14ac:dyDescent="0.25">
      <c r="A628" s="48" t="s">
        <v>123</v>
      </c>
      <c r="B628" s="926" t="s">
        <v>1386</v>
      </c>
      <c r="C628" s="836" t="s">
        <v>139</v>
      </c>
      <c r="D628" s="836"/>
      <c r="E628" s="836"/>
      <c r="F628" s="834"/>
      <c r="G628" s="100" t="s">
        <v>140</v>
      </c>
      <c r="H628" s="101">
        <v>65048</v>
      </c>
      <c r="I628" s="102">
        <v>65048</v>
      </c>
      <c r="J628" s="101">
        <v>68132</v>
      </c>
      <c r="K628" s="101">
        <v>71779</v>
      </c>
      <c r="L628" s="101"/>
      <c r="M628" s="6"/>
      <c r="N628" s="6"/>
    </row>
    <row r="629" spans="1:14" s="48" customFormat="1" ht="18" customHeight="1" x14ac:dyDescent="0.25">
      <c r="A629" s="48" t="s">
        <v>123</v>
      </c>
      <c r="B629" s="926" t="s">
        <v>1386</v>
      </c>
      <c r="C629" s="836" t="s">
        <v>141</v>
      </c>
      <c r="D629" s="836"/>
      <c r="E629" s="836"/>
      <c r="F629" s="834"/>
      <c r="G629" s="100" t="s">
        <v>142</v>
      </c>
      <c r="H629" s="101">
        <v>65048</v>
      </c>
      <c r="I629" s="102">
        <v>65183</v>
      </c>
      <c r="J629" s="101"/>
      <c r="K629" s="101">
        <v>71779</v>
      </c>
      <c r="L629" s="101"/>
      <c r="M629" s="6"/>
      <c r="N629" s="6"/>
    </row>
    <row r="630" spans="1:14" s="48" customFormat="1" ht="18" customHeight="1" x14ac:dyDescent="0.25">
      <c r="A630" s="48" t="s">
        <v>123</v>
      </c>
      <c r="B630" s="926" t="s">
        <v>1386</v>
      </c>
      <c r="C630" s="836" t="s">
        <v>143</v>
      </c>
      <c r="D630" s="836"/>
      <c r="E630" s="836"/>
      <c r="F630" s="834"/>
      <c r="G630" s="100" t="s">
        <v>144</v>
      </c>
      <c r="H630" s="101">
        <v>20000</v>
      </c>
      <c r="I630" s="102">
        <v>20000</v>
      </c>
      <c r="J630" s="101"/>
      <c r="K630" s="101">
        <v>20000</v>
      </c>
      <c r="L630" s="101"/>
      <c r="M630" s="6"/>
      <c r="N630" s="6"/>
    </row>
    <row r="631" spans="1:14" s="48" customFormat="1" ht="18" customHeight="1" x14ac:dyDescent="0.25">
      <c r="A631" s="48" t="s">
        <v>123</v>
      </c>
      <c r="B631" s="926" t="s">
        <v>1386</v>
      </c>
      <c r="C631" s="836" t="s">
        <v>145</v>
      </c>
      <c r="D631" s="836"/>
      <c r="E631" s="836"/>
      <c r="F631" s="834"/>
      <c r="G631" s="100" t="s">
        <v>146</v>
      </c>
      <c r="H631" s="101">
        <v>20000</v>
      </c>
      <c r="I631" s="102">
        <v>20000</v>
      </c>
      <c r="J631" s="101"/>
      <c r="K631" s="101">
        <v>20000</v>
      </c>
      <c r="L631" s="101"/>
      <c r="M631" s="6"/>
      <c r="N631" s="6"/>
    </row>
    <row r="632" spans="1:14" s="48" customFormat="1" ht="18" customHeight="1" x14ac:dyDescent="0.25">
      <c r="A632" s="48" t="s">
        <v>123</v>
      </c>
      <c r="B632" s="926" t="s">
        <v>1386</v>
      </c>
      <c r="C632" s="859" t="s">
        <v>147</v>
      </c>
      <c r="D632" s="836"/>
      <c r="E632" s="836"/>
      <c r="F632" s="834"/>
      <c r="G632" s="100" t="s">
        <v>148</v>
      </c>
      <c r="H632" s="101"/>
      <c r="I632" s="102"/>
      <c r="J632" s="101"/>
      <c r="K632" s="101">
        <v>12000</v>
      </c>
      <c r="L632" s="101"/>
      <c r="M632" s="6"/>
      <c r="N632" s="6"/>
    </row>
    <row r="633" spans="1:14" s="48" customFormat="1" ht="18" customHeight="1" x14ac:dyDescent="0.25">
      <c r="A633" s="48" t="s">
        <v>123</v>
      </c>
      <c r="B633" s="926" t="s">
        <v>1386</v>
      </c>
      <c r="C633" s="836" t="s">
        <v>153</v>
      </c>
      <c r="D633" s="836"/>
      <c r="E633" s="836"/>
      <c r="F633" s="834"/>
      <c r="G633" s="100" t="s">
        <v>154</v>
      </c>
      <c r="H633" s="101">
        <v>87932.28</v>
      </c>
      <c r="I633" s="102">
        <v>93766.32</v>
      </c>
      <c r="J633" s="101">
        <v>56555.42</v>
      </c>
      <c r="K633" s="101">
        <v>103180.04</v>
      </c>
      <c r="L633" s="101"/>
      <c r="M633" s="6"/>
      <c r="N633" s="6"/>
    </row>
    <row r="634" spans="1:14" s="48" customFormat="1" ht="18" customHeight="1" x14ac:dyDescent="0.25">
      <c r="A634" s="48" t="s">
        <v>123</v>
      </c>
      <c r="B634" s="926" t="s">
        <v>1386</v>
      </c>
      <c r="C634" s="836" t="s">
        <v>155</v>
      </c>
      <c r="D634" s="836"/>
      <c r="E634" s="836"/>
      <c r="F634" s="834"/>
      <c r="G634" s="104" t="s">
        <v>156</v>
      </c>
      <c r="H634" s="105">
        <v>4300</v>
      </c>
      <c r="I634" s="106">
        <v>4800</v>
      </c>
      <c r="J634" s="105">
        <v>2800</v>
      </c>
      <c r="K634" s="105">
        <v>4800</v>
      </c>
      <c r="L634" s="105"/>
      <c r="M634" s="6"/>
      <c r="N634" s="6"/>
    </row>
    <row r="635" spans="1:14" s="48" customFormat="1" ht="18" customHeight="1" x14ac:dyDescent="0.25">
      <c r="A635" s="48" t="s">
        <v>123</v>
      </c>
      <c r="B635" s="926" t="s">
        <v>1386</v>
      </c>
      <c r="C635" s="834" t="s">
        <v>157</v>
      </c>
      <c r="D635" s="835"/>
      <c r="E635" s="835"/>
      <c r="F635" s="835"/>
      <c r="G635" s="100" t="s">
        <v>158</v>
      </c>
      <c r="H635" s="101">
        <v>10908.83</v>
      </c>
      <c r="I635" s="102">
        <v>13674.26</v>
      </c>
      <c r="J635" s="101">
        <v>7155.99</v>
      </c>
      <c r="K635" s="101">
        <v>34423.11</v>
      </c>
      <c r="L635" s="102"/>
      <c r="M635" s="6"/>
      <c r="N635" s="6"/>
    </row>
    <row r="636" spans="1:14" ht="18" customHeight="1" x14ac:dyDescent="0.25">
      <c r="A636" s="48" t="s">
        <v>123</v>
      </c>
      <c r="B636" s="926" t="s">
        <v>1386</v>
      </c>
      <c r="C636" s="834" t="s">
        <v>159</v>
      </c>
      <c r="D636" s="835"/>
      <c r="E636" s="835"/>
      <c r="F636" s="835"/>
      <c r="G636" s="100" t="s">
        <v>160</v>
      </c>
      <c r="H636" s="101">
        <v>4300</v>
      </c>
      <c r="I636" s="102">
        <v>4800</v>
      </c>
      <c r="J636" s="101">
        <v>2800</v>
      </c>
      <c r="K636" s="101">
        <v>4800</v>
      </c>
      <c r="L636" s="101"/>
      <c r="M636" s="188"/>
      <c r="N636" s="188"/>
    </row>
    <row r="637" spans="1:14" ht="18" customHeight="1" x14ac:dyDescent="0.25">
      <c r="A637" s="48" t="s">
        <v>123</v>
      </c>
      <c r="B637" s="926" t="s">
        <v>1386</v>
      </c>
      <c r="C637" s="834" t="s">
        <v>124</v>
      </c>
      <c r="D637" s="835"/>
      <c r="E637" s="835"/>
      <c r="F637" s="835"/>
      <c r="G637" s="100" t="s">
        <v>125</v>
      </c>
      <c r="H637" s="101">
        <v>303132</v>
      </c>
      <c r="I637" s="102">
        <v>825072</v>
      </c>
      <c r="J637" s="101">
        <v>204255.55</v>
      </c>
      <c r="K637" s="101">
        <v>908568</v>
      </c>
      <c r="L637" s="101"/>
      <c r="M637" s="188"/>
      <c r="N637" s="188"/>
    </row>
    <row r="638" spans="1:14" ht="18" customHeight="1" x14ac:dyDescent="0.25">
      <c r="A638" s="48" t="s">
        <v>123</v>
      </c>
      <c r="B638" s="926" t="s">
        <v>1386</v>
      </c>
      <c r="C638" s="134" t="s">
        <v>128</v>
      </c>
      <c r="D638" s="97"/>
      <c r="E638" s="835"/>
      <c r="F638" s="835"/>
      <c r="G638" s="100" t="s">
        <v>125</v>
      </c>
      <c r="H638" s="101"/>
      <c r="I638" s="102"/>
      <c r="J638" s="101"/>
      <c r="K638" s="101">
        <v>878.18</v>
      </c>
      <c r="L638" s="101"/>
      <c r="M638" s="188"/>
      <c r="N638" s="188"/>
    </row>
    <row r="639" spans="1:14" ht="18" customHeight="1" x14ac:dyDescent="0.25">
      <c r="A639" s="48" t="s">
        <v>123</v>
      </c>
      <c r="B639" s="926" t="s">
        <v>1386</v>
      </c>
      <c r="C639" s="834" t="s">
        <v>129</v>
      </c>
      <c r="D639" s="835"/>
      <c r="E639" s="835"/>
      <c r="F639" s="835"/>
      <c r="G639" s="103" t="s">
        <v>130</v>
      </c>
      <c r="H639" s="101">
        <v>48000</v>
      </c>
      <c r="I639" s="102">
        <v>96000</v>
      </c>
      <c r="J639" s="101">
        <v>28000</v>
      </c>
      <c r="K639" s="101">
        <v>96000</v>
      </c>
      <c r="L639" s="101"/>
      <c r="M639" s="188"/>
      <c r="N639" s="188"/>
    </row>
    <row r="640" spans="1:14" ht="18" customHeight="1" x14ac:dyDescent="0.25">
      <c r="A640" s="48" t="s">
        <v>123</v>
      </c>
      <c r="B640" s="926" t="s">
        <v>1386</v>
      </c>
      <c r="C640" s="834" t="s">
        <v>135</v>
      </c>
      <c r="D640" s="835"/>
      <c r="E640" s="835"/>
      <c r="F640" s="835"/>
      <c r="G640" s="100" t="s">
        <v>136</v>
      </c>
      <c r="H640" s="101">
        <v>14756.63</v>
      </c>
      <c r="I640" s="102">
        <v>83000</v>
      </c>
      <c r="J640" s="101">
        <v>22218.04</v>
      </c>
      <c r="K640" s="101">
        <v>65629.69</v>
      </c>
      <c r="L640" s="101"/>
      <c r="M640" s="188"/>
      <c r="N640" s="188"/>
    </row>
    <row r="641" spans="1:14" ht="36" x14ac:dyDescent="0.25">
      <c r="A641" s="48" t="s">
        <v>123</v>
      </c>
      <c r="B641" s="926" t="s">
        <v>1386</v>
      </c>
      <c r="C641" s="834" t="s">
        <v>137</v>
      </c>
      <c r="D641" s="835"/>
      <c r="E641" s="835"/>
      <c r="F641" s="835"/>
      <c r="G641" s="100" t="s">
        <v>138</v>
      </c>
      <c r="H641" s="101">
        <v>12000</v>
      </c>
      <c r="I641" s="102">
        <v>24000</v>
      </c>
      <c r="J641" s="101">
        <v>12000</v>
      </c>
      <c r="K641" s="101">
        <v>24000</v>
      </c>
      <c r="L641" s="101"/>
      <c r="M641" s="188"/>
      <c r="N641" s="188"/>
    </row>
    <row r="642" spans="1:14" ht="18" customHeight="1" x14ac:dyDescent="0.25">
      <c r="A642" s="48" t="s">
        <v>123</v>
      </c>
      <c r="B642" s="926" t="s">
        <v>1386</v>
      </c>
      <c r="C642" s="834" t="s">
        <v>139</v>
      </c>
      <c r="D642" s="835"/>
      <c r="E642" s="835"/>
      <c r="F642" s="835"/>
      <c r="G642" s="100" t="s">
        <v>140</v>
      </c>
      <c r="H642" s="101">
        <v>25261</v>
      </c>
      <c r="I642" s="102">
        <v>68756</v>
      </c>
      <c r="J642" s="101">
        <v>30711</v>
      </c>
      <c r="K642" s="101">
        <v>75806</v>
      </c>
      <c r="L642" s="101"/>
      <c r="M642" s="188"/>
      <c r="N642" s="188"/>
    </row>
    <row r="643" spans="1:14" ht="36" x14ac:dyDescent="0.25">
      <c r="A643" s="48" t="s">
        <v>123</v>
      </c>
      <c r="B643" s="926" t="s">
        <v>1386</v>
      </c>
      <c r="C643" s="836" t="s">
        <v>141</v>
      </c>
      <c r="D643" s="834"/>
      <c r="E643" s="835"/>
      <c r="F643" s="835"/>
      <c r="G643" s="100" t="s">
        <v>142</v>
      </c>
      <c r="H643" s="101">
        <v>25261</v>
      </c>
      <c r="I643" s="102">
        <v>68756</v>
      </c>
      <c r="J643" s="101"/>
      <c r="K643" s="101">
        <v>75806</v>
      </c>
      <c r="L643" s="101">
        <v>1432449.2</v>
      </c>
      <c r="M643" s="188"/>
      <c r="N643" s="188">
        <f>346576.64+1085872.56</f>
        <v>1432449.2000000002</v>
      </c>
    </row>
    <row r="644" spans="1:14" ht="18" customHeight="1" x14ac:dyDescent="0.25">
      <c r="A644" s="48" t="s">
        <v>123</v>
      </c>
      <c r="B644" s="926" t="s">
        <v>1386</v>
      </c>
      <c r="C644" s="834" t="s">
        <v>143</v>
      </c>
      <c r="D644" s="835"/>
      <c r="E644" s="835"/>
      <c r="F644" s="835"/>
      <c r="G644" s="100" t="s">
        <v>144</v>
      </c>
      <c r="H644" s="101">
        <v>10000</v>
      </c>
      <c r="I644" s="102">
        <v>20000</v>
      </c>
      <c r="J644" s="101"/>
      <c r="K644" s="101">
        <v>20000</v>
      </c>
      <c r="L644" s="101"/>
      <c r="M644" s="188"/>
      <c r="N644" s="188"/>
    </row>
    <row r="645" spans="1:14" ht="18" customHeight="1" x14ac:dyDescent="0.25">
      <c r="A645" s="48" t="s">
        <v>123</v>
      </c>
      <c r="B645" s="926" t="s">
        <v>1386</v>
      </c>
      <c r="C645" s="834" t="s">
        <v>145</v>
      </c>
      <c r="D645" s="835"/>
      <c r="E645" s="835"/>
      <c r="F645" s="835"/>
      <c r="G645" s="100" t="s">
        <v>146</v>
      </c>
      <c r="H645" s="101">
        <v>10000</v>
      </c>
      <c r="I645" s="102">
        <v>20000</v>
      </c>
      <c r="J645" s="101"/>
      <c r="K645" s="101">
        <v>20000</v>
      </c>
      <c r="L645" s="101"/>
      <c r="M645" s="188"/>
      <c r="N645" s="188"/>
    </row>
    <row r="646" spans="1:14" ht="18" x14ac:dyDescent="0.25">
      <c r="A646" s="48" t="s">
        <v>123</v>
      </c>
      <c r="B646" s="926" t="s">
        <v>1386</v>
      </c>
      <c r="C646" s="860" t="s">
        <v>147</v>
      </c>
      <c r="D646" s="835"/>
      <c r="E646" s="835"/>
      <c r="F646" s="835"/>
      <c r="G646" s="100" t="s">
        <v>148</v>
      </c>
      <c r="H646" s="101"/>
      <c r="I646" s="102"/>
      <c r="J646" s="101"/>
      <c r="K646" s="101">
        <v>12000</v>
      </c>
      <c r="L646" s="101"/>
      <c r="M646" s="188"/>
      <c r="N646" s="188"/>
    </row>
    <row r="647" spans="1:14" ht="18" customHeight="1" x14ac:dyDescent="0.25">
      <c r="A647" s="48" t="s">
        <v>123</v>
      </c>
      <c r="B647" s="926" t="s">
        <v>1386</v>
      </c>
      <c r="C647" s="834" t="s">
        <v>153</v>
      </c>
      <c r="D647" s="835"/>
      <c r="E647" s="835"/>
      <c r="F647" s="835"/>
      <c r="G647" s="100" t="s">
        <v>154</v>
      </c>
      <c r="H647" s="101">
        <v>36375.839999999997</v>
      </c>
      <c r="I647" s="102">
        <v>99008.639999999999</v>
      </c>
      <c r="J647" s="101">
        <v>24372.32</v>
      </c>
      <c r="K647" s="101">
        <v>109133.54</v>
      </c>
      <c r="L647" s="101"/>
      <c r="M647" s="188"/>
      <c r="N647" s="188"/>
    </row>
    <row r="648" spans="1:14" ht="36" x14ac:dyDescent="0.25">
      <c r="A648" s="48" t="s">
        <v>123</v>
      </c>
      <c r="B648" s="926" t="s">
        <v>1386</v>
      </c>
      <c r="C648" s="836" t="s">
        <v>155</v>
      </c>
      <c r="D648" s="836"/>
      <c r="E648" s="836"/>
      <c r="F648" s="834"/>
      <c r="G648" s="100" t="s">
        <v>156</v>
      </c>
      <c r="H648" s="101">
        <v>2400</v>
      </c>
      <c r="I648" s="102">
        <v>4800</v>
      </c>
      <c r="J648" s="101">
        <v>1400</v>
      </c>
      <c r="K648" s="101">
        <v>4800</v>
      </c>
      <c r="L648" s="101"/>
      <c r="M648" s="188"/>
      <c r="N648" s="188"/>
    </row>
    <row r="649" spans="1:14" ht="36" x14ac:dyDescent="0.25">
      <c r="A649" s="48" t="s">
        <v>123</v>
      </c>
      <c r="B649" s="926" t="s">
        <v>1386</v>
      </c>
      <c r="C649" s="836" t="s">
        <v>157</v>
      </c>
      <c r="D649" s="836"/>
      <c r="E649" s="836"/>
      <c r="F649" s="834"/>
      <c r="G649" s="100" t="s">
        <v>158</v>
      </c>
      <c r="H649" s="101">
        <v>4547.0600000000004</v>
      </c>
      <c r="I649" s="102">
        <v>14438.76</v>
      </c>
      <c r="J649" s="101">
        <v>3093.64</v>
      </c>
      <c r="K649" s="101">
        <v>36551.129999999997</v>
      </c>
      <c r="L649" s="101"/>
      <c r="M649" s="188"/>
      <c r="N649" s="188"/>
    </row>
    <row r="650" spans="1:14" ht="18" customHeight="1" x14ac:dyDescent="0.25">
      <c r="A650" s="48" t="s">
        <v>123</v>
      </c>
      <c r="B650" s="926" t="s">
        <v>1386</v>
      </c>
      <c r="C650" s="834" t="s">
        <v>159</v>
      </c>
      <c r="D650" s="835"/>
      <c r="E650" s="835"/>
      <c r="F650" s="835"/>
      <c r="G650" s="100" t="s">
        <v>160</v>
      </c>
      <c r="H650" s="101">
        <v>2400</v>
      </c>
      <c r="I650" s="102">
        <v>4800</v>
      </c>
      <c r="J650" s="101">
        <v>1400</v>
      </c>
      <c r="K650" s="101">
        <v>4800</v>
      </c>
      <c r="L650" s="101"/>
      <c r="M650" s="188"/>
      <c r="N650" s="188"/>
    </row>
    <row r="651" spans="1:14" ht="18" customHeight="1" x14ac:dyDescent="0.25">
      <c r="A651" s="48" t="s">
        <v>123</v>
      </c>
      <c r="B651" s="926" t="s">
        <v>1386</v>
      </c>
      <c r="C651" s="834" t="s">
        <v>124</v>
      </c>
      <c r="D651" s="835"/>
      <c r="E651" s="835"/>
      <c r="F651" s="835"/>
      <c r="G651" s="131" t="s">
        <v>125</v>
      </c>
      <c r="H651" s="101">
        <v>346788</v>
      </c>
      <c r="I651" s="102">
        <v>654492</v>
      </c>
      <c r="J651" s="101">
        <v>249702.59</v>
      </c>
      <c r="K651" s="101">
        <v>726192</v>
      </c>
      <c r="L651" s="101"/>
    </row>
    <row r="652" spans="1:14" ht="18" customHeight="1" x14ac:dyDescent="0.25">
      <c r="A652" s="48" t="s">
        <v>123</v>
      </c>
      <c r="B652" s="926" t="s">
        <v>1386</v>
      </c>
      <c r="C652" s="834" t="s">
        <v>129</v>
      </c>
      <c r="D652" s="835"/>
      <c r="E652" s="835"/>
      <c r="F652" s="835"/>
      <c r="G652" s="132" t="s">
        <v>130</v>
      </c>
      <c r="H652" s="101">
        <v>48000</v>
      </c>
      <c r="I652" s="102">
        <v>72000</v>
      </c>
      <c r="J652" s="101">
        <v>28000</v>
      </c>
      <c r="K652" s="101">
        <v>72000</v>
      </c>
      <c r="L652" s="101"/>
    </row>
    <row r="653" spans="1:14" ht="18" customHeight="1" x14ac:dyDescent="0.25">
      <c r="A653" s="48" t="s">
        <v>123</v>
      </c>
      <c r="B653" s="926" t="s">
        <v>1386</v>
      </c>
      <c r="C653" s="834" t="s">
        <v>135</v>
      </c>
      <c r="D653" s="835"/>
      <c r="E653" s="835"/>
      <c r="F653" s="835"/>
      <c r="G653" s="131" t="s">
        <v>136</v>
      </c>
      <c r="H653" s="105">
        <v>17559</v>
      </c>
      <c r="I653" s="106">
        <v>46796.68</v>
      </c>
      <c r="J653" s="105"/>
      <c r="K653" s="106">
        <v>69927.27</v>
      </c>
      <c r="L653" s="105"/>
    </row>
    <row r="654" spans="1:14" ht="18" customHeight="1" x14ac:dyDescent="0.25">
      <c r="A654" s="48" t="s">
        <v>123</v>
      </c>
      <c r="B654" s="926" t="s">
        <v>1386</v>
      </c>
      <c r="C654" s="836" t="s">
        <v>137</v>
      </c>
      <c r="D654" s="836"/>
      <c r="E654" s="836"/>
      <c r="F654" s="834"/>
      <c r="G654" s="131" t="s">
        <v>138</v>
      </c>
      <c r="H654" s="101">
        <v>12000</v>
      </c>
      <c r="I654" s="102">
        <v>18000</v>
      </c>
      <c r="J654" s="101">
        <v>12000</v>
      </c>
      <c r="K654" s="101">
        <v>18000</v>
      </c>
      <c r="L654" s="101"/>
    </row>
    <row r="655" spans="1:14" ht="18" customHeight="1" x14ac:dyDescent="0.25">
      <c r="A655" s="48" t="s">
        <v>123</v>
      </c>
      <c r="B655" s="926" t="s">
        <v>1386</v>
      </c>
      <c r="C655" s="836" t="s">
        <v>139</v>
      </c>
      <c r="D655" s="836"/>
      <c r="E655" s="836"/>
      <c r="F655" s="834"/>
      <c r="G655" s="131" t="s">
        <v>140</v>
      </c>
      <c r="H655" s="101">
        <v>28899</v>
      </c>
      <c r="I655" s="102">
        <v>54541</v>
      </c>
      <c r="J655" s="101">
        <v>38380</v>
      </c>
      <c r="K655" s="101">
        <v>60516</v>
      </c>
      <c r="L655" s="101"/>
    </row>
    <row r="656" spans="1:14" ht="18" customHeight="1" x14ac:dyDescent="0.25">
      <c r="A656" s="48" t="s">
        <v>123</v>
      </c>
      <c r="B656" s="926" t="s">
        <v>1386</v>
      </c>
      <c r="C656" s="836" t="s">
        <v>141</v>
      </c>
      <c r="D656" s="836"/>
      <c r="E656" s="836"/>
      <c r="F656" s="834"/>
      <c r="G656" s="131" t="s">
        <v>142</v>
      </c>
      <c r="H656" s="101">
        <v>28899</v>
      </c>
      <c r="I656" s="102">
        <v>54853</v>
      </c>
      <c r="J656" s="101"/>
      <c r="K656" s="101">
        <v>60516</v>
      </c>
      <c r="L656" s="101"/>
    </row>
    <row r="657" spans="1:14" ht="18" customHeight="1" x14ac:dyDescent="0.25">
      <c r="A657" s="48" t="s">
        <v>123</v>
      </c>
      <c r="B657" s="926" t="s">
        <v>1386</v>
      </c>
      <c r="C657" s="836" t="s">
        <v>143</v>
      </c>
      <c r="D657" s="836"/>
      <c r="E657" s="836"/>
      <c r="F657" s="834"/>
      <c r="G657" s="131" t="s">
        <v>144</v>
      </c>
      <c r="H657" s="101">
        <v>10000</v>
      </c>
      <c r="I657" s="102">
        <v>15000</v>
      </c>
      <c r="J657" s="101"/>
      <c r="K657" s="101">
        <v>15000</v>
      </c>
      <c r="L657" s="101"/>
    </row>
    <row r="658" spans="1:14" ht="18" customHeight="1" x14ac:dyDescent="0.25">
      <c r="A658" s="48" t="s">
        <v>123</v>
      </c>
      <c r="B658" s="926" t="s">
        <v>1386</v>
      </c>
      <c r="C658" s="836" t="s">
        <v>145</v>
      </c>
      <c r="D658" s="836"/>
      <c r="E658" s="836"/>
      <c r="F658" s="834"/>
      <c r="G658" s="131" t="s">
        <v>146</v>
      </c>
      <c r="H658" s="101">
        <v>10000</v>
      </c>
      <c r="I658" s="102">
        <v>15000</v>
      </c>
      <c r="J658" s="101"/>
      <c r="K658" s="101">
        <v>15000</v>
      </c>
      <c r="L658" s="101"/>
    </row>
    <row r="659" spans="1:14" ht="18" customHeight="1" x14ac:dyDescent="0.25">
      <c r="A659" s="48" t="s">
        <v>123</v>
      </c>
      <c r="B659" s="926" t="s">
        <v>1386</v>
      </c>
      <c r="C659" s="859" t="s">
        <v>147</v>
      </c>
      <c r="D659" s="836"/>
      <c r="E659" s="836"/>
      <c r="F659" s="834"/>
      <c r="G659" s="131" t="s">
        <v>148</v>
      </c>
      <c r="H659" s="101"/>
      <c r="I659" s="102"/>
      <c r="J659" s="101"/>
      <c r="K659" s="101">
        <v>9000</v>
      </c>
      <c r="L659" s="101"/>
    </row>
    <row r="660" spans="1:14" ht="18" customHeight="1" x14ac:dyDescent="0.25">
      <c r="A660" s="48" t="s">
        <v>123</v>
      </c>
      <c r="B660" s="926" t="s">
        <v>1386</v>
      </c>
      <c r="C660" s="836" t="s">
        <v>153</v>
      </c>
      <c r="D660" s="836"/>
      <c r="E660" s="836"/>
      <c r="F660" s="834"/>
      <c r="G660" s="131" t="s">
        <v>154</v>
      </c>
      <c r="H660" s="101">
        <v>41614.559999999998</v>
      </c>
      <c r="I660" s="102">
        <v>78763.679999999993</v>
      </c>
      <c r="J660" s="101">
        <v>29718.28</v>
      </c>
      <c r="K660" s="101">
        <v>87143.039999999994</v>
      </c>
      <c r="L660" s="101"/>
    </row>
    <row r="661" spans="1:14" ht="18" customHeight="1" x14ac:dyDescent="0.25">
      <c r="A661" s="48" t="s">
        <v>123</v>
      </c>
      <c r="B661" s="926" t="s">
        <v>1386</v>
      </c>
      <c r="C661" s="836" t="s">
        <v>155</v>
      </c>
      <c r="D661" s="836"/>
      <c r="E661" s="836"/>
      <c r="F661" s="834"/>
      <c r="G661" s="131" t="s">
        <v>156</v>
      </c>
      <c r="H661" s="105">
        <v>2400</v>
      </c>
      <c r="I661" s="106">
        <v>3600</v>
      </c>
      <c r="J661" s="105">
        <v>1400</v>
      </c>
      <c r="K661" s="105">
        <v>3600</v>
      </c>
      <c r="L661" s="105"/>
    </row>
    <row r="662" spans="1:14" s="208" customFormat="1" ht="17.45" customHeight="1" x14ac:dyDescent="0.25">
      <c r="A662" s="48" t="s">
        <v>123</v>
      </c>
      <c r="B662" s="926" t="s">
        <v>1386</v>
      </c>
      <c r="C662" s="836" t="s">
        <v>157</v>
      </c>
      <c r="D662" s="836"/>
      <c r="E662" s="836"/>
      <c r="F662" s="836"/>
      <c r="G662" s="950" t="s">
        <v>158</v>
      </c>
      <c r="H662" s="101">
        <v>5201.8999999999996</v>
      </c>
      <c r="I662" s="145">
        <v>11486.37</v>
      </c>
      <c r="J662" s="121">
        <v>3798.5</v>
      </c>
      <c r="K662" s="121">
        <v>29220</v>
      </c>
      <c r="L662" s="121"/>
      <c r="M662" s="207"/>
      <c r="N662" s="207"/>
    </row>
    <row r="663" spans="1:14" s="208" customFormat="1" ht="17.45" customHeight="1" x14ac:dyDescent="0.25">
      <c r="A663" s="48" t="s">
        <v>123</v>
      </c>
      <c r="B663" s="926" t="s">
        <v>1386</v>
      </c>
      <c r="C663" s="836" t="s">
        <v>159</v>
      </c>
      <c r="D663" s="836"/>
      <c r="E663" s="836"/>
      <c r="F663" s="836"/>
      <c r="G663" s="131" t="s">
        <v>160</v>
      </c>
      <c r="H663" s="101">
        <v>2400</v>
      </c>
      <c r="I663" s="102">
        <v>3600</v>
      </c>
      <c r="J663" s="101">
        <v>1400</v>
      </c>
      <c r="K663" s="101">
        <v>3600</v>
      </c>
      <c r="L663" s="101"/>
      <c r="M663" s="207"/>
      <c r="N663" s="207"/>
    </row>
    <row r="664" spans="1:14" s="208" customFormat="1" ht="17.45" customHeight="1" x14ac:dyDescent="0.25">
      <c r="A664" s="48" t="s">
        <v>123</v>
      </c>
      <c r="B664" s="926" t="s">
        <v>1388</v>
      </c>
      <c r="C664" s="836" t="s">
        <v>124</v>
      </c>
      <c r="D664" s="836"/>
      <c r="E664" s="836"/>
      <c r="F664" s="836"/>
      <c r="G664" s="131" t="s">
        <v>125</v>
      </c>
      <c r="H664" s="101">
        <v>214236</v>
      </c>
      <c r="I664" s="102">
        <v>654492</v>
      </c>
      <c r="J664" s="101">
        <v>133714</v>
      </c>
      <c r="K664" s="101">
        <v>725076</v>
      </c>
      <c r="L664" s="101"/>
      <c r="M664" s="207"/>
      <c r="N664" s="207"/>
    </row>
    <row r="665" spans="1:14" s="208" customFormat="1" ht="17.45" customHeight="1" x14ac:dyDescent="0.25">
      <c r="A665" s="48" t="s">
        <v>123</v>
      </c>
      <c r="B665" s="926" t="s">
        <v>1388</v>
      </c>
      <c r="C665" s="113" t="s">
        <v>128</v>
      </c>
      <c r="D665" s="113"/>
      <c r="E665" s="836"/>
      <c r="F665" s="836"/>
      <c r="G665" s="131" t="s">
        <v>125</v>
      </c>
      <c r="H665" s="101"/>
      <c r="I665" s="102"/>
      <c r="J665" s="101"/>
      <c r="K665" s="101">
        <v>2270</v>
      </c>
      <c r="L665" s="101"/>
      <c r="M665" s="207"/>
      <c r="N665" s="207"/>
    </row>
    <row r="666" spans="1:14" s="208" customFormat="1" ht="17.45" customHeight="1" x14ac:dyDescent="0.25">
      <c r="A666" s="48" t="s">
        <v>123</v>
      </c>
      <c r="B666" s="926" t="s">
        <v>1388</v>
      </c>
      <c r="C666" s="836" t="s">
        <v>129</v>
      </c>
      <c r="D666" s="836"/>
      <c r="E666" s="836"/>
      <c r="F666" s="836"/>
      <c r="G666" s="132" t="s">
        <v>130</v>
      </c>
      <c r="H666" s="101">
        <v>24000</v>
      </c>
      <c r="I666" s="102">
        <v>72000</v>
      </c>
      <c r="J666" s="101">
        <v>14000</v>
      </c>
      <c r="K666" s="101">
        <v>72000</v>
      </c>
      <c r="L666" s="101"/>
      <c r="M666" s="207"/>
      <c r="N666" s="207"/>
    </row>
    <row r="667" spans="1:14" s="208" customFormat="1" ht="17.45" customHeight="1" x14ac:dyDescent="0.25">
      <c r="A667" s="48" t="s">
        <v>123</v>
      </c>
      <c r="B667" s="926" t="s">
        <v>1388</v>
      </c>
      <c r="C667" s="840" t="s">
        <v>135</v>
      </c>
      <c r="D667" s="836"/>
      <c r="E667" s="836"/>
      <c r="F667" s="836"/>
      <c r="G667" s="131" t="s">
        <v>136</v>
      </c>
      <c r="H667" s="101"/>
      <c r="I667" s="102">
        <v>20186.060000000001</v>
      </c>
      <c r="J667" s="101">
        <v>7949.84</v>
      </c>
      <c r="K667" s="102">
        <v>20000</v>
      </c>
      <c r="L667" s="101"/>
      <c r="M667" s="207"/>
      <c r="N667" s="207"/>
    </row>
    <row r="668" spans="1:14" s="48" customFormat="1" ht="18" customHeight="1" x14ac:dyDescent="0.25">
      <c r="A668" s="48" t="s">
        <v>123</v>
      </c>
      <c r="B668" s="926" t="s">
        <v>1388</v>
      </c>
      <c r="C668" s="834" t="s">
        <v>137</v>
      </c>
      <c r="D668" s="835"/>
      <c r="E668" s="835"/>
      <c r="F668" s="835"/>
      <c r="G668" s="131" t="s">
        <v>138</v>
      </c>
      <c r="H668" s="101">
        <v>6000</v>
      </c>
      <c r="I668" s="102">
        <v>18000</v>
      </c>
      <c r="J668" s="101">
        <v>6000</v>
      </c>
      <c r="K668" s="101">
        <v>18000</v>
      </c>
      <c r="L668" s="101"/>
      <c r="M668" s="6"/>
      <c r="N668" s="6"/>
    </row>
    <row r="669" spans="1:14" s="48" customFormat="1" ht="18" customHeight="1" x14ac:dyDescent="0.25">
      <c r="A669" s="48" t="s">
        <v>123</v>
      </c>
      <c r="B669" s="926" t="s">
        <v>1388</v>
      </c>
      <c r="C669" s="834" t="s">
        <v>139</v>
      </c>
      <c r="D669" s="835"/>
      <c r="E669" s="835"/>
      <c r="F669" s="835"/>
      <c r="G669" s="131" t="s">
        <v>140</v>
      </c>
      <c r="H669" s="101">
        <v>17853</v>
      </c>
      <c r="I669" s="102">
        <v>54541</v>
      </c>
      <c r="J669" s="101">
        <v>19102</v>
      </c>
      <c r="K669" s="101">
        <v>60650</v>
      </c>
      <c r="L669" s="101"/>
      <c r="M669" s="6"/>
      <c r="N669" s="6"/>
    </row>
    <row r="670" spans="1:14" s="48" customFormat="1" ht="18" customHeight="1" x14ac:dyDescent="0.25">
      <c r="A670" s="48" t="s">
        <v>123</v>
      </c>
      <c r="B670" s="926" t="s">
        <v>1388</v>
      </c>
      <c r="C670" s="834" t="s">
        <v>141</v>
      </c>
      <c r="D670" s="835"/>
      <c r="E670" s="835"/>
      <c r="F670" s="835"/>
      <c r="G670" s="131" t="s">
        <v>142</v>
      </c>
      <c r="H670" s="101">
        <v>17853</v>
      </c>
      <c r="I670" s="102">
        <v>54541</v>
      </c>
      <c r="J670" s="101"/>
      <c r="K670" s="101">
        <v>60650</v>
      </c>
      <c r="L670" s="101"/>
      <c r="M670" s="6"/>
      <c r="N670" s="6"/>
    </row>
    <row r="671" spans="1:14" s="48" customFormat="1" ht="18" customHeight="1" x14ac:dyDescent="0.25">
      <c r="A671" s="48" t="s">
        <v>123</v>
      </c>
      <c r="B671" s="926" t="s">
        <v>1388</v>
      </c>
      <c r="C671" s="834" t="s">
        <v>143</v>
      </c>
      <c r="D671" s="835"/>
      <c r="E671" s="835"/>
      <c r="F671" s="835"/>
      <c r="G671" s="131" t="s">
        <v>144</v>
      </c>
      <c r="H671" s="101">
        <v>5000</v>
      </c>
      <c r="I671" s="102">
        <v>15000</v>
      </c>
      <c r="J671" s="101"/>
      <c r="K671" s="101">
        <v>15000</v>
      </c>
      <c r="L671" s="101"/>
      <c r="M671" s="6"/>
      <c r="N671" s="6"/>
    </row>
    <row r="672" spans="1:14" s="48" customFormat="1" ht="18" customHeight="1" x14ac:dyDescent="0.25">
      <c r="A672" s="48" t="s">
        <v>123</v>
      </c>
      <c r="B672" s="926" t="s">
        <v>1388</v>
      </c>
      <c r="C672" s="834" t="s">
        <v>145</v>
      </c>
      <c r="D672" s="835"/>
      <c r="E672" s="835"/>
      <c r="F672" s="835"/>
      <c r="G672" s="131" t="s">
        <v>146</v>
      </c>
      <c r="H672" s="101">
        <v>5000</v>
      </c>
      <c r="I672" s="102">
        <v>15000</v>
      </c>
      <c r="J672" s="101"/>
      <c r="K672" s="101">
        <v>15000</v>
      </c>
      <c r="L672" s="101"/>
      <c r="M672" s="6"/>
      <c r="N672" s="6"/>
    </row>
    <row r="673" spans="1:14" s="48" customFormat="1" ht="18" customHeight="1" x14ac:dyDescent="0.25">
      <c r="A673" s="48" t="s">
        <v>123</v>
      </c>
      <c r="B673" s="926" t="s">
        <v>1388</v>
      </c>
      <c r="C673" s="860" t="s">
        <v>147</v>
      </c>
      <c r="D673" s="835"/>
      <c r="E673" s="835"/>
      <c r="F673" s="835"/>
      <c r="G673" s="131" t="s">
        <v>148</v>
      </c>
      <c r="H673" s="101"/>
      <c r="I673" s="102"/>
      <c r="J673" s="101"/>
      <c r="K673" s="101">
        <v>9000</v>
      </c>
      <c r="L673" s="101"/>
      <c r="M673" s="6"/>
      <c r="N673" s="6"/>
    </row>
    <row r="674" spans="1:14" s="48" customFormat="1" ht="18" customHeight="1" x14ac:dyDescent="0.25">
      <c r="A674" s="48" t="s">
        <v>123</v>
      </c>
      <c r="B674" s="926" t="s">
        <v>1388</v>
      </c>
      <c r="C674" s="834" t="s">
        <v>153</v>
      </c>
      <c r="D674" s="835"/>
      <c r="E674" s="835"/>
      <c r="F674" s="835"/>
      <c r="G674" s="131" t="s">
        <v>154</v>
      </c>
      <c r="H674" s="101">
        <v>25708.32</v>
      </c>
      <c r="I674" s="102">
        <v>78539.039999999994</v>
      </c>
      <c r="J674" s="101">
        <v>16045.68</v>
      </c>
      <c r="K674" s="101">
        <v>87281.52</v>
      </c>
      <c r="L674" s="101"/>
      <c r="M674" s="6"/>
      <c r="N674" s="6"/>
    </row>
    <row r="675" spans="1:14" s="48" customFormat="1" ht="18" customHeight="1" x14ac:dyDescent="0.25">
      <c r="A675" s="48" t="s">
        <v>123</v>
      </c>
      <c r="B675" s="926" t="s">
        <v>1388</v>
      </c>
      <c r="C675" s="834" t="s">
        <v>155</v>
      </c>
      <c r="D675" s="835"/>
      <c r="E675" s="835"/>
      <c r="F675" s="835"/>
      <c r="G675" s="131" t="s">
        <v>156</v>
      </c>
      <c r="H675" s="101">
        <v>1200</v>
      </c>
      <c r="I675" s="102">
        <v>3600</v>
      </c>
      <c r="J675" s="101">
        <v>700</v>
      </c>
      <c r="K675" s="101">
        <v>3600</v>
      </c>
      <c r="L675" s="101"/>
      <c r="M675" s="6"/>
      <c r="N675" s="6"/>
    </row>
    <row r="676" spans="1:14" s="48" customFormat="1" ht="18" customHeight="1" x14ac:dyDescent="0.25">
      <c r="A676" s="48" t="s">
        <v>123</v>
      </c>
      <c r="B676" s="926" t="s">
        <v>1388</v>
      </c>
      <c r="C676" s="834" t="s">
        <v>157</v>
      </c>
      <c r="D676" s="835"/>
      <c r="E676" s="835"/>
      <c r="F676" s="835"/>
      <c r="G676" s="131" t="s">
        <v>158</v>
      </c>
      <c r="H676" s="101">
        <v>3213.6</v>
      </c>
      <c r="I676" s="102">
        <v>11453.61</v>
      </c>
      <c r="J676" s="101">
        <v>2005.71</v>
      </c>
      <c r="K676" s="101">
        <v>29262.799999999999</v>
      </c>
      <c r="L676" s="101"/>
      <c r="M676" s="6"/>
      <c r="N676" s="6"/>
    </row>
    <row r="677" spans="1:14" s="48" customFormat="1" ht="18" customHeight="1" x14ac:dyDescent="0.25">
      <c r="A677" s="48" t="s">
        <v>123</v>
      </c>
      <c r="B677" s="926" t="s">
        <v>1388</v>
      </c>
      <c r="C677" s="834" t="s">
        <v>159</v>
      </c>
      <c r="D677" s="835"/>
      <c r="E677" s="835"/>
      <c r="F677" s="835"/>
      <c r="G677" s="131" t="s">
        <v>160</v>
      </c>
      <c r="H677" s="101">
        <v>1200</v>
      </c>
      <c r="I677" s="102">
        <v>3600</v>
      </c>
      <c r="J677" s="101">
        <v>700</v>
      </c>
      <c r="K677" s="101">
        <v>3600</v>
      </c>
      <c r="L677" s="101"/>
      <c r="M677" s="6"/>
      <c r="N677" s="6"/>
    </row>
    <row r="678" spans="1:14" s="48" customFormat="1" ht="18" customHeight="1" x14ac:dyDescent="0.25">
      <c r="A678" s="48" t="s">
        <v>123</v>
      </c>
      <c r="B678" s="926" t="s">
        <v>1387</v>
      </c>
      <c r="C678" s="834" t="s">
        <v>124</v>
      </c>
      <c r="D678" s="835"/>
      <c r="E678" s="835"/>
      <c r="F678" s="835"/>
      <c r="G678" s="131" t="s">
        <v>125</v>
      </c>
      <c r="H678" s="101">
        <v>0</v>
      </c>
      <c r="I678" s="102">
        <v>430092</v>
      </c>
      <c r="J678" s="101"/>
      <c r="K678" s="101">
        <v>472308</v>
      </c>
      <c r="L678" s="101"/>
      <c r="M678" s="6"/>
      <c r="N678" s="6"/>
    </row>
    <row r="679" spans="1:14" s="48" customFormat="1" ht="18" customHeight="1" x14ac:dyDescent="0.25">
      <c r="A679" s="48" t="s">
        <v>123</v>
      </c>
      <c r="B679" s="926" t="s">
        <v>1387</v>
      </c>
      <c r="C679" s="834" t="s">
        <v>129</v>
      </c>
      <c r="D679" s="835"/>
      <c r="E679" s="835"/>
      <c r="F679" s="835"/>
      <c r="G679" s="132" t="s">
        <v>130</v>
      </c>
      <c r="H679" s="101">
        <v>0</v>
      </c>
      <c r="I679" s="102">
        <v>48000</v>
      </c>
      <c r="J679" s="101"/>
      <c r="K679" s="101">
        <v>48000</v>
      </c>
      <c r="L679" s="101"/>
      <c r="M679" s="6"/>
      <c r="N679" s="6"/>
    </row>
    <row r="680" spans="1:14" s="48" customFormat="1" ht="18" customHeight="1" x14ac:dyDescent="0.25">
      <c r="A680" s="48" t="s">
        <v>123</v>
      </c>
      <c r="B680" s="926" t="s">
        <v>1387</v>
      </c>
      <c r="C680" s="834" t="s">
        <v>135</v>
      </c>
      <c r="D680" s="835"/>
      <c r="E680" s="835"/>
      <c r="F680" s="835"/>
      <c r="G680" s="131" t="s">
        <v>136</v>
      </c>
      <c r="H680" s="101">
        <v>0</v>
      </c>
      <c r="I680" s="102">
        <v>0</v>
      </c>
      <c r="J680" s="101"/>
      <c r="K680" s="101"/>
      <c r="L680" s="101"/>
      <c r="M680" s="6"/>
      <c r="N680" s="6"/>
    </row>
    <row r="681" spans="1:14" s="48" customFormat="1" ht="18" customHeight="1" x14ac:dyDescent="0.25">
      <c r="A681" s="48" t="s">
        <v>123</v>
      </c>
      <c r="B681" s="926" t="s">
        <v>1387</v>
      </c>
      <c r="C681" s="836" t="s">
        <v>137</v>
      </c>
      <c r="D681" s="836"/>
      <c r="E681" s="836"/>
      <c r="F681" s="834"/>
      <c r="G681" s="131" t="s">
        <v>138</v>
      </c>
      <c r="H681" s="101">
        <v>0</v>
      </c>
      <c r="I681" s="102">
        <v>12000</v>
      </c>
      <c r="J681" s="101"/>
      <c r="K681" s="101">
        <v>12000</v>
      </c>
      <c r="L681" s="101"/>
      <c r="M681" s="6"/>
      <c r="N681" s="6"/>
    </row>
    <row r="682" spans="1:14" s="48" customFormat="1" ht="18" customHeight="1" x14ac:dyDescent="0.25">
      <c r="A682" s="48" t="s">
        <v>123</v>
      </c>
      <c r="B682" s="926" t="s">
        <v>1387</v>
      </c>
      <c r="C682" s="834" t="s">
        <v>139</v>
      </c>
      <c r="D682" s="835"/>
      <c r="E682" s="835"/>
      <c r="F682" s="835"/>
      <c r="G682" s="131" t="s">
        <v>140</v>
      </c>
      <c r="H682" s="101">
        <v>0</v>
      </c>
      <c r="I682" s="102">
        <v>35841</v>
      </c>
      <c r="J682" s="101"/>
      <c r="K682" s="101">
        <v>37599</v>
      </c>
      <c r="L682" s="101"/>
      <c r="M682" s="6"/>
      <c r="N682" s="6"/>
    </row>
    <row r="683" spans="1:14" s="48" customFormat="1" ht="18" customHeight="1" x14ac:dyDescent="0.25">
      <c r="A683" s="48" t="s">
        <v>123</v>
      </c>
      <c r="B683" s="926" t="s">
        <v>1387</v>
      </c>
      <c r="C683" s="834" t="s">
        <v>141</v>
      </c>
      <c r="D683" s="835"/>
      <c r="E683" s="835"/>
      <c r="F683" s="835"/>
      <c r="G683" s="131" t="s">
        <v>142</v>
      </c>
      <c r="H683" s="101">
        <v>0</v>
      </c>
      <c r="I683" s="102">
        <v>35841</v>
      </c>
      <c r="J683" s="101"/>
      <c r="K683" s="101">
        <v>37599</v>
      </c>
      <c r="L683" s="101"/>
      <c r="M683" s="6"/>
      <c r="N683" s="6"/>
    </row>
    <row r="684" spans="1:14" s="48" customFormat="1" ht="18" customHeight="1" x14ac:dyDescent="0.25">
      <c r="A684" s="48" t="s">
        <v>123</v>
      </c>
      <c r="B684" s="926" t="s">
        <v>1387</v>
      </c>
      <c r="C684" s="834" t="s">
        <v>143</v>
      </c>
      <c r="D684" s="835"/>
      <c r="E684" s="835"/>
      <c r="F684" s="835"/>
      <c r="G684" s="131" t="s">
        <v>144</v>
      </c>
      <c r="H684" s="101">
        <v>0</v>
      </c>
      <c r="I684" s="102">
        <v>10000</v>
      </c>
      <c r="J684" s="101"/>
      <c r="K684" s="101">
        <v>10000</v>
      </c>
      <c r="L684" s="101"/>
      <c r="M684" s="6"/>
      <c r="N684" s="6"/>
    </row>
    <row r="685" spans="1:14" s="48" customFormat="1" ht="18" customHeight="1" x14ac:dyDescent="0.25">
      <c r="A685" s="48" t="s">
        <v>123</v>
      </c>
      <c r="B685" s="926" t="s">
        <v>1387</v>
      </c>
      <c r="C685" s="834" t="s">
        <v>145</v>
      </c>
      <c r="D685" s="835"/>
      <c r="E685" s="835"/>
      <c r="F685" s="835"/>
      <c r="G685" s="131" t="s">
        <v>146</v>
      </c>
      <c r="H685" s="105">
        <v>0</v>
      </c>
      <c r="I685" s="106">
        <v>10000</v>
      </c>
      <c r="J685" s="105"/>
      <c r="K685" s="105">
        <v>10000</v>
      </c>
      <c r="L685" s="105"/>
      <c r="M685" s="6"/>
      <c r="N685" s="6"/>
    </row>
    <row r="686" spans="1:14" s="48" customFormat="1" ht="18" customHeight="1" x14ac:dyDescent="0.25">
      <c r="A686" s="48" t="s">
        <v>123</v>
      </c>
      <c r="B686" s="926" t="s">
        <v>1387</v>
      </c>
      <c r="C686" s="859" t="s">
        <v>147</v>
      </c>
      <c r="D686" s="836"/>
      <c r="E686" s="836"/>
      <c r="F686" s="834"/>
      <c r="G686" s="131" t="s">
        <v>148</v>
      </c>
      <c r="H686" s="101"/>
      <c r="I686" s="102"/>
      <c r="J686" s="101"/>
      <c r="K686" s="101">
        <v>6000</v>
      </c>
      <c r="L686" s="101"/>
      <c r="M686" s="6"/>
      <c r="N686" s="6"/>
    </row>
    <row r="687" spans="1:14" s="48" customFormat="1" ht="18" customHeight="1" x14ac:dyDescent="0.25">
      <c r="A687" s="48" t="s">
        <v>123</v>
      </c>
      <c r="B687" s="926" t="s">
        <v>1387</v>
      </c>
      <c r="C687" s="836" t="s">
        <v>153</v>
      </c>
      <c r="D687" s="836"/>
      <c r="E687" s="836"/>
      <c r="F687" s="834"/>
      <c r="G687" s="131" t="s">
        <v>154</v>
      </c>
      <c r="H687" s="101">
        <v>0</v>
      </c>
      <c r="I687" s="102">
        <v>51611.040000000001</v>
      </c>
      <c r="J687" s="101"/>
      <c r="K687" s="101">
        <v>56676.959999999999</v>
      </c>
      <c r="L687" s="101"/>
      <c r="M687" s="6"/>
      <c r="N687" s="6"/>
    </row>
    <row r="688" spans="1:14" s="48" customFormat="1" ht="18" customHeight="1" x14ac:dyDescent="0.25">
      <c r="A688" s="48" t="s">
        <v>123</v>
      </c>
      <c r="B688" s="926" t="s">
        <v>1387</v>
      </c>
      <c r="C688" s="836" t="s">
        <v>155</v>
      </c>
      <c r="D688" s="836"/>
      <c r="E688" s="836"/>
      <c r="F688" s="834"/>
      <c r="G688" s="131" t="s">
        <v>156</v>
      </c>
      <c r="H688" s="101">
        <v>0</v>
      </c>
      <c r="I688" s="102">
        <v>2400</v>
      </c>
      <c r="J688" s="101"/>
      <c r="K688" s="101">
        <v>2400</v>
      </c>
      <c r="L688" s="101"/>
      <c r="M688" s="6"/>
      <c r="N688" s="6"/>
    </row>
    <row r="689" spans="1:16" s="48" customFormat="1" ht="18" customHeight="1" x14ac:dyDescent="0.25">
      <c r="A689" s="48" t="s">
        <v>123</v>
      </c>
      <c r="B689" s="926" t="s">
        <v>1387</v>
      </c>
      <c r="C689" s="836" t="s">
        <v>157</v>
      </c>
      <c r="D689" s="836"/>
      <c r="E689" s="836"/>
      <c r="F689" s="834"/>
      <c r="G689" s="131" t="s">
        <v>158</v>
      </c>
      <c r="H689" s="101">
        <v>0</v>
      </c>
      <c r="I689" s="102">
        <v>7526.61</v>
      </c>
      <c r="J689" s="101"/>
      <c r="K689" s="101">
        <v>18912</v>
      </c>
      <c r="L689" s="101"/>
      <c r="M689" s="6"/>
      <c r="N689" s="6"/>
    </row>
    <row r="690" spans="1:16" s="48" customFormat="1" ht="18" customHeight="1" x14ac:dyDescent="0.25">
      <c r="A690" s="48" t="s">
        <v>123</v>
      </c>
      <c r="B690" s="926" t="s">
        <v>1387</v>
      </c>
      <c r="C690" s="836" t="s">
        <v>159</v>
      </c>
      <c r="D690" s="836"/>
      <c r="E690" s="836"/>
      <c r="F690" s="834"/>
      <c r="G690" s="131" t="s">
        <v>160</v>
      </c>
      <c r="H690" s="101">
        <v>0</v>
      </c>
      <c r="I690" s="102">
        <v>2400</v>
      </c>
      <c r="J690" s="101"/>
      <c r="K690" s="101">
        <v>2400</v>
      </c>
      <c r="L690" s="101"/>
      <c r="M690" s="6"/>
      <c r="N690" s="6"/>
    </row>
    <row r="691" spans="1:16" s="48" customFormat="1" ht="18" customHeight="1" x14ac:dyDescent="0.25">
      <c r="A691" s="48" t="s">
        <v>123</v>
      </c>
      <c r="B691" s="926" t="s">
        <v>1386</v>
      </c>
      <c r="C691" s="836" t="s">
        <v>124</v>
      </c>
      <c r="D691" s="836"/>
      <c r="E691" s="836"/>
      <c r="F691" s="834"/>
      <c r="G691" s="131" t="s">
        <v>125</v>
      </c>
      <c r="H691" s="101">
        <v>989760</v>
      </c>
      <c r="I691" s="102">
        <v>1157808</v>
      </c>
      <c r="J691" s="101">
        <v>644216.14</v>
      </c>
      <c r="K691" s="101">
        <v>1230660</v>
      </c>
      <c r="L691" s="101"/>
      <c r="M691" s="6"/>
      <c r="N691" s="6"/>
    </row>
    <row r="692" spans="1:16" s="48" customFormat="1" ht="18" customHeight="1" x14ac:dyDescent="0.25">
      <c r="A692" s="48" t="s">
        <v>123</v>
      </c>
      <c r="B692" s="926" t="s">
        <v>1386</v>
      </c>
      <c r="C692" s="836" t="s">
        <v>128</v>
      </c>
      <c r="D692" s="836"/>
      <c r="E692" s="836"/>
      <c r="F692" s="834"/>
      <c r="G692" s="131" t="s">
        <v>125</v>
      </c>
      <c r="H692" s="101">
        <v>0</v>
      </c>
      <c r="I692" s="102">
        <v>0</v>
      </c>
      <c r="J692" s="101"/>
      <c r="K692" s="101">
        <v>9443.59</v>
      </c>
      <c r="L692" s="101"/>
      <c r="M692" s="6"/>
      <c r="N692" s="6"/>
    </row>
    <row r="693" spans="1:16" s="48" customFormat="1" ht="18" customHeight="1" x14ac:dyDescent="0.25">
      <c r="A693" s="48" t="s">
        <v>123</v>
      </c>
      <c r="B693" s="926" t="s">
        <v>1386</v>
      </c>
      <c r="C693" s="836" t="s">
        <v>129</v>
      </c>
      <c r="D693" s="836"/>
      <c r="E693" s="836"/>
      <c r="F693" s="834"/>
      <c r="G693" s="132" t="s">
        <v>130</v>
      </c>
      <c r="H693" s="101">
        <v>72000</v>
      </c>
      <c r="I693" s="102">
        <v>96000</v>
      </c>
      <c r="J693" s="101">
        <v>48818.18</v>
      </c>
      <c r="K693" s="101">
        <v>96000</v>
      </c>
      <c r="L693" s="101"/>
      <c r="M693" s="6"/>
      <c r="N693" s="6"/>
    </row>
    <row r="694" spans="1:16" s="48" customFormat="1" ht="18" customHeight="1" x14ac:dyDescent="0.25">
      <c r="A694" s="48" t="s">
        <v>123</v>
      </c>
      <c r="B694" s="926" t="s">
        <v>1386</v>
      </c>
      <c r="C694" s="836" t="s">
        <v>135</v>
      </c>
      <c r="D694" s="836"/>
      <c r="E694" s="836"/>
      <c r="F694" s="834"/>
      <c r="G694" s="131" t="s">
        <v>136</v>
      </c>
      <c r="H694" s="101">
        <v>213798.15</v>
      </c>
      <c r="I694" s="102">
        <v>337420</v>
      </c>
      <c r="J694" s="101">
        <v>82342.039999999994</v>
      </c>
      <c r="K694" s="101">
        <v>434249.1</v>
      </c>
      <c r="L694" s="101"/>
      <c r="M694" s="6"/>
      <c r="N694" s="6"/>
    </row>
    <row r="695" spans="1:16" s="48" customFormat="1" ht="18" customHeight="1" thickBot="1" x14ac:dyDescent="0.3">
      <c r="A695" s="48" t="s">
        <v>123</v>
      </c>
      <c r="B695" s="926" t="s">
        <v>1386</v>
      </c>
      <c r="C695" s="413" t="s">
        <v>137</v>
      </c>
      <c r="D695" s="413"/>
      <c r="E695" s="413"/>
      <c r="F695" s="431"/>
      <c r="G695" s="218" t="s">
        <v>138</v>
      </c>
      <c r="H695" s="219">
        <v>18000</v>
      </c>
      <c r="I695" s="220">
        <v>24000</v>
      </c>
      <c r="J695" s="219">
        <v>18000</v>
      </c>
      <c r="K695" s="219">
        <v>24000</v>
      </c>
      <c r="L695" s="219"/>
      <c r="M695" s="6"/>
      <c r="N695" s="6"/>
    </row>
    <row r="696" spans="1:16" s="48" customFormat="1" ht="18" customHeight="1" x14ac:dyDescent="0.25">
      <c r="A696" s="48" t="s">
        <v>123</v>
      </c>
      <c r="B696" s="926" t="s">
        <v>1386</v>
      </c>
      <c r="C696" s="837" t="s">
        <v>1370</v>
      </c>
      <c r="D696" s="836"/>
      <c r="E696" s="836"/>
      <c r="F696" s="834"/>
      <c r="G696" s="131"/>
      <c r="H696" s="101"/>
      <c r="I696" s="102"/>
      <c r="J696" s="101"/>
      <c r="K696" s="101">
        <v>41784.83</v>
      </c>
      <c r="L696" s="101"/>
      <c r="M696" s="6"/>
      <c r="N696" s="6"/>
    </row>
    <row r="697" spans="1:16" s="48" customFormat="1" ht="18" customHeight="1" x14ac:dyDescent="0.25">
      <c r="A697" s="48" t="s">
        <v>123</v>
      </c>
      <c r="B697" s="926" t="s">
        <v>1386</v>
      </c>
      <c r="C697" s="836" t="s">
        <v>139</v>
      </c>
      <c r="D697" s="836"/>
      <c r="E697" s="836"/>
      <c r="F697" s="834"/>
      <c r="G697" s="131" t="s">
        <v>140</v>
      </c>
      <c r="H697" s="101">
        <v>82480</v>
      </c>
      <c r="I697" s="102">
        <v>96484</v>
      </c>
      <c r="J697" s="101">
        <v>84920</v>
      </c>
      <c r="K697" s="101">
        <v>103560</v>
      </c>
      <c r="L697" s="101"/>
      <c r="M697" s="6"/>
      <c r="N697" s="6"/>
    </row>
    <row r="698" spans="1:16" s="48" customFormat="1" ht="18" customHeight="1" x14ac:dyDescent="0.25">
      <c r="A698" s="48" t="s">
        <v>123</v>
      </c>
      <c r="B698" s="926" t="s">
        <v>1386</v>
      </c>
      <c r="C698" s="836" t="s">
        <v>141</v>
      </c>
      <c r="D698" s="836"/>
      <c r="E698" s="836"/>
      <c r="F698" s="834"/>
      <c r="G698" s="131" t="s">
        <v>142</v>
      </c>
      <c r="H698" s="101">
        <v>82480</v>
      </c>
      <c r="I698" s="102">
        <v>96484</v>
      </c>
      <c r="J698" s="101"/>
      <c r="K698" s="101">
        <v>103560</v>
      </c>
      <c r="L698" s="101"/>
      <c r="M698" s="207"/>
      <c r="N698" s="207"/>
      <c r="O698" s="212"/>
      <c r="P698" s="212"/>
    </row>
    <row r="699" spans="1:16" s="48" customFormat="1" ht="18" customHeight="1" x14ac:dyDescent="0.25">
      <c r="A699" s="48" t="s">
        <v>123</v>
      </c>
      <c r="B699" s="926" t="s">
        <v>1386</v>
      </c>
      <c r="C699" s="836" t="s">
        <v>143</v>
      </c>
      <c r="D699" s="836"/>
      <c r="E699" s="836"/>
      <c r="F699" s="834"/>
      <c r="G699" s="131" t="s">
        <v>144</v>
      </c>
      <c r="H699" s="101">
        <v>15000</v>
      </c>
      <c r="I699" s="102">
        <v>20000</v>
      </c>
      <c r="J699" s="101"/>
      <c r="K699" s="101">
        <v>20000</v>
      </c>
      <c r="L699" s="101"/>
      <c r="M699" s="207"/>
      <c r="N699" s="207"/>
      <c r="O699" s="212"/>
      <c r="P699" s="212"/>
    </row>
    <row r="700" spans="1:16" s="48" customFormat="1" ht="18" customHeight="1" x14ac:dyDescent="0.25">
      <c r="A700" s="48" t="s">
        <v>123</v>
      </c>
      <c r="B700" s="926" t="s">
        <v>1386</v>
      </c>
      <c r="C700" s="836" t="s">
        <v>145</v>
      </c>
      <c r="D700" s="836"/>
      <c r="E700" s="836"/>
      <c r="F700" s="834"/>
      <c r="G700" s="131" t="s">
        <v>146</v>
      </c>
      <c r="H700" s="101">
        <v>15000</v>
      </c>
      <c r="I700" s="102">
        <v>20000</v>
      </c>
      <c r="J700" s="101"/>
      <c r="K700" s="101">
        <v>20000</v>
      </c>
      <c r="L700" s="101"/>
      <c r="M700" s="222"/>
      <c r="N700" s="222"/>
      <c r="O700" s="212"/>
      <c r="P700" s="212"/>
    </row>
    <row r="701" spans="1:16" s="48" customFormat="1" ht="18" customHeight="1" x14ac:dyDescent="0.25">
      <c r="A701" s="48" t="s">
        <v>123</v>
      </c>
      <c r="B701" s="926" t="s">
        <v>1386</v>
      </c>
      <c r="C701" s="859" t="s">
        <v>147</v>
      </c>
      <c r="D701" s="836"/>
      <c r="E701" s="836"/>
      <c r="F701" s="834"/>
      <c r="G701" s="131" t="s">
        <v>148</v>
      </c>
      <c r="H701" s="101"/>
      <c r="I701" s="102"/>
      <c r="J701" s="101"/>
      <c r="K701" s="101">
        <v>12000</v>
      </c>
      <c r="L701" s="101"/>
      <c r="M701" s="6"/>
      <c r="N701" s="6"/>
    </row>
    <row r="702" spans="1:16" s="179" customFormat="1" ht="18" customHeight="1" x14ac:dyDescent="0.25">
      <c r="A702" s="48" t="s">
        <v>123</v>
      </c>
      <c r="B702" s="926" t="s">
        <v>1386</v>
      </c>
      <c r="C702" s="836" t="s">
        <v>153</v>
      </c>
      <c r="D702" s="836"/>
      <c r="E702" s="836"/>
      <c r="F702" s="834"/>
      <c r="G702" s="131" t="s">
        <v>154</v>
      </c>
      <c r="H702" s="101">
        <v>118771.2</v>
      </c>
      <c r="I702" s="102">
        <v>138936.95999999999</v>
      </c>
      <c r="J702" s="101">
        <v>76889.740000000005</v>
      </c>
      <c r="K702" s="101">
        <v>148812.43</v>
      </c>
      <c r="L702" s="101"/>
      <c r="M702" s="177"/>
      <c r="N702" s="177"/>
    </row>
    <row r="703" spans="1:16" s="179" customFormat="1" ht="18" customHeight="1" x14ac:dyDescent="0.25">
      <c r="A703" s="48" t="s">
        <v>123</v>
      </c>
      <c r="B703" s="926" t="s">
        <v>1386</v>
      </c>
      <c r="C703" s="836" t="s">
        <v>155</v>
      </c>
      <c r="D703" s="836"/>
      <c r="E703" s="836"/>
      <c r="F703" s="834"/>
      <c r="G703" s="131" t="s">
        <v>156</v>
      </c>
      <c r="H703" s="101">
        <v>3600</v>
      </c>
      <c r="I703" s="102">
        <v>4800</v>
      </c>
      <c r="J703" s="101">
        <v>2500</v>
      </c>
      <c r="K703" s="101">
        <v>4800</v>
      </c>
      <c r="L703" s="101"/>
      <c r="M703" s="177"/>
      <c r="N703" s="177"/>
    </row>
    <row r="704" spans="1:16" s="179" customFormat="1" ht="18" customHeight="1" x14ac:dyDescent="0.25">
      <c r="A704" s="48" t="s">
        <v>123</v>
      </c>
      <c r="B704" s="926" t="s">
        <v>1386</v>
      </c>
      <c r="C704" s="836" t="s">
        <v>157</v>
      </c>
      <c r="D704" s="836"/>
      <c r="E704" s="836"/>
      <c r="F704" s="834"/>
      <c r="G704" s="131" t="s">
        <v>158</v>
      </c>
      <c r="H704" s="101">
        <v>14846.42</v>
      </c>
      <c r="I704" s="102">
        <v>20261.64</v>
      </c>
      <c r="J704" s="101">
        <v>9792.73</v>
      </c>
      <c r="K704" s="101">
        <v>49205.74</v>
      </c>
      <c r="L704" s="101"/>
      <c r="M704" s="177"/>
      <c r="N704" s="177"/>
    </row>
    <row r="705" spans="1:16" s="212" customFormat="1" ht="18" customHeight="1" x14ac:dyDescent="0.25">
      <c r="A705" s="48" t="s">
        <v>123</v>
      </c>
      <c r="B705" s="926" t="s">
        <v>1386</v>
      </c>
      <c r="C705" s="836" t="s">
        <v>159</v>
      </c>
      <c r="D705" s="836"/>
      <c r="E705" s="836"/>
      <c r="F705" s="834"/>
      <c r="G705" s="131" t="s">
        <v>160</v>
      </c>
      <c r="H705" s="101">
        <v>3600</v>
      </c>
      <c r="I705" s="102">
        <v>4800</v>
      </c>
      <c r="J705" s="101">
        <v>2500</v>
      </c>
      <c r="K705" s="101">
        <v>4800</v>
      </c>
      <c r="L705" s="101"/>
      <c r="M705" s="6"/>
      <c r="N705" s="6"/>
      <c r="O705" s="48"/>
      <c r="P705" s="48"/>
    </row>
    <row r="706" spans="1:16" s="212" customFormat="1" ht="18" customHeight="1" x14ac:dyDescent="0.25">
      <c r="A706" s="48" t="s">
        <v>123</v>
      </c>
      <c r="B706" s="926" t="s">
        <v>1386</v>
      </c>
      <c r="C706" s="836" t="s">
        <v>124</v>
      </c>
      <c r="D706" s="836"/>
      <c r="E706" s="836"/>
      <c r="F706" s="834"/>
      <c r="G706" s="131" t="s">
        <v>125</v>
      </c>
      <c r="H706" s="101">
        <v>1421340</v>
      </c>
      <c r="I706" s="102">
        <v>1992948</v>
      </c>
      <c r="J706" s="101">
        <v>849681</v>
      </c>
      <c r="K706" s="101">
        <v>2117868</v>
      </c>
      <c r="L706" s="101"/>
      <c r="M706" s="207"/>
      <c r="N706" s="207"/>
    </row>
    <row r="707" spans="1:16" s="212" customFormat="1" ht="18" customHeight="1" x14ac:dyDescent="0.25">
      <c r="A707" s="48" t="s">
        <v>123</v>
      </c>
      <c r="B707" s="926" t="s">
        <v>1386</v>
      </c>
      <c r="C707" s="836" t="s">
        <v>126</v>
      </c>
      <c r="D707" s="836"/>
      <c r="E707" s="836"/>
      <c r="F707" s="834"/>
      <c r="G707" s="131" t="s">
        <v>127</v>
      </c>
      <c r="H707" s="105">
        <v>324211.21000000002</v>
      </c>
      <c r="I707" s="106">
        <v>298056</v>
      </c>
      <c r="J707" s="105">
        <v>159251.1</v>
      </c>
      <c r="K707" s="105">
        <v>324048</v>
      </c>
      <c r="L707" s="105"/>
      <c r="M707" s="207"/>
      <c r="N707" s="207"/>
    </row>
    <row r="708" spans="1:16" ht="18" customHeight="1" x14ac:dyDescent="0.25">
      <c r="A708" s="48" t="s">
        <v>123</v>
      </c>
      <c r="B708" s="926" t="s">
        <v>1386</v>
      </c>
      <c r="C708" s="125" t="s">
        <v>128</v>
      </c>
      <c r="D708" s="125"/>
      <c r="E708" s="836"/>
      <c r="F708" s="834"/>
      <c r="G708" s="131"/>
      <c r="H708" s="101"/>
      <c r="I708" s="102"/>
      <c r="J708" s="101"/>
      <c r="K708" s="101">
        <v>10384</v>
      </c>
      <c r="L708" s="101"/>
    </row>
    <row r="709" spans="1:16" ht="18" customHeight="1" x14ac:dyDescent="0.25">
      <c r="A709" s="48" t="s">
        <v>123</v>
      </c>
      <c r="B709" s="926" t="s">
        <v>1386</v>
      </c>
      <c r="C709" s="836" t="s">
        <v>129</v>
      </c>
      <c r="D709" s="836"/>
      <c r="E709" s="836"/>
      <c r="F709" s="834"/>
      <c r="G709" s="132" t="s">
        <v>130</v>
      </c>
      <c r="H709" s="101">
        <v>76363.28</v>
      </c>
      <c r="I709" s="102">
        <v>168000</v>
      </c>
      <c r="J709" s="101">
        <v>52363.62</v>
      </c>
      <c r="K709" s="101">
        <v>168000</v>
      </c>
      <c r="L709" s="101"/>
    </row>
    <row r="710" spans="1:16" ht="18" customHeight="1" x14ac:dyDescent="0.25">
      <c r="A710" s="48" t="s">
        <v>123</v>
      </c>
      <c r="B710" s="926" t="s">
        <v>1386</v>
      </c>
      <c r="C710" s="836" t="s">
        <v>131</v>
      </c>
      <c r="D710" s="836"/>
      <c r="E710" s="836"/>
      <c r="F710" s="834"/>
      <c r="G710" s="131" t="s">
        <v>132</v>
      </c>
      <c r="H710" s="101">
        <v>86400</v>
      </c>
      <c r="I710" s="102">
        <v>86400</v>
      </c>
      <c r="J710" s="101">
        <v>50400</v>
      </c>
      <c r="K710" s="101">
        <v>86400</v>
      </c>
      <c r="L710" s="101"/>
    </row>
    <row r="711" spans="1:16" s="146" customFormat="1" ht="18" customHeight="1" x14ac:dyDescent="0.25">
      <c r="A711" s="48" t="s">
        <v>123</v>
      </c>
      <c r="B711" s="926" t="s">
        <v>1386</v>
      </c>
      <c r="C711" s="836" t="s">
        <v>135</v>
      </c>
      <c r="D711" s="834"/>
      <c r="E711" s="835"/>
      <c r="F711" s="835"/>
      <c r="G711" s="131" t="s">
        <v>136</v>
      </c>
      <c r="H711" s="101">
        <v>0</v>
      </c>
      <c r="I711" s="102">
        <v>30000</v>
      </c>
      <c r="J711" s="101"/>
      <c r="K711" s="101">
        <v>30000</v>
      </c>
      <c r="L711" s="101"/>
      <c r="M711" s="10"/>
      <c r="N711" s="10"/>
      <c r="O711"/>
      <c r="P711"/>
    </row>
    <row r="712" spans="1:16" s="146" customFormat="1" ht="18" customHeight="1" x14ac:dyDescent="0.25">
      <c r="A712" s="48" t="s">
        <v>123</v>
      </c>
      <c r="B712" s="926" t="s">
        <v>1386</v>
      </c>
      <c r="C712" s="836" t="s">
        <v>137</v>
      </c>
      <c r="D712" s="834"/>
      <c r="E712" s="835"/>
      <c r="F712" s="835"/>
      <c r="G712" s="131" t="s">
        <v>138</v>
      </c>
      <c r="H712" s="101">
        <v>6000</v>
      </c>
      <c r="I712" s="102">
        <v>42000</v>
      </c>
      <c r="J712" s="101">
        <v>24000</v>
      </c>
      <c r="K712" s="101">
        <v>42000</v>
      </c>
      <c r="L712" s="101"/>
      <c r="M712" s="10"/>
      <c r="N712" s="10"/>
      <c r="O712"/>
      <c r="P712"/>
    </row>
    <row r="713" spans="1:16" s="146" customFormat="1" ht="18" customHeight="1" x14ac:dyDescent="0.25">
      <c r="A713" s="48" t="s">
        <v>123</v>
      </c>
      <c r="B713" s="926" t="s">
        <v>1386</v>
      </c>
      <c r="C713" s="836" t="s">
        <v>139</v>
      </c>
      <c r="D713" s="834"/>
      <c r="E713" s="835"/>
      <c r="F713" s="835"/>
      <c r="G713" s="131" t="s">
        <v>140</v>
      </c>
      <c r="H713" s="101">
        <v>143283</v>
      </c>
      <c r="I713" s="102">
        <v>190917</v>
      </c>
      <c r="J713" s="101">
        <v>147303</v>
      </c>
      <c r="K713" s="101">
        <v>203493</v>
      </c>
      <c r="L713" s="101"/>
      <c r="M713" s="10"/>
      <c r="N713" s="10"/>
      <c r="O713"/>
      <c r="P713"/>
    </row>
    <row r="714" spans="1:16" s="146" customFormat="1" ht="18" customHeight="1" x14ac:dyDescent="0.25">
      <c r="A714" s="48" t="s">
        <v>123</v>
      </c>
      <c r="B714" s="926" t="s">
        <v>1386</v>
      </c>
      <c r="C714" s="836" t="s">
        <v>141</v>
      </c>
      <c r="D714" s="834"/>
      <c r="E714" s="835"/>
      <c r="F714" s="835"/>
      <c r="G714" s="131" t="s">
        <v>142</v>
      </c>
      <c r="H714" s="101">
        <v>143283</v>
      </c>
      <c r="I714" s="102">
        <v>190917</v>
      </c>
      <c r="J714" s="101"/>
      <c r="K714" s="101">
        <v>205346</v>
      </c>
      <c r="L714" s="101"/>
      <c r="M714" s="10"/>
      <c r="N714" s="10"/>
      <c r="O714"/>
      <c r="P714"/>
    </row>
    <row r="715" spans="1:16" s="146" customFormat="1" ht="18" customHeight="1" x14ac:dyDescent="0.25">
      <c r="A715" s="48" t="s">
        <v>123</v>
      </c>
      <c r="B715" s="926" t="s">
        <v>1386</v>
      </c>
      <c r="C715" s="836" t="s">
        <v>143</v>
      </c>
      <c r="D715" s="834"/>
      <c r="E715" s="835"/>
      <c r="F715" s="835"/>
      <c r="G715" s="131" t="s">
        <v>144</v>
      </c>
      <c r="H715" s="101">
        <v>20000</v>
      </c>
      <c r="I715" s="102">
        <v>35000</v>
      </c>
      <c r="J715" s="101"/>
      <c r="K715" s="101">
        <v>35000</v>
      </c>
      <c r="L715" s="101"/>
      <c r="M715" s="10"/>
      <c r="N715" s="10"/>
      <c r="O715"/>
      <c r="P715"/>
    </row>
    <row r="716" spans="1:16" s="146" customFormat="1" ht="18" customHeight="1" x14ac:dyDescent="0.25">
      <c r="A716" s="48" t="s">
        <v>123</v>
      </c>
      <c r="B716" s="926" t="s">
        <v>1386</v>
      </c>
      <c r="C716" s="836" t="s">
        <v>145</v>
      </c>
      <c r="D716" s="834"/>
      <c r="E716" s="835"/>
      <c r="F716" s="835"/>
      <c r="G716" s="131" t="s">
        <v>146</v>
      </c>
      <c r="H716" s="101">
        <v>20000</v>
      </c>
      <c r="I716" s="102">
        <v>35000</v>
      </c>
      <c r="J716" s="101"/>
      <c r="K716" s="101">
        <v>35000</v>
      </c>
      <c r="L716" s="101"/>
      <c r="M716" s="10"/>
      <c r="N716" s="10"/>
      <c r="O716"/>
      <c r="P716"/>
    </row>
    <row r="717" spans="1:16" s="146" customFormat="1" ht="18" customHeight="1" x14ac:dyDescent="0.25">
      <c r="A717" s="48" t="s">
        <v>123</v>
      </c>
      <c r="B717" s="926" t="s">
        <v>1386</v>
      </c>
      <c r="C717" s="859" t="s">
        <v>147</v>
      </c>
      <c r="D717" s="834"/>
      <c r="E717" s="835"/>
      <c r="F717" s="835"/>
      <c r="G717" s="131" t="s">
        <v>148</v>
      </c>
      <c r="H717" s="101"/>
      <c r="I717" s="102"/>
      <c r="J717" s="101"/>
      <c r="K717" s="101">
        <v>21000</v>
      </c>
      <c r="L717" s="101"/>
      <c r="M717" s="10"/>
      <c r="N717" s="10"/>
      <c r="O717"/>
      <c r="P717"/>
    </row>
    <row r="718" spans="1:16" s="146" customFormat="1" ht="54" x14ac:dyDescent="0.25">
      <c r="A718" s="48" t="s">
        <v>123</v>
      </c>
      <c r="B718" s="926" t="s">
        <v>1386</v>
      </c>
      <c r="C718" s="836" t="s">
        <v>153</v>
      </c>
      <c r="D718" s="834"/>
      <c r="E718" s="835"/>
      <c r="F718" s="835"/>
      <c r="G718" s="131" t="s">
        <v>154</v>
      </c>
      <c r="H718" s="101">
        <v>193434.36</v>
      </c>
      <c r="I718" s="102">
        <v>274920.48</v>
      </c>
      <c r="J718" s="101">
        <v>122179.32</v>
      </c>
      <c r="K718" s="101">
        <v>294276</v>
      </c>
      <c r="L718" s="101"/>
      <c r="M718" s="10"/>
      <c r="N718" s="10"/>
      <c r="O718"/>
      <c r="P718"/>
    </row>
    <row r="719" spans="1:16" s="146" customFormat="1" ht="18" customHeight="1" x14ac:dyDescent="0.25">
      <c r="A719" s="48" t="s">
        <v>123</v>
      </c>
      <c r="B719" s="926" t="s">
        <v>1386</v>
      </c>
      <c r="C719" s="834" t="s">
        <v>155</v>
      </c>
      <c r="D719" s="835"/>
      <c r="E719" s="835"/>
      <c r="F719" s="835"/>
      <c r="G719" s="131" t="s">
        <v>156</v>
      </c>
      <c r="H719" s="101">
        <v>3800</v>
      </c>
      <c r="I719" s="102">
        <v>8400</v>
      </c>
      <c r="J719" s="101">
        <v>2800</v>
      </c>
      <c r="K719" s="101">
        <v>8400</v>
      </c>
      <c r="L719" s="101"/>
      <c r="M719" s="10"/>
      <c r="N719" s="10"/>
      <c r="O719"/>
      <c r="P719"/>
    </row>
    <row r="720" spans="1:16" s="146" customFormat="1" ht="18" customHeight="1" x14ac:dyDescent="0.25">
      <c r="A720" s="48" t="s">
        <v>123</v>
      </c>
      <c r="B720" s="926" t="s">
        <v>1386</v>
      </c>
      <c r="C720" s="834" t="s">
        <v>157</v>
      </c>
      <c r="D720" s="835"/>
      <c r="E720" s="835"/>
      <c r="F720" s="835"/>
      <c r="G720" s="131" t="s">
        <v>158</v>
      </c>
      <c r="H720" s="101">
        <v>18993.54</v>
      </c>
      <c r="I720" s="102">
        <v>36381.03</v>
      </c>
      <c r="J720" s="101">
        <v>12380.46</v>
      </c>
      <c r="K720" s="101">
        <v>92446.720000000001</v>
      </c>
      <c r="L720" s="101"/>
      <c r="M720" s="10"/>
      <c r="N720" s="10"/>
      <c r="O720"/>
      <c r="P720"/>
    </row>
    <row r="721" spans="1:16" s="146" customFormat="1" ht="18" customHeight="1" x14ac:dyDescent="0.25">
      <c r="A721" s="48" t="s">
        <v>123</v>
      </c>
      <c r="B721" s="926" t="s">
        <v>1386</v>
      </c>
      <c r="C721" s="834" t="s">
        <v>159</v>
      </c>
      <c r="D721" s="835"/>
      <c r="E721" s="835"/>
      <c r="F721" s="835"/>
      <c r="G721" s="131" t="s">
        <v>160</v>
      </c>
      <c r="H721" s="101">
        <v>3800</v>
      </c>
      <c r="I721" s="102">
        <v>8400</v>
      </c>
      <c r="J721" s="101">
        <v>2800</v>
      </c>
      <c r="K721" s="101">
        <v>8400</v>
      </c>
      <c r="L721" s="101"/>
      <c r="M721" s="10"/>
      <c r="N721" s="10"/>
      <c r="O721"/>
      <c r="P721"/>
    </row>
    <row r="722" spans="1:16" s="146" customFormat="1" ht="18" customHeight="1" x14ac:dyDescent="0.25">
      <c r="A722" s="48" t="s">
        <v>123</v>
      </c>
      <c r="B722" s="926" t="s">
        <v>1386</v>
      </c>
      <c r="C722" s="834" t="s">
        <v>124</v>
      </c>
      <c r="D722" s="835"/>
      <c r="E722" s="835"/>
      <c r="F722" s="835"/>
      <c r="G722" s="131" t="s">
        <v>125</v>
      </c>
      <c r="H722" s="101">
        <v>11279299.199999999</v>
      </c>
      <c r="I722" s="102">
        <v>11325852</v>
      </c>
      <c r="J722" s="101">
        <v>6736268</v>
      </c>
      <c r="K722" s="101">
        <v>11801532</v>
      </c>
      <c r="L722" s="101"/>
      <c r="M722" s="10"/>
      <c r="N722" s="10"/>
      <c r="O722"/>
      <c r="P722"/>
    </row>
    <row r="723" spans="1:16" s="146" customFormat="1" ht="18" customHeight="1" x14ac:dyDescent="0.25">
      <c r="A723" s="48" t="s">
        <v>123</v>
      </c>
      <c r="B723" s="926" t="s">
        <v>1386</v>
      </c>
      <c r="C723" s="834" t="s">
        <v>128</v>
      </c>
      <c r="D723" s="835"/>
      <c r="E723" s="835"/>
      <c r="F723" s="835"/>
      <c r="G723" s="131"/>
      <c r="H723" s="101"/>
      <c r="I723" s="102"/>
      <c r="J723" s="101"/>
      <c r="K723" s="101">
        <v>71976</v>
      </c>
      <c r="L723" s="101"/>
      <c r="M723" s="10"/>
      <c r="N723" s="10"/>
      <c r="O723"/>
      <c r="P723"/>
    </row>
    <row r="724" spans="1:16" s="146" customFormat="1" ht="36" x14ac:dyDescent="0.25">
      <c r="A724" s="48" t="s">
        <v>123</v>
      </c>
      <c r="B724" s="926" t="s">
        <v>1386</v>
      </c>
      <c r="C724" s="834" t="s">
        <v>126</v>
      </c>
      <c r="D724" s="835"/>
      <c r="E724" s="835"/>
      <c r="F724" s="835"/>
      <c r="G724" s="131" t="s">
        <v>127</v>
      </c>
      <c r="H724" s="101">
        <v>3235998.63</v>
      </c>
      <c r="I724" s="102">
        <v>3031836</v>
      </c>
      <c r="J724" s="101">
        <v>1540600.2</v>
      </c>
      <c r="K724" s="101">
        <v>3295536</v>
      </c>
      <c r="L724" s="101"/>
      <c r="M724" s="10"/>
      <c r="N724" s="10"/>
      <c r="O724"/>
      <c r="P724"/>
    </row>
    <row r="725" spans="1:16" s="146" customFormat="1" ht="18" customHeight="1" x14ac:dyDescent="0.25">
      <c r="A725" s="48" t="s">
        <v>123</v>
      </c>
      <c r="B725" s="926" t="s">
        <v>1386</v>
      </c>
      <c r="C725" s="834" t="s">
        <v>129</v>
      </c>
      <c r="D725" s="835"/>
      <c r="E725" s="835"/>
      <c r="F725" s="835"/>
      <c r="G725" s="132" t="s">
        <v>130</v>
      </c>
      <c r="H725" s="101">
        <v>620131.31000000006</v>
      </c>
      <c r="I725" s="102">
        <v>888000</v>
      </c>
      <c r="J725" s="101">
        <v>457636.19</v>
      </c>
      <c r="K725" s="101">
        <v>888000</v>
      </c>
      <c r="L725" s="101"/>
      <c r="M725" s="10"/>
      <c r="N725" s="10"/>
      <c r="O725"/>
      <c r="P725"/>
    </row>
    <row r="726" spans="1:16" s="146" customFormat="1" ht="36" x14ac:dyDescent="0.25">
      <c r="A726" s="48" t="s">
        <v>123</v>
      </c>
      <c r="B726" s="926" t="s">
        <v>1386</v>
      </c>
      <c r="C726" s="836" t="s">
        <v>131</v>
      </c>
      <c r="D726" s="834"/>
      <c r="E726" s="835"/>
      <c r="F726" s="835"/>
      <c r="G726" s="131" t="s">
        <v>132</v>
      </c>
      <c r="H726" s="101">
        <v>853500</v>
      </c>
      <c r="I726" s="102">
        <v>864000</v>
      </c>
      <c r="J726" s="101">
        <v>492000</v>
      </c>
      <c r="K726" s="101">
        <v>864000</v>
      </c>
      <c r="L726" s="101">
        <v>2360794.88</v>
      </c>
      <c r="M726" s="10"/>
      <c r="N726" s="10"/>
      <c r="O726"/>
      <c r="P726"/>
    </row>
    <row r="727" spans="1:16" s="146" customFormat="1" ht="18" customHeight="1" x14ac:dyDescent="0.25">
      <c r="A727" s="48" t="s">
        <v>123</v>
      </c>
      <c r="B727" s="926" t="s">
        <v>1386</v>
      </c>
      <c r="C727" s="834" t="s">
        <v>133</v>
      </c>
      <c r="D727" s="835"/>
      <c r="E727" s="835"/>
      <c r="F727" s="835"/>
      <c r="G727" s="131" t="s">
        <v>134</v>
      </c>
      <c r="H727" s="101">
        <v>853500</v>
      </c>
      <c r="I727" s="102">
        <v>864000</v>
      </c>
      <c r="J727" s="101">
        <v>492000</v>
      </c>
      <c r="K727" s="101">
        <v>864000</v>
      </c>
      <c r="L727" s="101"/>
      <c r="M727" s="10"/>
      <c r="N727" s="10"/>
      <c r="O727"/>
      <c r="P727"/>
    </row>
    <row r="728" spans="1:16" s="146" customFormat="1" ht="18" customHeight="1" x14ac:dyDescent="0.25">
      <c r="A728" s="48" t="s">
        <v>123</v>
      </c>
      <c r="B728" s="926" t="s">
        <v>1386</v>
      </c>
      <c r="C728" s="834" t="s">
        <v>135</v>
      </c>
      <c r="D728" s="835"/>
      <c r="E728" s="835"/>
      <c r="F728" s="835"/>
      <c r="G728" s="131" t="s">
        <v>136</v>
      </c>
      <c r="H728" s="101"/>
      <c r="I728" s="102">
        <v>100000</v>
      </c>
      <c r="J728" s="101"/>
      <c r="K728" s="102">
        <v>50000</v>
      </c>
      <c r="L728" s="101"/>
      <c r="M728" s="10"/>
      <c r="N728" s="10"/>
      <c r="O728"/>
      <c r="P728"/>
    </row>
    <row r="729" spans="1:16" s="146" customFormat="1" ht="36" x14ac:dyDescent="0.25">
      <c r="A729" s="48" t="s">
        <v>123</v>
      </c>
      <c r="B729" s="926" t="s">
        <v>1386</v>
      </c>
      <c r="C729" s="834" t="s">
        <v>137</v>
      </c>
      <c r="D729" s="835"/>
      <c r="E729" s="835"/>
      <c r="F729" s="835"/>
      <c r="G729" s="131" t="s">
        <v>138</v>
      </c>
      <c r="H729" s="101">
        <v>72000</v>
      </c>
      <c r="I729" s="102">
        <v>222000</v>
      </c>
      <c r="J729" s="101">
        <v>198000</v>
      </c>
      <c r="K729" s="101">
        <v>222000</v>
      </c>
      <c r="L729" s="101"/>
      <c r="M729" s="10"/>
      <c r="N729" s="10"/>
      <c r="O729"/>
      <c r="P729"/>
    </row>
    <row r="730" spans="1:16" s="146" customFormat="1" ht="18" customHeight="1" x14ac:dyDescent="0.25">
      <c r="A730" s="48" t="s">
        <v>123</v>
      </c>
      <c r="B730" s="926" t="s">
        <v>1386</v>
      </c>
      <c r="C730" s="838" t="s">
        <v>1370</v>
      </c>
      <c r="D730" s="835"/>
      <c r="E730" s="835"/>
      <c r="F730" s="835"/>
      <c r="G730" s="131"/>
      <c r="H730" s="101"/>
      <c r="I730" s="102"/>
      <c r="J730" s="101"/>
      <c r="K730" s="101">
        <v>704334.78</v>
      </c>
      <c r="L730" s="101"/>
      <c r="M730" s="10"/>
      <c r="N730" s="10"/>
      <c r="O730"/>
      <c r="P730"/>
    </row>
    <row r="731" spans="1:16" s="146" customFormat="1" ht="90" x14ac:dyDescent="0.25">
      <c r="A731" s="48" t="s">
        <v>123</v>
      </c>
      <c r="B731" s="926" t="s">
        <v>1386</v>
      </c>
      <c r="C731" s="834" t="s">
        <v>139</v>
      </c>
      <c r="D731" s="835"/>
      <c r="E731" s="835"/>
      <c r="F731" s="835"/>
      <c r="G731" s="131" t="s">
        <v>140</v>
      </c>
      <c r="H731" s="101">
        <v>1186653</v>
      </c>
      <c r="I731" s="102">
        <v>1196474</v>
      </c>
      <c r="J731" s="101">
        <v>1205172</v>
      </c>
      <c r="K731" s="101">
        <v>1258089</v>
      </c>
      <c r="L731" s="101"/>
      <c r="M731" s="10"/>
      <c r="N731" s="10"/>
      <c r="O731"/>
      <c r="P731"/>
    </row>
    <row r="732" spans="1:16" s="146" customFormat="1" ht="36" x14ac:dyDescent="0.25">
      <c r="A732" s="48" t="s">
        <v>123</v>
      </c>
      <c r="B732" s="926" t="s">
        <v>1386</v>
      </c>
      <c r="C732" s="836" t="s">
        <v>141</v>
      </c>
      <c r="D732" s="836"/>
      <c r="E732" s="836"/>
      <c r="F732" s="834"/>
      <c r="G732" s="131" t="s">
        <v>142</v>
      </c>
      <c r="H732" s="101">
        <v>1184570</v>
      </c>
      <c r="I732" s="102">
        <v>1196474</v>
      </c>
      <c r="J732" s="101"/>
      <c r="K732" s="101">
        <v>1270085</v>
      </c>
      <c r="L732" s="101"/>
      <c r="M732" s="10"/>
      <c r="N732" s="10"/>
      <c r="O732"/>
      <c r="P732"/>
    </row>
    <row r="733" spans="1:16" s="146" customFormat="1" ht="18" customHeight="1" x14ac:dyDescent="0.25">
      <c r="A733" s="48" t="s">
        <v>123</v>
      </c>
      <c r="B733" s="926" t="s">
        <v>1386</v>
      </c>
      <c r="C733" s="834" t="s">
        <v>143</v>
      </c>
      <c r="D733" s="835"/>
      <c r="E733" s="835"/>
      <c r="F733" s="835"/>
      <c r="G733" s="131" t="s">
        <v>144</v>
      </c>
      <c r="H733" s="101">
        <v>180000</v>
      </c>
      <c r="I733" s="102">
        <v>185000</v>
      </c>
      <c r="J733" s="101"/>
      <c r="K733" s="101">
        <v>185000</v>
      </c>
      <c r="L733" s="101"/>
      <c r="M733" s="10"/>
      <c r="N733" s="10"/>
      <c r="O733"/>
      <c r="P733"/>
    </row>
    <row r="734" spans="1:16" s="146" customFormat="1" ht="18" customHeight="1" x14ac:dyDescent="0.25">
      <c r="A734" s="48" t="s">
        <v>123</v>
      </c>
      <c r="B734" s="926" t="s">
        <v>1386</v>
      </c>
      <c r="C734" s="834" t="s">
        <v>145</v>
      </c>
      <c r="D734" s="835"/>
      <c r="E734" s="835"/>
      <c r="F734" s="835"/>
      <c r="G734" s="131" t="s">
        <v>146</v>
      </c>
      <c r="H734" s="101">
        <v>176500</v>
      </c>
      <c r="I734" s="102">
        <v>185000</v>
      </c>
      <c r="J734" s="101"/>
      <c r="K734" s="101">
        <v>185000</v>
      </c>
      <c r="L734" s="101"/>
      <c r="M734" s="10"/>
      <c r="N734" s="10"/>
      <c r="O734"/>
      <c r="P734"/>
    </row>
    <row r="735" spans="1:16" s="146" customFormat="1" ht="18" customHeight="1" x14ac:dyDescent="0.25">
      <c r="A735" s="48" t="s">
        <v>123</v>
      </c>
      <c r="B735" s="926" t="s">
        <v>1386</v>
      </c>
      <c r="C735" s="860" t="s">
        <v>147</v>
      </c>
      <c r="D735" s="835"/>
      <c r="E735" s="835"/>
      <c r="F735" s="835"/>
      <c r="G735" s="131" t="s">
        <v>148</v>
      </c>
      <c r="H735" s="101"/>
      <c r="I735" s="102"/>
      <c r="J735" s="101"/>
      <c r="K735" s="101">
        <v>111000</v>
      </c>
      <c r="L735" s="101"/>
      <c r="M735" s="10"/>
      <c r="N735" s="10"/>
      <c r="O735"/>
      <c r="P735"/>
    </row>
    <row r="736" spans="1:16" s="146" customFormat="1" ht="18" customHeight="1" x14ac:dyDescent="0.25">
      <c r="A736" s="48" t="s">
        <v>123</v>
      </c>
      <c r="B736" s="926" t="s">
        <v>1386</v>
      </c>
      <c r="C736" s="834" t="s">
        <v>153</v>
      </c>
      <c r="D736" s="835"/>
      <c r="E736" s="835"/>
      <c r="F736" s="835"/>
      <c r="G736" s="131" t="s">
        <v>154</v>
      </c>
      <c r="H736" s="105">
        <v>1459081.1</v>
      </c>
      <c r="I736" s="106">
        <v>1722922.56</v>
      </c>
      <c r="J736" s="105">
        <v>935468.33</v>
      </c>
      <c r="K736" s="105">
        <v>1820285.28</v>
      </c>
      <c r="L736" s="105"/>
      <c r="M736" s="10"/>
      <c r="N736" s="10"/>
      <c r="O736"/>
      <c r="P736"/>
    </row>
    <row r="737" spans="1:16" s="229" customFormat="1" ht="18" customHeight="1" x14ac:dyDescent="0.25">
      <c r="A737" s="48" t="s">
        <v>123</v>
      </c>
      <c r="B737" s="926" t="s">
        <v>1386</v>
      </c>
      <c r="C737" s="836" t="s">
        <v>155</v>
      </c>
      <c r="D737" s="836"/>
      <c r="E737" s="836"/>
      <c r="F737" s="834"/>
      <c r="G737" s="131" t="s">
        <v>156</v>
      </c>
      <c r="H737" s="101">
        <v>31000</v>
      </c>
      <c r="I737" s="102">
        <v>44400</v>
      </c>
      <c r="J737" s="101">
        <v>25100</v>
      </c>
      <c r="K737" s="101">
        <v>44400</v>
      </c>
      <c r="L737" s="101"/>
      <c r="M737" s="207"/>
      <c r="N737" s="207"/>
      <c r="O737" s="212"/>
      <c r="P737" s="212"/>
    </row>
    <row r="738" spans="1:16" s="229" customFormat="1" ht="18" customHeight="1" x14ac:dyDescent="0.25">
      <c r="A738" s="48" t="s">
        <v>123</v>
      </c>
      <c r="B738" s="926" t="s">
        <v>1386</v>
      </c>
      <c r="C738" s="836" t="s">
        <v>157</v>
      </c>
      <c r="D738" s="836"/>
      <c r="E738" s="836"/>
      <c r="F738" s="834"/>
      <c r="G738" s="131" t="s">
        <v>158</v>
      </c>
      <c r="H738" s="101">
        <v>155309.9</v>
      </c>
      <c r="I738" s="102">
        <v>229457.13</v>
      </c>
      <c r="J738" s="101">
        <v>102019.92</v>
      </c>
      <c r="K738" s="101">
        <v>592812</v>
      </c>
      <c r="L738" s="101"/>
      <c r="M738" s="207"/>
      <c r="N738" s="207"/>
      <c r="O738" s="212"/>
      <c r="P738" s="212"/>
    </row>
    <row r="739" spans="1:16" s="229" customFormat="1" ht="18" customHeight="1" x14ac:dyDescent="0.25">
      <c r="A739" s="48" t="s">
        <v>123</v>
      </c>
      <c r="B739" s="926" t="s">
        <v>1386</v>
      </c>
      <c r="C739" s="836" t="s">
        <v>159</v>
      </c>
      <c r="D739" s="836"/>
      <c r="E739" s="836"/>
      <c r="F739" s="834"/>
      <c r="G739" s="131" t="s">
        <v>160</v>
      </c>
      <c r="H739" s="101">
        <v>29860.36</v>
      </c>
      <c r="I739" s="102">
        <v>44400</v>
      </c>
      <c r="J739" s="101">
        <v>24400</v>
      </c>
      <c r="K739" s="101">
        <v>44400</v>
      </c>
      <c r="L739" s="101"/>
      <c r="M739" s="207"/>
      <c r="N739" s="207">
        <f>1432325</f>
        <v>1432325</v>
      </c>
      <c r="O739" s="212"/>
      <c r="P739" s="212"/>
    </row>
    <row r="740" spans="1:16" s="229" customFormat="1" ht="54" x14ac:dyDescent="0.25">
      <c r="A740" s="48" t="s">
        <v>123</v>
      </c>
      <c r="B740" s="926" t="s">
        <v>1386</v>
      </c>
      <c r="C740" s="836" t="s">
        <v>124</v>
      </c>
      <c r="D740" s="834"/>
      <c r="E740" s="835"/>
      <c r="F740" s="835"/>
      <c r="G740" s="131" t="s">
        <v>125</v>
      </c>
      <c r="H740" s="101">
        <v>2334932</v>
      </c>
      <c r="I740" s="102">
        <v>3681852</v>
      </c>
      <c r="J740" s="101">
        <v>1413803</v>
      </c>
      <c r="K740" s="101">
        <v>3990060</v>
      </c>
      <c r="L740" s="101"/>
      <c r="M740" s="207"/>
      <c r="N740" s="207"/>
      <c r="O740" s="212"/>
      <c r="P740" s="212"/>
    </row>
    <row r="741" spans="1:16" s="229" customFormat="1" ht="18" customHeight="1" x14ac:dyDescent="0.25">
      <c r="A741" s="48" t="s">
        <v>123</v>
      </c>
      <c r="B741" s="926" t="s">
        <v>1386</v>
      </c>
      <c r="C741" s="836" t="s">
        <v>126</v>
      </c>
      <c r="D741" s="836"/>
      <c r="E741" s="836"/>
      <c r="F741" s="834"/>
      <c r="G741" s="131" t="s">
        <v>127</v>
      </c>
      <c r="H741" s="101">
        <v>329001.84999999998</v>
      </c>
      <c r="I741" s="102">
        <v>298056</v>
      </c>
      <c r="J741" s="101">
        <v>159251.1</v>
      </c>
      <c r="K741" s="101">
        <v>324048</v>
      </c>
      <c r="L741" s="101"/>
      <c r="M741" s="207"/>
      <c r="N741" s="207"/>
      <c r="O741" s="212"/>
      <c r="P741" s="212"/>
    </row>
    <row r="742" spans="1:16" s="229" customFormat="1" ht="18" customHeight="1" x14ac:dyDescent="0.25">
      <c r="A742" s="48" t="s">
        <v>123</v>
      </c>
      <c r="B742" s="926" t="s">
        <v>1386</v>
      </c>
      <c r="C742" s="836" t="s">
        <v>128</v>
      </c>
      <c r="D742" s="836"/>
      <c r="E742" s="836"/>
      <c r="F742" s="834"/>
      <c r="G742" s="131" t="s">
        <v>125</v>
      </c>
      <c r="H742" s="101">
        <v>0</v>
      </c>
      <c r="I742" s="102"/>
      <c r="J742" s="101"/>
      <c r="K742" s="101">
        <v>9037</v>
      </c>
      <c r="L742" s="101"/>
      <c r="M742" s="207"/>
      <c r="N742" s="207"/>
      <c r="O742" s="212"/>
      <c r="P742" s="212"/>
    </row>
    <row r="743" spans="1:16" s="229" customFormat="1" ht="18" customHeight="1" x14ac:dyDescent="0.25">
      <c r="A743" s="48" t="s">
        <v>123</v>
      </c>
      <c r="B743" s="926" t="s">
        <v>1386</v>
      </c>
      <c r="C743" s="836" t="s">
        <v>129</v>
      </c>
      <c r="D743" s="836"/>
      <c r="E743" s="836"/>
      <c r="F743" s="834"/>
      <c r="G743" s="132" t="s">
        <v>130</v>
      </c>
      <c r="H743" s="101">
        <v>244363.28</v>
      </c>
      <c r="I743" s="102">
        <v>432000</v>
      </c>
      <c r="J743" s="101">
        <v>150363.62</v>
      </c>
      <c r="K743" s="101">
        <v>432000</v>
      </c>
      <c r="L743" s="101"/>
      <c r="M743" s="207"/>
      <c r="N743" s="207"/>
      <c r="O743" s="212"/>
      <c r="P743" s="212"/>
    </row>
    <row r="744" spans="1:16" s="229" customFormat="1" ht="18" customHeight="1" x14ac:dyDescent="0.25">
      <c r="A744" s="48" t="s">
        <v>123</v>
      </c>
      <c r="B744" s="926" t="s">
        <v>1386</v>
      </c>
      <c r="C744" s="836" t="s">
        <v>131</v>
      </c>
      <c r="D744" s="836"/>
      <c r="E744" s="836"/>
      <c r="F744" s="834"/>
      <c r="G744" s="131" t="s">
        <v>132</v>
      </c>
      <c r="H744" s="101">
        <v>73500</v>
      </c>
      <c r="I744" s="102">
        <v>72000</v>
      </c>
      <c r="J744" s="101">
        <v>43500</v>
      </c>
      <c r="K744" s="101">
        <v>72000</v>
      </c>
      <c r="L744" s="101"/>
      <c r="M744" s="207"/>
      <c r="N744" s="207"/>
      <c r="O744" s="212"/>
      <c r="P744" s="212"/>
    </row>
    <row r="745" spans="1:16" s="229" customFormat="1" ht="18" customHeight="1" x14ac:dyDescent="0.25">
      <c r="A745" s="48" t="s">
        <v>123</v>
      </c>
      <c r="B745" s="926" t="s">
        <v>1386</v>
      </c>
      <c r="C745" s="836" t="s">
        <v>133</v>
      </c>
      <c r="D745" s="836"/>
      <c r="E745" s="836"/>
      <c r="F745" s="834"/>
      <c r="G745" s="131" t="s">
        <v>134</v>
      </c>
      <c r="H745" s="101">
        <v>73500</v>
      </c>
      <c r="I745" s="102">
        <v>72000</v>
      </c>
      <c r="J745" s="101">
        <v>43500</v>
      </c>
      <c r="K745" s="101">
        <v>72000</v>
      </c>
      <c r="L745" s="101"/>
      <c r="M745" s="207"/>
      <c r="N745" s="207"/>
      <c r="O745" s="212"/>
      <c r="P745" s="212"/>
    </row>
    <row r="746" spans="1:16" s="229" customFormat="1" ht="18" customHeight="1" x14ac:dyDescent="0.25">
      <c r="A746" s="48" t="s">
        <v>123</v>
      </c>
      <c r="B746" s="926" t="s">
        <v>1386</v>
      </c>
      <c r="C746" s="836" t="s">
        <v>135</v>
      </c>
      <c r="D746" s="836"/>
      <c r="E746" s="836"/>
      <c r="F746" s="834"/>
      <c r="G746" s="131" t="s">
        <v>136</v>
      </c>
      <c r="H746" s="101"/>
      <c r="I746" s="102">
        <v>100000</v>
      </c>
      <c r="J746" s="101"/>
      <c r="K746" s="102">
        <v>100000</v>
      </c>
      <c r="L746" s="101"/>
      <c r="M746" s="207"/>
      <c r="N746" s="207"/>
      <c r="O746" s="212"/>
      <c r="P746" s="212"/>
    </row>
    <row r="747" spans="1:16" s="229" customFormat="1" ht="18" customHeight="1" x14ac:dyDescent="0.25">
      <c r="A747" s="48" t="s">
        <v>123</v>
      </c>
      <c r="B747" s="926" t="s">
        <v>1386</v>
      </c>
      <c r="C747" s="836" t="s">
        <v>137</v>
      </c>
      <c r="D747" s="836"/>
      <c r="E747" s="836"/>
      <c r="F747" s="834"/>
      <c r="G747" s="131" t="s">
        <v>138</v>
      </c>
      <c r="H747" s="105">
        <v>54000</v>
      </c>
      <c r="I747" s="106">
        <v>108000</v>
      </c>
      <c r="J747" s="105">
        <v>66000</v>
      </c>
      <c r="K747" s="105">
        <v>108000</v>
      </c>
      <c r="L747" s="105"/>
      <c r="M747" s="207"/>
      <c r="N747" s="207"/>
      <c r="O747" s="212"/>
      <c r="P747" s="212"/>
    </row>
    <row r="748" spans="1:16" s="194" customFormat="1" ht="18" customHeight="1" x14ac:dyDescent="0.25">
      <c r="A748" s="48" t="s">
        <v>123</v>
      </c>
      <c r="B748" s="926" t="s">
        <v>1386</v>
      </c>
      <c r="C748" s="836" t="s">
        <v>139</v>
      </c>
      <c r="D748" s="836"/>
      <c r="E748" s="836"/>
      <c r="F748" s="836"/>
      <c r="G748" s="131" t="s">
        <v>140</v>
      </c>
      <c r="H748" s="101">
        <v>219047</v>
      </c>
      <c r="I748" s="102">
        <v>331659</v>
      </c>
      <c r="J748" s="101">
        <v>227535</v>
      </c>
      <c r="K748" s="121">
        <v>360457</v>
      </c>
      <c r="L748" s="101">
        <v>52800</v>
      </c>
      <c r="M748" s="10"/>
      <c r="N748" s="10"/>
      <c r="O748" s="191"/>
      <c r="P748" s="191"/>
    </row>
    <row r="749" spans="1:16" s="194" customFormat="1" ht="18" customHeight="1" x14ac:dyDescent="0.25">
      <c r="A749" s="48" t="s">
        <v>123</v>
      </c>
      <c r="B749" s="926" t="s">
        <v>1386</v>
      </c>
      <c r="C749" s="836" t="s">
        <v>141</v>
      </c>
      <c r="D749" s="836"/>
      <c r="E749" s="836"/>
      <c r="F749" s="836"/>
      <c r="G749" s="131" t="s">
        <v>142</v>
      </c>
      <c r="H749" s="101">
        <v>219143</v>
      </c>
      <c r="I749" s="102">
        <v>331659</v>
      </c>
      <c r="J749" s="101"/>
      <c r="K749" s="101">
        <v>360457</v>
      </c>
      <c r="L749" s="101">
        <v>195600</v>
      </c>
      <c r="M749" s="10"/>
      <c r="N749" s="10"/>
      <c r="O749" s="191"/>
      <c r="P749" s="191"/>
    </row>
    <row r="750" spans="1:16" s="194" customFormat="1" ht="18" customHeight="1" x14ac:dyDescent="0.25">
      <c r="A750" s="48" t="s">
        <v>123</v>
      </c>
      <c r="B750" s="926" t="s">
        <v>1386</v>
      </c>
      <c r="C750" s="836" t="s">
        <v>143</v>
      </c>
      <c r="D750" s="836"/>
      <c r="E750" s="836"/>
      <c r="F750" s="836"/>
      <c r="G750" s="131" t="s">
        <v>144</v>
      </c>
      <c r="H750" s="101">
        <v>55000</v>
      </c>
      <c r="I750" s="102">
        <v>90000</v>
      </c>
      <c r="J750" s="101"/>
      <c r="K750" s="101">
        <v>90000</v>
      </c>
      <c r="L750" s="101">
        <v>15300</v>
      </c>
      <c r="M750" s="10"/>
      <c r="N750" s="10"/>
      <c r="O750" s="191"/>
      <c r="P750" s="191"/>
    </row>
    <row r="751" spans="1:16" ht="17.45" customHeight="1" x14ac:dyDescent="0.25">
      <c r="A751" s="48" t="s">
        <v>123</v>
      </c>
      <c r="B751" s="926" t="s">
        <v>1386</v>
      </c>
      <c r="C751" s="834" t="s">
        <v>145</v>
      </c>
      <c r="D751" s="835"/>
      <c r="E751" s="835"/>
      <c r="F751" s="835"/>
      <c r="G751" s="131" t="s">
        <v>146</v>
      </c>
      <c r="H751" s="101">
        <v>55000</v>
      </c>
      <c r="I751" s="102">
        <v>90000</v>
      </c>
      <c r="J751" s="101"/>
      <c r="K751" s="101">
        <v>90000</v>
      </c>
      <c r="L751" s="101"/>
    </row>
    <row r="752" spans="1:16" ht="17.45" customHeight="1" x14ac:dyDescent="0.25">
      <c r="A752" s="48" t="s">
        <v>123</v>
      </c>
      <c r="B752" s="926" t="s">
        <v>1386</v>
      </c>
      <c r="C752" s="860" t="s">
        <v>231</v>
      </c>
      <c r="D752" s="835"/>
      <c r="E752" s="835"/>
      <c r="F752" s="835"/>
      <c r="G752" s="131" t="s">
        <v>232</v>
      </c>
      <c r="H752" s="101"/>
      <c r="I752" s="102"/>
      <c r="J752" s="101"/>
      <c r="K752" s="101">
        <v>35000</v>
      </c>
      <c r="L752" s="101"/>
    </row>
    <row r="753" spans="1:16" ht="17.45" customHeight="1" x14ac:dyDescent="0.25">
      <c r="A753" s="48" t="s">
        <v>123</v>
      </c>
      <c r="B753" s="926" t="s">
        <v>1386</v>
      </c>
      <c r="C753" s="860" t="s">
        <v>147</v>
      </c>
      <c r="D753" s="853"/>
      <c r="E753" s="853"/>
      <c r="F753" s="853"/>
      <c r="G753" s="172" t="s">
        <v>148</v>
      </c>
      <c r="H753" s="102"/>
      <c r="I753" s="102"/>
      <c r="J753" s="102"/>
      <c r="K753" s="102">
        <v>51000</v>
      </c>
      <c r="L753" s="101"/>
    </row>
    <row r="754" spans="1:16" ht="17.45" customHeight="1" x14ac:dyDescent="0.25">
      <c r="A754" s="48" t="s">
        <v>123</v>
      </c>
      <c r="B754" s="926" t="s">
        <v>1386</v>
      </c>
      <c r="C754" s="834" t="s">
        <v>153</v>
      </c>
      <c r="D754" s="835"/>
      <c r="E754" s="835"/>
      <c r="F754" s="835"/>
      <c r="G754" s="131" t="s">
        <v>154</v>
      </c>
      <c r="H754" s="101">
        <v>303065.40000000002</v>
      </c>
      <c r="I754" s="102">
        <v>477588.96</v>
      </c>
      <c r="J754" s="101">
        <v>189873.96</v>
      </c>
      <c r="K754" s="101">
        <v>518777.4</v>
      </c>
      <c r="L754" s="101"/>
    </row>
    <row r="755" spans="1:16" ht="17.45" customHeight="1" x14ac:dyDescent="0.25">
      <c r="A755" s="48" t="s">
        <v>123</v>
      </c>
      <c r="B755" s="926" t="s">
        <v>1386</v>
      </c>
      <c r="C755" s="834" t="s">
        <v>155</v>
      </c>
      <c r="D755" s="835"/>
      <c r="E755" s="835"/>
      <c r="F755" s="835"/>
      <c r="G755" s="131" t="s">
        <v>156</v>
      </c>
      <c r="H755" s="101">
        <v>12200</v>
      </c>
      <c r="I755" s="102">
        <v>21600</v>
      </c>
      <c r="J755" s="101">
        <v>7700</v>
      </c>
      <c r="K755" s="101">
        <v>21600</v>
      </c>
      <c r="L755" s="101"/>
    </row>
    <row r="756" spans="1:16" s="146" customFormat="1" ht="17.45" customHeight="1" x14ac:dyDescent="0.25">
      <c r="A756" s="48" t="s">
        <v>123</v>
      </c>
      <c r="B756" s="926" t="s">
        <v>1386</v>
      </c>
      <c r="C756" s="836" t="s">
        <v>157</v>
      </c>
      <c r="D756" s="836"/>
      <c r="E756" s="836"/>
      <c r="F756" s="834"/>
      <c r="G756" s="131" t="s">
        <v>158</v>
      </c>
      <c r="H756" s="101">
        <v>32857.300000000003</v>
      </c>
      <c r="I756" s="102">
        <v>66099.81</v>
      </c>
      <c r="J756" s="101">
        <v>20925.46</v>
      </c>
      <c r="K756" s="101">
        <v>168133.48</v>
      </c>
      <c r="L756" s="101"/>
      <c r="M756" s="10"/>
      <c r="N756" s="10"/>
      <c r="O756"/>
      <c r="P756"/>
    </row>
    <row r="757" spans="1:16" s="146" customFormat="1" ht="17.45" customHeight="1" x14ac:dyDescent="0.25">
      <c r="A757" s="48" t="s">
        <v>123</v>
      </c>
      <c r="B757" s="926" t="s">
        <v>1386</v>
      </c>
      <c r="C757" s="834" t="s">
        <v>159</v>
      </c>
      <c r="D757" s="835"/>
      <c r="E757" s="835"/>
      <c r="F757" s="835"/>
      <c r="G757" s="131" t="s">
        <v>160</v>
      </c>
      <c r="H757" s="101">
        <v>12200</v>
      </c>
      <c r="I757" s="102">
        <v>21600</v>
      </c>
      <c r="J757" s="101">
        <v>7700</v>
      </c>
      <c r="K757" s="101">
        <v>21600</v>
      </c>
      <c r="L757" s="101"/>
      <c r="M757" s="10"/>
      <c r="N757" s="10"/>
      <c r="O757"/>
      <c r="P757"/>
    </row>
    <row r="758" spans="1:16" s="146" customFormat="1" ht="17.45" customHeight="1" x14ac:dyDescent="0.25">
      <c r="A758" s="169" t="s">
        <v>123</v>
      </c>
      <c r="B758" s="926" t="s">
        <v>1387</v>
      </c>
      <c r="C758" s="834" t="s">
        <v>124</v>
      </c>
      <c r="D758" s="835"/>
      <c r="E758" s="835"/>
      <c r="F758" s="835"/>
      <c r="G758" s="131" t="s">
        <v>125</v>
      </c>
      <c r="H758" s="101">
        <v>230212</v>
      </c>
      <c r="I758" s="102">
        <v>234156</v>
      </c>
      <c r="J758" s="101">
        <v>142836</v>
      </c>
      <c r="K758" s="101">
        <v>264132</v>
      </c>
      <c r="L758" s="101"/>
      <c r="M758" s="10"/>
      <c r="N758" s="10"/>
      <c r="O758"/>
      <c r="P758"/>
    </row>
    <row r="759" spans="1:16" s="146" customFormat="1" ht="17.45" customHeight="1" x14ac:dyDescent="0.25">
      <c r="A759" s="169" t="s">
        <v>123</v>
      </c>
      <c r="B759" s="926" t="s">
        <v>1387</v>
      </c>
      <c r="C759" s="834" t="s">
        <v>129</v>
      </c>
      <c r="D759" s="835"/>
      <c r="E759" s="835"/>
      <c r="F759" s="835"/>
      <c r="G759" s="132" t="s">
        <v>130</v>
      </c>
      <c r="H759" s="101">
        <v>24000</v>
      </c>
      <c r="I759" s="102">
        <v>24000</v>
      </c>
      <c r="J759" s="101">
        <v>14000</v>
      </c>
      <c r="K759" s="101">
        <v>24000</v>
      </c>
      <c r="L759" s="101"/>
      <c r="M759" s="10"/>
      <c r="N759" s="10"/>
      <c r="O759"/>
      <c r="P759"/>
    </row>
    <row r="760" spans="1:16" s="146" customFormat="1" ht="17.45" customHeight="1" x14ac:dyDescent="0.25">
      <c r="A760" s="169" t="s">
        <v>123</v>
      </c>
      <c r="B760" s="926" t="s">
        <v>1387</v>
      </c>
      <c r="C760" s="834" t="s">
        <v>137</v>
      </c>
      <c r="D760" s="835"/>
      <c r="E760" s="835"/>
      <c r="F760" s="835"/>
      <c r="G760" s="131" t="s">
        <v>138</v>
      </c>
      <c r="H760" s="101">
        <v>6000</v>
      </c>
      <c r="I760" s="102">
        <v>6000</v>
      </c>
      <c r="J760" s="101">
        <v>6000</v>
      </c>
      <c r="K760" s="101">
        <v>6000</v>
      </c>
      <c r="L760" s="101"/>
      <c r="M760" s="10"/>
      <c r="N760" s="10"/>
      <c r="O760"/>
      <c r="P760"/>
    </row>
    <row r="761" spans="1:16" s="146" customFormat="1" ht="17.45" customHeight="1" x14ac:dyDescent="0.25">
      <c r="A761" s="169" t="s">
        <v>123</v>
      </c>
      <c r="B761" s="926" t="s">
        <v>1387</v>
      </c>
      <c r="C761" s="834" t="s">
        <v>139</v>
      </c>
      <c r="D761" s="835"/>
      <c r="E761" s="835"/>
      <c r="F761" s="835"/>
      <c r="G761" s="131" t="s">
        <v>140</v>
      </c>
      <c r="H761" s="101">
        <v>19513</v>
      </c>
      <c r="I761" s="102">
        <v>19513</v>
      </c>
      <c r="J761" s="101">
        <v>20762</v>
      </c>
      <c r="K761" s="101">
        <v>22011</v>
      </c>
      <c r="L761" s="101"/>
      <c r="M761" s="10"/>
      <c r="N761" s="10"/>
      <c r="O761"/>
      <c r="P761"/>
    </row>
    <row r="762" spans="1:16" s="146" customFormat="1" ht="17.45" customHeight="1" x14ac:dyDescent="0.25">
      <c r="A762" s="169" t="s">
        <v>123</v>
      </c>
      <c r="B762" s="926" t="s">
        <v>1387</v>
      </c>
      <c r="C762" s="836" t="s">
        <v>141</v>
      </c>
      <c r="D762" s="836"/>
      <c r="E762" s="836"/>
      <c r="F762" s="834"/>
      <c r="G762" s="131" t="s">
        <v>142</v>
      </c>
      <c r="H762" s="101">
        <v>19513</v>
      </c>
      <c r="I762" s="102">
        <v>19513</v>
      </c>
      <c r="J762" s="101"/>
      <c r="K762" s="101">
        <v>22011</v>
      </c>
      <c r="L762" s="101"/>
      <c r="M762" s="10"/>
      <c r="N762" s="10"/>
      <c r="O762"/>
      <c r="P762"/>
    </row>
    <row r="763" spans="1:16" s="146" customFormat="1" ht="17.45" customHeight="1" x14ac:dyDescent="0.25">
      <c r="A763" s="169" t="s">
        <v>123</v>
      </c>
      <c r="B763" s="926" t="s">
        <v>1387</v>
      </c>
      <c r="C763" s="834" t="s">
        <v>143</v>
      </c>
      <c r="D763" s="835"/>
      <c r="E763" s="835"/>
      <c r="F763" s="835"/>
      <c r="G763" s="131" t="s">
        <v>144</v>
      </c>
      <c r="H763" s="101">
        <v>5000</v>
      </c>
      <c r="I763" s="102">
        <v>5000</v>
      </c>
      <c r="J763" s="101"/>
      <c r="K763" s="101">
        <v>5000</v>
      </c>
      <c r="L763" s="101"/>
      <c r="M763" s="10"/>
      <c r="N763" s="10"/>
      <c r="O763"/>
      <c r="P763"/>
    </row>
    <row r="764" spans="1:16" s="146" customFormat="1" ht="17.45" customHeight="1" x14ac:dyDescent="0.25">
      <c r="A764" s="169" t="s">
        <v>123</v>
      </c>
      <c r="B764" s="926" t="s">
        <v>1387</v>
      </c>
      <c r="C764" s="834" t="s">
        <v>145</v>
      </c>
      <c r="D764" s="835"/>
      <c r="E764" s="835"/>
      <c r="F764" s="835"/>
      <c r="G764" s="131" t="s">
        <v>146</v>
      </c>
      <c r="H764" s="101">
        <v>5000</v>
      </c>
      <c r="I764" s="102">
        <v>5000</v>
      </c>
      <c r="J764" s="101"/>
      <c r="K764" s="101">
        <v>5000</v>
      </c>
      <c r="L764" s="101"/>
      <c r="M764" s="10"/>
      <c r="N764" s="10"/>
      <c r="O764"/>
      <c r="P764"/>
    </row>
    <row r="765" spans="1:16" s="146" customFormat="1" ht="17.45" customHeight="1" x14ac:dyDescent="0.25">
      <c r="A765" s="169" t="s">
        <v>123</v>
      </c>
      <c r="B765" s="926" t="s">
        <v>1387</v>
      </c>
      <c r="C765" s="860" t="s">
        <v>318</v>
      </c>
      <c r="D765" s="835"/>
      <c r="E765" s="835"/>
      <c r="F765" s="835"/>
      <c r="G765" s="131" t="s">
        <v>148</v>
      </c>
      <c r="H765" s="101"/>
      <c r="I765" s="102"/>
      <c r="J765" s="101"/>
      <c r="K765" s="101">
        <v>3000</v>
      </c>
      <c r="L765" s="101"/>
      <c r="M765" s="10"/>
      <c r="N765" s="10"/>
      <c r="O765"/>
      <c r="P765"/>
    </row>
    <row r="766" spans="1:16" s="146" customFormat="1" ht="17.45" customHeight="1" x14ac:dyDescent="0.25">
      <c r="A766" s="169" t="s">
        <v>123</v>
      </c>
      <c r="B766" s="926" t="s">
        <v>1387</v>
      </c>
      <c r="C766" s="834" t="s">
        <v>153</v>
      </c>
      <c r="D766" s="835"/>
      <c r="E766" s="835"/>
      <c r="F766" s="835"/>
      <c r="G766" s="131" t="s">
        <v>154</v>
      </c>
      <c r="H766" s="105">
        <v>27625.439999999999</v>
      </c>
      <c r="I766" s="106">
        <v>28098.720000000001</v>
      </c>
      <c r="J766" s="105">
        <v>17140.32</v>
      </c>
      <c r="K766" s="105">
        <v>29897.279999999999</v>
      </c>
      <c r="L766" s="105"/>
      <c r="M766" s="10"/>
      <c r="N766" s="10"/>
      <c r="O766"/>
      <c r="P766"/>
    </row>
    <row r="767" spans="1:16" s="229" customFormat="1" ht="17.45" customHeight="1" x14ac:dyDescent="0.25">
      <c r="A767" s="169" t="s">
        <v>123</v>
      </c>
      <c r="B767" s="926" t="s">
        <v>1387</v>
      </c>
      <c r="C767" s="836" t="s">
        <v>155</v>
      </c>
      <c r="D767" s="836"/>
      <c r="E767" s="836"/>
      <c r="F767" s="834"/>
      <c r="G767" s="131" t="s">
        <v>156</v>
      </c>
      <c r="H767" s="101">
        <v>1200</v>
      </c>
      <c r="I767" s="102">
        <v>1200</v>
      </c>
      <c r="J767" s="101">
        <v>700</v>
      </c>
      <c r="K767" s="101">
        <v>1200</v>
      </c>
      <c r="L767" s="101"/>
      <c r="M767" s="207"/>
      <c r="N767" s="207"/>
      <c r="O767" s="212"/>
      <c r="P767" s="212"/>
    </row>
    <row r="768" spans="1:16" s="229" customFormat="1" ht="17.45" customHeight="1" x14ac:dyDescent="0.25">
      <c r="A768" s="169" t="s">
        <v>123</v>
      </c>
      <c r="B768" s="926" t="s">
        <v>1387</v>
      </c>
      <c r="C768" s="836" t="s">
        <v>157</v>
      </c>
      <c r="D768" s="836"/>
      <c r="E768" s="836"/>
      <c r="F768" s="834"/>
      <c r="G768" s="131" t="s">
        <v>158</v>
      </c>
      <c r="H768" s="101">
        <v>3453.24</v>
      </c>
      <c r="I768" s="102">
        <v>4097.7299999999996</v>
      </c>
      <c r="J768" s="101">
        <v>2142.5500000000002</v>
      </c>
      <c r="K768" s="101">
        <v>11000</v>
      </c>
      <c r="L768" s="101"/>
      <c r="M768" s="207"/>
      <c r="N768" s="207"/>
      <c r="O768" s="212"/>
      <c r="P768" s="212"/>
    </row>
    <row r="769" spans="1:16" s="229" customFormat="1" ht="17.45" customHeight="1" x14ac:dyDescent="0.25">
      <c r="A769" s="169" t="s">
        <v>123</v>
      </c>
      <c r="B769" s="926" t="s">
        <v>1387</v>
      </c>
      <c r="C769" s="836" t="s">
        <v>159</v>
      </c>
      <c r="D769" s="836"/>
      <c r="E769" s="836"/>
      <c r="F769" s="834"/>
      <c r="G769" s="131" t="s">
        <v>160</v>
      </c>
      <c r="H769" s="101">
        <v>1200</v>
      </c>
      <c r="I769" s="102">
        <v>1200</v>
      </c>
      <c r="J769" s="101">
        <v>700</v>
      </c>
      <c r="K769" s="101">
        <v>1200</v>
      </c>
      <c r="L769" s="101"/>
      <c r="M769" s="207">
        <f>62150+59500</f>
        <v>121650</v>
      </c>
      <c r="N769" s="207"/>
      <c r="O769" s="212"/>
      <c r="P769" s="212"/>
    </row>
    <row r="770" spans="1:16" s="229" customFormat="1" ht="17.45" customHeight="1" x14ac:dyDescent="0.25">
      <c r="A770" s="48" t="s">
        <v>123</v>
      </c>
      <c r="B770" s="926" t="s">
        <v>1386</v>
      </c>
      <c r="C770" s="836" t="s">
        <v>124</v>
      </c>
      <c r="D770" s="836"/>
      <c r="E770" s="836"/>
      <c r="F770" s="834"/>
      <c r="G770" s="131" t="s">
        <v>125</v>
      </c>
      <c r="H770" s="101"/>
      <c r="I770" s="102">
        <v>1080084</v>
      </c>
      <c r="J770" s="101"/>
      <c r="K770" s="101">
        <v>1129584</v>
      </c>
      <c r="L770" s="101"/>
      <c r="M770" s="207"/>
      <c r="N770" s="207"/>
      <c r="O770" s="212"/>
      <c r="P770" s="212"/>
    </row>
    <row r="771" spans="1:16" s="229" customFormat="1" ht="17.45" customHeight="1" x14ac:dyDescent="0.25">
      <c r="A771" s="48" t="s">
        <v>123</v>
      </c>
      <c r="B771" s="926" t="s">
        <v>1386</v>
      </c>
      <c r="C771" s="836" t="s">
        <v>126</v>
      </c>
      <c r="D771" s="836"/>
      <c r="E771" s="836"/>
      <c r="F771" s="834"/>
      <c r="G771" s="131" t="s">
        <v>127</v>
      </c>
      <c r="H771" s="101"/>
      <c r="I771" s="102">
        <v>132552</v>
      </c>
      <c r="J771" s="101"/>
      <c r="K771" s="101">
        <v>143928</v>
      </c>
      <c r="L771" s="101"/>
      <c r="M771" s="207"/>
      <c r="N771" s="207"/>
      <c r="O771" s="212"/>
      <c r="P771" s="212"/>
    </row>
    <row r="772" spans="1:16" s="229" customFormat="1" ht="17.45" customHeight="1" x14ac:dyDescent="0.25">
      <c r="A772" s="48" t="s">
        <v>123</v>
      </c>
      <c r="B772" s="926" t="s">
        <v>1386</v>
      </c>
      <c r="C772" s="836" t="s">
        <v>129</v>
      </c>
      <c r="D772" s="836"/>
      <c r="E772" s="836"/>
      <c r="F772" s="834"/>
      <c r="G772" s="132" t="s">
        <v>130</v>
      </c>
      <c r="H772" s="101"/>
      <c r="I772" s="102">
        <v>72000</v>
      </c>
      <c r="J772" s="101"/>
      <c r="K772" s="101">
        <v>72000</v>
      </c>
      <c r="L772" s="101"/>
      <c r="M772" s="207"/>
      <c r="N772" s="207"/>
      <c r="O772" s="212"/>
      <c r="P772" s="212"/>
    </row>
    <row r="773" spans="1:16" s="229" customFormat="1" ht="17.45" customHeight="1" x14ac:dyDescent="0.25">
      <c r="A773" s="48" t="s">
        <v>123</v>
      </c>
      <c r="B773" s="926" t="s">
        <v>1386</v>
      </c>
      <c r="C773" s="836" t="s">
        <v>131</v>
      </c>
      <c r="D773" s="836"/>
      <c r="E773" s="836"/>
      <c r="F773" s="834"/>
      <c r="G773" s="131" t="s">
        <v>132</v>
      </c>
      <c r="H773" s="101"/>
      <c r="I773" s="102">
        <v>72000</v>
      </c>
      <c r="J773" s="101"/>
      <c r="K773" s="101">
        <v>72000</v>
      </c>
      <c r="L773" s="101"/>
      <c r="M773" s="207"/>
      <c r="N773" s="207"/>
      <c r="O773" s="212"/>
      <c r="P773" s="212"/>
    </row>
    <row r="774" spans="1:16" s="229" customFormat="1" ht="17.45" customHeight="1" x14ac:dyDescent="0.25">
      <c r="A774" s="48" t="s">
        <v>123</v>
      </c>
      <c r="B774" s="926" t="s">
        <v>1386</v>
      </c>
      <c r="C774" s="836" t="s">
        <v>133</v>
      </c>
      <c r="D774" s="836"/>
      <c r="E774" s="836"/>
      <c r="F774" s="834"/>
      <c r="G774" s="131" t="s">
        <v>134</v>
      </c>
      <c r="H774" s="101"/>
      <c r="I774" s="102">
        <v>72000</v>
      </c>
      <c r="J774" s="101"/>
      <c r="K774" s="101">
        <v>72000</v>
      </c>
      <c r="L774" s="101"/>
      <c r="M774" s="207"/>
      <c r="N774" s="207"/>
      <c r="O774" s="212"/>
      <c r="P774" s="212"/>
    </row>
    <row r="775" spans="1:16" s="146" customFormat="1" ht="17.45" customHeight="1" x14ac:dyDescent="0.25">
      <c r="A775" s="48" t="s">
        <v>123</v>
      </c>
      <c r="B775" s="926" t="s">
        <v>1386</v>
      </c>
      <c r="C775" s="834" t="s">
        <v>137</v>
      </c>
      <c r="D775" s="835"/>
      <c r="E775" s="835"/>
      <c r="F775" s="835"/>
      <c r="G775" s="131" t="s">
        <v>138</v>
      </c>
      <c r="H775" s="101"/>
      <c r="I775" s="102">
        <v>18000</v>
      </c>
      <c r="J775" s="101"/>
      <c r="K775" s="101">
        <v>18000</v>
      </c>
      <c r="L775" s="101"/>
      <c r="M775" s="10"/>
      <c r="N775" s="10"/>
      <c r="O775"/>
      <c r="P775"/>
    </row>
    <row r="776" spans="1:16" s="146" customFormat="1" ht="17.45" customHeight="1" x14ac:dyDescent="0.25">
      <c r="A776" s="48" t="s">
        <v>123</v>
      </c>
      <c r="B776" s="926" t="s">
        <v>1386</v>
      </c>
      <c r="C776" s="834" t="s">
        <v>139</v>
      </c>
      <c r="D776" s="835"/>
      <c r="E776" s="835"/>
      <c r="F776" s="835"/>
      <c r="G776" s="131" t="s">
        <v>140</v>
      </c>
      <c r="H776" s="105"/>
      <c r="I776" s="106">
        <v>101053</v>
      </c>
      <c r="J776" s="105"/>
      <c r="K776" s="105">
        <v>106126</v>
      </c>
      <c r="L776" s="105"/>
      <c r="M776" s="10"/>
      <c r="N776" s="10"/>
      <c r="O776"/>
      <c r="P776"/>
    </row>
    <row r="777" spans="1:16" s="146" customFormat="1" ht="17.45" customHeight="1" x14ac:dyDescent="0.25">
      <c r="A777" s="48" t="s">
        <v>123</v>
      </c>
      <c r="B777" s="926" t="s">
        <v>1386</v>
      </c>
      <c r="C777" s="856" t="s">
        <v>141</v>
      </c>
      <c r="D777" s="856"/>
      <c r="E777" s="836"/>
      <c r="F777" s="836"/>
      <c r="G777" s="131" t="s">
        <v>142</v>
      </c>
      <c r="H777" s="101"/>
      <c r="I777" s="102">
        <v>101053</v>
      </c>
      <c r="J777" s="101"/>
      <c r="K777" s="121">
        <v>106126</v>
      </c>
      <c r="L777" s="101"/>
      <c r="M777" s="10"/>
      <c r="N777" s="10">
        <f>115000*3</f>
        <v>345000</v>
      </c>
      <c r="O777"/>
      <c r="P777"/>
    </row>
    <row r="778" spans="1:16" s="146" customFormat="1" ht="17.45" customHeight="1" x14ac:dyDescent="0.25">
      <c r="A778" s="48" t="s">
        <v>123</v>
      </c>
      <c r="B778" s="926" t="s">
        <v>1386</v>
      </c>
      <c r="C778" s="836" t="s">
        <v>143</v>
      </c>
      <c r="D778" s="836"/>
      <c r="E778" s="836"/>
      <c r="F778" s="836"/>
      <c r="G778" s="131" t="s">
        <v>144</v>
      </c>
      <c r="H778" s="101"/>
      <c r="I778" s="102">
        <v>15000</v>
      </c>
      <c r="J778" s="101"/>
      <c r="K778" s="101">
        <v>15000</v>
      </c>
      <c r="L778" s="101"/>
      <c r="M778" s="10"/>
      <c r="N778" s="10">
        <f>80000*3</f>
        <v>240000</v>
      </c>
      <c r="O778"/>
      <c r="P778"/>
    </row>
    <row r="779" spans="1:16" s="146" customFormat="1" ht="17.45" customHeight="1" x14ac:dyDescent="0.25">
      <c r="A779" s="48" t="s">
        <v>123</v>
      </c>
      <c r="B779" s="926" t="s">
        <v>1386</v>
      </c>
      <c r="C779" s="836" t="s">
        <v>145</v>
      </c>
      <c r="D779" s="836"/>
      <c r="E779" s="836"/>
      <c r="F779" s="836"/>
      <c r="G779" s="131" t="s">
        <v>146</v>
      </c>
      <c r="H779" s="101"/>
      <c r="I779" s="102">
        <v>15000</v>
      </c>
      <c r="J779" s="101"/>
      <c r="K779" s="101">
        <v>15000</v>
      </c>
      <c r="L779" s="101"/>
      <c r="M779" s="10"/>
      <c r="N779" s="10"/>
      <c r="O779"/>
      <c r="P779"/>
    </row>
    <row r="780" spans="1:16" s="146" customFormat="1" ht="17.45" customHeight="1" x14ac:dyDescent="0.25">
      <c r="A780" s="48" t="s">
        <v>123</v>
      </c>
      <c r="B780" s="926" t="s">
        <v>1386</v>
      </c>
      <c r="C780" s="113" t="s">
        <v>147</v>
      </c>
      <c r="D780" s="113"/>
      <c r="E780" s="836"/>
      <c r="F780" s="836"/>
      <c r="G780" s="131" t="s">
        <v>148</v>
      </c>
      <c r="H780" s="101"/>
      <c r="I780" s="102"/>
      <c r="J780" s="101"/>
      <c r="K780" s="101">
        <v>9000</v>
      </c>
      <c r="L780" s="101"/>
      <c r="M780" s="10"/>
      <c r="N780" s="10"/>
      <c r="O780"/>
      <c r="P780"/>
    </row>
    <row r="781" spans="1:16" s="146" customFormat="1" ht="17.45" customHeight="1" x14ac:dyDescent="0.25">
      <c r="A781" s="48" t="s">
        <v>123</v>
      </c>
      <c r="B781" s="926" t="s">
        <v>1386</v>
      </c>
      <c r="C781" s="836" t="s">
        <v>153</v>
      </c>
      <c r="D781" s="836"/>
      <c r="E781" s="836"/>
      <c r="F781" s="836"/>
      <c r="G781" s="131" t="s">
        <v>154</v>
      </c>
      <c r="H781" s="101"/>
      <c r="I781" s="102">
        <v>145516.32</v>
      </c>
      <c r="J781" s="101"/>
      <c r="K781" s="101">
        <v>152821.44</v>
      </c>
      <c r="L781" s="101"/>
      <c r="M781" s="10"/>
      <c r="N781" s="10"/>
      <c r="O781"/>
      <c r="P781"/>
    </row>
    <row r="782" spans="1:16" s="146" customFormat="1" ht="18" customHeight="1" x14ac:dyDescent="0.25">
      <c r="A782" s="48" t="s">
        <v>123</v>
      </c>
      <c r="B782" s="926" t="s">
        <v>1386</v>
      </c>
      <c r="C782" s="834" t="s">
        <v>155</v>
      </c>
      <c r="D782" s="835"/>
      <c r="E782" s="835"/>
      <c r="F782" s="835"/>
      <c r="G782" s="131" t="s">
        <v>156</v>
      </c>
      <c r="H782" s="101"/>
      <c r="I782" s="102">
        <v>3600</v>
      </c>
      <c r="J782" s="101"/>
      <c r="K782" s="101">
        <v>3600</v>
      </c>
      <c r="L782" s="101"/>
      <c r="M782" s="10"/>
      <c r="N782" s="10"/>
      <c r="O782"/>
      <c r="P782"/>
    </row>
    <row r="783" spans="1:16" s="146" customFormat="1" ht="18" customHeight="1" x14ac:dyDescent="0.25">
      <c r="A783" s="48" t="s">
        <v>123</v>
      </c>
      <c r="B783" s="926" t="s">
        <v>1386</v>
      </c>
      <c r="C783" s="834" t="s">
        <v>157</v>
      </c>
      <c r="D783" s="835"/>
      <c r="E783" s="835"/>
      <c r="F783" s="835"/>
      <c r="G783" s="131" t="s">
        <v>158</v>
      </c>
      <c r="H783" s="101"/>
      <c r="I783" s="102">
        <v>19627.650000000001</v>
      </c>
      <c r="J783" s="101"/>
      <c r="K783" s="101">
        <v>50652</v>
      </c>
      <c r="L783" s="101"/>
      <c r="M783" s="10"/>
      <c r="N783" s="10"/>
      <c r="O783"/>
      <c r="P783"/>
    </row>
    <row r="784" spans="1:16" s="146" customFormat="1" ht="18" customHeight="1" x14ac:dyDescent="0.25">
      <c r="A784" s="48" t="s">
        <v>123</v>
      </c>
      <c r="B784" s="926" t="s">
        <v>1386</v>
      </c>
      <c r="C784" s="834" t="s">
        <v>159</v>
      </c>
      <c r="D784" s="835"/>
      <c r="E784" s="835"/>
      <c r="F784" s="835"/>
      <c r="G784" s="131" t="s">
        <v>160</v>
      </c>
      <c r="H784" s="101"/>
      <c r="I784" s="102">
        <v>3600</v>
      </c>
      <c r="J784" s="101"/>
      <c r="K784" s="101">
        <v>3600</v>
      </c>
      <c r="L784" s="101"/>
      <c r="M784" s="10"/>
      <c r="N784" s="10"/>
      <c r="O784"/>
      <c r="P784"/>
    </row>
    <row r="785" spans="1:16" s="146" customFormat="1" ht="18" customHeight="1" x14ac:dyDescent="0.25">
      <c r="A785" s="48" t="s">
        <v>123</v>
      </c>
      <c r="B785" s="926" t="s">
        <v>1386</v>
      </c>
      <c r="C785" s="834" t="s">
        <v>124</v>
      </c>
      <c r="D785" s="835"/>
      <c r="E785" s="835"/>
      <c r="F785" s="835"/>
      <c r="G785" s="100" t="s">
        <v>125</v>
      </c>
      <c r="H785" s="101">
        <v>0</v>
      </c>
      <c r="I785" s="102">
        <v>1063608</v>
      </c>
      <c r="J785" s="101"/>
      <c r="K785" s="101">
        <v>1111488</v>
      </c>
      <c r="L785" s="101"/>
      <c r="M785" s="10"/>
      <c r="N785" s="10"/>
      <c r="O785"/>
      <c r="P785"/>
    </row>
    <row r="786" spans="1:16" s="146" customFormat="1" ht="18" customHeight="1" x14ac:dyDescent="0.25">
      <c r="A786" s="48" t="s">
        <v>123</v>
      </c>
      <c r="B786" s="926" t="s">
        <v>1386</v>
      </c>
      <c r="C786" s="834" t="s">
        <v>129</v>
      </c>
      <c r="D786" s="835"/>
      <c r="E786" s="835"/>
      <c r="F786" s="835"/>
      <c r="G786" s="103" t="s">
        <v>130</v>
      </c>
      <c r="H786" s="101">
        <v>0</v>
      </c>
      <c r="I786" s="102">
        <v>48000</v>
      </c>
      <c r="J786" s="101"/>
      <c r="K786" s="101">
        <v>48000</v>
      </c>
      <c r="L786" s="101"/>
      <c r="M786" s="10"/>
      <c r="N786" s="10"/>
      <c r="O786"/>
      <c r="P786"/>
    </row>
    <row r="787" spans="1:16" s="146" customFormat="1" ht="18" customHeight="1" x14ac:dyDescent="0.25">
      <c r="A787" s="48" t="s">
        <v>123</v>
      </c>
      <c r="B787" s="926" t="s">
        <v>1386</v>
      </c>
      <c r="C787" s="834" t="s">
        <v>131</v>
      </c>
      <c r="D787" s="835"/>
      <c r="E787" s="835"/>
      <c r="F787" s="835"/>
      <c r="G787" s="100" t="s">
        <v>132</v>
      </c>
      <c r="H787" s="101">
        <v>0</v>
      </c>
      <c r="I787" s="102">
        <v>72000</v>
      </c>
      <c r="J787" s="101"/>
      <c r="K787" s="101">
        <v>72000</v>
      </c>
      <c r="L787" s="101"/>
      <c r="M787" s="10"/>
      <c r="N787" s="10"/>
      <c r="O787"/>
      <c r="P787"/>
    </row>
    <row r="788" spans="1:16" s="146" customFormat="1" ht="18" customHeight="1" x14ac:dyDescent="0.25">
      <c r="A788" s="48" t="s">
        <v>123</v>
      </c>
      <c r="B788" s="926" t="s">
        <v>1386</v>
      </c>
      <c r="C788" s="834" t="s">
        <v>133</v>
      </c>
      <c r="D788" s="835"/>
      <c r="E788" s="835"/>
      <c r="F788" s="835"/>
      <c r="G788" s="100" t="s">
        <v>134</v>
      </c>
      <c r="H788" s="101">
        <v>0</v>
      </c>
      <c r="I788" s="102">
        <v>72000</v>
      </c>
      <c r="J788" s="101"/>
      <c r="K788" s="101">
        <v>72000</v>
      </c>
      <c r="L788" s="101"/>
      <c r="M788" s="10"/>
      <c r="N788" s="10"/>
      <c r="O788"/>
      <c r="P788"/>
    </row>
    <row r="789" spans="1:16" s="146" customFormat="1" ht="18" customHeight="1" x14ac:dyDescent="0.25">
      <c r="A789" s="48" t="s">
        <v>123</v>
      </c>
      <c r="B789" s="926" t="s">
        <v>1386</v>
      </c>
      <c r="C789" s="834" t="s">
        <v>137</v>
      </c>
      <c r="D789" s="835"/>
      <c r="E789" s="835"/>
      <c r="F789" s="835"/>
      <c r="G789" s="100" t="s">
        <v>138</v>
      </c>
      <c r="H789" s="101">
        <v>0</v>
      </c>
      <c r="I789" s="102">
        <v>12000</v>
      </c>
      <c r="J789" s="101"/>
      <c r="K789" s="101">
        <v>12000</v>
      </c>
      <c r="L789" s="101"/>
      <c r="M789" s="10"/>
      <c r="N789" s="10"/>
      <c r="O789"/>
      <c r="P789"/>
    </row>
    <row r="790" spans="1:16" s="146" customFormat="1" ht="90" x14ac:dyDescent="0.25">
      <c r="A790" s="48" t="s">
        <v>123</v>
      </c>
      <c r="B790" s="926" t="s">
        <v>1386</v>
      </c>
      <c r="C790" s="834" t="s">
        <v>139</v>
      </c>
      <c r="D790" s="835"/>
      <c r="E790" s="835"/>
      <c r="F790" s="835"/>
      <c r="G790" s="100" t="s">
        <v>140</v>
      </c>
      <c r="H790" s="101">
        <v>0</v>
      </c>
      <c r="I790" s="102">
        <v>88634</v>
      </c>
      <c r="J790" s="101"/>
      <c r="K790" s="101">
        <v>92624</v>
      </c>
      <c r="L790" s="101"/>
      <c r="M790" s="10"/>
      <c r="N790" s="10"/>
      <c r="O790"/>
      <c r="P790"/>
    </row>
    <row r="791" spans="1:16" s="146" customFormat="1" ht="18" customHeight="1" x14ac:dyDescent="0.25">
      <c r="A791" s="48" t="s">
        <v>123</v>
      </c>
      <c r="B791" s="926" t="s">
        <v>1386</v>
      </c>
      <c r="C791" s="834" t="s">
        <v>141</v>
      </c>
      <c r="D791" s="835"/>
      <c r="E791" s="835"/>
      <c r="F791" s="835"/>
      <c r="G791" s="100" t="s">
        <v>142</v>
      </c>
      <c r="H791" s="101">
        <v>0</v>
      </c>
      <c r="I791" s="102">
        <v>88634</v>
      </c>
      <c r="J791" s="101"/>
      <c r="K791" s="101">
        <v>92624</v>
      </c>
      <c r="L791" s="101"/>
      <c r="M791" s="10"/>
      <c r="N791" s="10"/>
      <c r="O791"/>
      <c r="P791"/>
    </row>
    <row r="792" spans="1:16" s="146" customFormat="1" ht="18" x14ac:dyDescent="0.25">
      <c r="A792" s="48" t="s">
        <v>123</v>
      </c>
      <c r="B792" s="926" t="s">
        <v>1386</v>
      </c>
      <c r="C792" s="836" t="s">
        <v>143</v>
      </c>
      <c r="D792" s="834"/>
      <c r="E792" s="835"/>
      <c r="F792" s="835"/>
      <c r="G792" s="100" t="s">
        <v>144</v>
      </c>
      <c r="H792" s="101">
        <v>0</v>
      </c>
      <c r="I792" s="102">
        <v>10000</v>
      </c>
      <c r="J792" s="101"/>
      <c r="K792" s="101">
        <v>10000</v>
      </c>
      <c r="L792" s="101"/>
      <c r="M792" s="10"/>
      <c r="N792" s="10"/>
      <c r="O792"/>
      <c r="P792"/>
    </row>
    <row r="793" spans="1:16" s="146" customFormat="1" ht="54" x14ac:dyDescent="0.25">
      <c r="A793" s="48" t="s">
        <v>123</v>
      </c>
      <c r="B793" s="926" t="s">
        <v>1386</v>
      </c>
      <c r="C793" s="836" t="s">
        <v>145</v>
      </c>
      <c r="D793" s="834"/>
      <c r="E793" s="835"/>
      <c r="F793" s="835"/>
      <c r="G793" s="100" t="s">
        <v>146</v>
      </c>
      <c r="H793" s="101">
        <v>0</v>
      </c>
      <c r="I793" s="102">
        <v>10000</v>
      </c>
      <c r="J793" s="101"/>
      <c r="K793" s="101">
        <v>10000</v>
      </c>
      <c r="L793" s="101"/>
      <c r="M793" s="10"/>
      <c r="N793" s="10"/>
      <c r="O793"/>
      <c r="P793"/>
    </row>
    <row r="794" spans="1:16" s="146" customFormat="1" ht="18" customHeight="1" x14ac:dyDescent="0.25">
      <c r="A794" s="48" t="s">
        <v>123</v>
      </c>
      <c r="B794" s="926" t="s">
        <v>1386</v>
      </c>
      <c r="C794" s="860" t="s">
        <v>147</v>
      </c>
      <c r="D794" s="835"/>
      <c r="E794" s="835"/>
      <c r="F794" s="835"/>
      <c r="G794" s="100" t="s">
        <v>148</v>
      </c>
      <c r="H794" s="101"/>
      <c r="I794" s="102"/>
      <c r="J794" s="101"/>
      <c r="K794" s="101">
        <v>6000</v>
      </c>
      <c r="L794" s="101"/>
      <c r="M794" s="10"/>
      <c r="N794" s="10"/>
      <c r="O794"/>
      <c r="P794"/>
    </row>
    <row r="795" spans="1:16" s="146" customFormat="1" ht="18" customHeight="1" x14ac:dyDescent="0.25">
      <c r="A795" s="48" t="s">
        <v>123</v>
      </c>
      <c r="B795" s="926" t="s">
        <v>1386</v>
      </c>
      <c r="C795" s="834" t="s">
        <v>153</v>
      </c>
      <c r="D795" s="835"/>
      <c r="E795" s="835"/>
      <c r="F795" s="835"/>
      <c r="G795" s="100" t="s">
        <v>154</v>
      </c>
      <c r="H795" s="101">
        <v>0</v>
      </c>
      <c r="I795" s="102">
        <v>127632.96000000001</v>
      </c>
      <c r="J795" s="101"/>
      <c r="K795" s="101">
        <v>133378.56</v>
      </c>
      <c r="L795" s="101"/>
      <c r="M795" s="10"/>
      <c r="N795" s="10"/>
      <c r="O795"/>
      <c r="P795"/>
    </row>
    <row r="796" spans="1:16" s="146" customFormat="1" ht="18" customHeight="1" x14ac:dyDescent="0.25">
      <c r="A796" s="48" t="s">
        <v>123</v>
      </c>
      <c r="B796" s="926" t="s">
        <v>1386</v>
      </c>
      <c r="C796" s="834" t="s">
        <v>155</v>
      </c>
      <c r="D796" s="835"/>
      <c r="E796" s="835"/>
      <c r="F796" s="835"/>
      <c r="G796" s="100" t="s">
        <v>156</v>
      </c>
      <c r="H796" s="101">
        <v>0</v>
      </c>
      <c r="I796" s="102">
        <v>2400</v>
      </c>
      <c r="J796" s="101"/>
      <c r="K796" s="101">
        <v>2400</v>
      </c>
      <c r="L796" s="101"/>
      <c r="M796" s="10"/>
      <c r="N796" s="10"/>
      <c r="O796"/>
      <c r="P796"/>
    </row>
    <row r="797" spans="1:16" s="146" customFormat="1" ht="18" customHeight="1" x14ac:dyDescent="0.25">
      <c r="A797" s="48" t="s">
        <v>123</v>
      </c>
      <c r="B797" s="926" t="s">
        <v>1386</v>
      </c>
      <c r="C797" s="834" t="s">
        <v>157</v>
      </c>
      <c r="D797" s="835"/>
      <c r="E797" s="835"/>
      <c r="F797" s="835"/>
      <c r="G797" s="100" t="s">
        <v>158</v>
      </c>
      <c r="H797" s="101">
        <v>0</v>
      </c>
      <c r="I797" s="102">
        <v>17019.66</v>
      </c>
      <c r="J797" s="101"/>
      <c r="K797" s="101">
        <v>44160</v>
      </c>
      <c r="L797" s="101"/>
      <c r="M797" s="10"/>
      <c r="N797" s="10"/>
      <c r="O797"/>
      <c r="P797"/>
    </row>
    <row r="798" spans="1:16" s="229" customFormat="1" ht="18" customHeight="1" x14ac:dyDescent="0.25">
      <c r="A798" s="48" t="s">
        <v>123</v>
      </c>
      <c r="B798" s="926" t="s">
        <v>1386</v>
      </c>
      <c r="C798" s="836" t="s">
        <v>159</v>
      </c>
      <c r="D798" s="836"/>
      <c r="E798" s="836"/>
      <c r="F798" s="834"/>
      <c r="G798" s="100" t="s">
        <v>160</v>
      </c>
      <c r="H798" s="101">
        <v>0</v>
      </c>
      <c r="I798" s="102">
        <v>2400</v>
      </c>
      <c r="J798" s="101"/>
      <c r="K798" s="101">
        <v>2400</v>
      </c>
      <c r="L798" s="101"/>
      <c r="M798" s="207"/>
      <c r="N798" s="207"/>
      <c r="O798" s="212"/>
      <c r="P798" s="212"/>
    </row>
    <row r="799" spans="1:16" s="229" customFormat="1" ht="18" customHeight="1" x14ac:dyDescent="0.25">
      <c r="A799" s="48" t="s">
        <v>123</v>
      </c>
      <c r="B799" s="926" t="s">
        <v>1386</v>
      </c>
      <c r="C799" s="836" t="s">
        <v>124</v>
      </c>
      <c r="D799" s="836"/>
      <c r="E799" s="836"/>
      <c r="F799" s="834"/>
      <c r="G799" s="100" t="s">
        <v>125</v>
      </c>
      <c r="H799" s="101">
        <v>1525368</v>
      </c>
      <c r="I799" s="102">
        <v>1833072</v>
      </c>
      <c r="J799" s="101">
        <v>944784.36</v>
      </c>
      <c r="K799" s="101">
        <v>1957500</v>
      </c>
      <c r="L799" s="101"/>
      <c r="M799" s="207"/>
      <c r="N799" s="207"/>
      <c r="O799" s="212"/>
      <c r="P799" s="212"/>
    </row>
    <row r="800" spans="1:16" s="229" customFormat="1" ht="18" customHeight="1" x14ac:dyDescent="0.25">
      <c r="A800" s="48" t="s">
        <v>123</v>
      </c>
      <c r="B800" s="926" t="s">
        <v>1386</v>
      </c>
      <c r="C800" s="836" t="s">
        <v>128</v>
      </c>
      <c r="D800" s="836"/>
      <c r="E800" s="836"/>
      <c r="F800" s="834"/>
      <c r="G800" s="100" t="s">
        <v>125</v>
      </c>
      <c r="H800" s="101"/>
      <c r="I800" s="102">
        <v>2574</v>
      </c>
      <c r="J800" s="101">
        <v>6000</v>
      </c>
      <c r="K800" s="101">
        <v>3078.55</v>
      </c>
      <c r="L800" s="101"/>
      <c r="M800" s="207"/>
      <c r="N800" s="207"/>
      <c r="O800" s="212"/>
      <c r="P800" s="212"/>
    </row>
    <row r="801" spans="1:16" s="229" customFormat="1" ht="18" customHeight="1" x14ac:dyDescent="0.25">
      <c r="A801" s="48" t="s">
        <v>123</v>
      </c>
      <c r="B801" s="926" t="s">
        <v>1386</v>
      </c>
      <c r="C801" s="836" t="s">
        <v>129</v>
      </c>
      <c r="D801" s="836"/>
      <c r="E801" s="836"/>
      <c r="F801" s="836"/>
      <c r="G801" s="103" t="s">
        <v>130</v>
      </c>
      <c r="H801" s="101">
        <v>72000</v>
      </c>
      <c r="I801" s="102">
        <v>96000</v>
      </c>
      <c r="J801" s="101">
        <v>42000</v>
      </c>
      <c r="K801" s="101">
        <v>96000</v>
      </c>
      <c r="L801" s="101"/>
      <c r="M801" s="207"/>
      <c r="N801" s="207"/>
      <c r="O801" s="212"/>
      <c r="P801" s="212"/>
    </row>
    <row r="802" spans="1:16" s="229" customFormat="1" ht="18" customHeight="1" x14ac:dyDescent="0.25">
      <c r="A802" s="48" t="s">
        <v>123</v>
      </c>
      <c r="B802" s="926" t="s">
        <v>1386</v>
      </c>
      <c r="C802" s="836" t="s">
        <v>131</v>
      </c>
      <c r="D802" s="836"/>
      <c r="E802" s="836"/>
      <c r="F802" s="836"/>
      <c r="G802" s="100" t="s">
        <v>132</v>
      </c>
      <c r="H802" s="101">
        <v>72000</v>
      </c>
      <c r="I802" s="102">
        <v>72000</v>
      </c>
      <c r="J802" s="101">
        <v>42000</v>
      </c>
      <c r="K802" s="101">
        <v>72000</v>
      </c>
      <c r="L802" s="101"/>
      <c r="M802" s="207"/>
      <c r="N802" s="207"/>
      <c r="O802" s="212"/>
      <c r="P802" s="212"/>
    </row>
    <row r="803" spans="1:16" s="229" customFormat="1" ht="18" customHeight="1" x14ac:dyDescent="0.25">
      <c r="A803" s="48" t="s">
        <v>123</v>
      </c>
      <c r="B803" s="926" t="s">
        <v>1386</v>
      </c>
      <c r="C803" s="836" t="s">
        <v>133</v>
      </c>
      <c r="D803" s="836"/>
      <c r="E803" s="836"/>
      <c r="F803" s="834"/>
      <c r="G803" s="100" t="s">
        <v>134</v>
      </c>
      <c r="H803" s="101">
        <v>72000</v>
      </c>
      <c r="I803" s="102">
        <v>72000</v>
      </c>
      <c r="J803" s="101">
        <v>36000</v>
      </c>
      <c r="K803" s="101">
        <v>72000</v>
      </c>
      <c r="L803" s="101"/>
      <c r="M803" s="207"/>
      <c r="N803" s="207"/>
      <c r="O803" s="212"/>
      <c r="P803" s="212"/>
    </row>
    <row r="804" spans="1:16" s="229" customFormat="1" ht="18" customHeight="1" x14ac:dyDescent="0.25">
      <c r="A804" s="48" t="s">
        <v>123</v>
      </c>
      <c r="B804" s="926" t="s">
        <v>1386</v>
      </c>
      <c r="C804" s="836" t="s">
        <v>135</v>
      </c>
      <c r="D804" s="836"/>
      <c r="E804" s="836"/>
      <c r="F804" s="834"/>
      <c r="G804" s="100" t="s">
        <v>136</v>
      </c>
      <c r="H804" s="101"/>
      <c r="I804" s="102">
        <v>120000</v>
      </c>
      <c r="J804" s="101"/>
      <c r="K804" s="101">
        <v>119869.8</v>
      </c>
      <c r="L804" s="101"/>
      <c r="M804" s="207"/>
      <c r="N804" s="207"/>
      <c r="O804" s="212"/>
      <c r="P804" s="212"/>
    </row>
    <row r="805" spans="1:16" s="229" customFormat="1" ht="18" customHeight="1" x14ac:dyDescent="0.25">
      <c r="A805" s="48" t="s">
        <v>123</v>
      </c>
      <c r="B805" s="926" t="s">
        <v>1386</v>
      </c>
      <c r="C805" s="836" t="s">
        <v>137</v>
      </c>
      <c r="D805" s="836"/>
      <c r="E805" s="836"/>
      <c r="F805" s="834"/>
      <c r="G805" s="100" t="s">
        <v>138</v>
      </c>
      <c r="H805" s="105">
        <v>18000</v>
      </c>
      <c r="I805" s="106">
        <v>24000</v>
      </c>
      <c r="J805" s="105">
        <v>18000</v>
      </c>
      <c r="K805" s="105">
        <v>24000</v>
      </c>
      <c r="L805" s="105"/>
      <c r="M805" s="207"/>
      <c r="N805" s="207"/>
      <c r="O805" s="212"/>
      <c r="P805" s="212"/>
    </row>
    <row r="806" spans="1:16" s="146" customFormat="1" ht="18" customHeight="1" x14ac:dyDescent="0.25">
      <c r="A806" s="48" t="s">
        <v>123</v>
      </c>
      <c r="B806" s="926" t="s">
        <v>1386</v>
      </c>
      <c r="C806" s="836" t="s">
        <v>139</v>
      </c>
      <c r="D806" s="836"/>
      <c r="E806" s="836"/>
      <c r="F806" s="836"/>
      <c r="G806" s="100" t="s">
        <v>140</v>
      </c>
      <c r="H806" s="101">
        <v>127114</v>
      </c>
      <c r="I806" s="102">
        <v>152756</v>
      </c>
      <c r="J806" s="101">
        <v>142607</v>
      </c>
      <c r="K806" s="121">
        <v>163533</v>
      </c>
      <c r="L806" s="102"/>
      <c r="M806" s="10"/>
      <c r="N806" s="10">
        <f>80000*2</f>
        <v>160000</v>
      </c>
      <c r="O806"/>
      <c r="P806"/>
    </row>
    <row r="807" spans="1:16" s="146" customFormat="1" ht="18" customHeight="1" x14ac:dyDescent="0.25">
      <c r="A807" s="48" t="s">
        <v>123</v>
      </c>
      <c r="B807" s="926" t="s">
        <v>1386</v>
      </c>
      <c r="C807" s="836" t="s">
        <v>141</v>
      </c>
      <c r="D807" s="836"/>
      <c r="E807" s="836"/>
      <c r="F807" s="836"/>
      <c r="G807" s="100" t="s">
        <v>142</v>
      </c>
      <c r="H807" s="101">
        <v>127114</v>
      </c>
      <c r="I807" s="102">
        <v>152756</v>
      </c>
      <c r="J807" s="101"/>
      <c r="K807" s="101">
        <v>163533</v>
      </c>
      <c r="L807" s="102"/>
      <c r="M807" s="10"/>
      <c r="N807" s="10"/>
      <c r="O807"/>
      <c r="P807"/>
    </row>
    <row r="808" spans="1:16" s="146" customFormat="1" ht="18" customHeight="1" x14ac:dyDescent="0.25">
      <c r="A808" s="48" t="s">
        <v>123</v>
      </c>
      <c r="B808" s="926" t="s">
        <v>1386</v>
      </c>
      <c r="C808" s="836" t="s">
        <v>143</v>
      </c>
      <c r="D808" s="836"/>
      <c r="E808" s="836"/>
      <c r="F808" s="836"/>
      <c r="G808" s="100" t="s">
        <v>144</v>
      </c>
      <c r="H808" s="101">
        <v>15000</v>
      </c>
      <c r="I808" s="102">
        <v>20000</v>
      </c>
      <c r="J808" s="101"/>
      <c r="K808" s="101">
        <v>20000</v>
      </c>
      <c r="L808" s="102"/>
      <c r="M808" s="10"/>
      <c r="N808" s="10"/>
      <c r="O808"/>
      <c r="P808"/>
    </row>
    <row r="809" spans="1:16" s="146" customFormat="1" ht="18" customHeight="1" x14ac:dyDescent="0.25">
      <c r="A809" s="48" t="s">
        <v>123</v>
      </c>
      <c r="B809" s="926" t="s">
        <v>1386</v>
      </c>
      <c r="C809" s="834" t="s">
        <v>145</v>
      </c>
      <c r="D809" s="835"/>
      <c r="E809" s="835"/>
      <c r="F809" s="835"/>
      <c r="G809" s="100" t="s">
        <v>146</v>
      </c>
      <c r="H809" s="101">
        <v>15000</v>
      </c>
      <c r="I809" s="102">
        <v>20000</v>
      </c>
      <c r="J809" s="101"/>
      <c r="K809" s="101">
        <v>20000</v>
      </c>
      <c r="L809" s="101"/>
      <c r="M809" s="10"/>
      <c r="N809" s="10"/>
      <c r="O809"/>
      <c r="P809"/>
    </row>
    <row r="810" spans="1:16" s="146" customFormat="1" ht="18" customHeight="1" x14ac:dyDescent="0.25">
      <c r="A810" s="48" t="s">
        <v>123</v>
      </c>
      <c r="B810" s="926" t="s">
        <v>1386</v>
      </c>
      <c r="C810" s="860" t="s">
        <v>147</v>
      </c>
      <c r="D810" s="835"/>
      <c r="E810" s="835"/>
      <c r="F810" s="835"/>
      <c r="G810" s="100" t="s">
        <v>148</v>
      </c>
      <c r="H810" s="101"/>
      <c r="I810" s="102"/>
      <c r="J810" s="101"/>
      <c r="K810" s="101">
        <v>12000</v>
      </c>
      <c r="L810" s="101"/>
      <c r="M810" s="10"/>
      <c r="N810" s="10"/>
      <c r="O810"/>
      <c r="P810"/>
    </row>
    <row r="811" spans="1:16" s="146" customFormat="1" ht="18" customHeight="1" x14ac:dyDescent="0.25">
      <c r="A811" s="48" t="s">
        <v>123</v>
      </c>
      <c r="B811" s="926" t="s">
        <v>1386</v>
      </c>
      <c r="C811" s="834" t="s">
        <v>153</v>
      </c>
      <c r="D811" s="835"/>
      <c r="E811" s="835"/>
      <c r="F811" s="835"/>
      <c r="G811" s="100" t="s">
        <v>154</v>
      </c>
      <c r="H811" s="101">
        <v>183044.16</v>
      </c>
      <c r="I811" s="102">
        <v>220277.52</v>
      </c>
      <c r="J811" s="101">
        <v>112246.78</v>
      </c>
      <c r="K811" s="101">
        <v>235269.43</v>
      </c>
      <c r="L811" s="101"/>
      <c r="M811" s="10"/>
      <c r="N811" s="10"/>
      <c r="O811"/>
      <c r="P811"/>
    </row>
    <row r="812" spans="1:16" s="146" customFormat="1" ht="18" customHeight="1" x14ac:dyDescent="0.25">
      <c r="A812" s="48" t="s">
        <v>123</v>
      </c>
      <c r="B812" s="926" t="s">
        <v>1386</v>
      </c>
      <c r="C812" s="834" t="s">
        <v>155</v>
      </c>
      <c r="D812" s="835"/>
      <c r="E812" s="835"/>
      <c r="F812" s="835"/>
      <c r="G812" s="100" t="s">
        <v>156</v>
      </c>
      <c r="H812" s="101">
        <v>3600</v>
      </c>
      <c r="I812" s="102">
        <v>4800</v>
      </c>
      <c r="J812" s="101">
        <v>2100</v>
      </c>
      <c r="K812" s="101">
        <v>4800</v>
      </c>
      <c r="L812" s="101"/>
      <c r="M812" s="10"/>
      <c r="N812" s="10">
        <f>48000+816000</f>
        <v>864000</v>
      </c>
      <c r="O812"/>
      <c r="P812"/>
    </row>
    <row r="813" spans="1:16" s="146" customFormat="1" ht="18" customHeight="1" x14ac:dyDescent="0.25">
      <c r="A813" s="48" t="s">
        <v>123</v>
      </c>
      <c r="B813" s="926" t="s">
        <v>1386</v>
      </c>
      <c r="C813" s="834" t="s">
        <v>157</v>
      </c>
      <c r="D813" s="835"/>
      <c r="E813" s="835"/>
      <c r="F813" s="835"/>
      <c r="G813" s="100" t="s">
        <v>158</v>
      </c>
      <c r="H813" s="101">
        <v>19486.82</v>
      </c>
      <c r="I813" s="102">
        <v>30219.42</v>
      </c>
      <c r="J813" s="101">
        <v>12104.2</v>
      </c>
      <c r="K813" s="101">
        <v>76863.14</v>
      </c>
      <c r="L813" s="101"/>
      <c r="M813" s="10"/>
      <c r="N813" s="10"/>
      <c r="O813"/>
      <c r="P813"/>
    </row>
    <row r="814" spans="1:16" s="146" customFormat="1" ht="18" customHeight="1" x14ac:dyDescent="0.25">
      <c r="A814" s="48" t="s">
        <v>123</v>
      </c>
      <c r="B814" s="926" t="s">
        <v>1386</v>
      </c>
      <c r="C814" s="834" t="s">
        <v>159</v>
      </c>
      <c r="D814" s="835"/>
      <c r="E814" s="835"/>
      <c r="F814" s="835"/>
      <c r="G814" s="100" t="s">
        <v>160</v>
      </c>
      <c r="H814" s="101">
        <v>3600</v>
      </c>
      <c r="I814" s="102">
        <v>4800</v>
      </c>
      <c r="J814" s="101">
        <v>2100</v>
      </c>
      <c r="K814" s="101">
        <v>4800</v>
      </c>
      <c r="L814" s="101"/>
      <c r="M814" s="10"/>
      <c r="N814" s="10"/>
      <c r="O814"/>
      <c r="P814"/>
    </row>
    <row r="815" spans="1:16" s="146" customFormat="1" ht="54" x14ac:dyDescent="0.25">
      <c r="A815" s="48" t="s">
        <v>123</v>
      </c>
      <c r="B815" s="926" t="s">
        <v>1386</v>
      </c>
      <c r="C815" s="834" t="s">
        <v>124</v>
      </c>
      <c r="D815" s="835"/>
      <c r="E815" s="835"/>
      <c r="F815" s="835"/>
      <c r="G815" s="100" t="s">
        <v>125</v>
      </c>
      <c r="H815" s="101">
        <v>2495148.87</v>
      </c>
      <c r="I815" s="102">
        <v>3863268</v>
      </c>
      <c r="J815" s="101">
        <v>1539327.49</v>
      </c>
      <c r="K815" s="101">
        <v>4183836</v>
      </c>
      <c r="L815" s="101"/>
      <c r="M815" s="10"/>
      <c r="N815" s="10"/>
      <c r="O815"/>
      <c r="P815"/>
    </row>
    <row r="816" spans="1:16" s="146" customFormat="1" ht="18" customHeight="1" x14ac:dyDescent="0.25">
      <c r="A816" s="48" t="s">
        <v>123</v>
      </c>
      <c r="B816" s="926" t="s">
        <v>1386</v>
      </c>
      <c r="C816" s="834" t="s">
        <v>126</v>
      </c>
      <c r="D816" s="835"/>
      <c r="E816" s="835"/>
      <c r="F816" s="835"/>
      <c r="G816" s="100" t="s">
        <v>127</v>
      </c>
      <c r="H816" s="101">
        <v>175541.43</v>
      </c>
      <c r="I816" s="102">
        <v>157992</v>
      </c>
      <c r="J816" s="101">
        <v>71943</v>
      </c>
      <c r="K816" s="101">
        <v>171828</v>
      </c>
      <c r="L816" s="101"/>
      <c r="M816" s="10"/>
      <c r="N816" s="10">
        <f>204000+12000</f>
        <v>216000</v>
      </c>
      <c r="O816"/>
      <c r="P816"/>
    </row>
    <row r="817" spans="1:16" s="146" customFormat="1" ht="18" customHeight="1" x14ac:dyDescent="0.25">
      <c r="A817" s="48" t="s">
        <v>123</v>
      </c>
      <c r="B817" s="926" t="s">
        <v>1386</v>
      </c>
      <c r="C817" s="834" t="s">
        <v>128</v>
      </c>
      <c r="D817" s="835"/>
      <c r="E817" s="835"/>
      <c r="F817" s="835"/>
      <c r="G817" s="100"/>
      <c r="H817" s="101"/>
      <c r="I817" s="102">
        <v>10572</v>
      </c>
      <c r="J817" s="101">
        <v>12493.6</v>
      </c>
      <c r="K817" s="101">
        <v>8197.3700000000008</v>
      </c>
      <c r="L817" s="101"/>
      <c r="M817" s="10"/>
      <c r="N817" s="10">
        <f>28250+1050686</f>
        <v>1078936</v>
      </c>
      <c r="O817"/>
      <c r="P817"/>
    </row>
    <row r="818" spans="1:16" s="146" customFormat="1" ht="18" customHeight="1" x14ac:dyDescent="0.25">
      <c r="A818" s="48" t="s">
        <v>123</v>
      </c>
      <c r="B818" s="926" t="s">
        <v>1386</v>
      </c>
      <c r="C818" s="834" t="s">
        <v>129</v>
      </c>
      <c r="D818" s="835"/>
      <c r="E818" s="835"/>
      <c r="F818" s="835"/>
      <c r="G818" s="103" t="s">
        <v>130</v>
      </c>
      <c r="H818" s="101">
        <v>205908.83</v>
      </c>
      <c r="I818" s="102">
        <v>336000</v>
      </c>
      <c r="J818" s="101">
        <v>123727.26</v>
      </c>
      <c r="K818" s="101">
        <v>336000</v>
      </c>
      <c r="L818" s="101"/>
      <c r="M818" s="10"/>
      <c r="N818" s="10"/>
      <c r="O818"/>
      <c r="P818"/>
    </row>
    <row r="819" spans="1:16" s="146" customFormat="1" ht="36" x14ac:dyDescent="0.25">
      <c r="A819" s="48" t="s">
        <v>123</v>
      </c>
      <c r="B819" s="926" t="s">
        <v>1386</v>
      </c>
      <c r="C819" s="834" t="s">
        <v>131</v>
      </c>
      <c r="D819" s="835"/>
      <c r="E819" s="835"/>
      <c r="F819" s="835"/>
      <c r="G819" s="100" t="s">
        <v>132</v>
      </c>
      <c r="H819" s="101">
        <v>72000</v>
      </c>
      <c r="I819" s="102">
        <v>72000</v>
      </c>
      <c r="J819" s="101">
        <v>42000</v>
      </c>
      <c r="K819" s="101">
        <v>72000</v>
      </c>
      <c r="L819" s="101"/>
      <c r="M819" s="10"/>
      <c r="N819" s="10">
        <f>10000+170000</f>
        <v>180000</v>
      </c>
      <c r="O819"/>
      <c r="P819"/>
    </row>
    <row r="820" spans="1:16" s="146" customFormat="1" ht="18" customHeight="1" x14ac:dyDescent="0.25">
      <c r="A820" s="48" t="s">
        <v>123</v>
      </c>
      <c r="B820" s="926" t="s">
        <v>1386</v>
      </c>
      <c r="C820" s="834" t="s">
        <v>133</v>
      </c>
      <c r="D820" s="835"/>
      <c r="E820" s="835"/>
      <c r="F820" s="835"/>
      <c r="G820" s="100" t="s">
        <v>134</v>
      </c>
      <c r="H820" s="101">
        <v>72000</v>
      </c>
      <c r="I820" s="102">
        <v>72000</v>
      </c>
      <c r="J820" s="101">
        <v>42000</v>
      </c>
      <c r="K820" s="101">
        <v>72000</v>
      </c>
      <c r="L820" s="101"/>
      <c r="M820" s="10"/>
      <c r="N820" s="10"/>
      <c r="O820"/>
      <c r="P820"/>
    </row>
    <row r="821" spans="1:16" s="146" customFormat="1" ht="18" x14ac:dyDescent="0.25">
      <c r="A821" s="48" t="s">
        <v>123</v>
      </c>
      <c r="B821" s="926" t="s">
        <v>1386</v>
      </c>
      <c r="C821" s="834" t="s">
        <v>135</v>
      </c>
      <c r="D821" s="835"/>
      <c r="E821" s="835"/>
      <c r="F821" s="835"/>
      <c r="G821" s="100" t="s">
        <v>136</v>
      </c>
      <c r="H821" s="101">
        <v>33191.42</v>
      </c>
      <c r="I821" s="102">
        <v>136343.85999999999</v>
      </c>
      <c r="J821" s="101">
        <v>55151.28</v>
      </c>
      <c r="K821" s="102">
        <v>147000</v>
      </c>
      <c r="L821" s="101"/>
      <c r="M821" s="10"/>
      <c r="N821" s="10"/>
      <c r="O821"/>
      <c r="P821"/>
    </row>
    <row r="822" spans="1:16" s="146" customFormat="1" ht="36" x14ac:dyDescent="0.25">
      <c r="A822" s="48" t="s">
        <v>123</v>
      </c>
      <c r="B822" s="926" t="s">
        <v>1386</v>
      </c>
      <c r="C822" s="836" t="s">
        <v>137</v>
      </c>
      <c r="D822" s="834"/>
      <c r="E822" s="835"/>
      <c r="F822" s="835"/>
      <c r="G822" s="100" t="s">
        <v>138</v>
      </c>
      <c r="H822" s="101">
        <v>48000</v>
      </c>
      <c r="I822" s="102">
        <v>84000</v>
      </c>
      <c r="J822" s="101">
        <v>54000</v>
      </c>
      <c r="K822" s="101">
        <v>84000</v>
      </c>
      <c r="L822" s="101"/>
      <c r="M822" s="10"/>
      <c r="N822" s="10">
        <f>6000+102000</f>
        <v>108000</v>
      </c>
      <c r="O822"/>
      <c r="P822"/>
    </row>
    <row r="823" spans="1:16" s="146" customFormat="1" ht="18" customHeight="1" x14ac:dyDescent="0.25">
      <c r="A823" s="48" t="s">
        <v>123</v>
      </c>
      <c r="B823" s="926" t="s">
        <v>1386</v>
      </c>
      <c r="C823" s="836" t="s">
        <v>139</v>
      </c>
      <c r="D823" s="836"/>
      <c r="E823" s="836"/>
      <c r="F823" s="834"/>
      <c r="G823" s="100" t="s">
        <v>140</v>
      </c>
      <c r="H823" s="101">
        <v>221164</v>
      </c>
      <c r="I823" s="102">
        <v>335332</v>
      </c>
      <c r="J823" s="101">
        <v>236544</v>
      </c>
      <c r="K823" s="101">
        <v>363814</v>
      </c>
      <c r="L823" s="101"/>
      <c r="M823" s="10"/>
      <c r="N823" s="10"/>
      <c r="O823"/>
      <c r="P823"/>
    </row>
    <row r="824" spans="1:16" s="146" customFormat="1" ht="18" customHeight="1" x14ac:dyDescent="0.25">
      <c r="A824" s="48" t="s">
        <v>123</v>
      </c>
      <c r="B824" s="926" t="s">
        <v>1386</v>
      </c>
      <c r="C824" s="836" t="s">
        <v>141</v>
      </c>
      <c r="D824" s="836"/>
      <c r="E824" s="836"/>
      <c r="F824" s="834"/>
      <c r="G824" s="100" t="s">
        <v>142</v>
      </c>
      <c r="H824" s="101">
        <v>221297</v>
      </c>
      <c r="I824" s="102">
        <v>336640</v>
      </c>
      <c r="J824" s="101"/>
      <c r="K824" s="101">
        <v>363814</v>
      </c>
      <c r="L824" s="101"/>
      <c r="M824" s="10"/>
      <c r="N824" s="10"/>
      <c r="O824"/>
      <c r="P824"/>
    </row>
    <row r="825" spans="1:16" s="146" customFormat="1" ht="18" x14ac:dyDescent="0.25">
      <c r="A825" s="48" t="s">
        <v>123</v>
      </c>
      <c r="B825" s="926" t="s">
        <v>1386</v>
      </c>
      <c r="C825" s="836" t="s">
        <v>143</v>
      </c>
      <c r="D825" s="836"/>
      <c r="E825" s="836"/>
      <c r="F825" s="834"/>
      <c r="G825" s="100" t="s">
        <v>144</v>
      </c>
      <c r="H825" s="101">
        <v>45000</v>
      </c>
      <c r="I825" s="102">
        <v>70000</v>
      </c>
      <c r="J825" s="101"/>
      <c r="K825" s="101">
        <v>70000</v>
      </c>
      <c r="L825" s="101"/>
      <c r="M825" s="10"/>
      <c r="N825" s="10">
        <v>2790615.67</v>
      </c>
      <c r="O825"/>
      <c r="P825"/>
    </row>
    <row r="826" spans="1:16" s="146" customFormat="1" ht="18" customHeight="1" x14ac:dyDescent="0.25">
      <c r="A826" s="48" t="s">
        <v>123</v>
      </c>
      <c r="B826" s="926" t="s">
        <v>1386</v>
      </c>
      <c r="C826" s="834" t="s">
        <v>145</v>
      </c>
      <c r="D826" s="835"/>
      <c r="E826" s="835"/>
      <c r="F826" s="835"/>
      <c r="G826" s="100" t="s">
        <v>146</v>
      </c>
      <c r="H826" s="101">
        <v>45000</v>
      </c>
      <c r="I826" s="102">
        <v>70000</v>
      </c>
      <c r="J826" s="101"/>
      <c r="K826" s="101">
        <v>70000</v>
      </c>
      <c r="L826" s="101"/>
      <c r="M826" s="10"/>
      <c r="N826" s="10">
        <f>40680+1023332.96</f>
        <v>1064012.96</v>
      </c>
      <c r="O826"/>
      <c r="P826"/>
    </row>
    <row r="827" spans="1:16" s="146" customFormat="1" ht="18" customHeight="1" x14ac:dyDescent="0.25">
      <c r="A827" s="48" t="s">
        <v>123</v>
      </c>
      <c r="B827" s="926" t="s">
        <v>1386</v>
      </c>
      <c r="C827" s="860" t="s">
        <v>147</v>
      </c>
      <c r="D827" s="835"/>
      <c r="E827" s="835"/>
      <c r="F827" s="835"/>
      <c r="G827" s="100" t="s">
        <v>148</v>
      </c>
      <c r="H827" s="101"/>
      <c r="I827" s="102"/>
      <c r="J827" s="101"/>
      <c r="K827" s="101">
        <v>42000</v>
      </c>
      <c r="L827" s="101"/>
      <c r="M827" s="10"/>
      <c r="N827" s="10">
        <f>40800+2400</f>
        <v>43200</v>
      </c>
      <c r="O827"/>
      <c r="P827"/>
    </row>
    <row r="828" spans="1:16" s="146" customFormat="1" ht="18" customHeight="1" x14ac:dyDescent="0.25">
      <c r="A828" s="48" t="s">
        <v>123</v>
      </c>
      <c r="B828" s="926" t="s">
        <v>1386</v>
      </c>
      <c r="C828" s="834" t="s">
        <v>153</v>
      </c>
      <c r="D828" s="835"/>
      <c r="E828" s="835"/>
      <c r="F828" s="835"/>
      <c r="G828" s="100" t="s">
        <v>154</v>
      </c>
      <c r="H828" s="101">
        <v>311395.90000000002</v>
      </c>
      <c r="I828" s="102">
        <v>483819.84</v>
      </c>
      <c r="J828" s="101">
        <v>195273.15</v>
      </c>
      <c r="K828" s="101">
        <v>523663.35999999999</v>
      </c>
      <c r="L828" s="101"/>
      <c r="M828" s="10"/>
      <c r="N828" s="10">
        <f>13620+490354.24</f>
        <v>503974.24</v>
      </c>
      <c r="O828"/>
      <c r="P828"/>
    </row>
    <row r="829" spans="1:16" s="146" customFormat="1" ht="18" customHeight="1" x14ac:dyDescent="0.25">
      <c r="A829" s="48" t="s">
        <v>123</v>
      </c>
      <c r="B829" s="926" t="s">
        <v>1386</v>
      </c>
      <c r="C829" s="834" t="s">
        <v>155</v>
      </c>
      <c r="D829" s="835"/>
      <c r="E829" s="835"/>
      <c r="F829" s="835"/>
      <c r="G829" s="100" t="s">
        <v>156</v>
      </c>
      <c r="H829" s="105">
        <v>10300</v>
      </c>
      <c r="I829" s="106">
        <v>16800</v>
      </c>
      <c r="J829" s="105">
        <v>6300</v>
      </c>
      <c r="K829" s="105">
        <v>16800</v>
      </c>
      <c r="L829" s="105"/>
      <c r="M829" s="10"/>
      <c r="N829" s="10">
        <f>40800+10800</f>
        <v>51600</v>
      </c>
      <c r="O829"/>
      <c r="P829"/>
    </row>
    <row r="830" spans="1:16" s="212" customFormat="1" ht="18" customHeight="1" x14ac:dyDescent="0.25">
      <c r="A830" s="48" t="s">
        <v>123</v>
      </c>
      <c r="B830" s="926" t="s">
        <v>1386</v>
      </c>
      <c r="C830" s="836" t="s">
        <v>157</v>
      </c>
      <c r="D830" s="836"/>
      <c r="E830" s="836"/>
      <c r="F830" s="834"/>
      <c r="G830" s="100" t="s">
        <v>158</v>
      </c>
      <c r="H830" s="101">
        <v>35224.99</v>
      </c>
      <c r="I830" s="102">
        <v>68290.11</v>
      </c>
      <c r="J830" s="101">
        <v>22298.76</v>
      </c>
      <c r="K830" s="101">
        <v>172503.89</v>
      </c>
      <c r="L830" s="101"/>
      <c r="M830" s="207"/>
      <c r="N830" s="207"/>
    </row>
    <row r="831" spans="1:16" s="212" customFormat="1" ht="18" customHeight="1" x14ac:dyDescent="0.25">
      <c r="A831" s="48" t="s">
        <v>123</v>
      </c>
      <c r="B831" s="926" t="s">
        <v>1386</v>
      </c>
      <c r="C831" s="836" t="s">
        <v>159</v>
      </c>
      <c r="D831" s="836"/>
      <c r="E831" s="836"/>
      <c r="F831" s="834"/>
      <c r="G831" s="100" t="s">
        <v>160</v>
      </c>
      <c r="H831" s="101">
        <v>10300</v>
      </c>
      <c r="I831" s="102">
        <v>16800</v>
      </c>
      <c r="J831" s="101">
        <v>6300</v>
      </c>
      <c r="K831" s="101">
        <v>16800</v>
      </c>
      <c r="L831" s="101"/>
      <c r="M831" s="207"/>
      <c r="N831" s="207"/>
    </row>
    <row r="832" spans="1:16" s="212" customFormat="1" ht="18" customHeight="1" x14ac:dyDescent="0.25">
      <c r="A832" s="48" t="s">
        <v>123</v>
      </c>
      <c r="B832" s="926" t="s">
        <v>1386</v>
      </c>
      <c r="C832" s="836" t="s">
        <v>124</v>
      </c>
      <c r="D832" s="836"/>
      <c r="E832" s="836"/>
      <c r="F832" s="834"/>
      <c r="G832" s="100" t="s">
        <v>125</v>
      </c>
      <c r="H832" s="101">
        <v>1641384</v>
      </c>
      <c r="I832" s="102">
        <v>1800708</v>
      </c>
      <c r="J832" s="101">
        <v>1049520.79</v>
      </c>
      <c r="K832" s="101">
        <v>1928580</v>
      </c>
      <c r="L832" s="101"/>
      <c r="M832" s="207"/>
      <c r="N832" s="207"/>
    </row>
    <row r="833" spans="1:16" s="212" customFormat="1" ht="36" x14ac:dyDescent="0.25">
      <c r="A833" s="48" t="s">
        <v>123</v>
      </c>
      <c r="B833" s="926" t="s">
        <v>1386</v>
      </c>
      <c r="C833" s="836" t="s">
        <v>126</v>
      </c>
      <c r="D833" s="834"/>
      <c r="E833" s="835"/>
      <c r="F833" s="835"/>
      <c r="G833" s="100" t="s">
        <v>127</v>
      </c>
      <c r="H833" s="101">
        <v>147691.04999999999</v>
      </c>
      <c r="I833" s="102">
        <v>132552</v>
      </c>
      <c r="J833" s="101">
        <v>54543.92</v>
      </c>
      <c r="K833" s="101">
        <v>143928</v>
      </c>
      <c r="L833" s="101"/>
      <c r="M833" s="207"/>
      <c r="N833" s="207"/>
    </row>
    <row r="834" spans="1:16" s="212" customFormat="1" ht="18" customHeight="1" x14ac:dyDescent="0.25">
      <c r="A834" s="48" t="s">
        <v>123</v>
      </c>
      <c r="B834" s="926" t="s">
        <v>1386</v>
      </c>
      <c r="C834" s="836" t="s">
        <v>128</v>
      </c>
      <c r="D834" s="836"/>
      <c r="E834" s="836"/>
      <c r="F834" s="834"/>
      <c r="G834" s="100" t="s">
        <v>125</v>
      </c>
      <c r="H834" s="101">
        <v>0</v>
      </c>
      <c r="I834" s="102">
        <v>3636</v>
      </c>
      <c r="J834" s="101"/>
      <c r="K834" s="101">
        <v>3764.09</v>
      </c>
      <c r="L834" s="101"/>
      <c r="M834" s="207">
        <v>957749</v>
      </c>
      <c r="N834" s="207"/>
    </row>
    <row r="835" spans="1:16" s="212" customFormat="1" ht="18" customHeight="1" x14ac:dyDescent="0.25">
      <c r="A835" s="48" t="s">
        <v>123</v>
      </c>
      <c r="B835" s="926" t="s">
        <v>1386</v>
      </c>
      <c r="C835" s="836" t="s">
        <v>129</v>
      </c>
      <c r="D835" s="836"/>
      <c r="E835" s="836"/>
      <c r="F835" s="834"/>
      <c r="G835" s="103" t="s">
        <v>130</v>
      </c>
      <c r="H835" s="101">
        <v>110181.56</v>
      </c>
      <c r="I835" s="102">
        <v>144000</v>
      </c>
      <c r="J835" s="101">
        <v>74000.02</v>
      </c>
      <c r="K835" s="101">
        <v>144000</v>
      </c>
      <c r="L835" s="101"/>
      <c r="M835" s="207">
        <f>SUM(M834:M834)</f>
        <v>957749</v>
      </c>
      <c r="N835" s="207"/>
    </row>
    <row r="836" spans="1:16" s="212" customFormat="1" ht="18" customHeight="1" x14ac:dyDescent="0.25">
      <c r="A836" s="48" t="s">
        <v>123</v>
      </c>
      <c r="B836" s="926" t="s">
        <v>1386</v>
      </c>
      <c r="C836" s="836" t="s">
        <v>131</v>
      </c>
      <c r="D836" s="836"/>
      <c r="E836" s="836"/>
      <c r="F836" s="834"/>
      <c r="G836" s="100" t="s">
        <v>132</v>
      </c>
      <c r="H836" s="101">
        <v>72000</v>
      </c>
      <c r="I836" s="102">
        <v>72000</v>
      </c>
      <c r="J836" s="101">
        <v>42000</v>
      </c>
      <c r="K836" s="101">
        <v>72000</v>
      </c>
      <c r="L836" s="101"/>
      <c r="M836" s="207"/>
      <c r="N836" s="207"/>
    </row>
    <row r="837" spans="1:16" s="212" customFormat="1" ht="18" customHeight="1" x14ac:dyDescent="0.25">
      <c r="A837" s="48" t="s">
        <v>123</v>
      </c>
      <c r="B837" s="926" t="s">
        <v>1386</v>
      </c>
      <c r="C837" s="836" t="s">
        <v>133</v>
      </c>
      <c r="D837" s="836"/>
      <c r="E837" s="836"/>
      <c r="F837" s="834"/>
      <c r="G837" s="100" t="s">
        <v>134</v>
      </c>
      <c r="H837" s="101">
        <v>72000</v>
      </c>
      <c r="I837" s="102">
        <v>72000</v>
      </c>
      <c r="J837" s="101">
        <v>42000</v>
      </c>
      <c r="K837" s="101">
        <v>72000</v>
      </c>
      <c r="L837" s="101"/>
      <c r="M837" s="207"/>
      <c r="N837" s="207"/>
    </row>
    <row r="838" spans="1:16" s="229" customFormat="1" ht="18" customHeight="1" x14ac:dyDescent="0.25">
      <c r="A838" s="48" t="s">
        <v>123</v>
      </c>
      <c r="B838" s="926" t="s">
        <v>1386</v>
      </c>
      <c r="C838" s="836" t="s">
        <v>135</v>
      </c>
      <c r="D838" s="836"/>
      <c r="E838" s="836"/>
      <c r="F838" s="834"/>
      <c r="G838" s="100" t="s">
        <v>136</v>
      </c>
      <c r="H838" s="101">
        <v>29202.17</v>
      </c>
      <c r="I838" s="102">
        <v>68040.570000000007</v>
      </c>
      <c r="J838" s="101"/>
      <c r="K838" s="102">
        <v>68040.570000000007</v>
      </c>
      <c r="L838" s="101"/>
      <c r="M838" s="207"/>
      <c r="N838" s="207"/>
      <c r="O838" s="212"/>
      <c r="P838" s="212"/>
    </row>
    <row r="839" spans="1:16" s="229" customFormat="1" ht="18" customHeight="1" x14ac:dyDescent="0.25">
      <c r="A839" s="48" t="s">
        <v>123</v>
      </c>
      <c r="B839" s="926" t="s">
        <v>1386</v>
      </c>
      <c r="C839" s="836" t="s">
        <v>137</v>
      </c>
      <c r="D839" s="836"/>
      <c r="E839" s="836"/>
      <c r="F839" s="834"/>
      <c r="G839" s="100" t="s">
        <v>138</v>
      </c>
      <c r="H839" s="101">
        <v>24000</v>
      </c>
      <c r="I839" s="102">
        <v>36000</v>
      </c>
      <c r="J839" s="101">
        <v>30000</v>
      </c>
      <c r="K839" s="101">
        <v>36000</v>
      </c>
      <c r="L839" s="101"/>
      <c r="M839" s="207"/>
      <c r="N839" s="207"/>
      <c r="O839" s="212"/>
      <c r="P839" s="212"/>
    </row>
    <row r="840" spans="1:16" s="229" customFormat="1" ht="18" customHeight="1" x14ac:dyDescent="0.25">
      <c r="A840" s="48" t="s">
        <v>123</v>
      </c>
      <c r="B840" s="926" t="s">
        <v>1386</v>
      </c>
      <c r="C840" s="836" t="s">
        <v>139</v>
      </c>
      <c r="D840" s="836"/>
      <c r="E840" s="836"/>
      <c r="F840" s="834"/>
      <c r="G840" s="100" t="s">
        <v>140</v>
      </c>
      <c r="H840" s="101">
        <v>147399</v>
      </c>
      <c r="I840" s="102">
        <v>161408</v>
      </c>
      <c r="J840" s="101">
        <v>155537</v>
      </c>
      <c r="K840" s="101">
        <v>173074</v>
      </c>
      <c r="L840" s="101"/>
      <c r="M840" s="207"/>
      <c r="N840" s="207"/>
      <c r="O840" s="212"/>
      <c r="P840" s="212"/>
    </row>
    <row r="841" spans="1:16" s="229" customFormat="1" ht="18" customHeight="1" x14ac:dyDescent="0.25">
      <c r="A841" s="48" t="s">
        <v>123</v>
      </c>
      <c r="B841" s="926" t="s">
        <v>1386</v>
      </c>
      <c r="C841" s="836" t="s">
        <v>141</v>
      </c>
      <c r="D841" s="836"/>
      <c r="E841" s="836"/>
      <c r="F841" s="834"/>
      <c r="G841" s="100" t="s">
        <v>142</v>
      </c>
      <c r="H841" s="101">
        <v>148686</v>
      </c>
      <c r="I841" s="102">
        <v>161408</v>
      </c>
      <c r="J841" s="101"/>
      <c r="K841" s="101">
        <v>173074</v>
      </c>
      <c r="L841" s="101"/>
      <c r="M841" s="207"/>
      <c r="N841" s="207"/>
      <c r="O841" s="212"/>
      <c r="P841" s="212"/>
    </row>
    <row r="842" spans="1:16" s="229" customFormat="1" ht="18" customHeight="1" x14ac:dyDescent="0.25">
      <c r="A842" s="48" t="s">
        <v>123</v>
      </c>
      <c r="B842" s="926" t="s">
        <v>1386</v>
      </c>
      <c r="C842" s="836" t="s">
        <v>143</v>
      </c>
      <c r="D842" s="836"/>
      <c r="E842" s="836"/>
      <c r="F842" s="834"/>
      <c r="G842" s="100" t="s">
        <v>144</v>
      </c>
      <c r="H842" s="101">
        <v>25000</v>
      </c>
      <c r="I842" s="102">
        <v>30000</v>
      </c>
      <c r="J842" s="101"/>
      <c r="K842" s="101">
        <v>30000</v>
      </c>
      <c r="L842" s="101"/>
      <c r="M842" s="207"/>
      <c r="N842" s="207"/>
      <c r="O842" s="212"/>
      <c r="P842" s="212"/>
    </row>
    <row r="843" spans="1:16" s="229" customFormat="1" ht="18" customHeight="1" x14ac:dyDescent="0.25">
      <c r="A843" s="48" t="s">
        <v>123</v>
      </c>
      <c r="B843" s="926" t="s">
        <v>1386</v>
      </c>
      <c r="C843" s="836" t="s">
        <v>145</v>
      </c>
      <c r="D843" s="836"/>
      <c r="E843" s="836"/>
      <c r="F843" s="834"/>
      <c r="G843" s="100" t="s">
        <v>146</v>
      </c>
      <c r="H843" s="101">
        <v>25000</v>
      </c>
      <c r="I843" s="102">
        <v>30000</v>
      </c>
      <c r="J843" s="101"/>
      <c r="K843" s="101">
        <v>30000</v>
      </c>
      <c r="L843" s="101"/>
      <c r="M843" s="207"/>
      <c r="N843" s="207"/>
      <c r="O843" s="212"/>
      <c r="P843" s="212"/>
    </row>
    <row r="844" spans="1:16" s="229" customFormat="1" ht="18" customHeight="1" x14ac:dyDescent="0.25">
      <c r="A844" s="48" t="s">
        <v>123</v>
      </c>
      <c r="B844" s="926" t="s">
        <v>1386</v>
      </c>
      <c r="C844" s="859" t="s">
        <v>231</v>
      </c>
      <c r="D844" s="836"/>
      <c r="E844" s="836"/>
      <c r="F844" s="834"/>
      <c r="G844" s="100" t="s">
        <v>148</v>
      </c>
      <c r="H844" s="101">
        <v>5000</v>
      </c>
      <c r="I844" s="102">
        <v>10000</v>
      </c>
      <c r="J844" s="101"/>
      <c r="K844" s="101">
        <v>5000</v>
      </c>
      <c r="L844" s="101"/>
      <c r="M844" s="207">
        <v>5553932.1600000001</v>
      </c>
      <c r="N844" s="207"/>
      <c r="O844" s="212"/>
      <c r="P844" s="212"/>
    </row>
    <row r="845" spans="1:16" s="208" customFormat="1" ht="18" customHeight="1" x14ac:dyDescent="0.25">
      <c r="A845" s="48" t="s">
        <v>123</v>
      </c>
      <c r="B845" s="926" t="s">
        <v>1386</v>
      </c>
      <c r="C845" s="859" t="s">
        <v>147</v>
      </c>
      <c r="D845" s="836"/>
      <c r="E845" s="836"/>
      <c r="F845" s="834"/>
      <c r="G845" s="195" t="s">
        <v>148</v>
      </c>
      <c r="H845" s="101"/>
      <c r="I845" s="233"/>
      <c r="J845" s="101"/>
      <c r="K845" s="101">
        <v>18000</v>
      </c>
      <c r="L845" s="102"/>
      <c r="M845" s="207"/>
      <c r="N845" s="207">
        <f>16000*5</f>
        <v>80000</v>
      </c>
    </row>
    <row r="846" spans="1:16" s="208" customFormat="1" ht="18" customHeight="1" x14ac:dyDescent="0.25">
      <c r="A846" s="48" t="s">
        <v>123</v>
      </c>
      <c r="B846" s="926" t="s">
        <v>1386</v>
      </c>
      <c r="C846" s="836" t="s">
        <v>153</v>
      </c>
      <c r="D846" s="836"/>
      <c r="E846" s="836"/>
      <c r="F846" s="834"/>
      <c r="G846" s="195" t="s">
        <v>154</v>
      </c>
      <c r="H846" s="101">
        <v>207135.48</v>
      </c>
      <c r="I846" s="233">
        <v>232427.51999999999</v>
      </c>
      <c r="J846" s="101">
        <v>131090.23999999999</v>
      </c>
      <c r="K846" s="101">
        <v>249152.65</v>
      </c>
      <c r="L846" s="102"/>
      <c r="M846" s="207"/>
      <c r="N846" s="207">
        <f>75000*5</f>
        <v>375000</v>
      </c>
    </row>
    <row r="847" spans="1:16" s="208" customFormat="1" ht="18" customHeight="1" x14ac:dyDescent="0.25">
      <c r="A847" s="48" t="s">
        <v>123</v>
      </c>
      <c r="B847" s="926" t="s">
        <v>1386</v>
      </c>
      <c r="C847" s="836" t="s">
        <v>155</v>
      </c>
      <c r="D847" s="836"/>
      <c r="E847" s="836"/>
      <c r="F847" s="834"/>
      <c r="G847" s="195" t="s">
        <v>156</v>
      </c>
      <c r="H847" s="101">
        <v>5500</v>
      </c>
      <c r="I847" s="233">
        <v>7200</v>
      </c>
      <c r="J847" s="101">
        <v>3800</v>
      </c>
      <c r="K847" s="101">
        <v>7200</v>
      </c>
      <c r="L847" s="102"/>
      <c r="M847" s="207"/>
      <c r="N847" s="207">
        <f>80000*6</f>
        <v>480000</v>
      </c>
    </row>
    <row r="848" spans="1:16" s="208" customFormat="1" ht="18" customHeight="1" x14ac:dyDescent="0.25">
      <c r="A848" s="48" t="s">
        <v>123</v>
      </c>
      <c r="B848" s="926" t="s">
        <v>1386</v>
      </c>
      <c r="C848" s="836" t="s">
        <v>157</v>
      </c>
      <c r="D848" s="836"/>
      <c r="E848" s="836"/>
      <c r="F848" s="834"/>
      <c r="G848" s="195" t="s">
        <v>158</v>
      </c>
      <c r="H848" s="101">
        <v>22338.25</v>
      </c>
      <c r="I848" s="233">
        <v>31766.07</v>
      </c>
      <c r="J848" s="101">
        <v>14526.85</v>
      </c>
      <c r="K848" s="101">
        <v>81510.559999999998</v>
      </c>
      <c r="L848" s="101"/>
      <c r="M848" s="207"/>
      <c r="N848" s="207"/>
    </row>
    <row r="849" spans="1:14" s="208" customFormat="1" ht="18" customHeight="1" x14ac:dyDescent="0.25">
      <c r="A849" s="48" t="s">
        <v>123</v>
      </c>
      <c r="B849" s="926" t="s">
        <v>1386</v>
      </c>
      <c r="C849" s="836" t="s">
        <v>159</v>
      </c>
      <c r="D849" s="836"/>
      <c r="E849" s="836"/>
      <c r="F849" s="834"/>
      <c r="G849" s="195" t="s">
        <v>160</v>
      </c>
      <c r="H849" s="101">
        <v>5500</v>
      </c>
      <c r="I849" s="233">
        <v>7200</v>
      </c>
      <c r="J849" s="101">
        <v>3800</v>
      </c>
      <c r="K849" s="101">
        <v>7200</v>
      </c>
      <c r="L849" s="101"/>
      <c r="M849" s="207"/>
      <c r="N849" s="207"/>
    </row>
    <row r="850" spans="1:14" s="208" customFormat="1" ht="18" customHeight="1" x14ac:dyDescent="0.25">
      <c r="A850" s="48" t="s">
        <v>123</v>
      </c>
      <c r="B850" s="926" t="s">
        <v>1386</v>
      </c>
      <c r="C850" s="836" t="s">
        <v>124</v>
      </c>
      <c r="D850" s="836"/>
      <c r="E850" s="836"/>
      <c r="F850" s="836"/>
      <c r="G850" s="568" t="s">
        <v>125</v>
      </c>
      <c r="H850" s="101">
        <v>2672016</v>
      </c>
      <c r="I850" s="233">
        <v>3489036</v>
      </c>
      <c r="J850" s="101">
        <v>1796430.88</v>
      </c>
      <c r="K850" s="101">
        <v>3771696</v>
      </c>
      <c r="L850" s="101"/>
      <c r="M850" s="207"/>
      <c r="N850" s="207"/>
    </row>
    <row r="851" spans="1:14" s="208" customFormat="1" ht="18" customHeight="1" x14ac:dyDescent="0.25">
      <c r="A851" s="48" t="s">
        <v>123</v>
      </c>
      <c r="B851" s="926" t="s">
        <v>1386</v>
      </c>
      <c r="C851" s="836" t="s">
        <v>128</v>
      </c>
      <c r="D851" s="836"/>
      <c r="E851" s="836"/>
      <c r="F851" s="836"/>
      <c r="G851" s="568" t="s">
        <v>125</v>
      </c>
      <c r="H851" s="101"/>
      <c r="I851" s="233">
        <v>9816</v>
      </c>
      <c r="J851" s="101"/>
      <c r="K851" s="101">
        <v>9022</v>
      </c>
      <c r="L851" s="101"/>
      <c r="M851" s="207"/>
      <c r="N851" s="207"/>
    </row>
    <row r="852" spans="1:14" s="208" customFormat="1" ht="18" customHeight="1" x14ac:dyDescent="0.25">
      <c r="A852" s="48" t="s">
        <v>123</v>
      </c>
      <c r="B852" s="926" t="s">
        <v>1386</v>
      </c>
      <c r="C852" s="836" t="s">
        <v>129</v>
      </c>
      <c r="D852" s="836"/>
      <c r="E852" s="836"/>
      <c r="F852" s="836"/>
      <c r="G852" s="568" t="s">
        <v>130</v>
      </c>
      <c r="H852" s="101">
        <v>192000</v>
      </c>
      <c r="I852" s="233">
        <v>312000</v>
      </c>
      <c r="J852" s="101">
        <v>137090.91</v>
      </c>
      <c r="K852" s="101">
        <v>312000</v>
      </c>
      <c r="L852" s="101"/>
      <c r="M852" s="207"/>
      <c r="N852" s="207"/>
    </row>
    <row r="853" spans="1:14" s="208" customFormat="1" ht="18" customHeight="1" x14ac:dyDescent="0.25">
      <c r="A853" s="48" t="s">
        <v>123</v>
      </c>
      <c r="B853" s="926" t="s">
        <v>1386</v>
      </c>
      <c r="C853" s="836" t="s">
        <v>131</v>
      </c>
      <c r="D853" s="836"/>
      <c r="E853" s="836"/>
      <c r="F853" s="836"/>
      <c r="G853" s="568" t="s">
        <v>132</v>
      </c>
      <c r="H853" s="101">
        <v>72000</v>
      </c>
      <c r="I853" s="233">
        <v>72000</v>
      </c>
      <c r="J853" s="101">
        <v>40500</v>
      </c>
      <c r="K853" s="101">
        <v>72000</v>
      </c>
      <c r="L853" s="101"/>
      <c r="M853" s="207"/>
      <c r="N853" s="207"/>
    </row>
    <row r="854" spans="1:14" s="208" customFormat="1" ht="18" customHeight="1" x14ac:dyDescent="0.25">
      <c r="A854" s="48" t="s">
        <v>123</v>
      </c>
      <c r="B854" s="926" t="s">
        <v>1386</v>
      </c>
      <c r="C854" s="836" t="s">
        <v>133</v>
      </c>
      <c r="D854" s="836"/>
      <c r="E854" s="836"/>
      <c r="F854" s="836"/>
      <c r="G854" s="568" t="s">
        <v>134</v>
      </c>
      <c r="H854" s="101">
        <v>72000</v>
      </c>
      <c r="I854" s="233">
        <v>72000</v>
      </c>
      <c r="J854" s="101">
        <v>40500</v>
      </c>
      <c r="K854" s="101">
        <v>72000</v>
      </c>
      <c r="L854" s="101"/>
      <c r="M854" s="207"/>
      <c r="N854" s="207"/>
    </row>
    <row r="855" spans="1:14" ht="18" customHeight="1" x14ac:dyDescent="0.25">
      <c r="A855" s="48" t="s">
        <v>123</v>
      </c>
      <c r="B855" s="926" t="s">
        <v>1386</v>
      </c>
      <c r="C855" s="834" t="s">
        <v>135</v>
      </c>
      <c r="D855" s="835"/>
      <c r="E855" s="835"/>
      <c r="F855" s="835"/>
      <c r="G855" s="131" t="s">
        <v>136</v>
      </c>
      <c r="H855" s="101">
        <v>60478.16</v>
      </c>
      <c r="I855" s="102">
        <v>198280.35</v>
      </c>
      <c r="J855" s="101">
        <v>79686.22</v>
      </c>
      <c r="K855" s="102">
        <v>307591.45</v>
      </c>
      <c r="L855" s="101"/>
    </row>
    <row r="856" spans="1:14" ht="18" customHeight="1" x14ac:dyDescent="0.25">
      <c r="A856" s="48" t="s">
        <v>123</v>
      </c>
      <c r="B856" s="926" t="s">
        <v>1386</v>
      </c>
      <c r="C856" s="834" t="s">
        <v>137</v>
      </c>
      <c r="D856" s="835"/>
      <c r="E856" s="835"/>
      <c r="F856" s="835"/>
      <c r="G856" s="131" t="s">
        <v>138</v>
      </c>
      <c r="H856" s="101">
        <v>48000</v>
      </c>
      <c r="I856" s="102">
        <v>78000</v>
      </c>
      <c r="J856" s="101">
        <v>48000</v>
      </c>
      <c r="K856" s="101">
        <v>78000</v>
      </c>
      <c r="L856" s="101"/>
      <c r="N856" s="10">
        <v>757402.04</v>
      </c>
    </row>
    <row r="857" spans="1:14" ht="18" customHeight="1" x14ac:dyDescent="0.25">
      <c r="A857" s="48" t="s">
        <v>123</v>
      </c>
      <c r="B857" s="926" t="s">
        <v>1386</v>
      </c>
      <c r="C857" s="838" t="s">
        <v>1370</v>
      </c>
      <c r="D857" s="835"/>
      <c r="E857" s="835"/>
      <c r="F857" s="835"/>
      <c r="G857" s="131"/>
      <c r="H857" s="101"/>
      <c r="I857" s="102"/>
      <c r="J857" s="101"/>
      <c r="K857" s="101">
        <v>1432449.2</v>
      </c>
      <c r="L857" s="101"/>
    </row>
    <row r="858" spans="1:14" ht="18" customHeight="1" x14ac:dyDescent="0.25">
      <c r="A858" s="48" t="s">
        <v>123</v>
      </c>
      <c r="B858" s="926" t="s">
        <v>1386</v>
      </c>
      <c r="C858" s="834" t="s">
        <v>139</v>
      </c>
      <c r="D858" s="835"/>
      <c r="E858" s="835"/>
      <c r="F858" s="835"/>
      <c r="G858" s="131" t="s">
        <v>140</v>
      </c>
      <c r="H858" s="101">
        <v>222668</v>
      </c>
      <c r="I858" s="102">
        <v>291571</v>
      </c>
      <c r="J858" s="101">
        <v>231993</v>
      </c>
      <c r="K858" s="101">
        <v>315174</v>
      </c>
      <c r="L858" s="101"/>
    </row>
    <row r="859" spans="1:14" ht="18" customHeight="1" x14ac:dyDescent="0.25">
      <c r="A859" s="48" t="s">
        <v>123</v>
      </c>
      <c r="B859" s="926" t="s">
        <v>1386</v>
      </c>
      <c r="C859" s="834" t="s">
        <v>141</v>
      </c>
      <c r="D859" s="835"/>
      <c r="E859" s="835"/>
      <c r="F859" s="835"/>
      <c r="G859" s="131" t="s">
        <v>142</v>
      </c>
      <c r="H859" s="101">
        <v>222668</v>
      </c>
      <c r="I859" s="102">
        <v>291571</v>
      </c>
      <c r="J859" s="101"/>
      <c r="K859" s="101">
        <v>315174</v>
      </c>
      <c r="L859" s="101"/>
    </row>
    <row r="860" spans="1:14" ht="18" customHeight="1" x14ac:dyDescent="0.25">
      <c r="A860" s="48" t="s">
        <v>123</v>
      </c>
      <c r="B860" s="926" t="s">
        <v>1386</v>
      </c>
      <c r="C860" s="834" t="s">
        <v>143</v>
      </c>
      <c r="D860" s="835"/>
      <c r="E860" s="835"/>
      <c r="F860" s="835"/>
      <c r="G860" s="131" t="s">
        <v>144</v>
      </c>
      <c r="H860" s="101">
        <v>40000</v>
      </c>
      <c r="I860" s="102">
        <v>65000</v>
      </c>
      <c r="J860" s="101"/>
      <c r="K860" s="101">
        <v>65000</v>
      </c>
      <c r="L860" s="101"/>
    </row>
    <row r="861" spans="1:14" ht="54" x14ac:dyDescent="0.25">
      <c r="A861" s="48" t="s">
        <v>123</v>
      </c>
      <c r="B861" s="926" t="s">
        <v>1386</v>
      </c>
      <c r="C861" s="834" t="s">
        <v>145</v>
      </c>
      <c r="D861" s="835"/>
      <c r="E861" s="835"/>
      <c r="F861" s="835"/>
      <c r="G861" s="131" t="s">
        <v>146</v>
      </c>
      <c r="H861" s="101">
        <v>40000</v>
      </c>
      <c r="I861" s="102">
        <v>65000</v>
      </c>
      <c r="J861" s="101"/>
      <c r="K861" s="101">
        <v>65000</v>
      </c>
      <c r="L861" s="101"/>
    </row>
    <row r="862" spans="1:14" ht="18" customHeight="1" x14ac:dyDescent="0.25">
      <c r="A862" s="48" t="s">
        <v>123</v>
      </c>
      <c r="B862" s="926" t="s">
        <v>1386</v>
      </c>
      <c r="C862" s="860" t="s">
        <v>231</v>
      </c>
      <c r="D862" s="835"/>
      <c r="E862" s="835"/>
      <c r="F862" s="835"/>
      <c r="G862" s="131" t="s">
        <v>232</v>
      </c>
      <c r="H862" s="101"/>
      <c r="I862" s="102"/>
      <c r="J862" s="101"/>
      <c r="K862" s="101">
        <v>10000</v>
      </c>
      <c r="L862" s="101"/>
    </row>
    <row r="863" spans="1:14" ht="18" customHeight="1" x14ac:dyDescent="0.25">
      <c r="A863" s="48" t="s">
        <v>123</v>
      </c>
      <c r="B863" s="926" t="s">
        <v>1386</v>
      </c>
      <c r="C863" s="860" t="s">
        <v>147</v>
      </c>
      <c r="D863" s="835"/>
      <c r="E863" s="835"/>
      <c r="F863" s="835"/>
      <c r="G863" s="131" t="s">
        <v>148</v>
      </c>
      <c r="H863" s="101"/>
      <c r="I863" s="102"/>
      <c r="J863" s="101"/>
      <c r="K863" s="101">
        <v>42000</v>
      </c>
      <c r="L863" s="101"/>
    </row>
    <row r="864" spans="1:14" ht="18" customHeight="1" x14ac:dyDescent="0.25">
      <c r="A864" s="48" t="s">
        <v>123</v>
      </c>
      <c r="B864" s="926" t="s">
        <v>1386</v>
      </c>
      <c r="C864" s="834" t="s">
        <v>153</v>
      </c>
      <c r="D864" s="835"/>
      <c r="E864" s="835"/>
      <c r="F864" s="835"/>
      <c r="G864" s="131" t="s">
        <v>154</v>
      </c>
      <c r="H864" s="101">
        <v>320641.91999999998</v>
      </c>
      <c r="I864" s="102">
        <v>419862.24</v>
      </c>
      <c r="J864" s="101">
        <v>215091.69</v>
      </c>
      <c r="K864" s="101">
        <v>453686.16</v>
      </c>
      <c r="L864" s="101"/>
    </row>
    <row r="865" spans="1:16" ht="36" x14ac:dyDescent="0.25">
      <c r="A865" s="48" t="s">
        <v>123</v>
      </c>
      <c r="B865" s="926" t="s">
        <v>1386</v>
      </c>
      <c r="C865" s="834" t="s">
        <v>155</v>
      </c>
      <c r="D865" s="835"/>
      <c r="E865" s="835"/>
      <c r="F865" s="835"/>
      <c r="G865" s="131" t="s">
        <v>156</v>
      </c>
      <c r="H865" s="101">
        <v>9600</v>
      </c>
      <c r="I865" s="102">
        <v>15600</v>
      </c>
      <c r="J865" s="101">
        <v>7000</v>
      </c>
      <c r="K865" s="101">
        <v>15600</v>
      </c>
      <c r="L865" s="101"/>
    </row>
    <row r="866" spans="1:16" s="146" customFormat="1" ht="18" customHeight="1" x14ac:dyDescent="0.25">
      <c r="A866" s="48" t="s">
        <v>123</v>
      </c>
      <c r="B866" s="926" t="s">
        <v>1386</v>
      </c>
      <c r="C866" s="834" t="s">
        <v>157</v>
      </c>
      <c r="D866" s="835"/>
      <c r="E866" s="835"/>
      <c r="F866" s="835"/>
      <c r="G866" s="131" t="s">
        <v>158</v>
      </c>
      <c r="H866" s="101">
        <v>35238.82</v>
      </c>
      <c r="I866" s="102">
        <v>57681.33</v>
      </c>
      <c r="J866" s="101">
        <v>24237.54</v>
      </c>
      <c r="K866" s="101">
        <v>148728.88</v>
      </c>
      <c r="L866" s="101"/>
      <c r="M866" s="10"/>
      <c r="N866" s="10"/>
      <c r="O866"/>
      <c r="P866"/>
    </row>
    <row r="867" spans="1:16" s="146" customFormat="1" ht="36" x14ac:dyDescent="0.25">
      <c r="A867" s="48" t="s">
        <v>123</v>
      </c>
      <c r="B867" s="926" t="s">
        <v>1386</v>
      </c>
      <c r="C867" s="834" t="s">
        <v>159</v>
      </c>
      <c r="D867" s="835"/>
      <c r="E867" s="835"/>
      <c r="F867" s="835"/>
      <c r="G867" s="131" t="s">
        <v>160</v>
      </c>
      <c r="H867" s="101">
        <v>9600</v>
      </c>
      <c r="I867" s="102">
        <v>15600</v>
      </c>
      <c r="J867" s="101">
        <v>7000</v>
      </c>
      <c r="K867" s="101">
        <v>15600</v>
      </c>
      <c r="L867" s="101"/>
      <c r="M867" s="10"/>
      <c r="N867" s="10"/>
      <c r="O867"/>
      <c r="P867"/>
    </row>
    <row r="868" spans="1:16" s="146" customFormat="1" ht="54" x14ac:dyDescent="0.25">
      <c r="A868" s="48" t="s">
        <v>123</v>
      </c>
      <c r="B868" s="926" t="s">
        <v>1386</v>
      </c>
      <c r="C868" s="836" t="s">
        <v>124</v>
      </c>
      <c r="D868" s="836"/>
      <c r="E868" s="836"/>
      <c r="F868" s="834"/>
      <c r="G868" s="131" t="s">
        <v>125</v>
      </c>
      <c r="H868" s="101">
        <v>5231866.72</v>
      </c>
      <c r="I868" s="102">
        <v>6175824</v>
      </c>
      <c r="J868" s="101">
        <v>3191880.4</v>
      </c>
      <c r="K868" s="101">
        <v>6696612</v>
      </c>
      <c r="L868" s="101"/>
      <c r="M868" s="10"/>
      <c r="N868" s="10"/>
      <c r="O868"/>
      <c r="P868"/>
    </row>
    <row r="869" spans="1:16" s="146" customFormat="1" ht="18" customHeight="1" x14ac:dyDescent="0.25">
      <c r="A869" s="48" t="s">
        <v>123</v>
      </c>
      <c r="B869" s="926" t="s">
        <v>1386</v>
      </c>
      <c r="C869" s="834" t="s">
        <v>126</v>
      </c>
      <c r="D869" s="835"/>
      <c r="E869" s="835"/>
      <c r="F869" s="835"/>
      <c r="G869" s="131" t="s">
        <v>127</v>
      </c>
      <c r="H869" s="101">
        <v>979409.38</v>
      </c>
      <c r="I869" s="102">
        <v>999840</v>
      </c>
      <c r="J869" s="101">
        <v>434656.46</v>
      </c>
      <c r="K869" s="101">
        <v>1084800</v>
      </c>
      <c r="L869" s="101"/>
      <c r="M869" s="10"/>
      <c r="N869" s="10"/>
      <c r="O869"/>
      <c r="P869"/>
    </row>
    <row r="870" spans="1:16" s="146" customFormat="1" ht="18" customHeight="1" x14ac:dyDescent="0.25">
      <c r="A870" s="48" t="s">
        <v>123</v>
      </c>
      <c r="B870" s="926" t="s">
        <v>1386</v>
      </c>
      <c r="C870" s="834" t="s">
        <v>128</v>
      </c>
      <c r="D870" s="835"/>
      <c r="E870" s="835"/>
      <c r="F870" s="835"/>
      <c r="G870" s="132" t="s">
        <v>125</v>
      </c>
      <c r="H870" s="101">
        <v>0</v>
      </c>
      <c r="I870" s="102">
        <v>5141</v>
      </c>
      <c r="J870" s="101"/>
      <c r="K870" s="101">
        <v>19583.43</v>
      </c>
      <c r="L870" s="101"/>
      <c r="M870" s="10"/>
      <c r="N870" s="10"/>
      <c r="O870"/>
      <c r="P870"/>
    </row>
    <row r="871" spans="1:16" s="146" customFormat="1" ht="18" customHeight="1" x14ac:dyDescent="0.25">
      <c r="A871" s="48" t="s">
        <v>123</v>
      </c>
      <c r="B871" s="926" t="s">
        <v>1386</v>
      </c>
      <c r="C871" s="834" t="s">
        <v>129</v>
      </c>
      <c r="D871" s="835"/>
      <c r="E871" s="835"/>
      <c r="F871" s="835"/>
      <c r="G871" s="132" t="s">
        <v>130</v>
      </c>
      <c r="H871" s="101">
        <v>821362.72</v>
      </c>
      <c r="I871" s="102">
        <v>1080000</v>
      </c>
      <c r="J871" s="101">
        <v>499454.53</v>
      </c>
      <c r="K871" s="101">
        <v>1080000</v>
      </c>
      <c r="L871" s="101"/>
      <c r="M871" s="10"/>
      <c r="N871" s="10"/>
      <c r="O871"/>
      <c r="P871"/>
    </row>
    <row r="872" spans="1:16" s="146" customFormat="1" ht="18" customHeight="1" x14ac:dyDescent="0.25">
      <c r="A872" s="48" t="s">
        <v>123</v>
      </c>
      <c r="B872" s="926" t="s">
        <v>1386</v>
      </c>
      <c r="C872" s="834" t="s">
        <v>131</v>
      </c>
      <c r="D872" s="835"/>
      <c r="E872" s="835"/>
      <c r="F872" s="835"/>
      <c r="G872" s="131" t="s">
        <v>132</v>
      </c>
      <c r="H872" s="101">
        <v>70500</v>
      </c>
      <c r="I872" s="102">
        <v>72000</v>
      </c>
      <c r="J872" s="101">
        <v>40500</v>
      </c>
      <c r="K872" s="101">
        <v>72000</v>
      </c>
      <c r="L872" s="101"/>
      <c r="M872" s="10"/>
      <c r="N872" s="10"/>
      <c r="O872"/>
      <c r="P872"/>
    </row>
    <row r="873" spans="1:16" s="146" customFormat="1" ht="18" customHeight="1" x14ac:dyDescent="0.25">
      <c r="A873" s="48" t="s">
        <v>123</v>
      </c>
      <c r="B873" s="926" t="s">
        <v>1386</v>
      </c>
      <c r="C873" s="834" t="s">
        <v>133</v>
      </c>
      <c r="D873" s="835"/>
      <c r="E873" s="835"/>
      <c r="F873" s="835"/>
      <c r="G873" s="131" t="s">
        <v>134</v>
      </c>
      <c r="H873" s="101">
        <v>70500</v>
      </c>
      <c r="I873" s="102">
        <v>72000</v>
      </c>
      <c r="J873" s="101">
        <v>40500</v>
      </c>
      <c r="K873" s="101">
        <v>72000</v>
      </c>
      <c r="L873" s="101"/>
      <c r="M873" s="10"/>
      <c r="N873" s="10"/>
      <c r="O873"/>
      <c r="P873"/>
    </row>
    <row r="874" spans="1:16" s="146" customFormat="1" ht="18" customHeight="1" x14ac:dyDescent="0.25">
      <c r="A874" s="48" t="s">
        <v>123</v>
      </c>
      <c r="B874" s="926" t="s">
        <v>1386</v>
      </c>
      <c r="C874" s="836" t="s">
        <v>135</v>
      </c>
      <c r="D874" s="836"/>
      <c r="E874" s="836"/>
      <c r="F874" s="834"/>
      <c r="G874" s="131" t="s">
        <v>136</v>
      </c>
      <c r="H874" s="101">
        <v>389188.09</v>
      </c>
      <c r="I874" s="102">
        <v>430452.6</v>
      </c>
      <c r="J874" s="101">
        <v>122167.61</v>
      </c>
      <c r="K874" s="101">
        <v>481917.36</v>
      </c>
      <c r="L874" s="101"/>
      <c r="M874" s="10">
        <v>60000</v>
      </c>
      <c r="N874" s="10"/>
      <c r="O874"/>
      <c r="P874"/>
    </row>
    <row r="875" spans="1:16" s="146" customFormat="1" ht="18" customHeight="1" x14ac:dyDescent="0.25">
      <c r="A875" s="48" t="s">
        <v>123</v>
      </c>
      <c r="B875" s="926" t="s">
        <v>1386</v>
      </c>
      <c r="C875" s="836" t="s">
        <v>137</v>
      </c>
      <c r="D875" s="836"/>
      <c r="E875" s="836"/>
      <c r="F875" s="834"/>
      <c r="G875" s="131" t="s">
        <v>138</v>
      </c>
      <c r="H875" s="101">
        <v>180000</v>
      </c>
      <c r="I875" s="102">
        <v>270000</v>
      </c>
      <c r="J875" s="101">
        <v>222000</v>
      </c>
      <c r="K875" s="101">
        <v>270000</v>
      </c>
      <c r="L875" s="101"/>
      <c r="M875" s="10"/>
      <c r="N875" s="10"/>
      <c r="O875"/>
      <c r="P875"/>
    </row>
    <row r="876" spans="1:16" s="146" customFormat="1" ht="18" customHeight="1" x14ac:dyDescent="0.25">
      <c r="A876" s="48" t="s">
        <v>123</v>
      </c>
      <c r="B876" s="926" t="s">
        <v>1386</v>
      </c>
      <c r="C876" s="836" t="s">
        <v>139</v>
      </c>
      <c r="D876" s="836"/>
      <c r="E876" s="836"/>
      <c r="F876" s="834"/>
      <c r="G876" s="131" t="s">
        <v>140</v>
      </c>
      <c r="H876" s="101">
        <v>488697</v>
      </c>
      <c r="I876" s="102">
        <v>598152</v>
      </c>
      <c r="J876" s="101">
        <v>521499</v>
      </c>
      <c r="K876" s="101">
        <v>650419</v>
      </c>
      <c r="L876" s="101"/>
      <c r="M876" s="10"/>
      <c r="N876" s="10"/>
      <c r="O876"/>
      <c r="P876"/>
    </row>
    <row r="877" spans="1:16" s="146" customFormat="1" ht="18" customHeight="1" x14ac:dyDescent="0.25">
      <c r="A877" s="48" t="s">
        <v>123</v>
      </c>
      <c r="B877" s="926" t="s">
        <v>1386</v>
      </c>
      <c r="C877" s="836" t="s">
        <v>141</v>
      </c>
      <c r="D877" s="836"/>
      <c r="E877" s="836"/>
      <c r="F877" s="834"/>
      <c r="G877" s="131" t="s">
        <v>142</v>
      </c>
      <c r="H877" s="101">
        <v>510897</v>
      </c>
      <c r="I877" s="102">
        <v>598733</v>
      </c>
      <c r="J877" s="101"/>
      <c r="K877" s="101">
        <v>650419</v>
      </c>
      <c r="L877" s="101"/>
      <c r="M877" s="248"/>
      <c r="N877" s="10"/>
      <c r="O877"/>
      <c r="P877"/>
    </row>
    <row r="878" spans="1:16" s="146" customFormat="1" ht="18" customHeight="1" x14ac:dyDescent="0.25">
      <c r="A878" s="48" t="s">
        <v>123</v>
      </c>
      <c r="B878" s="926" t="s">
        <v>1386</v>
      </c>
      <c r="C878" s="836" t="s">
        <v>143</v>
      </c>
      <c r="D878" s="836"/>
      <c r="E878" s="836"/>
      <c r="F878" s="834"/>
      <c r="G878" s="131" t="s">
        <v>144</v>
      </c>
      <c r="H878" s="101">
        <v>185000</v>
      </c>
      <c r="I878" s="102">
        <v>225000</v>
      </c>
      <c r="J878" s="101"/>
      <c r="K878" s="101">
        <v>225000</v>
      </c>
      <c r="L878" s="101"/>
      <c r="M878" s="248"/>
      <c r="N878" s="10"/>
      <c r="O878"/>
      <c r="P878"/>
    </row>
    <row r="879" spans="1:16" s="146" customFormat="1" ht="18" customHeight="1" x14ac:dyDescent="0.25">
      <c r="A879" s="48" t="s">
        <v>123</v>
      </c>
      <c r="B879" s="926" t="s">
        <v>1386</v>
      </c>
      <c r="C879" s="836" t="s">
        <v>145</v>
      </c>
      <c r="D879" s="836"/>
      <c r="E879" s="836"/>
      <c r="F879" s="834"/>
      <c r="G879" s="131" t="s">
        <v>146</v>
      </c>
      <c r="H879" s="101">
        <v>185000</v>
      </c>
      <c r="I879" s="102">
        <v>225000</v>
      </c>
      <c r="J879" s="101"/>
      <c r="K879" s="101">
        <v>225000</v>
      </c>
      <c r="L879" s="101"/>
      <c r="M879" s="112"/>
      <c r="N879" s="10"/>
      <c r="O879"/>
      <c r="P879"/>
    </row>
    <row r="880" spans="1:16" s="146" customFormat="1" ht="18" customHeight="1" x14ac:dyDescent="0.25">
      <c r="A880" s="48" t="s">
        <v>123</v>
      </c>
      <c r="B880" s="926" t="s">
        <v>1386</v>
      </c>
      <c r="C880" s="836" t="s">
        <v>231</v>
      </c>
      <c r="D880" s="836"/>
      <c r="E880" s="836"/>
      <c r="F880" s="834"/>
      <c r="G880" s="131" t="s">
        <v>232</v>
      </c>
      <c r="H880" s="105">
        <v>20000</v>
      </c>
      <c r="I880" s="106">
        <v>10000</v>
      </c>
      <c r="J880" s="105"/>
      <c r="K880" s="105">
        <v>30000</v>
      </c>
      <c r="L880" s="105"/>
      <c r="M880" s="10"/>
      <c r="N880" s="10"/>
      <c r="O880"/>
      <c r="P880"/>
    </row>
    <row r="881" spans="1:14" ht="18" customHeight="1" x14ac:dyDescent="0.25">
      <c r="A881" s="48" t="s">
        <v>123</v>
      </c>
      <c r="B881" s="926" t="s">
        <v>1386</v>
      </c>
      <c r="C881" s="860" t="s">
        <v>147</v>
      </c>
      <c r="D881" s="835"/>
      <c r="E881" s="835"/>
      <c r="F881" s="835"/>
      <c r="G881" s="131" t="s">
        <v>148</v>
      </c>
      <c r="H881" s="101"/>
      <c r="I881" s="102"/>
      <c r="J881" s="101"/>
      <c r="K881" s="101">
        <v>135000</v>
      </c>
      <c r="L881" s="102"/>
      <c r="N881" s="10">
        <f>14000*2</f>
        <v>28000</v>
      </c>
    </row>
    <row r="882" spans="1:14" ht="18" customHeight="1" x14ac:dyDescent="0.25">
      <c r="A882" s="48" t="s">
        <v>123</v>
      </c>
      <c r="B882" s="926" t="s">
        <v>1386</v>
      </c>
      <c r="C882" s="836" t="s">
        <v>153</v>
      </c>
      <c r="D882" s="834"/>
      <c r="E882" s="835"/>
      <c r="F882" s="835"/>
      <c r="G882" s="131" t="s">
        <v>154</v>
      </c>
      <c r="H882" s="101">
        <v>694844.3</v>
      </c>
      <c r="I882" s="102">
        <v>861696.6</v>
      </c>
      <c r="J882" s="101">
        <v>437094.01</v>
      </c>
      <c r="K882" s="101">
        <v>936119.45</v>
      </c>
      <c r="L882" s="102"/>
      <c r="N882" s="10">
        <f>75000*2</f>
        <v>150000</v>
      </c>
    </row>
    <row r="883" spans="1:14" s="48" customFormat="1" ht="0.75" customHeight="1" x14ac:dyDescent="0.25">
      <c r="A883" s="48" t="s">
        <v>123</v>
      </c>
      <c r="B883" s="940" t="s">
        <v>1386</v>
      </c>
      <c r="C883" s="836" t="s">
        <v>155</v>
      </c>
      <c r="D883" s="836"/>
      <c r="E883" s="836"/>
      <c r="F883" s="836"/>
      <c r="G883" s="221" t="s">
        <v>156</v>
      </c>
      <c r="H883" s="141">
        <v>40900</v>
      </c>
      <c r="I883" s="122">
        <v>54000</v>
      </c>
      <c r="J883" s="141">
        <v>25500</v>
      </c>
      <c r="K883" s="141">
        <v>54000</v>
      </c>
      <c r="L883" s="4"/>
      <c r="M883" s="47"/>
      <c r="N883" s="47"/>
    </row>
    <row r="884" spans="1:14" s="48" customFormat="1" ht="18" customHeight="1" x14ac:dyDescent="0.25">
      <c r="A884" s="48" t="s">
        <v>123</v>
      </c>
      <c r="B884" s="926" t="s">
        <v>1386</v>
      </c>
      <c r="C884" s="834" t="s">
        <v>157</v>
      </c>
      <c r="D884" s="835"/>
      <c r="E884" s="835"/>
      <c r="F884" s="835"/>
      <c r="G884" s="131" t="s">
        <v>158</v>
      </c>
      <c r="H884" s="101">
        <v>83067.11</v>
      </c>
      <c r="I884" s="102">
        <v>123534.48</v>
      </c>
      <c r="J884" s="101">
        <v>52969.89</v>
      </c>
      <c r="K884" s="101">
        <v>310779.34000000003</v>
      </c>
      <c r="L884" s="101"/>
      <c r="M884" s="6"/>
      <c r="N884" s="6"/>
    </row>
    <row r="885" spans="1:14" s="48" customFormat="1" ht="18" customHeight="1" x14ac:dyDescent="0.25">
      <c r="A885" s="48" t="s">
        <v>123</v>
      </c>
      <c r="B885" s="926" t="s">
        <v>1386</v>
      </c>
      <c r="C885" s="834" t="s">
        <v>159</v>
      </c>
      <c r="D885" s="835"/>
      <c r="E885" s="835"/>
      <c r="F885" s="835"/>
      <c r="G885" s="131" t="s">
        <v>160</v>
      </c>
      <c r="H885" s="101">
        <v>40906.480000000003</v>
      </c>
      <c r="I885" s="102">
        <v>54000</v>
      </c>
      <c r="J885" s="101">
        <v>25500</v>
      </c>
      <c r="K885" s="101">
        <v>54000</v>
      </c>
      <c r="L885" s="101"/>
      <c r="M885" s="6"/>
      <c r="N885" s="6"/>
    </row>
    <row r="886" spans="1:14" s="48" customFormat="1" ht="18" customHeight="1" x14ac:dyDescent="0.25">
      <c r="A886" s="48" t="s">
        <v>123</v>
      </c>
      <c r="B886" s="926" t="s">
        <v>1386</v>
      </c>
      <c r="C886" s="836" t="s">
        <v>124</v>
      </c>
      <c r="D886" s="836"/>
      <c r="E886" s="836"/>
      <c r="F886" s="834"/>
      <c r="G886" s="131" t="s">
        <v>125</v>
      </c>
      <c r="H886" s="101">
        <v>4246299.0599999996</v>
      </c>
      <c r="I886" s="102">
        <v>4687776</v>
      </c>
      <c r="J886" s="101">
        <v>2067893.54</v>
      </c>
      <c r="K886" s="101">
        <v>5074056</v>
      </c>
      <c r="L886" s="101"/>
      <c r="M886" s="6"/>
      <c r="N886" s="6"/>
    </row>
    <row r="887" spans="1:14" s="48" customFormat="1" ht="18" customHeight="1" x14ac:dyDescent="0.25">
      <c r="A887" s="48" t="s">
        <v>123</v>
      </c>
      <c r="B887" s="926" t="s">
        <v>1386</v>
      </c>
      <c r="C887" s="834" t="s">
        <v>128</v>
      </c>
      <c r="D887" s="835"/>
      <c r="E887" s="835"/>
      <c r="F887" s="835"/>
      <c r="G887" s="131" t="s">
        <v>125</v>
      </c>
      <c r="H887" s="101"/>
      <c r="I887" s="102">
        <v>16612</v>
      </c>
      <c r="J887" s="101"/>
      <c r="K887" s="101">
        <v>6644.59</v>
      </c>
      <c r="L887" s="101"/>
      <c r="M887" s="6"/>
      <c r="N887" s="6"/>
    </row>
    <row r="888" spans="1:14" s="48" customFormat="1" ht="18" customHeight="1" x14ac:dyDescent="0.25">
      <c r="A888" s="48" t="s">
        <v>123</v>
      </c>
      <c r="B888" s="926" t="s">
        <v>1386</v>
      </c>
      <c r="C888" s="834" t="s">
        <v>129</v>
      </c>
      <c r="D888" s="835"/>
      <c r="E888" s="835"/>
      <c r="F888" s="835"/>
      <c r="G888" s="131" t="s">
        <v>130</v>
      </c>
      <c r="H888" s="101">
        <v>378272.75</v>
      </c>
      <c r="I888" s="102">
        <v>432000</v>
      </c>
      <c r="J888" s="101">
        <v>196000</v>
      </c>
      <c r="K888" s="101">
        <v>432000</v>
      </c>
      <c r="L888" s="101"/>
      <c r="M888" s="6"/>
      <c r="N888" s="6"/>
    </row>
    <row r="889" spans="1:14" s="48" customFormat="1" ht="18" customHeight="1" x14ac:dyDescent="0.25">
      <c r="A889" s="48" t="s">
        <v>123</v>
      </c>
      <c r="B889" s="926" t="s">
        <v>1386</v>
      </c>
      <c r="C889" s="834" t="s">
        <v>131</v>
      </c>
      <c r="D889" s="835"/>
      <c r="E889" s="835"/>
      <c r="F889" s="835"/>
      <c r="G889" s="131" t="s">
        <v>132</v>
      </c>
      <c r="H889" s="101">
        <v>112000</v>
      </c>
      <c r="I889" s="102">
        <v>120000</v>
      </c>
      <c r="J889" s="101">
        <v>40500</v>
      </c>
      <c r="K889" s="101">
        <v>120000</v>
      </c>
      <c r="L889" s="101"/>
      <c r="M889" s="6"/>
      <c r="N889" s="6"/>
    </row>
    <row r="890" spans="1:14" s="48" customFormat="1" ht="18" customHeight="1" x14ac:dyDescent="0.25">
      <c r="A890" s="48" t="s">
        <v>123</v>
      </c>
      <c r="B890" s="926" t="s">
        <v>1386</v>
      </c>
      <c r="C890" s="834" t="s">
        <v>133</v>
      </c>
      <c r="D890" s="835"/>
      <c r="E890" s="835"/>
      <c r="F890" s="835"/>
      <c r="G890" s="131" t="s">
        <v>134</v>
      </c>
      <c r="H890" s="101">
        <v>112000</v>
      </c>
      <c r="I890" s="102">
        <v>120000</v>
      </c>
      <c r="J890" s="101">
        <v>40500</v>
      </c>
      <c r="K890" s="101">
        <v>120000</v>
      </c>
      <c r="L890" s="101"/>
      <c r="M890" s="6"/>
      <c r="N890" s="6"/>
    </row>
    <row r="891" spans="1:14" s="48" customFormat="1" ht="18" customHeight="1" x14ac:dyDescent="0.25">
      <c r="A891" s="48" t="s">
        <v>123</v>
      </c>
      <c r="B891" s="926" t="s">
        <v>1386</v>
      </c>
      <c r="C891" s="834" t="s">
        <v>135</v>
      </c>
      <c r="D891" s="835"/>
      <c r="E891" s="835"/>
      <c r="F891" s="835"/>
      <c r="G891" s="131" t="s">
        <v>136</v>
      </c>
      <c r="H891" s="101">
        <v>129732.21</v>
      </c>
      <c r="I891" s="102">
        <v>113324.39</v>
      </c>
      <c r="J891" s="101">
        <v>52604.61</v>
      </c>
      <c r="K891" s="101">
        <v>171673.02</v>
      </c>
      <c r="L891" s="101"/>
      <c r="M891" s="6"/>
      <c r="N891" s="6"/>
    </row>
    <row r="892" spans="1:14" s="48" customFormat="1" ht="18" customHeight="1" x14ac:dyDescent="0.25">
      <c r="A892" s="48" t="s">
        <v>123</v>
      </c>
      <c r="B892" s="926" t="s">
        <v>1386</v>
      </c>
      <c r="C892" s="834" t="s">
        <v>137</v>
      </c>
      <c r="D892" s="835"/>
      <c r="E892" s="835"/>
      <c r="F892" s="835"/>
      <c r="G892" s="131" t="s">
        <v>138</v>
      </c>
      <c r="H892" s="101">
        <v>102000</v>
      </c>
      <c r="I892" s="102">
        <v>108000</v>
      </c>
      <c r="J892" s="101">
        <v>84000</v>
      </c>
      <c r="K892" s="101">
        <v>108000</v>
      </c>
      <c r="L892" s="101"/>
      <c r="M892" s="6"/>
      <c r="N892" s="6"/>
    </row>
    <row r="893" spans="1:14" s="48" customFormat="1" ht="18" customHeight="1" x14ac:dyDescent="0.25">
      <c r="A893" s="48" t="s">
        <v>123</v>
      </c>
      <c r="B893" s="926" t="s">
        <v>1386</v>
      </c>
      <c r="C893" s="838" t="s">
        <v>1370</v>
      </c>
      <c r="D893" s="835"/>
      <c r="E893" s="835"/>
      <c r="F893" s="835"/>
      <c r="G893" s="131"/>
      <c r="H893" s="101"/>
      <c r="I893" s="102"/>
      <c r="J893" s="101"/>
      <c r="K893" s="101">
        <v>2360794.88</v>
      </c>
      <c r="L893" s="101"/>
      <c r="M893" s="6"/>
      <c r="N893" s="6"/>
    </row>
    <row r="894" spans="1:14" s="48" customFormat="1" ht="18" customHeight="1" x14ac:dyDescent="0.25">
      <c r="A894" s="48" t="s">
        <v>123</v>
      </c>
      <c r="B894" s="926" t="s">
        <v>1386</v>
      </c>
      <c r="C894" s="834" t="s">
        <v>139</v>
      </c>
      <c r="D894" s="835"/>
      <c r="E894" s="835"/>
      <c r="F894" s="835"/>
      <c r="G894" s="131" t="s">
        <v>140</v>
      </c>
      <c r="H894" s="101">
        <v>377251</v>
      </c>
      <c r="I894" s="102">
        <v>391001</v>
      </c>
      <c r="J894" s="101">
        <v>295338</v>
      </c>
      <c r="K894" s="101">
        <v>423507</v>
      </c>
      <c r="L894" s="101"/>
      <c r="M894" s="6"/>
      <c r="N894" s="6"/>
    </row>
    <row r="895" spans="1:14" s="48" customFormat="1" ht="18" customHeight="1" x14ac:dyDescent="0.25">
      <c r="A895" s="48" t="s">
        <v>123</v>
      </c>
      <c r="B895" s="926" t="s">
        <v>1386</v>
      </c>
      <c r="C895" s="834" t="s">
        <v>141</v>
      </c>
      <c r="D895" s="835"/>
      <c r="E895" s="835"/>
      <c r="F895" s="835"/>
      <c r="G895" s="131" t="s">
        <v>142</v>
      </c>
      <c r="H895" s="101">
        <v>364099</v>
      </c>
      <c r="I895" s="102">
        <v>392559</v>
      </c>
      <c r="J895" s="101"/>
      <c r="K895" s="101">
        <v>423507</v>
      </c>
      <c r="L895" s="101"/>
      <c r="M895" s="6"/>
      <c r="N895" s="6"/>
    </row>
    <row r="896" spans="1:14" s="48" customFormat="1" ht="18" customHeight="1" x14ac:dyDescent="0.25">
      <c r="A896" s="48" t="s">
        <v>123</v>
      </c>
      <c r="B896" s="926" t="s">
        <v>1386</v>
      </c>
      <c r="C896" s="836" t="s">
        <v>143</v>
      </c>
      <c r="D896" s="836"/>
      <c r="E896" s="836"/>
      <c r="F896" s="834"/>
      <c r="G896" s="131" t="s">
        <v>144</v>
      </c>
      <c r="H896" s="101">
        <v>81000</v>
      </c>
      <c r="I896" s="102">
        <v>90000</v>
      </c>
      <c r="J896" s="101"/>
      <c r="K896" s="101">
        <v>90000</v>
      </c>
      <c r="L896" s="101"/>
      <c r="M896" s="6"/>
      <c r="N896" s="6"/>
    </row>
    <row r="897" spans="1:14" s="48" customFormat="1" ht="18" customHeight="1" x14ac:dyDescent="0.25">
      <c r="A897" s="48" t="s">
        <v>123</v>
      </c>
      <c r="B897" s="926" t="s">
        <v>1386</v>
      </c>
      <c r="C897" s="836" t="s">
        <v>145</v>
      </c>
      <c r="D897" s="836"/>
      <c r="E897" s="836"/>
      <c r="F897" s="834"/>
      <c r="G897" s="131" t="s">
        <v>146</v>
      </c>
      <c r="H897" s="101">
        <v>75000</v>
      </c>
      <c r="I897" s="102">
        <v>90000</v>
      </c>
      <c r="J897" s="101"/>
      <c r="K897" s="101">
        <v>90000</v>
      </c>
      <c r="L897" s="101"/>
      <c r="M897" s="6"/>
      <c r="N897" s="6"/>
    </row>
    <row r="898" spans="1:14" s="48" customFormat="1" ht="18" customHeight="1" x14ac:dyDescent="0.25">
      <c r="A898" s="48" t="s">
        <v>123</v>
      </c>
      <c r="B898" s="926" t="s">
        <v>1386</v>
      </c>
      <c r="C898" s="834" t="s">
        <v>231</v>
      </c>
      <c r="D898" s="835"/>
      <c r="E898" s="835"/>
      <c r="F898" s="835"/>
      <c r="G898" s="131" t="s">
        <v>232</v>
      </c>
      <c r="H898" s="101">
        <v>15000</v>
      </c>
      <c r="I898" s="102">
        <v>10000</v>
      </c>
      <c r="J898" s="101"/>
      <c r="K898" s="101">
        <v>10000</v>
      </c>
      <c r="L898" s="101"/>
      <c r="M898" s="6"/>
      <c r="N898" s="6"/>
    </row>
    <row r="899" spans="1:14" s="48" customFormat="1" ht="18" customHeight="1" x14ac:dyDescent="0.25">
      <c r="A899" s="48" t="s">
        <v>123</v>
      </c>
      <c r="B899" s="926" t="s">
        <v>1386</v>
      </c>
      <c r="C899" s="860" t="s">
        <v>147</v>
      </c>
      <c r="D899" s="835"/>
      <c r="E899" s="835"/>
      <c r="F899" s="835"/>
      <c r="G899" s="131" t="s">
        <v>148</v>
      </c>
      <c r="H899" s="101"/>
      <c r="I899" s="102"/>
      <c r="J899" s="101"/>
      <c r="K899" s="101">
        <v>54000</v>
      </c>
      <c r="L899" s="101"/>
      <c r="M899" s="6"/>
      <c r="N899" s="6"/>
    </row>
    <row r="900" spans="1:14" s="48" customFormat="1" ht="18" customHeight="1" x14ac:dyDescent="0.25">
      <c r="A900" s="48" t="s">
        <v>123</v>
      </c>
      <c r="B900" s="926" t="s">
        <v>1386</v>
      </c>
      <c r="C900" s="834" t="s">
        <v>153</v>
      </c>
      <c r="D900" s="835"/>
      <c r="E900" s="835"/>
      <c r="F900" s="835"/>
      <c r="G900" s="131" t="s">
        <v>154</v>
      </c>
      <c r="H900" s="101">
        <v>509555.88</v>
      </c>
      <c r="I900" s="102">
        <v>564526.56000000006</v>
      </c>
      <c r="J900" s="101">
        <v>248135.43</v>
      </c>
      <c r="K900" s="101">
        <v>609684.06999999995</v>
      </c>
      <c r="L900" s="101"/>
      <c r="M900" s="6"/>
      <c r="N900" s="6"/>
    </row>
    <row r="901" spans="1:14" s="48" customFormat="1" ht="18" customHeight="1" x14ac:dyDescent="0.25">
      <c r="A901" s="48" t="s">
        <v>123</v>
      </c>
      <c r="B901" s="926" t="s">
        <v>1386</v>
      </c>
      <c r="C901" s="834" t="s">
        <v>155</v>
      </c>
      <c r="D901" s="835"/>
      <c r="E901" s="835"/>
      <c r="F901" s="835"/>
      <c r="G901" s="131" t="s">
        <v>156</v>
      </c>
      <c r="H901" s="101">
        <v>19000</v>
      </c>
      <c r="I901" s="102">
        <v>21600</v>
      </c>
      <c r="J901" s="101">
        <v>9800</v>
      </c>
      <c r="K901" s="101">
        <v>21600</v>
      </c>
      <c r="L901" s="101"/>
      <c r="M901" s="6"/>
      <c r="N901" s="6"/>
    </row>
    <row r="902" spans="1:14" s="48" customFormat="1" ht="18" customHeight="1" x14ac:dyDescent="0.25">
      <c r="A902" s="48" t="s">
        <v>123</v>
      </c>
      <c r="B902" s="926" t="s">
        <v>1386</v>
      </c>
      <c r="C902" s="836" t="s">
        <v>157</v>
      </c>
      <c r="D902" s="836"/>
      <c r="E902" s="836"/>
      <c r="F902" s="834"/>
      <c r="G902" s="131" t="s">
        <v>158</v>
      </c>
      <c r="H902" s="101">
        <v>60606.12</v>
      </c>
      <c r="I902" s="102">
        <v>81889.64</v>
      </c>
      <c r="J902" s="101">
        <v>28739.58</v>
      </c>
      <c r="K902" s="101">
        <v>201109.78</v>
      </c>
      <c r="L902" s="101"/>
      <c r="M902" s="6"/>
      <c r="N902" s="6"/>
    </row>
    <row r="903" spans="1:14" s="48" customFormat="1" ht="18" customHeight="1" x14ac:dyDescent="0.25">
      <c r="A903" s="48" t="s">
        <v>123</v>
      </c>
      <c r="B903" s="926" t="s">
        <v>1386</v>
      </c>
      <c r="C903" s="836" t="s">
        <v>159</v>
      </c>
      <c r="D903" s="836"/>
      <c r="E903" s="836"/>
      <c r="F903" s="834"/>
      <c r="G903" s="131" t="s">
        <v>160</v>
      </c>
      <c r="H903" s="101">
        <v>19000</v>
      </c>
      <c r="I903" s="102">
        <v>21600</v>
      </c>
      <c r="J903" s="101">
        <v>9800</v>
      </c>
      <c r="K903" s="101">
        <v>21600</v>
      </c>
      <c r="L903" s="101"/>
      <c r="M903" s="6"/>
      <c r="N903" s="6"/>
    </row>
    <row r="904" spans="1:14" s="48" customFormat="1" ht="18" customHeight="1" x14ac:dyDescent="0.25">
      <c r="A904" s="48" t="s">
        <v>123</v>
      </c>
      <c r="B904" s="926" t="s">
        <v>1386</v>
      </c>
      <c r="C904" s="836" t="s">
        <v>124</v>
      </c>
      <c r="D904" s="836"/>
      <c r="E904" s="836"/>
      <c r="F904" s="834"/>
      <c r="G904" s="131" t="s">
        <v>125</v>
      </c>
      <c r="H904" s="101">
        <v>2384640</v>
      </c>
      <c r="I904" s="102">
        <v>3827988</v>
      </c>
      <c r="J904" s="101">
        <v>1369901.56</v>
      </c>
      <c r="K904" s="101">
        <v>4120764</v>
      </c>
      <c r="L904" s="101"/>
      <c r="M904" s="6"/>
      <c r="N904" s="6"/>
    </row>
    <row r="905" spans="1:14" s="48" customFormat="1" ht="18" customHeight="1" x14ac:dyDescent="0.25">
      <c r="A905" s="48" t="s">
        <v>123</v>
      </c>
      <c r="B905" s="926" t="s">
        <v>1386</v>
      </c>
      <c r="C905" s="836" t="s">
        <v>128</v>
      </c>
      <c r="D905" s="836"/>
      <c r="E905" s="836"/>
      <c r="F905" s="834"/>
      <c r="G905" s="131" t="s">
        <v>125</v>
      </c>
      <c r="H905" s="101">
        <v>0</v>
      </c>
      <c r="I905" s="102">
        <v>12048</v>
      </c>
      <c r="J905" s="101"/>
      <c r="K905" s="101">
        <v>5807</v>
      </c>
      <c r="L905" s="101"/>
      <c r="M905" s="6"/>
      <c r="N905" s="6"/>
    </row>
    <row r="906" spans="1:14" s="48" customFormat="1" ht="18" customHeight="1" x14ac:dyDescent="0.25">
      <c r="A906" s="48" t="s">
        <v>123</v>
      </c>
      <c r="B906" s="926" t="s">
        <v>1386</v>
      </c>
      <c r="C906" s="836" t="s">
        <v>129</v>
      </c>
      <c r="D906" s="836"/>
      <c r="E906" s="836"/>
      <c r="F906" s="834"/>
      <c r="G906" s="132" t="s">
        <v>130</v>
      </c>
      <c r="H906" s="101">
        <v>192000</v>
      </c>
      <c r="I906" s="102">
        <v>288000</v>
      </c>
      <c r="J906" s="101">
        <v>100000</v>
      </c>
      <c r="K906" s="101">
        <v>288000</v>
      </c>
      <c r="L906" s="101"/>
      <c r="M906" s="6"/>
      <c r="N906" s="6"/>
    </row>
    <row r="907" spans="1:14" s="48" customFormat="1" ht="18" customHeight="1" x14ac:dyDescent="0.25">
      <c r="A907" s="48" t="s">
        <v>123</v>
      </c>
      <c r="B907" s="926" t="s">
        <v>1386</v>
      </c>
      <c r="C907" s="836" t="s">
        <v>131</v>
      </c>
      <c r="D907" s="836"/>
      <c r="E907" s="836"/>
      <c r="F907" s="834"/>
      <c r="G907" s="131" t="s">
        <v>132</v>
      </c>
      <c r="H907" s="101">
        <v>70500</v>
      </c>
      <c r="I907" s="102">
        <v>120000</v>
      </c>
      <c r="J907" s="101">
        <v>40500</v>
      </c>
      <c r="K907" s="101">
        <v>120000</v>
      </c>
      <c r="L907" s="101"/>
      <c r="M907" s="6"/>
      <c r="N907" s="6"/>
    </row>
    <row r="908" spans="1:14" s="48" customFormat="1" ht="18" customHeight="1" x14ac:dyDescent="0.25">
      <c r="A908" s="48" t="s">
        <v>123</v>
      </c>
      <c r="B908" s="926" t="s">
        <v>1386</v>
      </c>
      <c r="C908" s="836" t="s">
        <v>133</v>
      </c>
      <c r="D908" s="836"/>
      <c r="E908" s="836"/>
      <c r="F908" s="834"/>
      <c r="G908" s="131" t="s">
        <v>134</v>
      </c>
      <c r="H908" s="101">
        <v>70500</v>
      </c>
      <c r="I908" s="102">
        <v>120000</v>
      </c>
      <c r="J908" s="101">
        <v>40500</v>
      </c>
      <c r="K908" s="101">
        <v>120000</v>
      </c>
      <c r="L908" s="101"/>
      <c r="M908" s="6"/>
      <c r="N908" s="6">
        <f>155000+30000</f>
        <v>185000</v>
      </c>
    </row>
    <row r="909" spans="1:14" s="48" customFormat="1" ht="18" customHeight="1" x14ac:dyDescent="0.25">
      <c r="A909" s="48" t="s">
        <v>123</v>
      </c>
      <c r="B909" s="926" t="s">
        <v>1386</v>
      </c>
      <c r="C909" s="840" t="s">
        <v>135</v>
      </c>
      <c r="D909" s="836"/>
      <c r="E909" s="836"/>
      <c r="F909" s="834"/>
      <c r="G909" s="131" t="s">
        <v>232</v>
      </c>
      <c r="H909" s="101">
        <v>2729.06</v>
      </c>
      <c r="I909" s="102">
        <v>93729.55</v>
      </c>
      <c r="J909" s="101">
        <v>57231.78</v>
      </c>
      <c r="K909" s="102">
        <v>306733.64</v>
      </c>
      <c r="L909" s="101"/>
      <c r="M909" s="6"/>
      <c r="N909" s="6"/>
    </row>
    <row r="910" spans="1:14" s="48" customFormat="1" ht="18" customHeight="1" x14ac:dyDescent="0.25">
      <c r="A910" s="48" t="s">
        <v>123</v>
      </c>
      <c r="B910" s="926" t="s">
        <v>1386</v>
      </c>
      <c r="C910" s="836" t="s">
        <v>137</v>
      </c>
      <c r="D910" s="836"/>
      <c r="E910" s="836"/>
      <c r="F910" s="834"/>
      <c r="G910" s="131" t="s">
        <v>138</v>
      </c>
      <c r="H910" s="101">
        <v>48000</v>
      </c>
      <c r="I910" s="102">
        <v>72000</v>
      </c>
      <c r="J910" s="101">
        <v>42000</v>
      </c>
      <c r="K910" s="105">
        <v>72000</v>
      </c>
      <c r="L910" s="101"/>
      <c r="M910" s="6">
        <f>2106360.4-50000</f>
        <v>2056360.4</v>
      </c>
      <c r="N910" s="6"/>
    </row>
    <row r="911" spans="1:14" s="136" customFormat="1" ht="18" customHeight="1" x14ac:dyDescent="0.25">
      <c r="A911" s="48" t="s">
        <v>123</v>
      </c>
      <c r="B911" s="926" t="s">
        <v>1386</v>
      </c>
      <c r="C911" s="856" t="s">
        <v>139</v>
      </c>
      <c r="D911" s="856"/>
      <c r="E911" s="856"/>
      <c r="F911" s="856"/>
      <c r="G911" s="950" t="s">
        <v>140</v>
      </c>
      <c r="H911" s="121">
        <v>207473.12</v>
      </c>
      <c r="I911" s="145">
        <v>320003</v>
      </c>
      <c r="J911" s="121">
        <v>197657</v>
      </c>
      <c r="K911" s="121">
        <v>343955</v>
      </c>
      <c r="L911" s="121"/>
      <c r="M911" s="6"/>
      <c r="N911" s="6"/>
    </row>
    <row r="912" spans="1:14" s="136" customFormat="1" ht="18" customHeight="1" x14ac:dyDescent="0.25">
      <c r="A912" s="48" t="s">
        <v>123</v>
      </c>
      <c r="B912" s="926" t="s">
        <v>1386</v>
      </c>
      <c r="C912" s="836" t="s">
        <v>141</v>
      </c>
      <c r="D912" s="836"/>
      <c r="E912" s="836"/>
      <c r="F912" s="836"/>
      <c r="G912" s="131" t="s">
        <v>142</v>
      </c>
      <c r="H912" s="101">
        <v>198720</v>
      </c>
      <c r="I912" s="102">
        <v>320003</v>
      </c>
      <c r="J912" s="101"/>
      <c r="K912" s="101">
        <v>343955</v>
      </c>
      <c r="L912" s="101"/>
      <c r="M912" s="6"/>
      <c r="N912" s="6"/>
    </row>
    <row r="913" spans="1:16" s="136" customFormat="1" ht="18" customHeight="1" x14ac:dyDescent="0.25">
      <c r="A913" s="48" t="s">
        <v>123</v>
      </c>
      <c r="B913" s="926" t="s">
        <v>1386</v>
      </c>
      <c r="C913" s="836" t="s">
        <v>143</v>
      </c>
      <c r="D913" s="836"/>
      <c r="E913" s="836"/>
      <c r="F913" s="836"/>
      <c r="G913" s="131" t="s">
        <v>144</v>
      </c>
      <c r="H913" s="101">
        <v>40000</v>
      </c>
      <c r="I913" s="102">
        <v>60000</v>
      </c>
      <c r="J913" s="101"/>
      <c r="K913" s="101">
        <v>60000</v>
      </c>
      <c r="L913" s="101"/>
      <c r="M913" s="6"/>
      <c r="N913" s="6"/>
    </row>
    <row r="914" spans="1:16" s="136" customFormat="1" ht="18" customHeight="1" x14ac:dyDescent="0.25">
      <c r="A914" s="48" t="s">
        <v>123</v>
      </c>
      <c r="B914" s="926" t="s">
        <v>1386</v>
      </c>
      <c r="C914" s="836" t="s">
        <v>145</v>
      </c>
      <c r="D914" s="836"/>
      <c r="E914" s="836"/>
      <c r="F914" s="836"/>
      <c r="G914" s="131" t="s">
        <v>146</v>
      </c>
      <c r="H914" s="101">
        <v>40000</v>
      </c>
      <c r="I914" s="102">
        <v>60000</v>
      </c>
      <c r="J914" s="101"/>
      <c r="K914" s="101">
        <v>60000</v>
      </c>
      <c r="L914" s="101"/>
      <c r="M914" s="6"/>
      <c r="N914" s="6"/>
    </row>
    <row r="915" spans="1:16" s="136" customFormat="1" ht="18" customHeight="1" x14ac:dyDescent="0.25">
      <c r="A915" s="48" t="s">
        <v>123</v>
      </c>
      <c r="B915" s="926" t="s">
        <v>1386</v>
      </c>
      <c r="C915" s="859" t="s">
        <v>147</v>
      </c>
      <c r="D915" s="836"/>
      <c r="E915" s="836"/>
      <c r="F915" s="836"/>
      <c r="G915" s="131" t="s">
        <v>148</v>
      </c>
      <c r="H915" s="101"/>
      <c r="I915" s="102"/>
      <c r="J915" s="101"/>
      <c r="K915" s="101">
        <v>36000</v>
      </c>
      <c r="L915" s="101"/>
      <c r="M915" s="6"/>
      <c r="N915" s="6"/>
    </row>
    <row r="916" spans="1:16" s="136" customFormat="1" ht="18" customHeight="1" x14ac:dyDescent="0.25">
      <c r="A916" s="48" t="s">
        <v>123</v>
      </c>
      <c r="B916" s="926" t="s">
        <v>1386</v>
      </c>
      <c r="C916" s="836" t="s">
        <v>153</v>
      </c>
      <c r="D916" s="836"/>
      <c r="E916" s="836"/>
      <c r="F916" s="836"/>
      <c r="G916" s="131" t="s">
        <v>154</v>
      </c>
      <c r="H916" s="101">
        <v>286156.79999999999</v>
      </c>
      <c r="I916" s="102">
        <v>460804.32</v>
      </c>
      <c r="J916" s="101">
        <v>163852.38</v>
      </c>
      <c r="K916" s="101">
        <v>495188.52</v>
      </c>
      <c r="L916" s="101"/>
      <c r="M916" s="6"/>
      <c r="N916" s="6"/>
    </row>
    <row r="917" spans="1:16" s="136" customFormat="1" ht="18" customHeight="1" x14ac:dyDescent="0.25">
      <c r="A917" s="48" t="s">
        <v>123</v>
      </c>
      <c r="B917" s="926" t="s">
        <v>1386</v>
      </c>
      <c r="C917" s="836" t="s">
        <v>155</v>
      </c>
      <c r="D917" s="836"/>
      <c r="E917" s="836"/>
      <c r="F917" s="836"/>
      <c r="G917" s="131" t="s">
        <v>156</v>
      </c>
      <c r="H917" s="101">
        <v>9600</v>
      </c>
      <c r="I917" s="102">
        <v>14400</v>
      </c>
      <c r="J917" s="101">
        <v>5000</v>
      </c>
      <c r="K917" s="101">
        <v>14400</v>
      </c>
      <c r="L917" s="101"/>
      <c r="M917" s="6"/>
      <c r="N917" s="6"/>
    </row>
    <row r="918" spans="1:16" s="136" customFormat="1" ht="18" customHeight="1" x14ac:dyDescent="0.25">
      <c r="A918" s="48" t="s">
        <v>123</v>
      </c>
      <c r="B918" s="926" t="s">
        <v>1386</v>
      </c>
      <c r="C918" s="836" t="s">
        <v>157</v>
      </c>
      <c r="D918" s="836"/>
      <c r="E918" s="836"/>
      <c r="F918" s="836"/>
      <c r="G918" s="131" t="s">
        <v>158</v>
      </c>
      <c r="H918" s="101">
        <v>35544.86</v>
      </c>
      <c r="I918" s="102">
        <v>65607.149999999994</v>
      </c>
      <c r="J918" s="112">
        <v>19154.97</v>
      </c>
      <c r="K918" s="101">
        <v>164872.28</v>
      </c>
      <c r="L918" s="112"/>
      <c r="M918" s="6"/>
      <c r="N918" s="6"/>
    </row>
    <row r="919" spans="1:16" ht="18" customHeight="1" x14ac:dyDescent="0.25">
      <c r="A919" s="48" t="s">
        <v>123</v>
      </c>
      <c r="B919" s="926" t="s">
        <v>1386</v>
      </c>
      <c r="C919" s="834" t="s">
        <v>159</v>
      </c>
      <c r="D919" s="835"/>
      <c r="E919" s="835"/>
      <c r="F919" s="835"/>
      <c r="G919" s="131" t="s">
        <v>160</v>
      </c>
      <c r="H919" s="101">
        <v>9600</v>
      </c>
      <c r="I919" s="102">
        <v>14400</v>
      </c>
      <c r="J919" s="101">
        <v>5000</v>
      </c>
      <c r="K919" s="101">
        <v>14400</v>
      </c>
      <c r="L919" s="101"/>
    </row>
    <row r="920" spans="1:16" ht="18" customHeight="1" x14ac:dyDescent="0.25">
      <c r="A920" s="48" t="s">
        <v>123</v>
      </c>
      <c r="B920" s="926" t="s">
        <v>1386</v>
      </c>
      <c r="C920" s="836" t="s">
        <v>124</v>
      </c>
      <c r="D920" s="836"/>
      <c r="E920" s="836"/>
      <c r="F920" s="834"/>
      <c r="G920" s="131" t="s">
        <v>125</v>
      </c>
      <c r="H920" s="101">
        <v>1476000</v>
      </c>
      <c r="I920" s="102">
        <v>1476000</v>
      </c>
      <c r="J920" s="101">
        <v>886277.55</v>
      </c>
      <c r="K920" s="101">
        <v>1561524</v>
      </c>
      <c r="L920" s="101"/>
    </row>
    <row r="921" spans="1:16" ht="18" customHeight="1" x14ac:dyDescent="0.25">
      <c r="A921" s="48" t="s">
        <v>123</v>
      </c>
      <c r="B921" s="926" t="s">
        <v>1386</v>
      </c>
      <c r="C921" s="834" t="s">
        <v>128</v>
      </c>
      <c r="D921" s="835"/>
      <c r="E921" s="835"/>
      <c r="F921" s="835"/>
      <c r="G921" s="131" t="s">
        <v>127</v>
      </c>
      <c r="H921" s="101">
        <v>0</v>
      </c>
      <c r="I921" s="102">
        <v>1140</v>
      </c>
      <c r="J921" s="101"/>
      <c r="K921" s="101">
        <v>7193.13</v>
      </c>
      <c r="L921" s="101"/>
    </row>
    <row r="922" spans="1:16" s="146" customFormat="1" ht="18" customHeight="1" x14ac:dyDescent="0.25">
      <c r="A922" s="48" t="s">
        <v>123</v>
      </c>
      <c r="B922" s="926" t="s">
        <v>1386</v>
      </c>
      <c r="C922" s="834" t="s">
        <v>129</v>
      </c>
      <c r="D922" s="835"/>
      <c r="E922" s="835"/>
      <c r="F922" s="835"/>
      <c r="G922" s="132" t="s">
        <v>130</v>
      </c>
      <c r="H922" s="101">
        <v>96000</v>
      </c>
      <c r="I922" s="102">
        <v>96000</v>
      </c>
      <c r="J922" s="101">
        <v>56000</v>
      </c>
      <c r="K922" s="101">
        <v>96000</v>
      </c>
      <c r="L922" s="101"/>
      <c r="M922" s="10"/>
      <c r="N922" s="10"/>
      <c r="O922"/>
      <c r="P922"/>
    </row>
    <row r="923" spans="1:16" s="146" customFormat="1" ht="18" customHeight="1" x14ac:dyDescent="0.25">
      <c r="A923" s="48" t="s">
        <v>123</v>
      </c>
      <c r="B923" s="926" t="s">
        <v>1386</v>
      </c>
      <c r="C923" s="834" t="s">
        <v>131</v>
      </c>
      <c r="D923" s="835"/>
      <c r="E923" s="835"/>
      <c r="F923" s="835"/>
      <c r="G923" s="131" t="s">
        <v>132</v>
      </c>
      <c r="H923" s="101">
        <v>72000</v>
      </c>
      <c r="I923" s="102">
        <v>72000</v>
      </c>
      <c r="J923" s="101">
        <v>42000</v>
      </c>
      <c r="K923" s="101">
        <v>72000</v>
      </c>
      <c r="L923" s="101"/>
      <c r="M923" s="10"/>
      <c r="N923" s="10"/>
      <c r="O923"/>
      <c r="P923"/>
    </row>
    <row r="924" spans="1:16" s="146" customFormat="1" ht="18" customHeight="1" x14ac:dyDescent="0.25">
      <c r="A924" s="48" t="s">
        <v>123</v>
      </c>
      <c r="B924" s="926" t="s">
        <v>1386</v>
      </c>
      <c r="C924" s="834" t="s">
        <v>133</v>
      </c>
      <c r="D924" s="835"/>
      <c r="E924" s="835"/>
      <c r="F924" s="835"/>
      <c r="G924" s="131" t="s">
        <v>134</v>
      </c>
      <c r="H924" s="101">
        <v>72000</v>
      </c>
      <c r="I924" s="102">
        <v>72000</v>
      </c>
      <c r="J924" s="101">
        <v>42000</v>
      </c>
      <c r="K924" s="101">
        <v>72000</v>
      </c>
      <c r="L924" s="101"/>
      <c r="M924" s="10"/>
      <c r="N924" s="10"/>
      <c r="O924"/>
      <c r="P924"/>
    </row>
    <row r="925" spans="1:16" s="146" customFormat="1" ht="18" customHeight="1" x14ac:dyDescent="0.25">
      <c r="A925" s="48" t="s">
        <v>123</v>
      </c>
      <c r="B925" s="926" t="s">
        <v>1386</v>
      </c>
      <c r="C925" s="834" t="s">
        <v>137</v>
      </c>
      <c r="D925" s="835"/>
      <c r="E925" s="835"/>
      <c r="F925" s="835"/>
      <c r="G925" s="131" t="s">
        <v>138</v>
      </c>
      <c r="H925" s="101">
        <v>24000</v>
      </c>
      <c r="I925" s="102">
        <v>24000</v>
      </c>
      <c r="J925" s="101">
        <v>24000</v>
      </c>
      <c r="K925" s="101">
        <v>24000</v>
      </c>
      <c r="L925" s="101"/>
      <c r="M925" s="10"/>
      <c r="N925" s="10"/>
      <c r="O925"/>
      <c r="P925"/>
    </row>
    <row r="926" spans="1:16" s="146" customFormat="1" ht="18" customHeight="1" x14ac:dyDescent="0.25">
      <c r="A926" s="48" t="s">
        <v>123</v>
      </c>
      <c r="B926" s="926" t="s">
        <v>1386</v>
      </c>
      <c r="C926" s="834" t="s">
        <v>139</v>
      </c>
      <c r="D926" s="835"/>
      <c r="E926" s="835"/>
      <c r="F926" s="835"/>
      <c r="G926" s="131" t="s">
        <v>140</v>
      </c>
      <c r="H926" s="101">
        <v>123000</v>
      </c>
      <c r="I926" s="102">
        <v>123095</v>
      </c>
      <c r="J926" s="101">
        <v>126612</v>
      </c>
      <c r="K926" s="101">
        <v>130414</v>
      </c>
      <c r="L926" s="101"/>
      <c r="M926" s="10"/>
      <c r="N926" s="10"/>
      <c r="O926"/>
      <c r="P926"/>
    </row>
    <row r="927" spans="1:16" s="146" customFormat="1" ht="18" customHeight="1" x14ac:dyDescent="0.25">
      <c r="A927" s="48" t="s">
        <v>123</v>
      </c>
      <c r="B927" s="926" t="s">
        <v>1386</v>
      </c>
      <c r="C927" s="834" t="s">
        <v>141</v>
      </c>
      <c r="D927" s="835"/>
      <c r="E927" s="835"/>
      <c r="F927" s="835"/>
      <c r="G927" s="131" t="s">
        <v>142</v>
      </c>
      <c r="H927" s="101">
        <v>123000</v>
      </c>
      <c r="I927" s="102">
        <v>123095</v>
      </c>
      <c r="J927" s="101"/>
      <c r="K927" s="101">
        <v>131773</v>
      </c>
      <c r="L927" s="101"/>
      <c r="M927" s="10"/>
      <c r="N927" s="10"/>
      <c r="O927"/>
      <c r="P927"/>
    </row>
    <row r="928" spans="1:16" s="146" customFormat="1" ht="18" customHeight="1" x14ac:dyDescent="0.25">
      <c r="A928" s="48" t="s">
        <v>123</v>
      </c>
      <c r="B928" s="926" t="s">
        <v>1386</v>
      </c>
      <c r="C928" s="834" t="s">
        <v>143</v>
      </c>
      <c r="D928" s="835"/>
      <c r="E928" s="835"/>
      <c r="F928" s="835"/>
      <c r="G928" s="131" t="s">
        <v>144</v>
      </c>
      <c r="H928" s="101">
        <v>20000</v>
      </c>
      <c r="I928" s="102">
        <v>20000</v>
      </c>
      <c r="J928" s="101"/>
      <c r="K928" s="101">
        <v>20000</v>
      </c>
      <c r="L928" s="101"/>
      <c r="M928" s="10"/>
      <c r="N928" s="10"/>
      <c r="O928"/>
      <c r="P928"/>
    </row>
    <row r="929" spans="1:16" s="146" customFormat="1" ht="18" customHeight="1" x14ac:dyDescent="0.25">
      <c r="A929" s="48" t="s">
        <v>123</v>
      </c>
      <c r="B929" s="926" t="s">
        <v>1386</v>
      </c>
      <c r="C929" s="834" t="s">
        <v>145</v>
      </c>
      <c r="D929" s="835"/>
      <c r="E929" s="835"/>
      <c r="F929" s="835"/>
      <c r="G929" s="131" t="s">
        <v>146</v>
      </c>
      <c r="H929" s="101">
        <v>20000</v>
      </c>
      <c r="I929" s="102">
        <v>20000</v>
      </c>
      <c r="J929" s="101"/>
      <c r="K929" s="101">
        <v>20000</v>
      </c>
      <c r="L929" s="101"/>
      <c r="M929" s="10"/>
      <c r="N929" s="10"/>
      <c r="O929"/>
      <c r="P929"/>
    </row>
    <row r="930" spans="1:16" s="146" customFormat="1" ht="18" customHeight="1" x14ac:dyDescent="0.25">
      <c r="A930" s="48" t="s">
        <v>123</v>
      </c>
      <c r="B930" s="926" t="s">
        <v>1386</v>
      </c>
      <c r="C930" s="860" t="s">
        <v>231</v>
      </c>
      <c r="D930" s="835"/>
      <c r="E930" s="835"/>
      <c r="F930" s="835"/>
      <c r="G930" s="131" t="s">
        <v>232</v>
      </c>
      <c r="H930" s="101"/>
      <c r="I930" s="102"/>
      <c r="J930" s="101"/>
      <c r="K930" s="101">
        <v>5000</v>
      </c>
      <c r="L930" s="101"/>
      <c r="M930" s="10"/>
      <c r="N930" s="10"/>
      <c r="O930"/>
      <c r="P930"/>
    </row>
    <row r="931" spans="1:16" s="146" customFormat="1" ht="18" customHeight="1" x14ac:dyDescent="0.25">
      <c r="A931" s="48" t="s">
        <v>123</v>
      </c>
      <c r="B931" s="926" t="s">
        <v>1386</v>
      </c>
      <c r="C931" s="859" t="s">
        <v>147</v>
      </c>
      <c r="D931" s="836"/>
      <c r="E931" s="836"/>
      <c r="F931" s="834"/>
      <c r="G931" s="131" t="s">
        <v>148</v>
      </c>
      <c r="H931" s="101"/>
      <c r="I931" s="102"/>
      <c r="J931" s="101"/>
      <c r="K931" s="101">
        <v>12000</v>
      </c>
      <c r="L931" s="101"/>
      <c r="M931" s="10"/>
      <c r="N931" s="10"/>
      <c r="O931"/>
      <c r="P931"/>
    </row>
    <row r="932" spans="1:16" s="146" customFormat="1" ht="18" customHeight="1" x14ac:dyDescent="0.25">
      <c r="A932" s="48" t="s">
        <v>123</v>
      </c>
      <c r="B932" s="926" t="s">
        <v>1386</v>
      </c>
      <c r="C932" s="834" t="s">
        <v>153</v>
      </c>
      <c r="D932" s="835"/>
      <c r="E932" s="835"/>
      <c r="F932" s="835"/>
      <c r="G932" s="131" t="s">
        <v>154</v>
      </c>
      <c r="H932" s="101">
        <v>177120</v>
      </c>
      <c r="I932" s="102">
        <v>177256.8</v>
      </c>
      <c r="J932" s="101">
        <v>106349.12</v>
      </c>
      <c r="K932" s="101">
        <v>188246.06</v>
      </c>
      <c r="L932" s="101"/>
      <c r="M932" s="10"/>
      <c r="N932" s="10"/>
      <c r="O932"/>
      <c r="P932"/>
    </row>
    <row r="933" spans="1:16" s="146" customFormat="1" ht="18" customHeight="1" x14ac:dyDescent="0.25">
      <c r="A933" s="48" t="s">
        <v>123</v>
      </c>
      <c r="B933" s="926" t="s">
        <v>1386</v>
      </c>
      <c r="C933" s="834" t="s">
        <v>155</v>
      </c>
      <c r="D933" s="835"/>
      <c r="E933" s="835"/>
      <c r="F933" s="835"/>
      <c r="G933" s="131" t="s">
        <v>156</v>
      </c>
      <c r="H933" s="101">
        <v>4800</v>
      </c>
      <c r="I933" s="102">
        <v>4800</v>
      </c>
      <c r="J933" s="101">
        <v>2800</v>
      </c>
      <c r="K933" s="101">
        <v>4800</v>
      </c>
      <c r="L933" s="101"/>
      <c r="M933" s="10"/>
      <c r="N933" s="10"/>
      <c r="O933"/>
      <c r="P933"/>
    </row>
    <row r="934" spans="1:16" s="146" customFormat="1" ht="18" customHeight="1" x14ac:dyDescent="0.25">
      <c r="A934" s="48" t="s">
        <v>123</v>
      </c>
      <c r="B934" s="926" t="s">
        <v>1386</v>
      </c>
      <c r="C934" s="834" t="s">
        <v>157</v>
      </c>
      <c r="D934" s="835"/>
      <c r="E934" s="835"/>
      <c r="F934" s="835"/>
      <c r="G934" s="131" t="s">
        <v>158</v>
      </c>
      <c r="H934" s="101">
        <v>18514.7</v>
      </c>
      <c r="I934" s="102">
        <v>23720.34</v>
      </c>
      <c r="J934" s="101">
        <v>11014.5</v>
      </c>
      <c r="K934" s="101">
        <v>61199.73</v>
      </c>
      <c r="L934" s="101"/>
      <c r="M934" s="10"/>
      <c r="N934" s="10"/>
      <c r="O934"/>
      <c r="P934"/>
    </row>
    <row r="935" spans="1:16" ht="18" customHeight="1" x14ac:dyDescent="0.25">
      <c r="A935" s="48" t="s">
        <v>123</v>
      </c>
      <c r="B935" s="926" t="s">
        <v>1386</v>
      </c>
      <c r="C935" s="834" t="s">
        <v>159</v>
      </c>
      <c r="D935" s="835"/>
      <c r="E935" s="835"/>
      <c r="F935" s="835"/>
      <c r="G935" s="131" t="s">
        <v>160</v>
      </c>
      <c r="H935" s="101">
        <v>4800</v>
      </c>
      <c r="I935" s="102">
        <v>4800</v>
      </c>
      <c r="J935" s="101">
        <v>2800</v>
      </c>
      <c r="K935" s="101">
        <v>4800</v>
      </c>
      <c r="L935" s="101"/>
    </row>
    <row r="936" spans="1:16" ht="18" customHeight="1" x14ac:dyDescent="0.25">
      <c r="A936" s="229" t="s">
        <v>123</v>
      </c>
      <c r="B936" s="926" t="s">
        <v>1387</v>
      </c>
      <c r="C936" s="836" t="s">
        <v>124</v>
      </c>
      <c r="D936" s="836"/>
      <c r="E936" s="836"/>
      <c r="F936" s="834"/>
      <c r="G936" s="131" t="s">
        <v>125</v>
      </c>
      <c r="H936" s="101">
        <v>8637059.4000000004</v>
      </c>
      <c r="I936" s="102">
        <v>11490024</v>
      </c>
      <c r="J936" s="101">
        <v>5343711.7699999996</v>
      </c>
      <c r="K936" s="101">
        <v>12579936</v>
      </c>
      <c r="L936" s="101"/>
    </row>
    <row r="937" spans="1:16" ht="18" customHeight="1" x14ac:dyDescent="0.25">
      <c r="A937" s="229" t="s">
        <v>123</v>
      </c>
      <c r="B937" s="926" t="s">
        <v>1387</v>
      </c>
      <c r="C937" s="836" t="s">
        <v>126</v>
      </c>
      <c r="D937" s="836"/>
      <c r="E937" s="836"/>
      <c r="F937" s="834"/>
      <c r="G937" s="131" t="s">
        <v>127</v>
      </c>
      <c r="H937" s="101"/>
      <c r="I937" s="102">
        <v>312456</v>
      </c>
      <c r="J937" s="101"/>
      <c r="K937" s="101">
        <v>339000</v>
      </c>
      <c r="L937" s="101"/>
      <c r="M937" s="10">
        <f>15008+79568+4971</f>
        <v>99547</v>
      </c>
      <c r="N937" s="10">
        <f>208576+52000</f>
        <v>260576</v>
      </c>
    </row>
    <row r="938" spans="1:16" ht="18" customHeight="1" x14ac:dyDescent="0.25">
      <c r="A938" s="229" t="s">
        <v>123</v>
      </c>
      <c r="B938" s="926" t="s">
        <v>1387</v>
      </c>
      <c r="C938" s="836" t="s">
        <v>128</v>
      </c>
      <c r="D938" s="836"/>
      <c r="E938" s="836"/>
      <c r="F938" s="834"/>
      <c r="G938" s="132" t="s">
        <v>125</v>
      </c>
      <c r="H938" s="101">
        <v>0</v>
      </c>
      <c r="I938" s="102">
        <v>29481</v>
      </c>
      <c r="J938" s="101"/>
      <c r="K938" s="101">
        <v>24171.919999999998</v>
      </c>
      <c r="L938" s="101"/>
      <c r="M938" s="10">
        <f>570060+4750</f>
        <v>574810</v>
      </c>
    </row>
    <row r="939" spans="1:16" ht="18" customHeight="1" x14ac:dyDescent="0.25">
      <c r="A939" s="229" t="s">
        <v>123</v>
      </c>
      <c r="B939" s="926" t="s">
        <v>1387</v>
      </c>
      <c r="C939" s="836" t="s">
        <v>129</v>
      </c>
      <c r="D939" s="836"/>
      <c r="E939" s="836"/>
      <c r="F939" s="834"/>
      <c r="G939" s="132" t="s">
        <v>130</v>
      </c>
      <c r="H939" s="101">
        <v>671817.99</v>
      </c>
      <c r="I939" s="102">
        <v>864000</v>
      </c>
      <c r="J939" s="101">
        <v>400909.09</v>
      </c>
      <c r="K939" s="101">
        <v>864000</v>
      </c>
      <c r="L939" s="101"/>
    </row>
    <row r="940" spans="1:16" ht="18" customHeight="1" x14ac:dyDescent="0.25">
      <c r="A940" s="229" t="s">
        <v>123</v>
      </c>
      <c r="B940" s="926" t="s">
        <v>1387</v>
      </c>
      <c r="C940" s="836" t="s">
        <v>131</v>
      </c>
      <c r="D940" s="836"/>
      <c r="E940" s="836"/>
      <c r="F940" s="834"/>
      <c r="G940" s="131" t="s">
        <v>132</v>
      </c>
      <c r="H940" s="101">
        <v>72000</v>
      </c>
      <c r="I940" s="102">
        <v>85200</v>
      </c>
      <c r="J940" s="101">
        <v>37500</v>
      </c>
      <c r="K940" s="101">
        <v>85200</v>
      </c>
      <c r="L940" s="101"/>
    </row>
    <row r="941" spans="1:16" ht="18" customHeight="1" x14ac:dyDescent="0.25">
      <c r="A941" s="229" t="s">
        <v>123</v>
      </c>
      <c r="B941" s="926" t="s">
        <v>1387</v>
      </c>
      <c r="C941" s="836" t="s">
        <v>133</v>
      </c>
      <c r="D941" s="836"/>
      <c r="E941" s="836"/>
      <c r="F941" s="834"/>
      <c r="G941" s="131" t="s">
        <v>134</v>
      </c>
      <c r="H941" s="101">
        <v>72000</v>
      </c>
      <c r="I941" s="102">
        <v>85200</v>
      </c>
      <c r="J941" s="101">
        <v>37500</v>
      </c>
      <c r="K941" s="101">
        <v>85200</v>
      </c>
      <c r="L941" s="101"/>
    </row>
    <row r="942" spans="1:16" ht="18" customHeight="1" x14ac:dyDescent="0.25">
      <c r="A942" s="229" t="s">
        <v>123</v>
      </c>
      <c r="B942" s="926" t="s">
        <v>1387</v>
      </c>
      <c r="C942" s="836" t="s">
        <v>135</v>
      </c>
      <c r="D942" s="836"/>
      <c r="E942" s="836"/>
      <c r="F942" s="834"/>
      <c r="G942" s="131" t="s">
        <v>136</v>
      </c>
      <c r="H942" s="101">
        <v>630991.15</v>
      </c>
      <c r="I942" s="102">
        <v>600000</v>
      </c>
      <c r="J942" s="101">
        <v>56896.5</v>
      </c>
      <c r="K942" s="105">
        <v>700000</v>
      </c>
      <c r="L942" s="102"/>
    </row>
    <row r="943" spans="1:16" s="194" customFormat="1" ht="18" customHeight="1" x14ac:dyDescent="0.25">
      <c r="A943" s="229" t="s">
        <v>123</v>
      </c>
      <c r="B943" s="926" t="s">
        <v>1387</v>
      </c>
      <c r="C943" s="836" t="s">
        <v>137</v>
      </c>
      <c r="D943" s="836"/>
      <c r="E943" s="836"/>
      <c r="F943" s="836"/>
      <c r="G943" s="131" t="s">
        <v>138</v>
      </c>
      <c r="H943" s="101">
        <v>168000</v>
      </c>
      <c r="I943" s="102">
        <v>216000</v>
      </c>
      <c r="J943" s="101">
        <v>168000</v>
      </c>
      <c r="K943" s="101">
        <v>216000</v>
      </c>
      <c r="L943" s="102"/>
      <c r="M943" s="10"/>
      <c r="N943" s="10"/>
      <c r="O943" s="191"/>
      <c r="P943" s="191"/>
    </row>
    <row r="944" spans="1:16" s="146" customFormat="1" ht="18" customHeight="1" x14ac:dyDescent="0.25">
      <c r="A944" s="229" t="s">
        <v>123</v>
      </c>
      <c r="B944" s="926" t="s">
        <v>1387</v>
      </c>
      <c r="C944" s="836" t="s">
        <v>139</v>
      </c>
      <c r="D944" s="836"/>
      <c r="E944" s="836"/>
      <c r="F944" s="834"/>
      <c r="G944" s="133" t="s">
        <v>140</v>
      </c>
      <c r="H944" s="105">
        <v>719969</v>
      </c>
      <c r="I944" s="106">
        <v>985280</v>
      </c>
      <c r="J944" s="105">
        <v>768580</v>
      </c>
      <c r="K944" s="105">
        <v>1078936</v>
      </c>
      <c r="L944" s="106"/>
      <c r="M944" s="10"/>
      <c r="N944" s="10"/>
      <c r="O944"/>
      <c r="P944"/>
    </row>
    <row r="945" spans="1:16" s="146" customFormat="1" ht="18" customHeight="1" x14ac:dyDescent="0.25">
      <c r="A945" s="229" t="s">
        <v>123</v>
      </c>
      <c r="B945" s="926" t="s">
        <v>1387</v>
      </c>
      <c r="C945" s="836" t="s">
        <v>141</v>
      </c>
      <c r="D945" s="836"/>
      <c r="E945" s="836"/>
      <c r="F945" s="834"/>
      <c r="G945" s="131" t="s">
        <v>142</v>
      </c>
      <c r="H945" s="101">
        <v>719969</v>
      </c>
      <c r="I945" s="102">
        <v>986788</v>
      </c>
      <c r="J945" s="101"/>
      <c r="K945" s="101">
        <v>1078936</v>
      </c>
      <c r="L945" s="101"/>
      <c r="M945" s="10"/>
      <c r="N945" s="10"/>
      <c r="O945"/>
      <c r="P945"/>
    </row>
    <row r="946" spans="1:16" s="146" customFormat="1" ht="18" customHeight="1" x14ac:dyDescent="0.25">
      <c r="A946" s="229" t="s">
        <v>123</v>
      </c>
      <c r="B946" s="926" t="s">
        <v>1387</v>
      </c>
      <c r="C946" s="836" t="s">
        <v>143</v>
      </c>
      <c r="D946" s="836"/>
      <c r="E946" s="836"/>
      <c r="F946" s="834"/>
      <c r="G946" s="131" t="s">
        <v>144</v>
      </c>
      <c r="H946" s="101">
        <v>140000</v>
      </c>
      <c r="I946" s="102">
        <v>180000</v>
      </c>
      <c r="J946" s="101"/>
      <c r="K946" s="101">
        <v>180000</v>
      </c>
      <c r="L946" s="101"/>
      <c r="M946" s="10"/>
      <c r="N946" s="10"/>
      <c r="O946"/>
      <c r="P946"/>
    </row>
    <row r="947" spans="1:16" s="146" customFormat="1" ht="18" customHeight="1" x14ac:dyDescent="0.25">
      <c r="A947" s="229" t="s">
        <v>123</v>
      </c>
      <c r="B947" s="926" t="s">
        <v>1387</v>
      </c>
      <c r="C947" s="836" t="s">
        <v>145</v>
      </c>
      <c r="D947" s="836"/>
      <c r="E947" s="836"/>
      <c r="F947" s="834"/>
      <c r="G947" s="131" t="s">
        <v>146</v>
      </c>
      <c r="H947" s="101">
        <v>140000</v>
      </c>
      <c r="I947" s="102">
        <v>180000</v>
      </c>
      <c r="J947" s="101"/>
      <c r="K947" s="101">
        <v>180000</v>
      </c>
      <c r="L947" s="101"/>
      <c r="M947" s="10"/>
      <c r="N947" s="10"/>
      <c r="O947"/>
      <c r="P947"/>
    </row>
    <row r="948" spans="1:16" s="146" customFormat="1" ht="18" customHeight="1" x14ac:dyDescent="0.25">
      <c r="A948" s="229" t="s">
        <v>123</v>
      </c>
      <c r="B948" s="926" t="s">
        <v>1387</v>
      </c>
      <c r="C948" s="836" t="s">
        <v>231</v>
      </c>
      <c r="D948" s="836"/>
      <c r="E948" s="836"/>
      <c r="F948" s="834"/>
      <c r="G948" s="131" t="s">
        <v>232</v>
      </c>
      <c r="H948" s="101"/>
      <c r="I948" s="102">
        <v>20000</v>
      </c>
      <c r="J948" s="101"/>
      <c r="K948" s="101">
        <v>20000</v>
      </c>
      <c r="L948" s="101"/>
      <c r="M948" s="10"/>
      <c r="N948" s="10"/>
      <c r="O948"/>
      <c r="P948"/>
    </row>
    <row r="949" spans="1:16" s="146" customFormat="1" ht="18" customHeight="1" x14ac:dyDescent="0.25">
      <c r="A949" s="229" t="s">
        <v>123</v>
      </c>
      <c r="B949" s="926" t="s">
        <v>1387</v>
      </c>
      <c r="C949" s="859" t="s">
        <v>147</v>
      </c>
      <c r="D949" s="836"/>
      <c r="E949" s="836"/>
      <c r="F949" s="834"/>
      <c r="G949" s="131" t="s">
        <v>148</v>
      </c>
      <c r="H949" s="101"/>
      <c r="I949" s="102"/>
      <c r="J949" s="101"/>
      <c r="K949" s="101">
        <v>108000</v>
      </c>
      <c r="L949" s="101"/>
      <c r="M949" s="10"/>
      <c r="N949" s="10"/>
      <c r="O949"/>
      <c r="P949"/>
    </row>
    <row r="950" spans="1:16" s="146" customFormat="1" ht="18" customHeight="1" x14ac:dyDescent="0.25">
      <c r="A950" s="229" t="s">
        <v>123</v>
      </c>
      <c r="B950" s="926" t="s">
        <v>1387</v>
      </c>
      <c r="C950" s="836" t="s">
        <v>210</v>
      </c>
      <c r="D950" s="844"/>
      <c r="E950" s="844"/>
      <c r="F950" s="845"/>
      <c r="G950" s="131" t="s">
        <v>464</v>
      </c>
      <c r="H950" s="101">
        <v>335350</v>
      </c>
      <c r="I950" s="102">
        <v>612000</v>
      </c>
      <c r="J950" s="101">
        <v>118850</v>
      </c>
      <c r="K950" s="101">
        <v>612000</v>
      </c>
      <c r="L950" s="101"/>
      <c r="M950" s="10"/>
      <c r="N950" s="10"/>
      <c r="O950"/>
      <c r="P950"/>
    </row>
    <row r="951" spans="1:16" s="146" customFormat="1" ht="36" x14ac:dyDescent="0.25">
      <c r="A951" s="229" t="s">
        <v>123</v>
      </c>
      <c r="B951" s="926" t="s">
        <v>1387</v>
      </c>
      <c r="C951" s="836" t="s">
        <v>211</v>
      </c>
      <c r="D951" s="836"/>
      <c r="E951" s="836"/>
      <c r="F951" s="834"/>
      <c r="G951" s="131" t="s">
        <v>212</v>
      </c>
      <c r="H951" s="101">
        <v>46733.08</v>
      </c>
      <c r="I951" s="102">
        <v>61200</v>
      </c>
      <c r="J951" s="101">
        <v>16654.900000000001</v>
      </c>
      <c r="K951" s="101">
        <v>61200</v>
      </c>
      <c r="L951" s="101"/>
      <c r="M951" s="10"/>
      <c r="N951" s="10"/>
      <c r="O951"/>
      <c r="P951"/>
    </row>
    <row r="952" spans="1:16" s="146" customFormat="1" ht="18" customHeight="1" x14ac:dyDescent="0.25">
      <c r="A952" s="229" t="s">
        <v>123</v>
      </c>
      <c r="B952" s="926" t="s">
        <v>1387</v>
      </c>
      <c r="C952" s="836" t="s">
        <v>149</v>
      </c>
      <c r="D952" s="836"/>
      <c r="E952" s="836"/>
      <c r="F952" s="834"/>
      <c r="G952" s="131" t="s">
        <v>150</v>
      </c>
      <c r="H952" s="101">
        <v>2069070.65</v>
      </c>
      <c r="I952" s="102">
        <v>2524277.9700000002</v>
      </c>
      <c r="J952" s="101">
        <v>871451.5</v>
      </c>
      <c r="K952" s="101">
        <v>2810470.58</v>
      </c>
      <c r="L952" s="101"/>
      <c r="M952" s="10"/>
      <c r="N952" s="10"/>
      <c r="O952"/>
      <c r="P952"/>
    </row>
    <row r="953" spans="1:16" s="146" customFormat="1" ht="54" x14ac:dyDescent="0.25">
      <c r="A953" s="229" t="s">
        <v>123</v>
      </c>
      <c r="B953" s="926" t="s">
        <v>1387</v>
      </c>
      <c r="C953" s="836" t="s">
        <v>153</v>
      </c>
      <c r="D953" s="836"/>
      <c r="E953" s="836"/>
      <c r="F953" s="834"/>
      <c r="G953" s="131" t="s">
        <v>154</v>
      </c>
      <c r="H953" s="101">
        <v>1036447.13</v>
      </c>
      <c r="I953" s="102">
        <v>976315.32</v>
      </c>
      <c r="J953" s="101">
        <v>640802.73</v>
      </c>
      <c r="K953" s="101">
        <v>1064012.96</v>
      </c>
      <c r="L953" s="101">
        <v>181975.71</v>
      </c>
      <c r="M953" s="10"/>
      <c r="N953" s="10"/>
      <c r="O953"/>
      <c r="P953"/>
    </row>
    <row r="954" spans="1:16" s="146" customFormat="1" ht="18" customHeight="1" x14ac:dyDescent="0.25">
      <c r="A954" s="229" t="s">
        <v>123</v>
      </c>
      <c r="B954" s="926" t="s">
        <v>1387</v>
      </c>
      <c r="C954" s="834" t="s">
        <v>155</v>
      </c>
      <c r="D954" s="835"/>
      <c r="E954" s="835"/>
      <c r="F954" s="835"/>
      <c r="G954" s="131" t="s">
        <v>156</v>
      </c>
      <c r="H954" s="101">
        <v>33600</v>
      </c>
      <c r="I954" s="102">
        <v>43200</v>
      </c>
      <c r="J954" s="101">
        <v>20000</v>
      </c>
      <c r="K954" s="101">
        <v>43200</v>
      </c>
      <c r="L954" s="101"/>
      <c r="M954" s="10"/>
      <c r="N954" s="10"/>
      <c r="O954"/>
      <c r="P954"/>
    </row>
    <row r="955" spans="1:16" s="146" customFormat="1" ht="18" customHeight="1" x14ac:dyDescent="0.25">
      <c r="A955" s="229" t="s">
        <v>123</v>
      </c>
      <c r="B955" s="926" t="s">
        <v>1387</v>
      </c>
      <c r="C955" s="836" t="s">
        <v>157</v>
      </c>
      <c r="D955" s="836"/>
      <c r="E955" s="836"/>
      <c r="F955" s="834"/>
      <c r="G955" s="131" t="s">
        <v>158</v>
      </c>
      <c r="H955" s="101">
        <v>124832.06</v>
      </c>
      <c r="I955" s="102">
        <v>197948.85</v>
      </c>
      <c r="J955" s="101">
        <v>77183.490000000005</v>
      </c>
      <c r="K955" s="101">
        <v>503974.24</v>
      </c>
      <c r="L955" s="101"/>
      <c r="M955" s="10"/>
      <c r="N955" s="10"/>
      <c r="O955"/>
      <c r="P955"/>
    </row>
    <row r="956" spans="1:16" s="146" customFormat="1" ht="36" x14ac:dyDescent="0.25">
      <c r="A956" s="229" t="s">
        <v>123</v>
      </c>
      <c r="B956" s="926" t="s">
        <v>1387</v>
      </c>
      <c r="C956" s="836" t="s">
        <v>159</v>
      </c>
      <c r="D956" s="836"/>
      <c r="E956" s="836"/>
      <c r="F956" s="834"/>
      <c r="G956" s="131" t="s">
        <v>160</v>
      </c>
      <c r="H956" s="101">
        <v>33600</v>
      </c>
      <c r="I956" s="102">
        <v>43200</v>
      </c>
      <c r="J956" s="101">
        <v>20000</v>
      </c>
      <c r="K956" s="101">
        <v>43200</v>
      </c>
      <c r="L956" s="101"/>
      <c r="M956" s="10"/>
      <c r="N956" s="10"/>
      <c r="O956"/>
      <c r="P956"/>
    </row>
    <row r="957" spans="1:16" s="146" customFormat="1" ht="18" customHeight="1" x14ac:dyDescent="0.25">
      <c r="A957" s="388" t="s">
        <v>123</v>
      </c>
      <c r="B957" s="926" t="s">
        <v>1387</v>
      </c>
      <c r="C957" s="836" t="s">
        <v>124</v>
      </c>
      <c r="D957" s="836"/>
      <c r="E957" s="836"/>
      <c r="F957" s="834"/>
      <c r="G957" s="131" t="s">
        <v>125</v>
      </c>
      <c r="H957" s="101">
        <v>1624248</v>
      </c>
      <c r="I957" s="102">
        <v>2100000</v>
      </c>
      <c r="J957" s="101">
        <v>1168016.51</v>
      </c>
      <c r="K957" s="101">
        <v>2269440</v>
      </c>
      <c r="L957" s="101"/>
      <c r="M957" s="10"/>
      <c r="N957" s="10"/>
      <c r="O957"/>
      <c r="P957"/>
    </row>
    <row r="958" spans="1:16" s="146" customFormat="1" ht="36" x14ac:dyDescent="0.25">
      <c r="A958" s="388" t="s">
        <v>123</v>
      </c>
      <c r="B958" s="926" t="s">
        <v>1387</v>
      </c>
      <c r="C958" s="836" t="s">
        <v>126</v>
      </c>
      <c r="D958" s="836"/>
      <c r="E958" s="836"/>
      <c r="F958" s="834"/>
      <c r="G958" s="131" t="s">
        <v>127</v>
      </c>
      <c r="H958" s="101">
        <v>580029.81999999995</v>
      </c>
      <c r="I958" s="102">
        <v>680340</v>
      </c>
      <c r="J958" s="101">
        <v>286774.40000000002</v>
      </c>
      <c r="K958" s="102">
        <v>750636</v>
      </c>
      <c r="L958" s="101"/>
      <c r="M958" s="10"/>
      <c r="N958" s="10"/>
      <c r="O958"/>
      <c r="P958"/>
    </row>
    <row r="959" spans="1:16" s="146" customFormat="1" ht="36" x14ac:dyDescent="0.25">
      <c r="A959" s="388" t="s">
        <v>123</v>
      </c>
      <c r="B959" s="926" t="s">
        <v>1387</v>
      </c>
      <c r="C959" s="836" t="s">
        <v>128</v>
      </c>
      <c r="D959" s="836"/>
      <c r="E959" s="836"/>
      <c r="F959" s="834"/>
      <c r="G959" s="131" t="s">
        <v>125</v>
      </c>
      <c r="H959" s="101"/>
      <c r="I959" s="102">
        <v>4395</v>
      </c>
      <c r="J959" s="101"/>
      <c r="K959" s="101">
        <v>3173.91</v>
      </c>
      <c r="L959" s="101"/>
      <c r="M959" s="10"/>
      <c r="N959" s="10"/>
      <c r="O959"/>
      <c r="P959"/>
    </row>
    <row r="960" spans="1:16" ht="18" customHeight="1" x14ac:dyDescent="0.25">
      <c r="A960" s="388" t="s">
        <v>123</v>
      </c>
      <c r="B960" s="926" t="s">
        <v>1387</v>
      </c>
      <c r="C960" s="836" t="s">
        <v>129</v>
      </c>
      <c r="D960" s="836"/>
      <c r="E960" s="836"/>
      <c r="F960" s="834"/>
      <c r="G960" s="132" t="s">
        <v>130</v>
      </c>
      <c r="H960" s="101">
        <v>162453.68</v>
      </c>
      <c r="I960" s="102">
        <v>264000</v>
      </c>
      <c r="J960" s="101">
        <v>124727.25</v>
      </c>
      <c r="K960" s="101">
        <v>264000</v>
      </c>
      <c r="L960" s="101"/>
    </row>
    <row r="961" spans="1:16" ht="18" customHeight="1" x14ac:dyDescent="0.25">
      <c r="A961" s="388" t="s">
        <v>123</v>
      </c>
      <c r="B961" s="926" t="s">
        <v>1387</v>
      </c>
      <c r="C961" s="836" t="s">
        <v>131</v>
      </c>
      <c r="D961" s="836"/>
      <c r="E961" s="836"/>
      <c r="F961" s="834"/>
      <c r="G961" s="131" t="s">
        <v>132</v>
      </c>
      <c r="H961" s="101">
        <v>72000</v>
      </c>
      <c r="I961" s="102">
        <v>72000</v>
      </c>
      <c r="J961" s="101">
        <v>39000</v>
      </c>
      <c r="K961" s="101">
        <v>72000</v>
      </c>
      <c r="L961" s="101"/>
    </row>
    <row r="962" spans="1:16" ht="18" customHeight="1" x14ac:dyDescent="0.25">
      <c r="A962" s="388" t="s">
        <v>123</v>
      </c>
      <c r="B962" s="926" t="s">
        <v>1387</v>
      </c>
      <c r="C962" s="836" t="s">
        <v>133</v>
      </c>
      <c r="D962" s="836"/>
      <c r="E962" s="836"/>
      <c r="F962" s="834"/>
      <c r="G962" s="131" t="s">
        <v>134</v>
      </c>
      <c r="H962" s="101">
        <v>72000</v>
      </c>
      <c r="I962" s="102">
        <v>72000</v>
      </c>
      <c r="J962" s="101">
        <v>39000</v>
      </c>
      <c r="K962" s="101">
        <v>72000</v>
      </c>
      <c r="L962" s="101"/>
    </row>
    <row r="963" spans="1:16" ht="18" customHeight="1" x14ac:dyDescent="0.25">
      <c r="A963" s="388" t="s">
        <v>123</v>
      </c>
      <c r="B963" s="926" t="s">
        <v>1387</v>
      </c>
      <c r="C963" s="836" t="s">
        <v>135</v>
      </c>
      <c r="D963" s="836"/>
      <c r="E963" s="836"/>
      <c r="F963" s="834"/>
      <c r="G963" s="131" t="s">
        <v>136</v>
      </c>
      <c r="H963" s="105">
        <v>56675.87</v>
      </c>
      <c r="I963" s="106">
        <v>320640</v>
      </c>
      <c r="J963" s="105">
        <v>2720.98</v>
      </c>
      <c r="K963" s="106">
        <v>320640</v>
      </c>
      <c r="L963" s="105"/>
    </row>
    <row r="964" spans="1:16" ht="18" customHeight="1" x14ac:dyDescent="0.25">
      <c r="A964" s="388" t="s">
        <v>123</v>
      </c>
      <c r="B964" s="926" t="s">
        <v>1387</v>
      </c>
      <c r="C964" s="836" t="s">
        <v>137</v>
      </c>
      <c r="D964" s="836"/>
      <c r="E964" s="836"/>
      <c r="F964" s="834"/>
      <c r="G964" s="131" t="s">
        <v>138</v>
      </c>
      <c r="H964" s="101">
        <v>30000</v>
      </c>
      <c r="I964" s="102">
        <v>66000</v>
      </c>
      <c r="J964" s="101">
        <v>48000</v>
      </c>
      <c r="K964" s="101">
        <v>66000</v>
      </c>
      <c r="L964" s="101"/>
    </row>
    <row r="965" spans="1:16" ht="18" customHeight="1" x14ac:dyDescent="0.25">
      <c r="A965" s="388" t="s">
        <v>123</v>
      </c>
      <c r="B965" s="926" t="s">
        <v>1387</v>
      </c>
      <c r="C965" s="836" t="s">
        <v>139</v>
      </c>
      <c r="D965" s="836"/>
      <c r="E965" s="836"/>
      <c r="F965" s="834"/>
      <c r="G965" s="131" t="s">
        <v>140</v>
      </c>
      <c r="H965" s="101">
        <v>179630</v>
      </c>
      <c r="I965" s="102">
        <v>231821</v>
      </c>
      <c r="J965" s="101">
        <v>186601</v>
      </c>
      <c r="K965" s="101">
        <v>251998</v>
      </c>
      <c r="L965" s="101"/>
    </row>
    <row r="966" spans="1:16" ht="18" customHeight="1" x14ac:dyDescent="0.25">
      <c r="A966" s="388" t="s">
        <v>123</v>
      </c>
      <c r="B966" s="926" t="s">
        <v>1387</v>
      </c>
      <c r="C966" s="836" t="s">
        <v>141</v>
      </c>
      <c r="D966" s="836"/>
      <c r="E966" s="836"/>
      <c r="F966" s="834"/>
      <c r="G966" s="131" t="s">
        <v>142</v>
      </c>
      <c r="H966" s="101">
        <v>179630</v>
      </c>
      <c r="I966" s="102">
        <v>231821</v>
      </c>
      <c r="J966" s="101"/>
      <c r="K966" s="101">
        <v>251998</v>
      </c>
      <c r="L966" s="101"/>
    </row>
    <row r="967" spans="1:16" ht="18" customHeight="1" x14ac:dyDescent="0.25">
      <c r="A967" s="388" t="s">
        <v>123</v>
      </c>
      <c r="B967" s="926" t="s">
        <v>1387</v>
      </c>
      <c r="C967" s="836" t="s">
        <v>143</v>
      </c>
      <c r="D967" s="836"/>
      <c r="E967" s="836"/>
      <c r="F967" s="834"/>
      <c r="G967" s="131" t="s">
        <v>144</v>
      </c>
      <c r="H967" s="101">
        <v>40000</v>
      </c>
      <c r="I967" s="102">
        <v>55000</v>
      </c>
      <c r="J967" s="101"/>
      <c r="K967" s="101">
        <v>55000</v>
      </c>
      <c r="L967" s="101"/>
    </row>
    <row r="968" spans="1:16" s="146" customFormat="1" ht="18" customHeight="1" x14ac:dyDescent="0.25">
      <c r="A968" s="388" t="s">
        <v>123</v>
      </c>
      <c r="B968" s="926" t="s">
        <v>1387</v>
      </c>
      <c r="C968" s="836" t="s">
        <v>145</v>
      </c>
      <c r="D968" s="836"/>
      <c r="E968" s="836"/>
      <c r="F968" s="834"/>
      <c r="G968" s="131" t="s">
        <v>146</v>
      </c>
      <c r="H968" s="101">
        <v>40000</v>
      </c>
      <c r="I968" s="102">
        <v>55000</v>
      </c>
      <c r="J968" s="101"/>
      <c r="K968" s="101">
        <v>55000</v>
      </c>
      <c r="L968" s="101"/>
      <c r="M968" s="10"/>
      <c r="N968" s="10"/>
      <c r="O968"/>
      <c r="P968"/>
    </row>
    <row r="969" spans="1:16" s="146" customFormat="1" ht="18" customHeight="1" x14ac:dyDescent="0.25">
      <c r="A969" s="388" t="s">
        <v>123</v>
      </c>
      <c r="B969" s="926" t="s">
        <v>1387</v>
      </c>
      <c r="C969" s="836" t="s">
        <v>231</v>
      </c>
      <c r="D969" s="836"/>
      <c r="E969" s="836"/>
      <c r="F969" s="834"/>
      <c r="G969" s="131" t="s">
        <v>232</v>
      </c>
      <c r="H969" s="101">
        <v>0</v>
      </c>
      <c r="I969" s="102">
        <v>0</v>
      </c>
      <c r="J969" s="101"/>
      <c r="K969" s="101">
        <v>10000</v>
      </c>
      <c r="L969" s="101"/>
      <c r="M969" s="10"/>
      <c r="N969" s="10"/>
      <c r="O969"/>
      <c r="P969"/>
    </row>
    <row r="970" spans="1:16" s="146" customFormat="1" ht="18" customHeight="1" x14ac:dyDescent="0.25">
      <c r="A970" s="388" t="s">
        <v>123</v>
      </c>
      <c r="B970" s="926" t="s">
        <v>1387</v>
      </c>
      <c r="C970" s="859" t="s">
        <v>147</v>
      </c>
      <c r="D970" s="836"/>
      <c r="E970" s="836"/>
      <c r="F970" s="834"/>
      <c r="G970" s="131" t="s">
        <v>148</v>
      </c>
      <c r="H970" s="101"/>
      <c r="I970" s="102"/>
      <c r="J970" s="101"/>
      <c r="K970" s="101">
        <v>33000</v>
      </c>
      <c r="L970" s="101"/>
      <c r="M970" s="10"/>
      <c r="N970" s="10"/>
      <c r="O970"/>
      <c r="P970"/>
    </row>
    <row r="971" spans="1:16" s="146" customFormat="1" ht="18" customHeight="1" x14ac:dyDescent="0.25">
      <c r="A971" s="388" t="s">
        <v>123</v>
      </c>
      <c r="B971" s="926" t="s">
        <v>1387</v>
      </c>
      <c r="C971" s="836" t="s">
        <v>210</v>
      </c>
      <c r="D971" s="836"/>
      <c r="E971" s="836"/>
      <c r="F971" s="834"/>
      <c r="G971" s="131" t="s">
        <v>464</v>
      </c>
      <c r="H971" s="101">
        <v>21150</v>
      </c>
      <c r="I971" s="102">
        <v>54000</v>
      </c>
      <c r="J971" s="101">
        <v>8450</v>
      </c>
      <c r="K971" s="101">
        <v>54000</v>
      </c>
      <c r="L971" s="101"/>
      <c r="M971" s="10"/>
      <c r="N971" s="10"/>
      <c r="O971"/>
      <c r="P971"/>
    </row>
    <row r="972" spans="1:16" s="146" customFormat="1" ht="18" customHeight="1" x14ac:dyDescent="0.25">
      <c r="A972" s="388" t="s">
        <v>123</v>
      </c>
      <c r="B972" s="926" t="s">
        <v>1387</v>
      </c>
      <c r="C972" s="836" t="s">
        <v>153</v>
      </c>
      <c r="D972" s="836"/>
      <c r="E972" s="836"/>
      <c r="F972" s="834"/>
      <c r="G972" s="131" t="s">
        <v>154</v>
      </c>
      <c r="H972" s="101">
        <v>235633.2</v>
      </c>
      <c r="I972" s="102">
        <v>334168.2</v>
      </c>
      <c r="J972" s="101">
        <v>175241.37</v>
      </c>
      <c r="K972" s="101">
        <v>362789.99</v>
      </c>
      <c r="L972" s="101"/>
      <c r="M972" s="10"/>
      <c r="N972" s="10"/>
      <c r="O972"/>
      <c r="P972"/>
    </row>
    <row r="973" spans="1:16" s="146" customFormat="1" ht="18" customHeight="1" x14ac:dyDescent="0.25">
      <c r="A973" s="388" t="s">
        <v>123</v>
      </c>
      <c r="B973" s="926" t="s">
        <v>1387</v>
      </c>
      <c r="C973" s="836" t="s">
        <v>155</v>
      </c>
      <c r="D973" s="836"/>
      <c r="E973" s="836"/>
      <c r="F973" s="834"/>
      <c r="G973" s="131" t="s">
        <v>156</v>
      </c>
      <c r="H973" s="101">
        <v>8100</v>
      </c>
      <c r="I973" s="102">
        <v>13200</v>
      </c>
      <c r="J973" s="101">
        <v>6600</v>
      </c>
      <c r="K973" s="101">
        <v>13200</v>
      </c>
      <c r="L973" s="101"/>
      <c r="M973" s="10"/>
      <c r="N973" s="10"/>
      <c r="O973"/>
      <c r="P973"/>
    </row>
    <row r="974" spans="1:16" s="146" customFormat="1" ht="18" customHeight="1" x14ac:dyDescent="0.25">
      <c r="A974" s="388" t="s">
        <v>123</v>
      </c>
      <c r="B974" s="926" t="s">
        <v>1387</v>
      </c>
      <c r="C974" s="836" t="s">
        <v>157</v>
      </c>
      <c r="D974" s="836"/>
      <c r="E974" s="836"/>
      <c r="F974" s="834"/>
      <c r="G974" s="131" t="s">
        <v>158</v>
      </c>
      <c r="H974" s="101">
        <v>25728.51</v>
      </c>
      <c r="I974" s="102">
        <v>46828.480000000003</v>
      </c>
      <c r="J974" s="101">
        <v>20560.78</v>
      </c>
      <c r="K974" s="105">
        <v>119430.96</v>
      </c>
      <c r="L974" s="101"/>
      <c r="M974" s="10"/>
      <c r="N974" s="10"/>
      <c r="O974"/>
      <c r="P974"/>
    </row>
    <row r="975" spans="1:16" s="194" customFormat="1" ht="18" customHeight="1" x14ac:dyDescent="0.25">
      <c r="A975" s="388" t="s">
        <v>123</v>
      </c>
      <c r="B975" s="926" t="s">
        <v>1387</v>
      </c>
      <c r="C975" s="856" t="s">
        <v>159</v>
      </c>
      <c r="D975" s="856"/>
      <c r="E975" s="856"/>
      <c r="F975" s="856"/>
      <c r="G975" s="131" t="s">
        <v>160</v>
      </c>
      <c r="H975" s="101">
        <v>8100</v>
      </c>
      <c r="I975" s="102">
        <v>13200</v>
      </c>
      <c r="J975" s="112">
        <v>6600</v>
      </c>
      <c r="K975" s="121">
        <v>13200</v>
      </c>
      <c r="L975" s="112"/>
      <c r="M975" s="10"/>
      <c r="N975" s="10"/>
      <c r="O975" s="191"/>
      <c r="P975" s="191"/>
    </row>
    <row r="976" spans="1:16" s="194" customFormat="1" ht="18" customHeight="1" x14ac:dyDescent="0.25">
      <c r="A976" s="48" t="s">
        <v>123</v>
      </c>
      <c r="B976" s="926" t="s">
        <v>1388</v>
      </c>
      <c r="C976" s="836" t="s">
        <v>124</v>
      </c>
      <c r="D976" s="836"/>
      <c r="E976" s="856"/>
      <c r="F976" s="856"/>
      <c r="G976" s="131" t="s">
        <v>125</v>
      </c>
      <c r="H976" s="101">
        <v>3092279</v>
      </c>
      <c r="I976" s="102">
        <v>6378036</v>
      </c>
      <c r="J976" s="112">
        <v>2211426.2000000002</v>
      </c>
      <c r="K976" s="101">
        <v>6989580</v>
      </c>
      <c r="L976" s="112"/>
      <c r="M976" s="10"/>
      <c r="N976" s="10"/>
      <c r="O976" s="191"/>
      <c r="P976" s="191"/>
    </row>
    <row r="977" spans="1:16" s="194" customFormat="1" ht="18" customHeight="1" x14ac:dyDescent="0.25">
      <c r="A977" s="48" t="s">
        <v>123</v>
      </c>
      <c r="B977" s="926" t="s">
        <v>1388</v>
      </c>
      <c r="C977" s="836" t="s">
        <v>126</v>
      </c>
      <c r="D977" s="836"/>
      <c r="E977" s="856"/>
      <c r="F977" s="856"/>
      <c r="G977" s="131" t="s">
        <v>127</v>
      </c>
      <c r="H977" s="101">
        <v>150179.91</v>
      </c>
      <c r="I977" s="102">
        <v>265104</v>
      </c>
      <c r="J977" s="112">
        <v>70776.45</v>
      </c>
      <c r="K977" s="101">
        <v>287856</v>
      </c>
      <c r="L977" s="112"/>
      <c r="M977" s="10"/>
      <c r="N977" s="10">
        <f>115000*2</f>
        <v>230000</v>
      </c>
      <c r="O977" s="191"/>
      <c r="P977" s="191"/>
    </row>
    <row r="978" spans="1:16" s="194" customFormat="1" ht="18" customHeight="1" x14ac:dyDescent="0.25">
      <c r="A978" s="48" t="s">
        <v>123</v>
      </c>
      <c r="B978" s="926" t="s">
        <v>1388</v>
      </c>
      <c r="C978" s="836" t="s">
        <v>128</v>
      </c>
      <c r="D978" s="836"/>
      <c r="E978" s="856"/>
      <c r="F978" s="857"/>
      <c r="G978" s="131" t="s">
        <v>125</v>
      </c>
      <c r="H978" s="101">
        <v>0</v>
      </c>
      <c r="I978" s="102">
        <v>9644</v>
      </c>
      <c r="J978" s="112"/>
      <c r="K978" s="101">
        <v>4031.63</v>
      </c>
      <c r="L978" s="112"/>
      <c r="M978" s="10"/>
      <c r="N978" s="10"/>
      <c r="O978" s="191"/>
      <c r="P978" s="191"/>
    </row>
    <row r="979" spans="1:16" s="194" customFormat="1" ht="18" customHeight="1" x14ac:dyDescent="0.25">
      <c r="A979" s="48" t="s">
        <v>123</v>
      </c>
      <c r="B979" s="926" t="s">
        <v>1388</v>
      </c>
      <c r="C979" s="836" t="s">
        <v>129</v>
      </c>
      <c r="D979" s="836"/>
      <c r="E979" s="836"/>
      <c r="F979" s="834"/>
      <c r="G979" s="132" t="s">
        <v>130</v>
      </c>
      <c r="H979" s="101">
        <v>422545.45</v>
      </c>
      <c r="I979" s="102">
        <v>720000</v>
      </c>
      <c r="J979" s="112">
        <v>268363.63</v>
      </c>
      <c r="K979" s="101">
        <v>720000</v>
      </c>
      <c r="L979" s="111"/>
      <c r="M979" s="10"/>
      <c r="N979" s="10"/>
      <c r="O979" s="191"/>
      <c r="P979" s="191"/>
    </row>
    <row r="980" spans="1:16" s="194" customFormat="1" ht="18" customHeight="1" x14ac:dyDescent="0.25">
      <c r="A980" s="48" t="s">
        <v>123</v>
      </c>
      <c r="B980" s="926" t="s">
        <v>1388</v>
      </c>
      <c r="C980" s="836" t="s">
        <v>131</v>
      </c>
      <c r="D980" s="836"/>
      <c r="E980" s="836"/>
      <c r="F980" s="834"/>
      <c r="G980" s="131" t="s">
        <v>132</v>
      </c>
      <c r="H980" s="101">
        <v>72000</v>
      </c>
      <c r="I980" s="102">
        <v>72000</v>
      </c>
      <c r="J980" s="112">
        <v>42000</v>
      </c>
      <c r="K980" s="101">
        <v>72000</v>
      </c>
      <c r="L980" s="111"/>
      <c r="M980" s="10"/>
      <c r="N980" s="10"/>
      <c r="O980" s="191"/>
      <c r="P980" s="191"/>
    </row>
    <row r="981" spans="1:16" s="194" customFormat="1" ht="18" customHeight="1" x14ac:dyDescent="0.25">
      <c r="A981" s="48" t="s">
        <v>123</v>
      </c>
      <c r="B981" s="926" t="s">
        <v>1388</v>
      </c>
      <c r="C981" s="836" t="s">
        <v>133</v>
      </c>
      <c r="D981" s="836"/>
      <c r="E981" s="836"/>
      <c r="F981" s="834"/>
      <c r="G981" s="131" t="s">
        <v>134</v>
      </c>
      <c r="H981" s="101">
        <v>72000</v>
      </c>
      <c r="I981" s="102">
        <v>72000</v>
      </c>
      <c r="J981" s="112">
        <v>42000</v>
      </c>
      <c r="K981" s="101">
        <v>72000</v>
      </c>
      <c r="L981" s="111"/>
      <c r="M981" s="10"/>
      <c r="N981" s="10"/>
      <c r="O981" s="191"/>
      <c r="P981" s="191"/>
    </row>
    <row r="982" spans="1:16" s="146" customFormat="1" ht="18" customHeight="1" x14ac:dyDescent="0.25">
      <c r="A982" s="48" t="s">
        <v>123</v>
      </c>
      <c r="B982" s="926" t="s">
        <v>1388</v>
      </c>
      <c r="C982" s="834" t="s">
        <v>135</v>
      </c>
      <c r="D982" s="835"/>
      <c r="E982" s="835"/>
      <c r="F982" s="835"/>
      <c r="G982" s="131" t="s">
        <v>136</v>
      </c>
      <c r="H982" s="101">
        <v>176983.09</v>
      </c>
      <c r="I982" s="102">
        <v>536811.72</v>
      </c>
      <c r="J982" s="101">
        <v>131318.94</v>
      </c>
      <c r="K982" s="102">
        <v>296799.95</v>
      </c>
      <c r="L982" s="101"/>
      <c r="M982" s="10"/>
      <c r="N982" s="10"/>
      <c r="O982"/>
      <c r="P982"/>
    </row>
    <row r="983" spans="1:16" s="146" customFormat="1" ht="18" customHeight="1" x14ac:dyDescent="0.25">
      <c r="A983" s="48" t="s">
        <v>123</v>
      </c>
      <c r="B983" s="926" t="s">
        <v>1388</v>
      </c>
      <c r="C983" s="834" t="s">
        <v>137</v>
      </c>
      <c r="D983" s="835"/>
      <c r="E983" s="835"/>
      <c r="F983" s="835"/>
      <c r="G983" s="131" t="s">
        <v>138</v>
      </c>
      <c r="H983" s="101">
        <v>102000</v>
      </c>
      <c r="I983" s="102">
        <v>180000</v>
      </c>
      <c r="J983" s="101">
        <v>108000</v>
      </c>
      <c r="K983" s="101">
        <v>180000</v>
      </c>
      <c r="L983" s="101"/>
      <c r="M983" s="10"/>
      <c r="N983" s="10"/>
      <c r="O983"/>
      <c r="P983"/>
    </row>
    <row r="984" spans="1:16" s="146" customFormat="1" ht="18" customHeight="1" x14ac:dyDescent="0.25">
      <c r="A984" s="48" t="s">
        <v>123</v>
      </c>
      <c r="B984" s="926" t="s">
        <v>1388</v>
      </c>
      <c r="C984" s="834" t="s">
        <v>139</v>
      </c>
      <c r="D984" s="835"/>
      <c r="E984" s="835"/>
      <c r="F984" s="835"/>
      <c r="G984" s="131" t="s">
        <v>140</v>
      </c>
      <c r="H984" s="101">
        <v>268619</v>
      </c>
      <c r="I984" s="102">
        <v>554137</v>
      </c>
      <c r="J984" s="101">
        <v>319500</v>
      </c>
      <c r="K984" s="101">
        <v>606885</v>
      </c>
      <c r="L984" s="101"/>
      <c r="M984" s="10"/>
      <c r="N984" s="10"/>
      <c r="O984"/>
      <c r="P984"/>
    </row>
    <row r="985" spans="1:16" s="146" customFormat="1" ht="18" customHeight="1" x14ac:dyDescent="0.25">
      <c r="A985" s="48" t="s">
        <v>123</v>
      </c>
      <c r="B985" s="926" t="s">
        <v>1388</v>
      </c>
      <c r="C985" s="834" t="s">
        <v>141</v>
      </c>
      <c r="D985" s="835"/>
      <c r="E985" s="835"/>
      <c r="F985" s="835"/>
      <c r="G985" s="131" t="s">
        <v>142</v>
      </c>
      <c r="H985" s="101">
        <v>268756</v>
      </c>
      <c r="I985" s="102">
        <v>554909</v>
      </c>
      <c r="J985" s="101"/>
      <c r="K985" s="101">
        <v>606885</v>
      </c>
      <c r="L985" s="101"/>
      <c r="M985" s="10"/>
      <c r="N985" s="10"/>
      <c r="O985"/>
      <c r="P985"/>
    </row>
    <row r="986" spans="1:16" s="146" customFormat="1" ht="18" customHeight="1" x14ac:dyDescent="0.25">
      <c r="A986" s="48" t="s">
        <v>123</v>
      </c>
      <c r="B986" s="926" t="s">
        <v>1388</v>
      </c>
      <c r="C986" s="834" t="s">
        <v>143</v>
      </c>
      <c r="D986" s="835"/>
      <c r="E986" s="835"/>
      <c r="F986" s="835"/>
      <c r="G986" s="131" t="s">
        <v>144</v>
      </c>
      <c r="H986" s="101">
        <v>90000</v>
      </c>
      <c r="I986" s="102">
        <v>150000</v>
      </c>
      <c r="J986" s="101"/>
      <c r="K986" s="101">
        <v>150000</v>
      </c>
      <c r="L986" s="101"/>
      <c r="M986" s="10"/>
      <c r="N986" s="10"/>
      <c r="O986"/>
      <c r="P986"/>
    </row>
    <row r="987" spans="1:16" s="146" customFormat="1" ht="18" customHeight="1" x14ac:dyDescent="0.25">
      <c r="A987" s="48" t="s">
        <v>123</v>
      </c>
      <c r="B987" s="926" t="s">
        <v>1388</v>
      </c>
      <c r="C987" s="834" t="s">
        <v>145</v>
      </c>
      <c r="D987" s="835"/>
      <c r="E987" s="835"/>
      <c r="F987" s="835"/>
      <c r="G987" s="131" t="s">
        <v>146</v>
      </c>
      <c r="H987" s="101">
        <v>90000</v>
      </c>
      <c r="I987" s="102">
        <v>150000</v>
      </c>
      <c r="J987" s="101"/>
      <c r="K987" s="101">
        <v>150000</v>
      </c>
      <c r="L987" s="101"/>
      <c r="M987" s="10"/>
      <c r="N987" s="10"/>
      <c r="O987"/>
      <c r="P987"/>
    </row>
    <row r="988" spans="1:16" s="146" customFormat="1" ht="18" x14ac:dyDescent="0.25">
      <c r="A988" s="48" t="s">
        <v>123</v>
      </c>
      <c r="B988" s="926" t="s">
        <v>1388</v>
      </c>
      <c r="C988" s="836" t="s">
        <v>231</v>
      </c>
      <c r="D988" s="836"/>
      <c r="E988" s="836"/>
      <c r="F988" s="834"/>
      <c r="G988" s="131" t="s">
        <v>232</v>
      </c>
      <c r="H988" s="101"/>
      <c r="I988" s="102">
        <v>0</v>
      </c>
      <c r="J988" s="101"/>
      <c r="K988" s="101">
        <v>15000</v>
      </c>
      <c r="L988" s="101"/>
      <c r="M988" s="10"/>
      <c r="N988" s="10"/>
      <c r="O988"/>
      <c r="P988"/>
    </row>
    <row r="989" spans="1:16" s="146" customFormat="1" ht="18" customHeight="1" x14ac:dyDescent="0.25">
      <c r="A989" s="48" t="s">
        <v>123</v>
      </c>
      <c r="B989" s="926" t="s">
        <v>1388</v>
      </c>
      <c r="C989" s="860" t="s">
        <v>147</v>
      </c>
      <c r="D989" s="835"/>
      <c r="E989" s="835"/>
      <c r="F989" s="835"/>
      <c r="G989" s="131" t="s">
        <v>148</v>
      </c>
      <c r="H989" s="101"/>
      <c r="I989" s="102"/>
      <c r="J989" s="101"/>
      <c r="K989" s="101">
        <v>90000</v>
      </c>
      <c r="L989" s="101"/>
      <c r="M989" s="10"/>
      <c r="N989" s="10"/>
      <c r="O989"/>
      <c r="P989"/>
    </row>
    <row r="990" spans="1:16" s="146" customFormat="1" ht="18" customHeight="1" x14ac:dyDescent="0.25">
      <c r="A990" s="48" t="s">
        <v>123</v>
      </c>
      <c r="B990" s="926" t="s">
        <v>1388</v>
      </c>
      <c r="C990" s="834" t="s">
        <v>153</v>
      </c>
      <c r="D990" s="835"/>
      <c r="E990" s="835"/>
      <c r="F990" s="835"/>
      <c r="G990" s="131" t="s">
        <v>154</v>
      </c>
      <c r="H990" s="101">
        <v>381242.88</v>
      </c>
      <c r="I990" s="102">
        <v>798334.08</v>
      </c>
      <c r="J990" s="101">
        <v>272306.09000000003</v>
      </c>
      <c r="K990" s="101">
        <v>873776.12</v>
      </c>
      <c r="L990" s="101"/>
      <c r="M990" s="10"/>
      <c r="N990" s="10"/>
      <c r="O990"/>
      <c r="P990"/>
    </row>
    <row r="991" spans="1:16" s="146" customFormat="1" ht="18" customHeight="1" x14ac:dyDescent="0.25">
      <c r="A991" s="48" t="s">
        <v>123</v>
      </c>
      <c r="B991" s="926" t="s">
        <v>1388</v>
      </c>
      <c r="C991" s="834" t="s">
        <v>155</v>
      </c>
      <c r="D991" s="835"/>
      <c r="E991" s="835"/>
      <c r="F991" s="835"/>
      <c r="G991" s="131" t="s">
        <v>156</v>
      </c>
      <c r="H991" s="101">
        <v>21100</v>
      </c>
      <c r="I991" s="102">
        <v>36000</v>
      </c>
      <c r="J991" s="101">
        <v>13600</v>
      </c>
      <c r="K991" s="101">
        <v>36000</v>
      </c>
      <c r="L991" s="101"/>
      <c r="M991" s="10"/>
      <c r="N991" s="10"/>
      <c r="O991"/>
      <c r="P991"/>
    </row>
    <row r="992" spans="1:16" s="146" customFormat="1" ht="36" x14ac:dyDescent="0.25">
      <c r="A992" s="48" t="s">
        <v>123</v>
      </c>
      <c r="B992" s="926" t="s">
        <v>1388</v>
      </c>
      <c r="C992" s="834" t="s">
        <v>157</v>
      </c>
      <c r="D992" s="835"/>
      <c r="E992" s="835"/>
      <c r="F992" s="835"/>
      <c r="G992" s="131" t="s">
        <v>158</v>
      </c>
      <c r="H992" s="101">
        <v>47573.06</v>
      </c>
      <c r="I992" s="102">
        <v>114830.24</v>
      </c>
      <c r="J992" s="101">
        <v>34804.33</v>
      </c>
      <c r="K992" s="101">
        <v>291221.27</v>
      </c>
      <c r="L992" s="101"/>
      <c r="M992" s="10"/>
      <c r="N992" s="10"/>
      <c r="O992"/>
      <c r="P992"/>
    </row>
    <row r="993" spans="1:16" s="146" customFormat="1" ht="18" customHeight="1" x14ac:dyDescent="0.25">
      <c r="A993" s="48" t="s">
        <v>123</v>
      </c>
      <c r="B993" s="926" t="s">
        <v>1388</v>
      </c>
      <c r="C993" s="834" t="s">
        <v>159</v>
      </c>
      <c r="D993" s="835"/>
      <c r="E993" s="835"/>
      <c r="F993" s="835"/>
      <c r="G993" s="131" t="s">
        <v>160</v>
      </c>
      <c r="H993" s="101">
        <v>21100</v>
      </c>
      <c r="I993" s="102">
        <v>36000</v>
      </c>
      <c r="J993" s="101">
        <v>13600</v>
      </c>
      <c r="K993" s="101">
        <v>36000</v>
      </c>
      <c r="L993" s="101"/>
      <c r="M993" s="10"/>
      <c r="N993" s="10"/>
      <c r="O993"/>
      <c r="P993"/>
    </row>
    <row r="994" spans="1:16" s="146" customFormat="1" ht="54" x14ac:dyDescent="0.25">
      <c r="A994" s="136" t="s">
        <v>123</v>
      </c>
      <c r="B994" s="926" t="s">
        <v>1388</v>
      </c>
      <c r="C994" s="836" t="s">
        <v>124</v>
      </c>
      <c r="D994" s="836"/>
      <c r="E994" s="836"/>
      <c r="F994" s="834"/>
      <c r="G994" s="131" t="s">
        <v>125</v>
      </c>
      <c r="H994" s="101">
        <v>1262292</v>
      </c>
      <c r="I994" s="102">
        <v>1262292</v>
      </c>
      <c r="J994" s="101">
        <v>754831</v>
      </c>
      <c r="K994" s="101">
        <v>1325712</v>
      </c>
      <c r="L994" s="101"/>
      <c r="M994" s="10"/>
      <c r="N994" s="10"/>
      <c r="O994"/>
      <c r="P994"/>
    </row>
    <row r="995" spans="1:16" s="146" customFormat="1" ht="18" customHeight="1" x14ac:dyDescent="0.25">
      <c r="A995" s="136" t="s">
        <v>123</v>
      </c>
      <c r="B995" s="926" t="s">
        <v>1388</v>
      </c>
      <c r="C995" s="834" t="s">
        <v>128</v>
      </c>
      <c r="D995" s="835"/>
      <c r="E995" s="835"/>
      <c r="F995" s="835"/>
      <c r="G995" s="131" t="s">
        <v>125</v>
      </c>
      <c r="H995" s="101">
        <v>0</v>
      </c>
      <c r="I995" s="102">
        <v>0</v>
      </c>
      <c r="J995" s="101"/>
      <c r="K995" s="101">
        <v>2634</v>
      </c>
      <c r="L995" s="101"/>
      <c r="M995" s="10"/>
      <c r="N995" s="10"/>
      <c r="O995"/>
      <c r="P995"/>
    </row>
    <row r="996" spans="1:16" s="146" customFormat="1" ht="18" customHeight="1" x14ac:dyDescent="0.25">
      <c r="A996" s="136" t="s">
        <v>123</v>
      </c>
      <c r="B996" s="926" t="s">
        <v>1388</v>
      </c>
      <c r="C996" s="834" t="s">
        <v>129</v>
      </c>
      <c r="D996" s="835"/>
      <c r="E996" s="835"/>
      <c r="F996" s="835"/>
      <c r="G996" s="132" t="s">
        <v>130</v>
      </c>
      <c r="H996" s="101">
        <v>72000</v>
      </c>
      <c r="I996" s="102">
        <v>72000</v>
      </c>
      <c r="J996" s="101">
        <v>42000</v>
      </c>
      <c r="K996" s="101">
        <v>72000</v>
      </c>
      <c r="L996" s="101"/>
      <c r="M996" s="10"/>
      <c r="N996" s="10"/>
      <c r="O996"/>
      <c r="P996"/>
    </row>
    <row r="997" spans="1:16" s="146" customFormat="1" ht="18" customHeight="1" x14ac:dyDescent="0.25">
      <c r="A997" s="136" t="s">
        <v>123</v>
      </c>
      <c r="B997" s="926" t="s">
        <v>1388</v>
      </c>
      <c r="C997" s="834" t="s">
        <v>131</v>
      </c>
      <c r="D997" s="835"/>
      <c r="E997" s="835"/>
      <c r="F997" s="835"/>
      <c r="G997" s="131" t="s">
        <v>132</v>
      </c>
      <c r="H997" s="101">
        <v>70500</v>
      </c>
      <c r="I997" s="102">
        <v>72000</v>
      </c>
      <c r="J997" s="101">
        <v>40500</v>
      </c>
      <c r="K997" s="101">
        <v>72000</v>
      </c>
      <c r="L997" s="101"/>
      <c r="M997" s="10"/>
      <c r="N997" s="10"/>
      <c r="O997"/>
      <c r="P997"/>
    </row>
    <row r="998" spans="1:16" s="146" customFormat="1" ht="18" customHeight="1" x14ac:dyDescent="0.25">
      <c r="A998" s="136" t="s">
        <v>123</v>
      </c>
      <c r="B998" s="926" t="s">
        <v>1388</v>
      </c>
      <c r="C998" s="834" t="s">
        <v>133</v>
      </c>
      <c r="D998" s="835"/>
      <c r="E998" s="835"/>
      <c r="F998" s="835"/>
      <c r="G998" s="131" t="s">
        <v>134</v>
      </c>
      <c r="H998" s="101">
        <v>70500</v>
      </c>
      <c r="I998" s="102">
        <v>72000</v>
      </c>
      <c r="J998" s="101">
        <v>40500</v>
      </c>
      <c r="K998" s="101">
        <v>72000</v>
      </c>
      <c r="L998" s="101"/>
      <c r="M998" s="10"/>
      <c r="N998" s="10"/>
      <c r="O998"/>
      <c r="P998"/>
    </row>
    <row r="999" spans="1:16" s="229" customFormat="1" ht="18" customHeight="1" x14ac:dyDescent="0.25">
      <c r="A999" s="136" t="s">
        <v>123</v>
      </c>
      <c r="B999" s="926" t="s">
        <v>1388</v>
      </c>
      <c r="C999" s="836" t="s">
        <v>135</v>
      </c>
      <c r="D999" s="836"/>
      <c r="E999" s="836"/>
      <c r="F999" s="834"/>
      <c r="G999" s="131" t="s">
        <v>136</v>
      </c>
      <c r="H999" s="101">
        <v>11812.16</v>
      </c>
      <c r="I999" s="102">
        <v>97851.56</v>
      </c>
      <c r="J999" s="101"/>
      <c r="K999" s="101">
        <v>40812.5</v>
      </c>
      <c r="L999" s="101"/>
      <c r="M999" s="207"/>
      <c r="N999" s="207"/>
      <c r="O999" s="212"/>
      <c r="P999" s="212"/>
    </row>
    <row r="1000" spans="1:16" s="229" customFormat="1" ht="18" customHeight="1" x14ac:dyDescent="0.25">
      <c r="A1000" s="136" t="s">
        <v>123</v>
      </c>
      <c r="B1000" s="926" t="s">
        <v>1388</v>
      </c>
      <c r="C1000" s="836" t="s">
        <v>137</v>
      </c>
      <c r="D1000" s="836"/>
      <c r="E1000" s="836"/>
      <c r="F1000" s="834"/>
      <c r="G1000" s="131" t="s">
        <v>138</v>
      </c>
      <c r="H1000" s="101">
        <v>18000</v>
      </c>
      <c r="I1000" s="102">
        <v>18000</v>
      </c>
      <c r="J1000" s="101">
        <v>18000</v>
      </c>
      <c r="K1000" s="101">
        <v>18000</v>
      </c>
      <c r="L1000" s="101"/>
      <c r="M1000" s="207"/>
      <c r="N1000" s="207"/>
      <c r="O1000" s="212"/>
      <c r="P1000" s="212"/>
    </row>
    <row r="1001" spans="1:16" s="229" customFormat="1" ht="18" customHeight="1" x14ac:dyDescent="0.25">
      <c r="A1001" s="136" t="s">
        <v>123</v>
      </c>
      <c r="B1001" s="926" t="s">
        <v>1388</v>
      </c>
      <c r="C1001" s="836" t="s">
        <v>1370</v>
      </c>
      <c r="D1001" s="836"/>
      <c r="E1001" s="836"/>
      <c r="F1001" s="834"/>
      <c r="G1001" s="131" t="s">
        <v>329</v>
      </c>
      <c r="H1001" s="101"/>
      <c r="I1001" s="102"/>
      <c r="J1001" s="101"/>
      <c r="K1001" s="101">
        <v>1801733.3</v>
      </c>
      <c r="L1001" s="101"/>
      <c r="M1001" s="207"/>
      <c r="N1001" s="207"/>
      <c r="O1001" s="212"/>
      <c r="P1001" s="212"/>
    </row>
    <row r="1002" spans="1:16" s="229" customFormat="1" ht="18" customHeight="1" x14ac:dyDescent="0.25">
      <c r="A1002" s="136" t="s">
        <v>123</v>
      </c>
      <c r="B1002" s="926" t="s">
        <v>1388</v>
      </c>
      <c r="C1002" s="836" t="s">
        <v>139</v>
      </c>
      <c r="D1002" s="836"/>
      <c r="E1002" s="836"/>
      <c r="F1002" s="834"/>
      <c r="G1002" s="131" t="s">
        <v>140</v>
      </c>
      <c r="H1002" s="101">
        <v>105191</v>
      </c>
      <c r="I1002" s="102">
        <v>105191</v>
      </c>
      <c r="J1002" s="101">
        <v>107833</v>
      </c>
      <c r="K1002" s="101">
        <v>110707</v>
      </c>
      <c r="L1002" s="101"/>
      <c r="M1002" s="207"/>
      <c r="N1002" s="207"/>
      <c r="O1002" s="212"/>
      <c r="P1002" s="212"/>
    </row>
    <row r="1003" spans="1:16" s="229" customFormat="1" ht="18" customHeight="1" x14ac:dyDescent="0.25">
      <c r="A1003" s="136" t="s">
        <v>123</v>
      </c>
      <c r="B1003" s="926" t="s">
        <v>1388</v>
      </c>
      <c r="C1003" s="836" t="s">
        <v>141</v>
      </c>
      <c r="D1003" s="836"/>
      <c r="E1003" s="836"/>
      <c r="F1003" s="834"/>
      <c r="G1003" s="131" t="s">
        <v>142</v>
      </c>
      <c r="H1003" s="101">
        <v>105191</v>
      </c>
      <c r="I1003" s="102">
        <v>105191</v>
      </c>
      <c r="J1003" s="101"/>
      <c r="K1003" s="101">
        <v>110707</v>
      </c>
      <c r="L1003" s="101"/>
      <c r="M1003" s="207"/>
      <c r="N1003" s="207"/>
      <c r="O1003" s="212"/>
      <c r="P1003" s="212"/>
    </row>
    <row r="1004" spans="1:16" s="229" customFormat="1" ht="18" customHeight="1" x14ac:dyDescent="0.25">
      <c r="A1004" s="136" t="s">
        <v>123</v>
      </c>
      <c r="B1004" s="926" t="s">
        <v>1388</v>
      </c>
      <c r="C1004" s="836" t="s">
        <v>143</v>
      </c>
      <c r="D1004" s="836"/>
      <c r="E1004" s="836"/>
      <c r="F1004" s="834"/>
      <c r="G1004" s="131" t="s">
        <v>144</v>
      </c>
      <c r="H1004" s="101">
        <v>15000</v>
      </c>
      <c r="I1004" s="102">
        <v>15000</v>
      </c>
      <c r="J1004" s="101"/>
      <c r="K1004" s="101">
        <v>15000</v>
      </c>
      <c r="L1004" s="101"/>
      <c r="M1004" s="207"/>
      <c r="N1004" s="207"/>
      <c r="O1004" s="212"/>
      <c r="P1004" s="212"/>
    </row>
    <row r="1005" spans="1:16" s="229" customFormat="1" ht="18" customHeight="1" x14ac:dyDescent="0.25">
      <c r="A1005" s="136" t="s">
        <v>123</v>
      </c>
      <c r="B1005" s="926" t="s">
        <v>1388</v>
      </c>
      <c r="C1005" s="836" t="s">
        <v>145</v>
      </c>
      <c r="D1005" s="836"/>
      <c r="E1005" s="836"/>
      <c r="F1005" s="834"/>
      <c r="G1005" s="131" t="s">
        <v>146</v>
      </c>
      <c r="H1005" s="101">
        <v>15000</v>
      </c>
      <c r="I1005" s="102">
        <v>15000</v>
      </c>
      <c r="J1005" s="101"/>
      <c r="K1005" s="101">
        <v>15000</v>
      </c>
      <c r="L1005" s="101"/>
      <c r="M1005" s="207"/>
      <c r="N1005" s="207"/>
      <c r="O1005" s="212"/>
      <c r="P1005" s="212"/>
    </row>
    <row r="1006" spans="1:16" s="229" customFormat="1" ht="18" customHeight="1" x14ac:dyDescent="0.25">
      <c r="A1006" s="136" t="s">
        <v>123</v>
      </c>
      <c r="B1006" s="926" t="s">
        <v>1388</v>
      </c>
      <c r="C1006" s="859" t="s">
        <v>147</v>
      </c>
      <c r="D1006" s="836"/>
      <c r="E1006" s="836"/>
      <c r="F1006" s="834"/>
      <c r="G1006" s="131" t="s">
        <v>148</v>
      </c>
      <c r="H1006" s="101"/>
      <c r="I1006" s="102"/>
      <c r="J1006" s="101"/>
      <c r="K1006" s="101">
        <v>9000</v>
      </c>
      <c r="L1006" s="101"/>
      <c r="M1006" s="207"/>
      <c r="N1006" s="207"/>
      <c r="O1006" s="212"/>
      <c r="P1006" s="212"/>
    </row>
    <row r="1007" spans="1:16" s="229" customFormat="1" ht="18" customHeight="1" x14ac:dyDescent="0.25">
      <c r="A1007" s="136" t="s">
        <v>123</v>
      </c>
      <c r="B1007" s="926" t="s">
        <v>1388</v>
      </c>
      <c r="C1007" s="836" t="s">
        <v>153</v>
      </c>
      <c r="D1007" s="836"/>
      <c r="E1007" s="836"/>
      <c r="F1007" s="834"/>
      <c r="G1007" s="131" t="s">
        <v>154</v>
      </c>
      <c r="H1007" s="101">
        <v>151475.04</v>
      </c>
      <c r="I1007" s="102">
        <v>151475.04</v>
      </c>
      <c r="J1007" s="101">
        <v>90579.72</v>
      </c>
      <c r="K1007" s="105">
        <v>159401.51999999999</v>
      </c>
      <c r="L1007" s="101"/>
      <c r="M1007" s="207"/>
      <c r="N1007" s="207"/>
      <c r="O1007" s="212"/>
      <c r="P1007" s="212"/>
    </row>
    <row r="1008" spans="1:16" s="146" customFormat="1" ht="18" customHeight="1" x14ac:dyDescent="0.25">
      <c r="A1008" s="136" t="s">
        <v>123</v>
      </c>
      <c r="B1008" s="926" t="s">
        <v>1388</v>
      </c>
      <c r="C1008" s="836" t="s">
        <v>155</v>
      </c>
      <c r="D1008" s="836"/>
      <c r="E1008" s="836"/>
      <c r="F1008" s="834"/>
      <c r="G1008" s="131" t="s">
        <v>156</v>
      </c>
      <c r="H1008" s="101">
        <v>3600</v>
      </c>
      <c r="I1008" s="102">
        <v>3600</v>
      </c>
      <c r="J1008" s="101">
        <v>2100</v>
      </c>
      <c r="K1008" s="101">
        <v>3600</v>
      </c>
      <c r="L1008" s="101"/>
      <c r="M1008" s="10"/>
      <c r="N1008" s="10">
        <f>16000*2</f>
        <v>32000</v>
      </c>
      <c r="O1008"/>
      <c r="P1008"/>
    </row>
    <row r="1009" spans="1:16" s="146" customFormat="1" ht="36" x14ac:dyDescent="0.25">
      <c r="A1009" s="136" t="s">
        <v>123</v>
      </c>
      <c r="B1009" s="926" t="s">
        <v>1388</v>
      </c>
      <c r="C1009" s="836" t="s">
        <v>157</v>
      </c>
      <c r="D1009" s="836"/>
      <c r="E1009" s="836"/>
      <c r="F1009" s="834"/>
      <c r="G1009" s="131" t="s">
        <v>158</v>
      </c>
      <c r="H1009" s="101">
        <v>15309.02</v>
      </c>
      <c r="I1009" s="102">
        <v>19960.5</v>
      </c>
      <c r="J1009" s="101">
        <v>9042.73</v>
      </c>
      <c r="K1009" s="101">
        <v>51561.36</v>
      </c>
      <c r="L1009" s="101"/>
      <c r="M1009" s="10"/>
      <c r="N1009" s="10"/>
      <c r="O1009"/>
      <c r="P1009"/>
    </row>
    <row r="1010" spans="1:16" ht="18" customHeight="1" x14ac:dyDescent="0.25">
      <c r="A1010" s="136" t="s">
        <v>123</v>
      </c>
      <c r="B1010" s="926" t="s">
        <v>1388</v>
      </c>
      <c r="C1010" s="836" t="s">
        <v>159</v>
      </c>
      <c r="D1010" s="836"/>
      <c r="E1010" s="836"/>
      <c r="F1010" s="834"/>
      <c r="G1010" s="131" t="s">
        <v>160</v>
      </c>
      <c r="H1010" s="101">
        <v>3600</v>
      </c>
      <c r="I1010" s="102">
        <v>3600</v>
      </c>
      <c r="J1010" s="101">
        <v>2100</v>
      </c>
      <c r="K1010" s="101">
        <v>3600</v>
      </c>
      <c r="L1010" s="101"/>
    </row>
    <row r="1011" spans="1:16" s="146" customFormat="1" ht="18" customHeight="1" x14ac:dyDescent="0.25">
      <c r="A1011" s="927" t="s">
        <v>123</v>
      </c>
      <c r="B1011" s="926" t="s">
        <v>1388</v>
      </c>
      <c r="C1011" s="834" t="s">
        <v>124</v>
      </c>
      <c r="D1011" s="835"/>
      <c r="E1011" s="835"/>
      <c r="F1011" s="835"/>
      <c r="G1011" s="131" t="s">
        <v>125</v>
      </c>
      <c r="H1011" s="101">
        <v>6156284.6299999999</v>
      </c>
      <c r="I1011" s="102">
        <v>8489460</v>
      </c>
      <c r="J1011" s="101">
        <v>3723223.5</v>
      </c>
      <c r="K1011" s="101">
        <v>9234504</v>
      </c>
      <c r="L1011" s="101"/>
      <c r="M1011" s="10"/>
      <c r="N1011" s="10"/>
      <c r="O1011"/>
      <c r="P1011"/>
    </row>
    <row r="1012" spans="1:16" s="146" customFormat="1" ht="18" customHeight="1" x14ac:dyDescent="0.25">
      <c r="A1012" s="927" t="s">
        <v>123</v>
      </c>
      <c r="B1012" s="926" t="s">
        <v>1388</v>
      </c>
      <c r="C1012" s="834" t="s">
        <v>126</v>
      </c>
      <c r="D1012" s="835"/>
      <c r="E1012" s="835"/>
      <c r="F1012" s="835"/>
      <c r="G1012" s="131" t="s">
        <v>127</v>
      </c>
      <c r="H1012" s="101">
        <v>984154.85</v>
      </c>
      <c r="I1012" s="102">
        <v>1139964</v>
      </c>
      <c r="J1012" s="101">
        <v>409404.63</v>
      </c>
      <c r="K1012" s="101">
        <v>1237056</v>
      </c>
      <c r="L1012" s="101"/>
      <c r="M1012" s="10"/>
      <c r="N1012" s="10"/>
      <c r="O1012"/>
      <c r="P1012"/>
    </row>
    <row r="1013" spans="1:16" s="146" customFormat="1" ht="15" customHeight="1" x14ac:dyDescent="0.25">
      <c r="A1013" s="927" t="s">
        <v>123</v>
      </c>
      <c r="B1013" s="926" t="s">
        <v>1388</v>
      </c>
      <c r="C1013" s="836" t="s">
        <v>128</v>
      </c>
      <c r="D1013" s="836"/>
      <c r="E1013" s="836"/>
      <c r="F1013" s="834"/>
      <c r="G1013" s="131" t="s">
        <v>127</v>
      </c>
      <c r="H1013" s="101"/>
      <c r="I1013" s="102">
        <v>18092.5</v>
      </c>
      <c r="J1013" s="101"/>
      <c r="K1013" s="101">
        <v>9942.7199999999993</v>
      </c>
      <c r="L1013" s="101"/>
      <c r="M1013" s="10"/>
      <c r="N1013" s="10"/>
      <c r="O1013"/>
      <c r="P1013"/>
    </row>
    <row r="1014" spans="1:16" s="146" customFormat="1" ht="18" customHeight="1" x14ac:dyDescent="0.25">
      <c r="A1014" s="927" t="s">
        <v>123</v>
      </c>
      <c r="B1014" s="926" t="s">
        <v>1388</v>
      </c>
      <c r="C1014" s="834" t="s">
        <v>129</v>
      </c>
      <c r="D1014" s="835"/>
      <c r="E1014" s="835"/>
      <c r="F1014" s="835"/>
      <c r="G1014" s="132" t="s">
        <v>130</v>
      </c>
      <c r="H1014" s="101">
        <v>936090.38</v>
      </c>
      <c r="I1014" s="102">
        <v>1296000</v>
      </c>
      <c r="J1014" s="101">
        <v>550272.68000000005</v>
      </c>
      <c r="K1014" s="101">
        <v>1296000</v>
      </c>
      <c r="L1014" s="101"/>
      <c r="M1014" s="10"/>
      <c r="N1014" s="10"/>
      <c r="O1014"/>
      <c r="P1014"/>
    </row>
    <row r="1015" spans="1:16" s="146" customFormat="1" ht="36" x14ac:dyDescent="0.25">
      <c r="A1015" s="927" t="s">
        <v>123</v>
      </c>
      <c r="B1015" s="926" t="s">
        <v>1388</v>
      </c>
      <c r="C1015" s="834" t="s">
        <v>131</v>
      </c>
      <c r="D1015" s="835"/>
      <c r="E1015" s="835"/>
      <c r="F1015" s="835"/>
      <c r="G1015" s="131" t="s">
        <v>132</v>
      </c>
      <c r="H1015" s="101">
        <v>70500</v>
      </c>
      <c r="I1015" s="102">
        <v>72000</v>
      </c>
      <c r="J1015" s="101">
        <v>40500</v>
      </c>
      <c r="K1015" s="101">
        <v>72000</v>
      </c>
      <c r="L1015" s="101"/>
      <c r="M1015" s="10"/>
      <c r="N1015" s="10"/>
      <c r="O1015"/>
      <c r="P1015"/>
    </row>
    <row r="1016" spans="1:16" s="146" customFormat="1" ht="18" customHeight="1" x14ac:dyDescent="0.25">
      <c r="A1016" s="927" t="s">
        <v>123</v>
      </c>
      <c r="B1016" s="926" t="s">
        <v>1388</v>
      </c>
      <c r="C1016" s="834" t="s">
        <v>133</v>
      </c>
      <c r="D1016" s="835"/>
      <c r="E1016" s="835"/>
      <c r="F1016" s="835"/>
      <c r="G1016" s="131" t="s">
        <v>134</v>
      </c>
      <c r="H1016" s="101">
        <v>70500</v>
      </c>
      <c r="I1016" s="102">
        <v>72000</v>
      </c>
      <c r="J1016" s="101">
        <v>40500</v>
      </c>
      <c r="K1016" s="101">
        <v>72000</v>
      </c>
      <c r="L1016" s="101"/>
      <c r="M1016" s="10"/>
      <c r="N1016" s="10"/>
      <c r="O1016"/>
      <c r="P1016"/>
    </row>
    <row r="1017" spans="1:16" s="146" customFormat="1" ht="18" x14ac:dyDescent="0.25">
      <c r="A1017" s="927" t="s">
        <v>123</v>
      </c>
      <c r="B1017" s="926" t="s">
        <v>1388</v>
      </c>
      <c r="C1017" s="836" t="s">
        <v>135</v>
      </c>
      <c r="D1017" s="834"/>
      <c r="E1017" s="835"/>
      <c r="F1017" s="835"/>
      <c r="G1017" s="131" t="s">
        <v>136</v>
      </c>
      <c r="H1017" s="101">
        <v>105493.65</v>
      </c>
      <c r="I1017" s="102">
        <v>372794.2</v>
      </c>
      <c r="J1017" s="101"/>
      <c r="K1017" s="102">
        <v>372794.2</v>
      </c>
      <c r="L1017" s="101">
        <v>1216270.04</v>
      </c>
      <c r="M1017" s="10"/>
      <c r="N1017" s="10"/>
      <c r="O1017"/>
      <c r="P1017"/>
    </row>
    <row r="1018" spans="1:16" s="146" customFormat="1" ht="18" customHeight="1" x14ac:dyDescent="0.25">
      <c r="A1018" s="927" t="s">
        <v>123</v>
      </c>
      <c r="B1018" s="926" t="s">
        <v>1388</v>
      </c>
      <c r="C1018" s="834" t="s">
        <v>137</v>
      </c>
      <c r="D1018" s="835"/>
      <c r="E1018" s="835"/>
      <c r="F1018" s="835"/>
      <c r="G1018" s="131" t="s">
        <v>138</v>
      </c>
      <c r="H1018" s="101">
        <v>210000</v>
      </c>
      <c r="I1018" s="102">
        <v>324000</v>
      </c>
      <c r="J1018" s="101">
        <v>240000</v>
      </c>
      <c r="K1018" s="101">
        <v>324000</v>
      </c>
      <c r="L1018" s="101"/>
      <c r="M1018" s="10"/>
      <c r="N1018" s="10"/>
      <c r="O1018"/>
      <c r="P1018"/>
    </row>
    <row r="1019" spans="1:16" s="146" customFormat="1" ht="18" customHeight="1" x14ac:dyDescent="0.25">
      <c r="A1019" s="927" t="s">
        <v>123</v>
      </c>
      <c r="B1019" s="926" t="s">
        <v>1388</v>
      </c>
      <c r="C1019" s="838" t="s">
        <v>1370</v>
      </c>
      <c r="D1019" s="835"/>
      <c r="E1019" s="835"/>
      <c r="F1019" s="835"/>
      <c r="G1019" s="131"/>
      <c r="H1019" s="101"/>
      <c r="I1019" s="102"/>
      <c r="J1019" s="101"/>
      <c r="K1019" s="101">
        <v>181975.71</v>
      </c>
      <c r="L1019" s="101"/>
      <c r="M1019" s="10"/>
      <c r="N1019" s="10"/>
      <c r="O1019"/>
      <c r="P1019"/>
    </row>
    <row r="1020" spans="1:16" s="146" customFormat="1" ht="90" x14ac:dyDescent="0.25">
      <c r="A1020" s="927" t="s">
        <v>123</v>
      </c>
      <c r="B1020" s="926" t="s">
        <v>1388</v>
      </c>
      <c r="C1020" s="834" t="s">
        <v>139</v>
      </c>
      <c r="D1020" s="835"/>
      <c r="E1020" s="835"/>
      <c r="F1020" s="835"/>
      <c r="G1020" s="131" t="s">
        <v>140</v>
      </c>
      <c r="H1020" s="101">
        <v>588978</v>
      </c>
      <c r="I1020" s="102">
        <v>802578</v>
      </c>
      <c r="J1020" s="101">
        <v>599071</v>
      </c>
      <c r="K1020" s="101">
        <v>873602</v>
      </c>
      <c r="L1020" s="101"/>
      <c r="M1020" s="10"/>
      <c r="N1020" s="10"/>
      <c r="O1020"/>
      <c r="P1020"/>
    </row>
    <row r="1021" spans="1:16" s="146" customFormat="1" ht="18" customHeight="1" x14ac:dyDescent="0.25">
      <c r="A1021" s="927" t="s">
        <v>123</v>
      </c>
      <c r="B1021" s="926" t="s">
        <v>1388</v>
      </c>
      <c r="C1021" s="834" t="s">
        <v>141</v>
      </c>
      <c r="D1021" s="835"/>
      <c r="E1021" s="835"/>
      <c r="F1021" s="835"/>
      <c r="G1021" s="131" t="s">
        <v>142</v>
      </c>
      <c r="H1021" s="101">
        <v>589332</v>
      </c>
      <c r="I1021" s="102">
        <v>804553</v>
      </c>
      <c r="J1021" s="101"/>
      <c r="K1021" s="101">
        <v>873602</v>
      </c>
      <c r="L1021" s="101"/>
      <c r="M1021" s="10"/>
      <c r="N1021" s="10"/>
      <c r="O1021"/>
      <c r="P1021"/>
    </row>
    <row r="1022" spans="1:16" s="146" customFormat="1" ht="18" x14ac:dyDescent="0.25">
      <c r="A1022" s="927" t="s">
        <v>123</v>
      </c>
      <c r="B1022" s="926" t="s">
        <v>1388</v>
      </c>
      <c r="C1022" s="836" t="s">
        <v>143</v>
      </c>
      <c r="D1022" s="836"/>
      <c r="E1022" s="836"/>
      <c r="F1022" s="834"/>
      <c r="G1022" s="131" t="s">
        <v>144</v>
      </c>
      <c r="H1022" s="101">
        <v>210000</v>
      </c>
      <c r="I1022" s="102">
        <v>270000</v>
      </c>
      <c r="J1022" s="101"/>
      <c r="K1022" s="101">
        <v>270000</v>
      </c>
      <c r="L1022" s="101"/>
      <c r="M1022" s="10"/>
      <c r="N1022" s="10"/>
      <c r="O1022"/>
      <c r="P1022"/>
    </row>
    <row r="1023" spans="1:16" s="146" customFormat="1" ht="54" x14ac:dyDescent="0.25">
      <c r="A1023" s="927" t="s">
        <v>123</v>
      </c>
      <c r="B1023" s="926" t="s">
        <v>1388</v>
      </c>
      <c r="C1023" s="836" t="s">
        <v>145</v>
      </c>
      <c r="D1023" s="836"/>
      <c r="E1023" s="836"/>
      <c r="F1023" s="834"/>
      <c r="G1023" s="131" t="s">
        <v>146</v>
      </c>
      <c r="H1023" s="101">
        <v>205000</v>
      </c>
      <c r="I1023" s="102">
        <v>270000</v>
      </c>
      <c r="J1023" s="101"/>
      <c r="K1023" s="101">
        <v>270000</v>
      </c>
      <c r="L1023" s="101"/>
      <c r="M1023" s="10"/>
      <c r="N1023" s="10"/>
      <c r="O1023"/>
      <c r="P1023"/>
    </row>
    <row r="1024" spans="1:16" s="146" customFormat="1" ht="18" customHeight="1" x14ac:dyDescent="0.25">
      <c r="A1024" s="927" t="s">
        <v>123</v>
      </c>
      <c r="B1024" s="926" t="s">
        <v>1388</v>
      </c>
      <c r="C1024" s="852" t="s">
        <v>231</v>
      </c>
      <c r="D1024" s="853"/>
      <c r="E1024" s="853"/>
      <c r="F1024" s="853"/>
      <c r="G1024" s="131" t="s">
        <v>232</v>
      </c>
      <c r="H1024" s="101">
        <v>35000</v>
      </c>
      <c r="I1024" s="102">
        <v>20000</v>
      </c>
      <c r="J1024" s="101"/>
      <c r="K1024" s="101">
        <v>45000</v>
      </c>
      <c r="L1024" s="101"/>
      <c r="M1024" s="10"/>
      <c r="N1024" s="10"/>
      <c r="O1024"/>
      <c r="P1024"/>
    </row>
    <row r="1025" spans="1:16" s="146" customFormat="1" ht="18" customHeight="1" x14ac:dyDescent="0.25">
      <c r="A1025" s="927" t="s">
        <v>123</v>
      </c>
      <c r="B1025" s="926" t="s">
        <v>1388</v>
      </c>
      <c r="C1025" s="860" t="s">
        <v>147</v>
      </c>
      <c r="D1025" s="835"/>
      <c r="E1025" s="835"/>
      <c r="F1025" s="835"/>
      <c r="G1025" s="131" t="s">
        <v>148</v>
      </c>
      <c r="H1025" s="101"/>
      <c r="I1025" s="102"/>
      <c r="J1025" s="101"/>
      <c r="K1025" s="101">
        <v>162000</v>
      </c>
      <c r="L1025" s="101"/>
      <c r="M1025" s="10"/>
      <c r="N1025" s="10"/>
      <c r="O1025"/>
      <c r="P1025"/>
    </row>
    <row r="1026" spans="1:16" s="146" customFormat="1" ht="18" customHeight="1" x14ac:dyDescent="0.25">
      <c r="A1026" s="927" t="s">
        <v>123</v>
      </c>
      <c r="B1026" s="926" t="s">
        <v>1388</v>
      </c>
      <c r="C1026" s="834" t="s">
        <v>153</v>
      </c>
      <c r="D1026" s="835"/>
      <c r="E1026" s="835"/>
      <c r="F1026" s="835"/>
      <c r="G1026" s="131" t="s">
        <v>154</v>
      </c>
      <c r="H1026" s="101">
        <v>805487.75</v>
      </c>
      <c r="I1026" s="102">
        <v>1157222.46</v>
      </c>
      <c r="J1026" s="101">
        <v>497324.99</v>
      </c>
      <c r="K1026" s="101">
        <v>1257780.33</v>
      </c>
      <c r="L1026" s="101"/>
      <c r="M1026" s="10"/>
      <c r="N1026" s="10"/>
      <c r="O1026"/>
      <c r="P1026"/>
    </row>
    <row r="1027" spans="1:16" s="146" customFormat="1" ht="18" customHeight="1" x14ac:dyDescent="0.25">
      <c r="A1027" s="927" t="s">
        <v>123</v>
      </c>
      <c r="B1027" s="926" t="s">
        <v>1388</v>
      </c>
      <c r="C1027" s="834" t="s">
        <v>155</v>
      </c>
      <c r="D1027" s="835"/>
      <c r="E1027" s="835"/>
      <c r="F1027" s="835"/>
      <c r="G1027" s="131" t="s">
        <v>156</v>
      </c>
      <c r="H1027" s="105">
        <v>46800</v>
      </c>
      <c r="I1027" s="106">
        <v>64800</v>
      </c>
      <c r="J1027" s="105">
        <v>27900</v>
      </c>
      <c r="K1027" s="105">
        <v>64800</v>
      </c>
      <c r="L1027" s="105"/>
      <c r="M1027" s="10"/>
      <c r="N1027" s="10"/>
      <c r="O1027"/>
      <c r="P1027"/>
    </row>
    <row r="1028" spans="1:16" s="229" customFormat="1" ht="18" customHeight="1" x14ac:dyDescent="0.25">
      <c r="A1028" s="927" t="s">
        <v>123</v>
      </c>
      <c r="B1028" s="926" t="s">
        <v>1388</v>
      </c>
      <c r="C1028" s="836" t="s">
        <v>157</v>
      </c>
      <c r="D1028" s="836"/>
      <c r="E1028" s="836"/>
      <c r="F1028" s="834"/>
      <c r="G1028" s="131" t="s">
        <v>158</v>
      </c>
      <c r="H1028" s="101">
        <v>96143.34</v>
      </c>
      <c r="I1028" s="102">
        <v>165626.12</v>
      </c>
      <c r="J1028" s="101">
        <v>59987.040000000001</v>
      </c>
      <c r="K1028" s="101">
        <v>415621.71</v>
      </c>
      <c r="L1028" s="101"/>
      <c r="M1028" s="207"/>
      <c r="N1028" s="207"/>
      <c r="O1028" s="212"/>
      <c r="P1028" s="212"/>
    </row>
    <row r="1029" spans="1:16" s="229" customFormat="1" ht="18" customHeight="1" x14ac:dyDescent="0.25">
      <c r="A1029" s="927" t="s">
        <v>123</v>
      </c>
      <c r="B1029" s="926" t="s">
        <v>1388</v>
      </c>
      <c r="C1029" s="836" t="s">
        <v>159</v>
      </c>
      <c r="D1029" s="836"/>
      <c r="E1029" s="836"/>
      <c r="F1029" s="834"/>
      <c r="G1029" s="131" t="s">
        <v>160</v>
      </c>
      <c r="H1029" s="101">
        <v>46806.48</v>
      </c>
      <c r="I1029" s="102">
        <v>64800</v>
      </c>
      <c r="J1029" s="101">
        <v>27900</v>
      </c>
      <c r="K1029" s="101">
        <v>64800</v>
      </c>
      <c r="L1029" s="101"/>
      <c r="M1029" s="207"/>
      <c r="N1029" s="207"/>
      <c r="O1029" s="212"/>
      <c r="P1029" s="212"/>
    </row>
    <row r="1030" spans="1:16" s="229" customFormat="1" ht="18" customHeight="1" x14ac:dyDescent="0.25">
      <c r="A1030" s="927" t="s">
        <v>123</v>
      </c>
      <c r="B1030" s="926" t="s">
        <v>1388</v>
      </c>
      <c r="C1030" s="836" t="s">
        <v>124</v>
      </c>
      <c r="D1030" s="836"/>
      <c r="E1030" s="836"/>
      <c r="F1030" s="834"/>
      <c r="G1030" s="131" t="s">
        <v>125</v>
      </c>
      <c r="H1030" s="101">
        <v>1497444</v>
      </c>
      <c r="I1030" s="102">
        <v>1711680</v>
      </c>
      <c r="J1030" s="101">
        <v>990049.04</v>
      </c>
      <c r="K1030" s="101">
        <v>1855656</v>
      </c>
      <c r="L1030" s="101"/>
      <c r="M1030" s="207">
        <f>2119431.45+10097.76</f>
        <v>2129529.21</v>
      </c>
      <c r="N1030" s="207"/>
      <c r="O1030" s="212"/>
      <c r="P1030" s="212"/>
    </row>
    <row r="1031" spans="1:16" s="229" customFormat="1" ht="18" customHeight="1" x14ac:dyDescent="0.25">
      <c r="A1031" s="927" t="s">
        <v>123</v>
      </c>
      <c r="B1031" s="926" t="s">
        <v>1388</v>
      </c>
      <c r="C1031" s="836" t="s">
        <v>126</v>
      </c>
      <c r="D1031" s="836"/>
      <c r="E1031" s="836"/>
      <c r="F1031" s="834"/>
      <c r="G1031" s="131" t="s">
        <v>127</v>
      </c>
      <c r="H1031" s="101">
        <v>147691.04999999999</v>
      </c>
      <c r="I1031" s="102">
        <v>132552</v>
      </c>
      <c r="J1031" s="101">
        <v>70776.45</v>
      </c>
      <c r="K1031" s="101">
        <v>143928</v>
      </c>
      <c r="L1031" s="101"/>
      <c r="M1031" s="207"/>
      <c r="N1031" s="207"/>
      <c r="O1031" s="212"/>
      <c r="P1031" s="212"/>
    </row>
    <row r="1032" spans="1:16" s="229" customFormat="1" ht="18" customHeight="1" x14ac:dyDescent="0.25">
      <c r="A1032" s="927" t="s">
        <v>123</v>
      </c>
      <c r="B1032" s="926" t="s">
        <v>1388</v>
      </c>
      <c r="C1032" s="836" t="s">
        <v>128</v>
      </c>
      <c r="D1032" s="836"/>
      <c r="E1032" s="836"/>
      <c r="F1032" s="834"/>
      <c r="G1032" s="131" t="s">
        <v>125</v>
      </c>
      <c r="H1032" s="101"/>
      <c r="I1032" s="102">
        <v>8160</v>
      </c>
      <c r="J1032" s="101"/>
      <c r="K1032" s="101">
        <v>930</v>
      </c>
      <c r="L1032" s="101"/>
      <c r="M1032" s="207"/>
      <c r="N1032" s="207"/>
      <c r="O1032" s="212"/>
      <c r="P1032" s="212"/>
    </row>
    <row r="1033" spans="1:16" s="229" customFormat="1" ht="18" customHeight="1" x14ac:dyDescent="0.25">
      <c r="A1033" s="927" t="s">
        <v>123</v>
      </c>
      <c r="B1033" s="926" t="s">
        <v>1388</v>
      </c>
      <c r="C1033" s="836" t="s">
        <v>129</v>
      </c>
      <c r="D1033" s="836"/>
      <c r="E1033" s="836"/>
      <c r="F1033" s="834"/>
      <c r="G1033" s="132" t="s">
        <v>130</v>
      </c>
      <c r="H1033" s="101">
        <v>110181.56</v>
      </c>
      <c r="I1033" s="102">
        <v>144000</v>
      </c>
      <c r="J1033" s="101">
        <v>77272.72</v>
      </c>
      <c r="K1033" s="101">
        <v>144000</v>
      </c>
      <c r="L1033" s="101"/>
      <c r="M1033" s="207"/>
      <c r="N1033" s="207"/>
      <c r="O1033" s="212"/>
      <c r="P1033" s="212"/>
    </row>
    <row r="1034" spans="1:16" s="229" customFormat="1" ht="18" customHeight="1" x14ac:dyDescent="0.25">
      <c r="A1034" s="927" t="s">
        <v>123</v>
      </c>
      <c r="B1034" s="926" t="s">
        <v>1388</v>
      </c>
      <c r="C1034" s="836" t="s">
        <v>131</v>
      </c>
      <c r="D1034" s="836"/>
      <c r="E1034" s="836"/>
      <c r="F1034" s="836"/>
      <c r="G1034" s="131" t="s">
        <v>132</v>
      </c>
      <c r="H1034" s="101">
        <v>72000</v>
      </c>
      <c r="I1034" s="102">
        <v>72000</v>
      </c>
      <c r="J1034" s="101">
        <v>40500</v>
      </c>
      <c r="K1034" s="101">
        <v>72000</v>
      </c>
      <c r="L1034" s="101"/>
      <c r="M1034" s="207"/>
      <c r="N1034" s="207"/>
      <c r="O1034" s="212"/>
      <c r="P1034" s="212"/>
    </row>
    <row r="1035" spans="1:16" s="229" customFormat="1" ht="18" customHeight="1" x14ac:dyDescent="0.25">
      <c r="A1035" s="927" t="s">
        <v>123</v>
      </c>
      <c r="B1035" s="926" t="s">
        <v>1388</v>
      </c>
      <c r="C1035" s="836" t="s">
        <v>133</v>
      </c>
      <c r="D1035" s="836"/>
      <c r="E1035" s="836"/>
      <c r="F1035" s="834"/>
      <c r="G1035" s="131" t="s">
        <v>134</v>
      </c>
      <c r="H1035" s="101">
        <v>72000</v>
      </c>
      <c r="I1035" s="102">
        <v>72000</v>
      </c>
      <c r="J1035" s="101">
        <v>40500</v>
      </c>
      <c r="K1035" s="101">
        <v>72000</v>
      </c>
      <c r="L1035" s="101"/>
      <c r="M1035" s="207"/>
      <c r="N1035" s="207"/>
      <c r="O1035" s="212"/>
      <c r="P1035" s="212"/>
    </row>
    <row r="1036" spans="1:16" s="229" customFormat="1" ht="18" customHeight="1" x14ac:dyDescent="0.25">
      <c r="A1036" s="927" t="s">
        <v>123</v>
      </c>
      <c r="B1036" s="926" t="s">
        <v>1388</v>
      </c>
      <c r="C1036" s="836" t="s">
        <v>135</v>
      </c>
      <c r="D1036" s="836"/>
      <c r="E1036" s="836"/>
      <c r="F1036" s="834"/>
      <c r="G1036" s="131" t="s">
        <v>136</v>
      </c>
      <c r="H1036" s="105">
        <v>15492.52</v>
      </c>
      <c r="I1036" s="106">
        <v>37971.800000000003</v>
      </c>
      <c r="J1036" s="105">
        <v>24999.96</v>
      </c>
      <c r="K1036" s="106">
        <v>37971.800000000003</v>
      </c>
      <c r="L1036" s="105"/>
      <c r="M1036" s="207"/>
      <c r="N1036" s="207"/>
      <c r="O1036" s="212"/>
      <c r="P1036" s="212"/>
    </row>
    <row r="1037" spans="1:16" s="146" customFormat="1" ht="18" customHeight="1" x14ac:dyDescent="0.25">
      <c r="A1037" s="927" t="s">
        <v>123</v>
      </c>
      <c r="B1037" s="926" t="s">
        <v>1388</v>
      </c>
      <c r="C1037" s="836" t="s">
        <v>137</v>
      </c>
      <c r="D1037" s="836"/>
      <c r="E1037" s="836"/>
      <c r="F1037" s="836"/>
      <c r="G1037" s="131" t="s">
        <v>138</v>
      </c>
      <c r="H1037" s="101">
        <v>24000</v>
      </c>
      <c r="I1037" s="102">
        <v>36000</v>
      </c>
      <c r="J1037" s="101">
        <v>30000</v>
      </c>
      <c r="K1037" s="101">
        <v>36000</v>
      </c>
      <c r="L1037" s="101"/>
      <c r="M1037" s="10"/>
      <c r="N1037" s="10"/>
      <c r="O1037"/>
      <c r="P1037"/>
    </row>
    <row r="1038" spans="1:16" s="313" customFormat="1" ht="47.25" customHeight="1" x14ac:dyDescent="0.25">
      <c r="A1038" s="927" t="s">
        <v>123</v>
      </c>
      <c r="B1038" s="926" t="s">
        <v>1388</v>
      </c>
      <c r="C1038" s="836" t="s">
        <v>139</v>
      </c>
      <c r="D1038" s="836"/>
      <c r="E1038" s="836"/>
      <c r="F1038" s="836"/>
      <c r="G1038" s="131" t="s">
        <v>140</v>
      </c>
      <c r="H1038" s="101">
        <v>135833</v>
      </c>
      <c r="I1038" s="102">
        <v>154039</v>
      </c>
      <c r="J1038" s="101">
        <v>140555</v>
      </c>
      <c r="K1038" s="101">
        <v>166725</v>
      </c>
      <c r="L1038" s="101"/>
      <c r="M1038" s="193"/>
      <c r="N1038" s="193"/>
      <c r="O1038" s="179"/>
      <c r="P1038" s="179"/>
    </row>
    <row r="1039" spans="1:16" s="313" customFormat="1" ht="18" customHeight="1" x14ac:dyDescent="0.25">
      <c r="A1039" s="927" t="s">
        <v>123</v>
      </c>
      <c r="B1039" s="926" t="s">
        <v>1388</v>
      </c>
      <c r="C1039" s="836" t="s">
        <v>141</v>
      </c>
      <c r="D1039" s="836"/>
      <c r="E1039" s="836"/>
      <c r="F1039" s="836"/>
      <c r="G1039" s="131" t="s">
        <v>142</v>
      </c>
      <c r="H1039" s="101">
        <v>135833</v>
      </c>
      <c r="I1039" s="102">
        <v>155347</v>
      </c>
      <c r="J1039" s="101"/>
      <c r="K1039" s="101">
        <v>166725</v>
      </c>
      <c r="L1039" s="101"/>
      <c r="M1039" s="193"/>
      <c r="N1039" s="193"/>
      <c r="O1039" s="179"/>
      <c r="P1039" s="179"/>
    </row>
    <row r="1040" spans="1:16" s="313" customFormat="1" ht="18" customHeight="1" x14ac:dyDescent="0.25">
      <c r="A1040" s="927" t="s">
        <v>123</v>
      </c>
      <c r="B1040" s="926" t="s">
        <v>1388</v>
      </c>
      <c r="C1040" s="836" t="s">
        <v>143</v>
      </c>
      <c r="D1040" s="836"/>
      <c r="E1040" s="836"/>
      <c r="F1040" s="836"/>
      <c r="G1040" s="131" t="s">
        <v>144</v>
      </c>
      <c r="H1040" s="101">
        <v>25000</v>
      </c>
      <c r="I1040" s="102">
        <v>30000</v>
      </c>
      <c r="J1040" s="101"/>
      <c r="K1040" s="101">
        <v>30000</v>
      </c>
      <c r="L1040" s="101"/>
      <c r="M1040" s="193"/>
      <c r="N1040" s="193"/>
      <c r="O1040" s="179"/>
      <c r="P1040" s="179"/>
    </row>
    <row r="1041" spans="1:16" s="313" customFormat="1" ht="18" customHeight="1" x14ac:dyDescent="0.25">
      <c r="A1041" s="927" t="s">
        <v>123</v>
      </c>
      <c r="B1041" s="926" t="s">
        <v>1388</v>
      </c>
      <c r="C1041" s="836" t="s">
        <v>145</v>
      </c>
      <c r="D1041" s="836"/>
      <c r="E1041" s="836"/>
      <c r="F1041" s="836"/>
      <c r="G1041" s="131" t="s">
        <v>146</v>
      </c>
      <c r="H1041" s="101">
        <v>25000</v>
      </c>
      <c r="I1041" s="102">
        <v>30000</v>
      </c>
      <c r="J1041" s="101"/>
      <c r="K1041" s="101">
        <v>30000</v>
      </c>
      <c r="L1041" s="101"/>
      <c r="M1041" s="193"/>
      <c r="N1041" s="193"/>
      <c r="O1041" s="179"/>
      <c r="P1041" s="179"/>
    </row>
    <row r="1042" spans="1:16" s="313" customFormat="1" ht="63.75" customHeight="1" x14ac:dyDescent="0.25">
      <c r="A1042" s="927" t="s">
        <v>123</v>
      </c>
      <c r="B1042" s="926" t="s">
        <v>1388</v>
      </c>
      <c r="C1042" s="859" t="s">
        <v>147</v>
      </c>
      <c r="D1042" s="836"/>
      <c r="E1042" s="836"/>
      <c r="F1042" s="836"/>
      <c r="G1042" s="131" t="s">
        <v>148</v>
      </c>
      <c r="H1042" s="101"/>
      <c r="I1042" s="102"/>
      <c r="J1042" s="101"/>
      <c r="K1042" s="101">
        <v>18000</v>
      </c>
      <c r="L1042" s="101"/>
      <c r="M1042" s="193"/>
      <c r="N1042" s="193"/>
      <c r="O1042" s="179"/>
      <c r="P1042" s="179"/>
    </row>
    <row r="1043" spans="1:16" s="146" customFormat="1" ht="18" customHeight="1" x14ac:dyDescent="0.25">
      <c r="A1043" s="927" t="s">
        <v>123</v>
      </c>
      <c r="B1043" s="926" t="s">
        <v>1388</v>
      </c>
      <c r="C1043" s="834" t="s">
        <v>153</v>
      </c>
      <c r="D1043" s="835"/>
      <c r="E1043" s="835"/>
      <c r="F1043" s="835"/>
      <c r="G1043" s="131" t="s">
        <v>154</v>
      </c>
      <c r="H1043" s="101">
        <v>189862.68</v>
      </c>
      <c r="I1043" s="102">
        <v>222287.04</v>
      </c>
      <c r="J1043" s="101">
        <v>127172.23</v>
      </c>
      <c r="K1043" s="101">
        <v>239379.12</v>
      </c>
      <c r="L1043" s="101"/>
      <c r="M1043" s="10"/>
      <c r="N1043" s="10"/>
      <c r="O1043"/>
      <c r="P1043"/>
    </row>
    <row r="1044" spans="1:16" s="146" customFormat="1" ht="18" customHeight="1" x14ac:dyDescent="0.25">
      <c r="A1044" s="927" t="s">
        <v>123</v>
      </c>
      <c r="B1044" s="926" t="s">
        <v>1388</v>
      </c>
      <c r="C1044" s="834" t="s">
        <v>155</v>
      </c>
      <c r="D1044" s="835"/>
      <c r="E1044" s="835"/>
      <c r="F1044" s="835"/>
      <c r="G1044" s="131" t="s">
        <v>156</v>
      </c>
      <c r="H1044" s="101">
        <v>5500</v>
      </c>
      <c r="I1044" s="102">
        <v>7200</v>
      </c>
      <c r="J1044" s="101">
        <v>4000</v>
      </c>
      <c r="K1044" s="101">
        <v>7200</v>
      </c>
      <c r="L1044" s="101"/>
      <c r="M1044" s="10"/>
      <c r="N1044" s="10"/>
      <c r="O1044"/>
      <c r="P1044"/>
    </row>
    <row r="1045" spans="1:16" s="146" customFormat="1" ht="36" x14ac:dyDescent="0.25">
      <c r="A1045" s="927" t="s">
        <v>123</v>
      </c>
      <c r="B1045" s="926" t="s">
        <v>1388</v>
      </c>
      <c r="C1045" s="836" t="s">
        <v>157</v>
      </c>
      <c r="D1045" s="834"/>
      <c r="E1045" s="835"/>
      <c r="F1045" s="835"/>
      <c r="G1045" s="131" t="s">
        <v>158</v>
      </c>
      <c r="H1045" s="101">
        <v>20024.650000000001</v>
      </c>
      <c r="I1045" s="102">
        <v>30218.58</v>
      </c>
      <c r="J1045" s="101">
        <v>13911.19</v>
      </c>
      <c r="K1045" s="101">
        <v>77821.2</v>
      </c>
      <c r="L1045" s="101"/>
      <c r="M1045" s="10"/>
      <c r="N1045" s="10"/>
      <c r="O1045"/>
      <c r="P1045"/>
    </row>
    <row r="1046" spans="1:16" s="146" customFormat="1" ht="18" customHeight="1" x14ac:dyDescent="0.25">
      <c r="A1046" s="927" t="s">
        <v>123</v>
      </c>
      <c r="B1046" s="926" t="s">
        <v>1388</v>
      </c>
      <c r="C1046" s="834" t="s">
        <v>159</v>
      </c>
      <c r="D1046" s="835"/>
      <c r="E1046" s="835"/>
      <c r="F1046" s="835"/>
      <c r="G1046" s="131" t="s">
        <v>160</v>
      </c>
      <c r="H1046" s="101">
        <v>5500</v>
      </c>
      <c r="I1046" s="102">
        <v>7200</v>
      </c>
      <c r="J1046" s="101">
        <v>4000</v>
      </c>
      <c r="K1046" s="101">
        <v>7200</v>
      </c>
      <c r="L1046" s="101"/>
      <c r="M1046" s="10"/>
      <c r="N1046" s="10"/>
      <c r="O1046"/>
      <c r="P1046"/>
    </row>
    <row r="1047" spans="1:16" s="146" customFormat="1" ht="54" x14ac:dyDescent="0.25">
      <c r="A1047" s="927" t="s">
        <v>123</v>
      </c>
      <c r="B1047" s="926" t="s">
        <v>1388</v>
      </c>
      <c r="C1047" s="834" t="s">
        <v>124</v>
      </c>
      <c r="D1047" s="835"/>
      <c r="E1047" s="835"/>
      <c r="F1047" s="835"/>
      <c r="G1047" s="100" t="s">
        <v>125</v>
      </c>
      <c r="H1047" s="101">
        <v>2065820.82</v>
      </c>
      <c r="I1047" s="102">
        <v>2925708</v>
      </c>
      <c r="J1047" s="101">
        <v>1282836.69</v>
      </c>
      <c r="K1047" s="101">
        <v>3171624</v>
      </c>
      <c r="L1047" s="101"/>
      <c r="M1047" s="10"/>
      <c r="N1047" s="10"/>
      <c r="O1047"/>
      <c r="P1047"/>
    </row>
    <row r="1048" spans="1:16" s="146" customFormat="1" ht="18" customHeight="1" x14ac:dyDescent="0.25">
      <c r="A1048" s="927" t="s">
        <v>123</v>
      </c>
      <c r="B1048" s="926" t="s">
        <v>1388</v>
      </c>
      <c r="C1048" s="834" t="s">
        <v>126</v>
      </c>
      <c r="D1048" s="835"/>
      <c r="E1048" s="835"/>
      <c r="F1048" s="835"/>
      <c r="G1048" s="100" t="s">
        <v>127</v>
      </c>
      <c r="H1048" s="101">
        <v>587673.22</v>
      </c>
      <c r="I1048" s="102">
        <v>749880</v>
      </c>
      <c r="J1048" s="101">
        <v>273088.09999999998</v>
      </c>
      <c r="K1048" s="101">
        <v>813600</v>
      </c>
      <c r="L1048" s="101"/>
      <c r="M1048" s="10"/>
      <c r="N1048" s="10"/>
      <c r="O1048"/>
      <c r="P1048"/>
    </row>
    <row r="1049" spans="1:16" s="146" customFormat="1" ht="18" customHeight="1" x14ac:dyDescent="0.25">
      <c r="A1049" s="927" t="s">
        <v>123</v>
      </c>
      <c r="B1049" s="926" t="s">
        <v>1388</v>
      </c>
      <c r="C1049" s="852" t="s">
        <v>128</v>
      </c>
      <c r="D1049" s="835"/>
      <c r="E1049" s="835"/>
      <c r="F1049" s="835"/>
      <c r="G1049" s="100" t="s">
        <v>125</v>
      </c>
      <c r="H1049" s="101"/>
      <c r="I1049" s="102">
        <v>2009</v>
      </c>
      <c r="J1049" s="101"/>
      <c r="K1049" s="101">
        <v>2513.38</v>
      </c>
      <c r="L1049" s="101"/>
      <c r="M1049" s="10"/>
      <c r="N1049" s="10"/>
      <c r="O1049"/>
      <c r="P1049"/>
    </row>
    <row r="1050" spans="1:16" ht="18" customHeight="1" x14ac:dyDescent="0.25">
      <c r="A1050" s="927" t="s">
        <v>123</v>
      </c>
      <c r="B1050" s="926" t="s">
        <v>1388</v>
      </c>
      <c r="C1050" s="834" t="s">
        <v>129</v>
      </c>
      <c r="D1050" s="835"/>
      <c r="E1050" s="835"/>
      <c r="F1050" s="835"/>
      <c r="G1050" s="103" t="s">
        <v>130</v>
      </c>
      <c r="H1050" s="101">
        <v>395727.31</v>
      </c>
      <c r="I1050" s="102">
        <v>576000</v>
      </c>
      <c r="J1050" s="101">
        <v>241909.09</v>
      </c>
      <c r="K1050" s="101">
        <v>576000</v>
      </c>
      <c r="L1050" s="101"/>
    </row>
    <row r="1051" spans="1:16" ht="18" x14ac:dyDescent="0.25">
      <c r="A1051" s="927" t="s">
        <v>123</v>
      </c>
      <c r="B1051" s="926" t="s">
        <v>1388</v>
      </c>
      <c r="C1051" s="834" t="s">
        <v>135</v>
      </c>
      <c r="D1051" s="835"/>
      <c r="E1051" s="835"/>
      <c r="F1051" s="835"/>
      <c r="G1051" s="100" t="s">
        <v>136</v>
      </c>
      <c r="H1051" s="101">
        <v>244412.07</v>
      </c>
      <c r="I1051" s="102">
        <v>606092.16</v>
      </c>
      <c r="J1051" s="101">
        <v>172549.97</v>
      </c>
      <c r="K1051" s="101">
        <v>1336195.2</v>
      </c>
      <c r="L1051" s="101"/>
    </row>
    <row r="1052" spans="1:16" ht="18" customHeight="1" x14ac:dyDescent="0.25">
      <c r="A1052" s="927" t="s">
        <v>123</v>
      </c>
      <c r="B1052" s="926" t="s">
        <v>1388</v>
      </c>
      <c r="C1052" s="834" t="s">
        <v>137</v>
      </c>
      <c r="D1052" s="835"/>
      <c r="E1052" s="835"/>
      <c r="F1052" s="835"/>
      <c r="G1052" s="100" t="s">
        <v>138</v>
      </c>
      <c r="H1052" s="101">
        <v>84000</v>
      </c>
      <c r="I1052" s="102">
        <v>144000</v>
      </c>
      <c r="J1052" s="101">
        <v>108000</v>
      </c>
      <c r="K1052" s="101">
        <v>144000</v>
      </c>
      <c r="L1052" s="101"/>
    </row>
    <row r="1053" spans="1:16" ht="18" x14ac:dyDescent="0.25">
      <c r="A1053" s="927" t="s">
        <v>123</v>
      </c>
      <c r="B1053" s="926" t="s">
        <v>1388</v>
      </c>
      <c r="C1053" s="837" t="s">
        <v>1370</v>
      </c>
      <c r="D1053" s="836"/>
      <c r="E1053" s="836"/>
      <c r="F1053" s="836"/>
      <c r="G1053" s="100"/>
      <c r="H1053" s="101"/>
      <c r="I1053" s="102"/>
      <c r="J1053" s="101"/>
      <c r="K1053" s="101">
        <v>1216270.04</v>
      </c>
      <c r="L1053" s="101"/>
    </row>
    <row r="1054" spans="1:16" ht="90" x14ac:dyDescent="0.25">
      <c r="A1054" s="927" t="s">
        <v>123</v>
      </c>
      <c r="B1054" s="926" t="s">
        <v>1388</v>
      </c>
      <c r="C1054" s="836" t="s">
        <v>139</v>
      </c>
      <c r="D1054" s="836"/>
      <c r="E1054" s="836"/>
      <c r="F1054" s="836"/>
      <c r="G1054" s="100" t="s">
        <v>140</v>
      </c>
      <c r="H1054" s="101">
        <v>213863</v>
      </c>
      <c r="I1054" s="102">
        <v>306425</v>
      </c>
      <c r="J1054" s="101">
        <v>233314</v>
      </c>
      <c r="K1054" s="101">
        <v>332297</v>
      </c>
      <c r="L1054" s="101"/>
    </row>
    <row r="1055" spans="1:16" s="146" customFormat="1" ht="18" customHeight="1" x14ac:dyDescent="0.25">
      <c r="A1055" s="927" t="s">
        <v>123</v>
      </c>
      <c r="B1055" s="926" t="s">
        <v>1388</v>
      </c>
      <c r="C1055" s="836" t="s">
        <v>141</v>
      </c>
      <c r="D1055" s="836"/>
      <c r="E1055" s="836"/>
      <c r="F1055" s="834"/>
      <c r="G1055" s="100" t="s">
        <v>142</v>
      </c>
      <c r="H1055" s="101">
        <v>214025</v>
      </c>
      <c r="I1055" s="102">
        <v>306425</v>
      </c>
      <c r="J1055" s="101"/>
      <c r="K1055" s="101">
        <v>332384</v>
      </c>
      <c r="L1055" s="101"/>
      <c r="M1055" s="10"/>
      <c r="N1055" s="10"/>
      <c r="O1055"/>
      <c r="P1055"/>
    </row>
    <row r="1056" spans="1:16" s="146" customFormat="1" ht="18" customHeight="1" x14ac:dyDescent="0.25">
      <c r="A1056" s="927" t="s">
        <v>123</v>
      </c>
      <c r="B1056" s="926" t="s">
        <v>1388</v>
      </c>
      <c r="C1056" s="836" t="s">
        <v>143</v>
      </c>
      <c r="D1056" s="836"/>
      <c r="E1056" s="836"/>
      <c r="F1056" s="834"/>
      <c r="G1056" s="100" t="s">
        <v>144</v>
      </c>
      <c r="H1056" s="101">
        <v>90000</v>
      </c>
      <c r="I1056" s="102">
        <v>120000</v>
      </c>
      <c r="J1056" s="101"/>
      <c r="K1056" s="101">
        <v>120000</v>
      </c>
      <c r="L1056" s="101"/>
      <c r="M1056" s="10"/>
      <c r="N1056" s="10"/>
      <c r="O1056"/>
      <c r="P1056"/>
    </row>
    <row r="1057" spans="1:16" s="146" customFormat="1" ht="54" x14ac:dyDescent="0.25">
      <c r="A1057" s="927" t="s">
        <v>123</v>
      </c>
      <c r="B1057" s="926" t="s">
        <v>1388</v>
      </c>
      <c r="C1057" s="836" t="s">
        <v>145</v>
      </c>
      <c r="D1057" s="836"/>
      <c r="E1057" s="836"/>
      <c r="F1057" s="834"/>
      <c r="G1057" s="100" t="s">
        <v>146</v>
      </c>
      <c r="H1057" s="101">
        <v>90000</v>
      </c>
      <c r="I1057" s="102">
        <v>120000</v>
      </c>
      <c r="J1057" s="101"/>
      <c r="K1057" s="101">
        <v>120000</v>
      </c>
      <c r="L1057" s="101"/>
      <c r="M1057" s="10"/>
      <c r="N1057" s="10"/>
      <c r="O1057"/>
      <c r="P1057"/>
    </row>
    <row r="1058" spans="1:16" s="146" customFormat="1" ht="18" customHeight="1" x14ac:dyDescent="0.25">
      <c r="A1058" s="927" t="s">
        <v>123</v>
      </c>
      <c r="B1058" s="926" t="s">
        <v>1388</v>
      </c>
      <c r="C1058" s="840" t="s">
        <v>231</v>
      </c>
      <c r="D1058" s="836"/>
      <c r="E1058" s="836"/>
      <c r="F1058" s="834"/>
      <c r="G1058" s="100" t="s">
        <v>232</v>
      </c>
      <c r="H1058" s="101"/>
      <c r="I1058" s="102">
        <v>10000</v>
      </c>
      <c r="J1058" s="101"/>
      <c r="K1058" s="101">
        <v>5000</v>
      </c>
      <c r="L1058" s="101"/>
      <c r="M1058" s="10"/>
      <c r="N1058" s="10"/>
      <c r="O1058"/>
      <c r="P1058"/>
    </row>
    <row r="1059" spans="1:16" ht="18" customHeight="1" x14ac:dyDescent="0.25">
      <c r="A1059" s="927" t="s">
        <v>123</v>
      </c>
      <c r="B1059" s="926" t="s">
        <v>1388</v>
      </c>
      <c r="C1059" s="860" t="s">
        <v>147</v>
      </c>
      <c r="D1059" s="835"/>
      <c r="E1059" s="835"/>
      <c r="F1059" s="835"/>
      <c r="G1059" s="100" t="s">
        <v>148</v>
      </c>
      <c r="H1059" s="101"/>
      <c r="I1059" s="102"/>
      <c r="J1059" s="101"/>
      <c r="K1059" s="101">
        <v>72000</v>
      </c>
      <c r="L1059" s="101"/>
    </row>
    <row r="1060" spans="1:16" ht="18" customHeight="1" x14ac:dyDescent="0.25">
      <c r="A1060" s="927" t="s">
        <v>123</v>
      </c>
      <c r="B1060" s="926" t="s">
        <v>1388</v>
      </c>
      <c r="C1060" s="834" t="s">
        <v>153</v>
      </c>
      <c r="D1060" s="835"/>
      <c r="E1060" s="835"/>
      <c r="F1060" s="835"/>
      <c r="G1060" s="100" t="s">
        <v>154</v>
      </c>
      <c r="H1060" s="101">
        <v>286241.37</v>
      </c>
      <c r="I1060" s="102">
        <v>441311.64</v>
      </c>
      <c r="J1060" s="101">
        <v>184897.96</v>
      </c>
      <c r="K1060" s="101">
        <v>478528.48</v>
      </c>
      <c r="L1060" s="101"/>
    </row>
    <row r="1061" spans="1:16" ht="18" customHeight="1" x14ac:dyDescent="0.25">
      <c r="A1061" s="927" t="s">
        <v>123</v>
      </c>
      <c r="B1061" s="926" t="s">
        <v>1388</v>
      </c>
      <c r="C1061" s="834" t="s">
        <v>155</v>
      </c>
      <c r="D1061" s="835"/>
      <c r="E1061" s="835"/>
      <c r="F1061" s="835"/>
      <c r="G1061" s="100" t="s">
        <v>156</v>
      </c>
      <c r="H1061" s="101">
        <v>19600</v>
      </c>
      <c r="I1061" s="102">
        <v>28800</v>
      </c>
      <c r="J1061" s="101">
        <v>15005.92</v>
      </c>
      <c r="K1061" s="101">
        <v>28800</v>
      </c>
      <c r="L1061" s="101"/>
    </row>
    <row r="1062" spans="1:16" ht="18" customHeight="1" x14ac:dyDescent="0.25">
      <c r="A1062" s="927" t="s">
        <v>123</v>
      </c>
      <c r="B1062" s="926" t="s">
        <v>1388</v>
      </c>
      <c r="C1062" s="834" t="s">
        <v>157</v>
      </c>
      <c r="D1062" s="835"/>
      <c r="E1062" s="835"/>
      <c r="F1062" s="835"/>
      <c r="G1062" s="100" t="s">
        <v>158</v>
      </c>
      <c r="H1062" s="101">
        <v>35484.800000000003</v>
      </c>
      <c r="I1062" s="102">
        <v>64357.95</v>
      </c>
      <c r="J1062" s="101">
        <v>23869.67</v>
      </c>
      <c r="K1062" s="105">
        <v>159880.53</v>
      </c>
      <c r="L1062" s="101"/>
    </row>
    <row r="1063" spans="1:16" s="212" customFormat="1" ht="18" customHeight="1" x14ac:dyDescent="0.25">
      <c r="A1063" s="927" t="s">
        <v>123</v>
      </c>
      <c r="B1063" s="926" t="s">
        <v>1388</v>
      </c>
      <c r="C1063" s="836" t="s">
        <v>159</v>
      </c>
      <c r="D1063" s="836"/>
      <c r="E1063" s="836"/>
      <c r="F1063" s="834"/>
      <c r="G1063" s="100" t="s">
        <v>160</v>
      </c>
      <c r="H1063" s="101">
        <v>19604.32</v>
      </c>
      <c r="I1063" s="102">
        <v>28800</v>
      </c>
      <c r="J1063" s="101">
        <v>12400</v>
      </c>
      <c r="K1063" s="101">
        <v>28800</v>
      </c>
      <c r="L1063" s="101"/>
      <c r="M1063" s="207"/>
      <c r="N1063" s="207"/>
    </row>
    <row r="1064" spans="1:16" s="212" customFormat="1" ht="18" customHeight="1" x14ac:dyDescent="0.25">
      <c r="A1064" s="146" t="s">
        <v>123</v>
      </c>
      <c r="B1064" s="926" t="s">
        <v>1388</v>
      </c>
      <c r="C1064" s="836" t="s">
        <v>124</v>
      </c>
      <c r="D1064" s="836"/>
      <c r="E1064" s="836"/>
      <c r="F1064" s="834"/>
      <c r="G1064" s="100" t="s">
        <v>125</v>
      </c>
      <c r="H1064" s="101">
        <v>1068489.1399999999</v>
      </c>
      <c r="I1064" s="102">
        <v>1192644</v>
      </c>
      <c r="J1064" s="101">
        <v>594210.67000000004</v>
      </c>
      <c r="K1064" s="101">
        <v>1296300</v>
      </c>
      <c r="L1064" s="101"/>
      <c r="M1064" s="207"/>
      <c r="N1064" s="207"/>
    </row>
    <row r="1065" spans="1:16" s="212" customFormat="1" ht="18" customHeight="1" x14ac:dyDescent="0.25">
      <c r="A1065" s="146" t="s">
        <v>123</v>
      </c>
      <c r="B1065" s="926" t="s">
        <v>1388</v>
      </c>
      <c r="C1065" s="836" t="s">
        <v>126</v>
      </c>
      <c r="D1065" s="836"/>
      <c r="E1065" s="836"/>
      <c r="F1065" s="834"/>
      <c r="G1065" s="100" t="s">
        <v>127</v>
      </c>
      <c r="H1065" s="101">
        <v>444155.57</v>
      </c>
      <c r="I1065" s="102">
        <v>499920</v>
      </c>
      <c r="J1065" s="101">
        <v>201978.22</v>
      </c>
      <c r="K1065" s="101">
        <v>542400</v>
      </c>
      <c r="L1065" s="101"/>
      <c r="M1065" s="207"/>
      <c r="N1065" s="207"/>
    </row>
    <row r="1066" spans="1:16" s="212" customFormat="1" ht="18" customHeight="1" x14ac:dyDescent="0.25">
      <c r="A1066" s="146" t="s">
        <v>123</v>
      </c>
      <c r="B1066" s="926" t="s">
        <v>1388</v>
      </c>
      <c r="C1066" s="125" t="s">
        <v>128</v>
      </c>
      <c r="D1066" s="125"/>
      <c r="E1066" s="836"/>
      <c r="F1066" s="834"/>
      <c r="G1066" s="100" t="s">
        <v>125</v>
      </c>
      <c r="H1066" s="101"/>
      <c r="I1066" s="102"/>
      <c r="J1066" s="101"/>
      <c r="K1066" s="101">
        <v>6453.63</v>
      </c>
      <c r="L1066" s="101"/>
      <c r="M1066" s="207"/>
      <c r="N1066" s="207"/>
    </row>
    <row r="1067" spans="1:16" s="212" customFormat="1" ht="18" customHeight="1" x14ac:dyDescent="0.25">
      <c r="A1067" s="146" t="s">
        <v>123</v>
      </c>
      <c r="B1067" s="926" t="s">
        <v>1388</v>
      </c>
      <c r="C1067" s="836" t="s">
        <v>129</v>
      </c>
      <c r="D1067" s="836"/>
      <c r="E1067" s="836"/>
      <c r="F1067" s="834"/>
      <c r="G1067" s="103" t="s">
        <v>130</v>
      </c>
      <c r="H1067" s="101">
        <v>213181.73</v>
      </c>
      <c r="I1067" s="102">
        <v>288000</v>
      </c>
      <c r="J1067" s="101">
        <v>126272.71</v>
      </c>
      <c r="K1067" s="101">
        <v>288000</v>
      </c>
      <c r="L1067" s="101"/>
      <c r="M1067" s="207"/>
      <c r="N1067" s="207"/>
    </row>
    <row r="1068" spans="1:16" s="212" customFormat="1" ht="18" customHeight="1" x14ac:dyDescent="0.25">
      <c r="A1068" s="146" t="s">
        <v>123</v>
      </c>
      <c r="B1068" s="926" t="s">
        <v>1388</v>
      </c>
      <c r="C1068" s="836" t="s">
        <v>135</v>
      </c>
      <c r="D1068" s="836"/>
      <c r="E1068" s="836"/>
      <c r="F1068" s="834"/>
      <c r="G1068" s="100" t="s">
        <v>136</v>
      </c>
      <c r="H1068" s="101">
        <v>209605.68</v>
      </c>
      <c r="I1068" s="102">
        <v>289431.96000000002</v>
      </c>
      <c r="J1068" s="101">
        <v>95244.65</v>
      </c>
      <c r="K1068" s="101">
        <v>486384.24</v>
      </c>
      <c r="L1068" s="101"/>
      <c r="M1068" s="207"/>
      <c r="N1068" s="207"/>
    </row>
    <row r="1069" spans="1:16" s="212" customFormat="1" ht="18" customHeight="1" x14ac:dyDescent="0.25">
      <c r="A1069" s="146" t="s">
        <v>123</v>
      </c>
      <c r="B1069" s="926" t="s">
        <v>1388</v>
      </c>
      <c r="C1069" s="836" t="s">
        <v>137</v>
      </c>
      <c r="D1069" s="836"/>
      <c r="E1069" s="836"/>
      <c r="F1069" s="834"/>
      <c r="G1069" s="100" t="s">
        <v>138</v>
      </c>
      <c r="H1069" s="101">
        <v>42000</v>
      </c>
      <c r="I1069" s="102">
        <v>72000</v>
      </c>
      <c r="J1069" s="101">
        <v>60000</v>
      </c>
      <c r="K1069" s="101">
        <v>72000</v>
      </c>
      <c r="L1069" s="101"/>
      <c r="M1069" s="207"/>
      <c r="N1069" s="207"/>
    </row>
    <row r="1070" spans="1:16" s="212" customFormat="1" ht="18" customHeight="1" x14ac:dyDescent="0.25">
      <c r="A1070" s="146" t="s">
        <v>123</v>
      </c>
      <c r="B1070" s="926" t="s">
        <v>1388</v>
      </c>
      <c r="C1070" s="836" t="s">
        <v>139</v>
      </c>
      <c r="D1070" s="836"/>
      <c r="E1070" s="836"/>
      <c r="F1070" s="834"/>
      <c r="G1070" s="100" t="s">
        <v>140</v>
      </c>
      <c r="H1070" s="101">
        <v>120217</v>
      </c>
      <c r="I1070" s="102">
        <v>141047</v>
      </c>
      <c r="J1070" s="101">
        <v>112418</v>
      </c>
      <c r="K1070" s="101">
        <v>153894</v>
      </c>
      <c r="L1070" s="101"/>
      <c r="M1070" s="207"/>
      <c r="N1070" s="207"/>
    </row>
    <row r="1071" spans="1:16" s="212" customFormat="1" ht="18" customHeight="1" x14ac:dyDescent="0.25">
      <c r="A1071" s="146" t="s">
        <v>123</v>
      </c>
      <c r="B1071" s="926" t="s">
        <v>1388</v>
      </c>
      <c r="C1071" s="836" t="s">
        <v>141</v>
      </c>
      <c r="D1071" s="836"/>
      <c r="E1071" s="836"/>
      <c r="F1071" s="834"/>
      <c r="G1071" s="100" t="s">
        <v>142</v>
      </c>
      <c r="H1071" s="101">
        <v>120217</v>
      </c>
      <c r="I1071" s="102">
        <v>141047</v>
      </c>
      <c r="J1071" s="101"/>
      <c r="K1071" s="101">
        <v>153894</v>
      </c>
      <c r="L1071" s="101"/>
      <c r="M1071" s="207"/>
      <c r="N1071" s="207"/>
    </row>
    <row r="1072" spans="1:16" s="212" customFormat="1" ht="18" customHeight="1" x14ac:dyDescent="0.25">
      <c r="A1072" s="146" t="s">
        <v>123</v>
      </c>
      <c r="B1072" s="926" t="s">
        <v>1388</v>
      </c>
      <c r="C1072" s="836" t="s">
        <v>143</v>
      </c>
      <c r="D1072" s="836"/>
      <c r="E1072" s="836"/>
      <c r="F1072" s="834"/>
      <c r="G1072" s="100" t="s">
        <v>144</v>
      </c>
      <c r="H1072" s="101">
        <v>50000</v>
      </c>
      <c r="I1072" s="102">
        <v>60000</v>
      </c>
      <c r="J1072" s="101"/>
      <c r="K1072" s="105">
        <v>60000</v>
      </c>
      <c r="L1072" s="101"/>
      <c r="M1072" s="207"/>
      <c r="N1072" s="207"/>
    </row>
    <row r="1073" spans="1:16" s="191" customFormat="1" ht="18" customHeight="1" x14ac:dyDescent="0.25">
      <c r="A1073" s="146" t="s">
        <v>123</v>
      </c>
      <c r="B1073" s="926" t="s">
        <v>1388</v>
      </c>
      <c r="C1073" s="836" t="s">
        <v>145</v>
      </c>
      <c r="D1073" s="836"/>
      <c r="E1073" s="836"/>
      <c r="F1073" s="834"/>
      <c r="G1073" s="100" t="s">
        <v>146</v>
      </c>
      <c r="H1073" s="101">
        <v>50000</v>
      </c>
      <c r="I1073" s="102">
        <v>60000</v>
      </c>
      <c r="J1073" s="101"/>
      <c r="K1073" s="250">
        <v>60000</v>
      </c>
      <c r="L1073" s="250"/>
      <c r="M1073" s="10"/>
      <c r="N1073" s="10"/>
    </row>
    <row r="1074" spans="1:16" s="191" customFormat="1" ht="18" customHeight="1" x14ac:dyDescent="0.25">
      <c r="A1074" s="146" t="s">
        <v>123</v>
      </c>
      <c r="B1074" s="926" t="s">
        <v>1388</v>
      </c>
      <c r="C1074" s="840" t="s">
        <v>231</v>
      </c>
      <c r="D1074" s="836"/>
      <c r="E1074" s="836"/>
      <c r="F1074" s="834"/>
      <c r="G1074" s="100" t="s">
        <v>232</v>
      </c>
      <c r="H1074" s="101">
        <v>0</v>
      </c>
      <c r="I1074" s="102">
        <v>0</v>
      </c>
      <c r="J1074" s="101"/>
      <c r="K1074" s="250">
        <v>5000</v>
      </c>
      <c r="L1074" s="250"/>
      <c r="M1074" s="10"/>
      <c r="N1074" s="10"/>
    </row>
    <row r="1075" spans="1:16" s="208" customFormat="1" ht="18" x14ac:dyDescent="0.25">
      <c r="A1075" s="146" t="s">
        <v>123</v>
      </c>
      <c r="B1075" s="926" t="s">
        <v>1388</v>
      </c>
      <c r="C1075" s="859" t="s">
        <v>147</v>
      </c>
      <c r="D1075" s="836"/>
      <c r="E1075" s="836"/>
      <c r="F1075" s="834"/>
      <c r="G1075" s="100" t="s">
        <v>148</v>
      </c>
      <c r="H1075" s="101"/>
      <c r="I1075" s="102"/>
      <c r="J1075" s="101"/>
      <c r="K1075" s="250">
        <v>36000</v>
      </c>
      <c r="L1075" s="250"/>
      <c r="M1075" s="207"/>
      <c r="N1075" s="207"/>
    </row>
    <row r="1076" spans="1:16" s="146" customFormat="1" ht="18" customHeight="1" x14ac:dyDescent="0.25">
      <c r="A1076" s="146" t="s">
        <v>123</v>
      </c>
      <c r="B1076" s="926" t="s">
        <v>1388</v>
      </c>
      <c r="C1076" s="834" t="s">
        <v>210</v>
      </c>
      <c r="D1076" s="835"/>
      <c r="E1076" s="835"/>
      <c r="F1076" s="835"/>
      <c r="G1076" s="100" t="s">
        <v>464</v>
      </c>
      <c r="H1076" s="101">
        <v>36400</v>
      </c>
      <c r="I1076" s="102">
        <v>54000</v>
      </c>
      <c r="J1076" s="112">
        <v>5850</v>
      </c>
      <c r="K1076" s="101">
        <v>54000</v>
      </c>
      <c r="L1076" s="112"/>
      <c r="M1076" s="10"/>
      <c r="N1076" s="10"/>
      <c r="O1076"/>
      <c r="P1076"/>
    </row>
    <row r="1077" spans="1:16" s="146" customFormat="1" ht="18" customHeight="1" x14ac:dyDescent="0.25">
      <c r="A1077" s="146" t="s">
        <v>123</v>
      </c>
      <c r="B1077" s="926" t="s">
        <v>1388</v>
      </c>
      <c r="C1077" s="114" t="s">
        <v>211</v>
      </c>
      <c r="D1077" s="116"/>
      <c r="E1077" s="835"/>
      <c r="F1077" s="835"/>
      <c r="G1077" s="100" t="s">
        <v>212</v>
      </c>
      <c r="H1077" s="101">
        <v>5195.84</v>
      </c>
      <c r="I1077" s="102">
        <v>5400</v>
      </c>
      <c r="J1077" s="101">
        <v>866.02</v>
      </c>
      <c r="K1077" s="101">
        <v>5400</v>
      </c>
      <c r="L1077" s="101"/>
      <c r="M1077" s="10"/>
      <c r="N1077" s="10"/>
      <c r="O1077"/>
      <c r="P1077"/>
    </row>
    <row r="1078" spans="1:16" s="146" customFormat="1" ht="18" customHeight="1" x14ac:dyDescent="0.25">
      <c r="A1078" s="146" t="s">
        <v>123</v>
      </c>
      <c r="B1078" s="926" t="s">
        <v>1388</v>
      </c>
      <c r="C1078" s="852" t="s">
        <v>149</v>
      </c>
      <c r="D1078" s="835"/>
      <c r="E1078" s="835"/>
      <c r="F1078" s="835"/>
      <c r="G1078" s="100" t="s">
        <v>150</v>
      </c>
      <c r="H1078" s="101">
        <v>273885</v>
      </c>
      <c r="I1078" s="102">
        <v>128862</v>
      </c>
      <c r="J1078" s="101">
        <v>22450</v>
      </c>
      <c r="K1078" s="101">
        <v>140918.82</v>
      </c>
      <c r="L1078" s="101"/>
      <c r="M1078" s="10"/>
      <c r="N1078" s="10"/>
      <c r="O1078"/>
      <c r="P1078"/>
    </row>
    <row r="1079" spans="1:16" s="146" customFormat="1" ht="36" x14ac:dyDescent="0.25">
      <c r="A1079" s="146" t="s">
        <v>123</v>
      </c>
      <c r="B1079" s="926" t="s">
        <v>1388</v>
      </c>
      <c r="C1079" s="834" t="s">
        <v>1284</v>
      </c>
      <c r="D1079" s="835"/>
      <c r="E1079" s="835"/>
      <c r="F1079" s="835"/>
      <c r="G1079" s="100" t="s">
        <v>136</v>
      </c>
      <c r="H1079" s="101">
        <v>0</v>
      </c>
      <c r="I1079" s="102">
        <v>137324.85</v>
      </c>
      <c r="J1079" s="101"/>
      <c r="K1079" s="101">
        <v>154854.26</v>
      </c>
      <c r="L1079" s="101"/>
      <c r="M1079" s="10"/>
      <c r="N1079" s="10"/>
      <c r="O1079"/>
      <c r="P1079"/>
    </row>
    <row r="1080" spans="1:16" s="146" customFormat="1" ht="18" customHeight="1" x14ac:dyDescent="0.25">
      <c r="A1080" s="146" t="s">
        <v>123</v>
      </c>
      <c r="B1080" s="926" t="s">
        <v>1388</v>
      </c>
      <c r="C1080" s="834" t="s">
        <v>153</v>
      </c>
      <c r="D1080" s="835"/>
      <c r="E1080" s="835"/>
      <c r="F1080" s="835"/>
      <c r="G1080" s="100" t="s">
        <v>154</v>
      </c>
      <c r="H1080" s="101">
        <v>156975.67000000001</v>
      </c>
      <c r="I1080" s="102">
        <v>203107.68</v>
      </c>
      <c r="J1080" s="101">
        <v>96713</v>
      </c>
      <c r="K1080" s="101">
        <v>221418.44</v>
      </c>
      <c r="L1080" s="101"/>
      <c r="M1080" s="10"/>
      <c r="N1080" s="10"/>
      <c r="O1080"/>
      <c r="P1080"/>
    </row>
    <row r="1081" spans="1:16" s="146" customFormat="1" ht="18" customHeight="1" x14ac:dyDescent="0.25">
      <c r="A1081" s="146" t="s">
        <v>123</v>
      </c>
      <c r="B1081" s="926" t="s">
        <v>1388</v>
      </c>
      <c r="C1081" s="834" t="s">
        <v>155</v>
      </c>
      <c r="D1081" s="835"/>
      <c r="E1081" s="835"/>
      <c r="F1081" s="835"/>
      <c r="G1081" s="100" t="s">
        <v>156</v>
      </c>
      <c r="H1081" s="101">
        <v>10600</v>
      </c>
      <c r="I1081" s="102">
        <v>14400</v>
      </c>
      <c r="J1081" s="101">
        <v>6600</v>
      </c>
      <c r="K1081" s="101">
        <v>14400</v>
      </c>
      <c r="L1081" s="101"/>
      <c r="M1081" s="10"/>
      <c r="N1081" s="10"/>
      <c r="O1081"/>
      <c r="P1081"/>
    </row>
    <row r="1082" spans="1:16" s="146" customFormat="1" ht="18" customHeight="1" x14ac:dyDescent="0.25">
      <c r="A1082" s="146" t="s">
        <v>123</v>
      </c>
      <c r="B1082" s="926" t="s">
        <v>1388</v>
      </c>
      <c r="C1082" s="834" t="s">
        <v>157</v>
      </c>
      <c r="D1082" s="835"/>
      <c r="E1082" s="835"/>
      <c r="F1082" s="835"/>
      <c r="G1082" s="100" t="s">
        <v>158</v>
      </c>
      <c r="H1082" s="101">
        <v>19528.5</v>
      </c>
      <c r="I1082" s="102">
        <v>29619.81</v>
      </c>
      <c r="J1082" s="101">
        <v>12391.59</v>
      </c>
      <c r="K1082" s="101">
        <v>73926.149999999994</v>
      </c>
      <c r="L1082" s="101"/>
      <c r="M1082" s="10"/>
      <c r="N1082" s="10"/>
      <c r="O1082"/>
      <c r="P1082"/>
    </row>
    <row r="1083" spans="1:16" s="146" customFormat="1" ht="36" x14ac:dyDescent="0.25">
      <c r="A1083" s="146" t="s">
        <v>123</v>
      </c>
      <c r="B1083" s="926" t="s">
        <v>1388</v>
      </c>
      <c r="C1083" s="834" t="s">
        <v>159</v>
      </c>
      <c r="D1083" s="835"/>
      <c r="E1083" s="835"/>
      <c r="F1083" s="835"/>
      <c r="G1083" s="100" t="s">
        <v>160</v>
      </c>
      <c r="H1083" s="101">
        <v>10603.24</v>
      </c>
      <c r="I1083" s="102">
        <v>14400</v>
      </c>
      <c r="J1083" s="101">
        <v>6600</v>
      </c>
      <c r="K1083" s="101">
        <v>14400</v>
      </c>
      <c r="L1083" s="101"/>
      <c r="M1083" s="10"/>
      <c r="N1083" s="10"/>
      <c r="O1083"/>
      <c r="P1083"/>
    </row>
    <row r="1084" spans="1:16" s="146" customFormat="1" ht="18" customHeight="1" x14ac:dyDescent="0.25">
      <c r="A1084" s="146" t="s">
        <v>123</v>
      </c>
      <c r="B1084" s="926" t="s">
        <v>1388</v>
      </c>
      <c r="C1084" s="834" t="s">
        <v>124</v>
      </c>
      <c r="D1084" s="835"/>
      <c r="E1084" s="835"/>
      <c r="F1084" s="835"/>
      <c r="G1084" s="100" t="s">
        <v>125</v>
      </c>
      <c r="H1084" s="101">
        <v>2300526</v>
      </c>
      <c r="I1084" s="102">
        <v>2887656</v>
      </c>
      <c r="J1084" s="101">
        <v>1409227.54</v>
      </c>
      <c r="K1084" s="101">
        <v>3160164</v>
      </c>
      <c r="L1084" s="101"/>
      <c r="M1084" s="10"/>
      <c r="N1084" s="10"/>
      <c r="O1084"/>
      <c r="P1084"/>
    </row>
    <row r="1085" spans="1:16" s="146" customFormat="1" ht="36" x14ac:dyDescent="0.25">
      <c r="A1085" s="146" t="s">
        <v>123</v>
      </c>
      <c r="B1085" s="926" t="s">
        <v>1388</v>
      </c>
      <c r="C1085" s="834" t="s">
        <v>128</v>
      </c>
      <c r="D1085" s="835"/>
      <c r="E1085" s="835"/>
      <c r="F1085" s="835"/>
      <c r="G1085" s="100" t="s">
        <v>125</v>
      </c>
      <c r="H1085" s="101"/>
      <c r="I1085" s="102">
        <v>5832</v>
      </c>
      <c r="J1085" s="101"/>
      <c r="K1085" s="101">
        <v>6038.72</v>
      </c>
      <c r="L1085" s="101"/>
      <c r="M1085" s="10"/>
      <c r="N1085" s="10"/>
      <c r="O1085"/>
      <c r="P1085"/>
    </row>
    <row r="1086" spans="1:16" s="146" customFormat="1" ht="18" customHeight="1" x14ac:dyDescent="0.25">
      <c r="A1086" s="146" t="s">
        <v>123</v>
      </c>
      <c r="B1086" s="926" t="s">
        <v>1388</v>
      </c>
      <c r="C1086" s="834" t="s">
        <v>129</v>
      </c>
      <c r="D1086" s="835"/>
      <c r="E1086" s="835"/>
      <c r="F1086" s="835"/>
      <c r="G1086" s="103" t="s">
        <v>130</v>
      </c>
      <c r="H1086" s="101">
        <v>335000</v>
      </c>
      <c r="I1086" s="102">
        <v>432000</v>
      </c>
      <c r="J1086" s="101">
        <v>195909.09</v>
      </c>
      <c r="K1086" s="101">
        <v>432000</v>
      </c>
      <c r="L1086" s="101"/>
      <c r="M1086" s="10"/>
      <c r="N1086" s="10"/>
      <c r="O1086"/>
      <c r="P1086"/>
    </row>
    <row r="1087" spans="1:16" s="146" customFormat="1" ht="18" customHeight="1" x14ac:dyDescent="0.25">
      <c r="A1087" s="146" t="s">
        <v>123</v>
      </c>
      <c r="B1087" s="926" t="s">
        <v>1388</v>
      </c>
      <c r="C1087" s="834" t="s">
        <v>135</v>
      </c>
      <c r="D1087" s="835"/>
      <c r="E1087" s="835"/>
      <c r="F1087" s="835"/>
      <c r="G1087" s="100" t="s">
        <v>136</v>
      </c>
      <c r="H1087" s="101">
        <v>405422.89</v>
      </c>
      <c r="I1087" s="102">
        <v>527266.36</v>
      </c>
      <c r="J1087" s="101">
        <v>204511.31</v>
      </c>
      <c r="K1087" s="102">
        <v>552447.27</v>
      </c>
      <c r="L1087" s="101"/>
      <c r="M1087" s="10"/>
      <c r="N1087" s="10"/>
      <c r="O1087"/>
      <c r="P1087"/>
    </row>
    <row r="1088" spans="1:16" s="146" customFormat="1" ht="18" customHeight="1" x14ac:dyDescent="0.25">
      <c r="A1088" s="146" t="s">
        <v>123</v>
      </c>
      <c r="B1088" s="926" t="s">
        <v>1388</v>
      </c>
      <c r="C1088" s="834" t="s">
        <v>137</v>
      </c>
      <c r="D1088" s="835"/>
      <c r="E1088" s="835"/>
      <c r="F1088" s="835"/>
      <c r="G1088" s="100" t="s">
        <v>138</v>
      </c>
      <c r="H1088" s="101">
        <v>84000</v>
      </c>
      <c r="I1088" s="102">
        <v>108000</v>
      </c>
      <c r="J1088" s="101">
        <v>84000</v>
      </c>
      <c r="K1088" s="101">
        <v>108000</v>
      </c>
      <c r="L1088" s="101"/>
      <c r="M1088" s="10"/>
      <c r="N1088" s="10"/>
      <c r="O1088"/>
      <c r="P1088"/>
    </row>
    <row r="1089" spans="1:16" s="146" customFormat="1" ht="18" customHeight="1" x14ac:dyDescent="0.25">
      <c r="A1089" s="146" t="s">
        <v>123</v>
      </c>
      <c r="B1089" s="926" t="s">
        <v>1388</v>
      </c>
      <c r="C1089" s="834" t="s">
        <v>139</v>
      </c>
      <c r="D1089" s="835"/>
      <c r="E1089" s="835"/>
      <c r="F1089" s="835"/>
      <c r="G1089" s="100" t="s">
        <v>140</v>
      </c>
      <c r="H1089" s="105">
        <v>192228</v>
      </c>
      <c r="I1089" s="106">
        <v>240175</v>
      </c>
      <c r="J1089" s="105">
        <v>201336</v>
      </c>
      <c r="K1089" s="105">
        <v>263980</v>
      </c>
      <c r="L1089" s="105"/>
      <c r="M1089" s="10"/>
      <c r="N1089" s="10"/>
      <c r="O1089"/>
      <c r="P1089"/>
    </row>
    <row r="1090" spans="1:16" s="229" customFormat="1" ht="18" customHeight="1" x14ac:dyDescent="0.25">
      <c r="A1090" s="146" t="s">
        <v>123</v>
      </c>
      <c r="B1090" s="926" t="s">
        <v>1388</v>
      </c>
      <c r="C1090" s="836" t="s">
        <v>141</v>
      </c>
      <c r="D1090" s="836"/>
      <c r="E1090" s="836"/>
      <c r="F1090" s="834"/>
      <c r="G1090" s="100" t="s">
        <v>142</v>
      </c>
      <c r="H1090" s="101">
        <v>179065</v>
      </c>
      <c r="I1090" s="102">
        <v>241071</v>
      </c>
      <c r="J1090" s="101"/>
      <c r="K1090" s="101">
        <v>263980</v>
      </c>
      <c r="L1090" s="101"/>
      <c r="M1090" s="207"/>
      <c r="N1090" s="207"/>
      <c r="O1090" s="212"/>
      <c r="P1090" s="212"/>
    </row>
    <row r="1091" spans="1:16" s="229" customFormat="1" ht="18" customHeight="1" x14ac:dyDescent="0.25">
      <c r="A1091" s="146" t="s">
        <v>123</v>
      </c>
      <c r="B1091" s="926" t="s">
        <v>1388</v>
      </c>
      <c r="C1091" s="836" t="s">
        <v>143</v>
      </c>
      <c r="D1091" s="836"/>
      <c r="E1091" s="836"/>
      <c r="F1091" s="834"/>
      <c r="G1091" s="100" t="s">
        <v>144</v>
      </c>
      <c r="H1091" s="101">
        <v>65000</v>
      </c>
      <c r="I1091" s="102">
        <v>90000</v>
      </c>
      <c r="J1091" s="101"/>
      <c r="K1091" s="101">
        <v>90000</v>
      </c>
      <c r="L1091" s="101"/>
      <c r="M1091" s="207"/>
      <c r="N1091" s="207"/>
      <c r="O1091" s="212"/>
      <c r="P1091" s="212"/>
    </row>
    <row r="1092" spans="1:16" s="229" customFormat="1" ht="18" customHeight="1" x14ac:dyDescent="0.25">
      <c r="A1092" s="146" t="s">
        <v>123</v>
      </c>
      <c r="B1092" s="926" t="s">
        <v>1388</v>
      </c>
      <c r="C1092" s="836" t="s">
        <v>145</v>
      </c>
      <c r="D1092" s="836"/>
      <c r="E1092" s="836"/>
      <c r="F1092" s="834"/>
      <c r="G1092" s="100" t="s">
        <v>146</v>
      </c>
      <c r="H1092" s="101">
        <v>70000</v>
      </c>
      <c r="I1092" s="102">
        <v>90000</v>
      </c>
      <c r="J1092" s="101"/>
      <c r="K1092" s="101">
        <v>90000</v>
      </c>
      <c r="L1092" s="101"/>
      <c r="M1092" s="207"/>
      <c r="N1092" s="207"/>
      <c r="O1092" s="212"/>
      <c r="P1092" s="212"/>
    </row>
    <row r="1093" spans="1:16" s="229" customFormat="1" ht="18" customHeight="1" x14ac:dyDescent="0.25">
      <c r="A1093" s="146" t="s">
        <v>123</v>
      </c>
      <c r="B1093" s="926" t="s">
        <v>1388</v>
      </c>
      <c r="C1093" s="859" t="s">
        <v>147</v>
      </c>
      <c r="D1093" s="836"/>
      <c r="E1093" s="836"/>
      <c r="F1093" s="834"/>
      <c r="G1093" s="100" t="s">
        <v>148</v>
      </c>
      <c r="H1093" s="101"/>
      <c r="I1093" s="102"/>
      <c r="J1093" s="101"/>
      <c r="K1093" s="101">
        <v>54000</v>
      </c>
      <c r="L1093" s="101"/>
      <c r="M1093" s="207"/>
      <c r="N1093" s="207"/>
      <c r="O1093" s="212"/>
      <c r="P1093" s="212"/>
    </row>
    <row r="1094" spans="1:16" s="229" customFormat="1" ht="18" customHeight="1" x14ac:dyDescent="0.25">
      <c r="A1094" s="146" t="s">
        <v>123</v>
      </c>
      <c r="B1094" s="926" t="s">
        <v>1388</v>
      </c>
      <c r="C1094" s="836" t="s">
        <v>153</v>
      </c>
      <c r="D1094" s="836"/>
      <c r="E1094" s="836"/>
      <c r="F1094" s="834"/>
      <c r="G1094" s="100" t="s">
        <v>154</v>
      </c>
      <c r="H1094" s="101">
        <v>276063.12</v>
      </c>
      <c r="I1094" s="102">
        <v>347218.56</v>
      </c>
      <c r="J1094" s="101">
        <v>169104.26</v>
      </c>
      <c r="K1094" s="101">
        <v>379944.33</v>
      </c>
      <c r="L1094" s="101"/>
      <c r="M1094" s="207"/>
      <c r="N1094" s="207"/>
      <c r="O1094" s="212"/>
      <c r="P1094" s="212"/>
    </row>
    <row r="1095" spans="1:16" s="229" customFormat="1" ht="18" customHeight="1" x14ac:dyDescent="0.25">
      <c r="A1095" s="146" t="s">
        <v>123</v>
      </c>
      <c r="B1095" s="926" t="s">
        <v>1388</v>
      </c>
      <c r="C1095" s="836" t="s">
        <v>155</v>
      </c>
      <c r="D1095" s="836"/>
      <c r="E1095" s="836"/>
      <c r="F1095" s="834"/>
      <c r="G1095" s="100" t="s">
        <v>156</v>
      </c>
      <c r="H1095" s="101">
        <v>16800</v>
      </c>
      <c r="I1095" s="102">
        <v>21600</v>
      </c>
      <c r="J1095" s="101">
        <v>9800</v>
      </c>
      <c r="K1095" s="101">
        <v>21600</v>
      </c>
      <c r="L1095" s="101"/>
      <c r="M1095" s="207"/>
      <c r="N1095" s="207"/>
      <c r="O1095" s="212"/>
      <c r="P1095" s="212"/>
    </row>
    <row r="1096" spans="1:16" s="229" customFormat="1" ht="18" customHeight="1" x14ac:dyDescent="0.25">
      <c r="A1096" s="146" t="s">
        <v>123</v>
      </c>
      <c r="B1096" s="926" t="s">
        <v>1388</v>
      </c>
      <c r="C1096" s="836" t="s">
        <v>157</v>
      </c>
      <c r="D1096" s="836"/>
      <c r="E1096" s="836"/>
      <c r="F1096" s="834"/>
      <c r="G1096" s="100" t="s">
        <v>158</v>
      </c>
      <c r="H1096" s="101">
        <v>34607.74</v>
      </c>
      <c r="I1096" s="102">
        <v>50639.61</v>
      </c>
      <c r="J1096" s="101">
        <v>21148.86</v>
      </c>
      <c r="K1096" s="101">
        <v>126949.55</v>
      </c>
      <c r="L1096" s="101"/>
      <c r="M1096" s="207"/>
      <c r="N1096" s="207"/>
      <c r="O1096" s="212"/>
      <c r="P1096" s="212"/>
    </row>
    <row r="1097" spans="1:16" s="146" customFormat="1" ht="36" x14ac:dyDescent="0.25">
      <c r="A1097" s="146" t="s">
        <v>123</v>
      </c>
      <c r="B1097" s="926" t="s">
        <v>1388</v>
      </c>
      <c r="C1097" s="836" t="s">
        <v>159</v>
      </c>
      <c r="D1097" s="836"/>
      <c r="E1097" s="836"/>
      <c r="F1097" s="836"/>
      <c r="G1097" s="100" t="s">
        <v>160</v>
      </c>
      <c r="H1097" s="101">
        <v>16800</v>
      </c>
      <c r="I1097" s="102">
        <v>21600</v>
      </c>
      <c r="J1097" s="101">
        <v>9800</v>
      </c>
      <c r="K1097" s="101">
        <v>21600</v>
      </c>
      <c r="L1097" s="101"/>
      <c r="M1097" s="10"/>
      <c r="N1097" s="10"/>
      <c r="O1097"/>
      <c r="P1097"/>
    </row>
    <row r="1098" spans="1:16" ht="18" x14ac:dyDescent="0.25">
      <c r="A1098" s="48"/>
      <c r="B1098" s="939" t="s">
        <v>1516</v>
      </c>
      <c r="C1098" s="2"/>
      <c r="D1098" s="3"/>
      <c r="E1098" s="3"/>
      <c r="F1098" s="3"/>
      <c r="G1098" s="97"/>
      <c r="H1098" s="238"/>
      <c r="I1098" s="294"/>
      <c r="J1098" s="238"/>
      <c r="K1098" s="951"/>
      <c r="L1098" s="101"/>
    </row>
    <row r="1099" spans="1:16" s="146" customFormat="1" x14ac:dyDescent="0.25">
      <c r="B1099" s="8"/>
      <c r="C1099" s="9"/>
      <c r="D1099" s="8"/>
      <c r="E1099" s="8"/>
      <c r="F1099" s="8"/>
      <c r="G1099" s="8"/>
      <c r="H1099" s="481"/>
      <c r="I1099" s="482" t="s">
        <v>1319</v>
      </c>
      <c r="J1099" s="483"/>
      <c r="K1099" s="480" t="e">
        <f>SUM(#REF!)</f>
        <v>#REF!</v>
      </c>
      <c r="L1099" s="483"/>
      <c r="M1099" s="10"/>
      <c r="N1099" s="10">
        <v>750428822.36000001</v>
      </c>
      <c r="O1099"/>
      <c r="P1099"/>
    </row>
    <row r="1100" spans="1:16" s="146" customFormat="1" x14ac:dyDescent="0.25">
      <c r="B1100" s="8"/>
      <c r="C1100" s="9"/>
      <c r="D1100" s="8"/>
      <c r="E1100" s="8"/>
      <c r="F1100" s="8"/>
      <c r="G1100" s="8"/>
      <c r="H1100" s="4"/>
      <c r="I1100" s="177"/>
      <c r="J1100" s="265"/>
      <c r="K1100" s="4"/>
      <c r="L1100" s="265"/>
      <c r="M1100" s="10"/>
      <c r="N1100" s="10"/>
      <c r="O1100"/>
      <c r="P1100"/>
    </row>
    <row r="1101" spans="1:16" s="146" customFormat="1" x14ac:dyDescent="0.25">
      <c r="B1101" s="8"/>
      <c r="C1101" s="9"/>
      <c r="D1101" s="8"/>
      <c r="E1101" s="8"/>
      <c r="F1101" s="8"/>
      <c r="G1101" s="8"/>
      <c r="H1101" s="4"/>
      <c r="I1101" s="177"/>
      <c r="J1101" s="265"/>
      <c r="K1101" s="4"/>
      <c r="L1101" s="265"/>
      <c r="M1101" s="10"/>
      <c r="N1101" s="10"/>
      <c r="O1101"/>
      <c r="P1101"/>
    </row>
    <row r="1102" spans="1:16" s="146" customFormat="1" x14ac:dyDescent="0.25">
      <c r="B1102" s="8"/>
      <c r="C1102" s="9"/>
      <c r="D1102" s="8"/>
      <c r="E1102" s="8"/>
      <c r="F1102" s="8"/>
      <c r="G1102" s="8"/>
      <c r="H1102" s="4"/>
      <c r="I1102" s="177"/>
      <c r="J1102" s="265"/>
      <c r="K1102" s="4"/>
      <c r="L1102" s="265"/>
      <c r="M1102" s="10"/>
      <c r="N1102" s="10"/>
      <c r="O1102"/>
      <c r="P1102"/>
    </row>
    <row r="1103" spans="1:16" s="146" customFormat="1" x14ac:dyDescent="0.25">
      <c r="B1103" s="8"/>
      <c r="C1103" s="9"/>
      <c r="D1103" s="8"/>
      <c r="E1103" s="8"/>
      <c r="F1103" s="8"/>
      <c r="G1103" s="8"/>
      <c r="H1103" s="4"/>
      <c r="I1103" s="177"/>
      <c r="J1103" s="265"/>
      <c r="K1103" s="4"/>
      <c r="L1103" s="265"/>
      <c r="M1103" s="10"/>
      <c r="N1103" s="10"/>
      <c r="O1103"/>
      <c r="P1103"/>
    </row>
    <row r="1104" spans="1:16" s="146" customFormat="1" x14ac:dyDescent="0.25">
      <c r="B1104" s="8"/>
      <c r="C1104" s="9"/>
      <c r="D1104" s="8"/>
      <c r="E1104" s="8"/>
      <c r="F1104" s="8"/>
      <c r="G1104" s="8"/>
      <c r="H1104" s="4"/>
      <c r="I1104" s="5"/>
      <c r="J1104" s="265"/>
      <c r="K1104" s="4"/>
      <c r="L1104" s="265"/>
      <c r="M1104" s="10"/>
      <c r="N1104" s="10"/>
      <c r="O1104"/>
      <c r="P1104"/>
    </row>
  </sheetData>
  <sortState ref="A147:K1098">
    <sortCondition ref="A147"/>
  </sortState>
  <mergeCells count="1">
    <mergeCell ref="L557:L558"/>
  </mergeCells>
  <pageMargins left="0.43307086614173229" right="0.15748031496062992" top="0.70866141732283472" bottom="1.5748031496062993" header="0.31496062992125984" footer="0.31496062992125984"/>
  <pageSetup paperSize="5" scale="70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1116"/>
  <sheetViews>
    <sheetView view="pageBreakPreview" topLeftCell="A510" zoomScale="120" zoomScaleNormal="100" zoomScaleSheetLayoutView="120" workbookViewId="0">
      <selection activeCell="E417" sqref="E417"/>
    </sheetView>
  </sheetViews>
  <sheetFormatPr defaultRowHeight="15.75" x14ac:dyDescent="0.25"/>
  <cols>
    <col min="1" max="1" width="7.5703125" style="8" customWidth="1"/>
    <col min="3" max="3" width="16" style="8" customWidth="1"/>
    <col min="4" max="4" width="18.7109375" style="714" customWidth="1"/>
    <col min="5" max="5" width="30.140625" style="8" customWidth="1"/>
    <col min="6" max="6" width="18.5703125" style="8" hidden="1" customWidth="1"/>
    <col min="7" max="7" width="5.28515625" style="8" hidden="1" customWidth="1"/>
    <col min="8" max="8" width="16" style="8" hidden="1" customWidth="1"/>
    <col min="9" max="9" width="16.7109375" style="4" hidden="1" customWidth="1"/>
    <col min="10" max="10" width="17.140625" style="5" hidden="1" customWidth="1"/>
    <col min="11" max="11" width="16.85546875" style="4" hidden="1" customWidth="1"/>
    <col min="12" max="12" width="18.28515625" style="4" customWidth="1"/>
    <col min="13" max="13" width="16.85546875" style="4" customWidth="1"/>
    <col min="14" max="14" width="19.140625" style="10" customWidth="1"/>
    <col min="15" max="15" width="19.85546875" style="10" customWidth="1"/>
  </cols>
  <sheetData>
    <row r="1" spans="1:15" s="7" customFormat="1" ht="18" hidden="1" customHeight="1" x14ac:dyDescent="0.25">
      <c r="A1" s="908" t="s">
        <v>0</v>
      </c>
      <c r="C1" s="3"/>
      <c r="D1" s="2"/>
      <c r="E1" s="3"/>
      <c r="F1" s="3"/>
      <c r="G1" s="3"/>
      <c r="H1" s="3"/>
      <c r="I1" s="4"/>
      <c r="J1" s="5"/>
      <c r="K1" s="4"/>
      <c r="L1" s="4"/>
      <c r="M1" s="4"/>
      <c r="N1" s="6"/>
      <c r="O1" s="6"/>
    </row>
    <row r="2" spans="1:15" ht="15.75" hidden="1" customHeight="1" x14ac:dyDescent="0.25"/>
    <row r="3" spans="1:15" ht="20.25" hidden="1" customHeight="1" x14ac:dyDescent="0.3">
      <c r="A3" s="875" t="s">
        <v>1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</row>
    <row r="4" spans="1:15" ht="18" hidden="1" customHeight="1" x14ac:dyDescent="0.25">
      <c r="A4" s="876" t="s">
        <v>2</v>
      </c>
      <c r="C4" s="876"/>
      <c r="D4" s="876"/>
      <c r="E4" s="877"/>
      <c r="F4" s="877"/>
      <c r="G4" s="876"/>
      <c r="H4" s="876"/>
      <c r="I4" s="876"/>
      <c r="J4" s="876"/>
      <c r="K4" s="876"/>
      <c r="L4" s="876"/>
      <c r="M4" s="876"/>
    </row>
    <row r="5" spans="1:15" ht="18" hidden="1" customHeight="1" x14ac:dyDescent="0.25">
      <c r="A5" s="909"/>
      <c r="C5" s="876"/>
      <c r="D5" s="876"/>
      <c r="E5" s="877" t="s">
        <v>3</v>
      </c>
      <c r="F5" s="877"/>
      <c r="G5" s="876"/>
      <c r="H5" s="876"/>
      <c r="I5" s="11"/>
      <c r="J5" s="11"/>
      <c r="K5" s="11"/>
      <c r="L5" s="11"/>
      <c r="M5" s="11"/>
    </row>
    <row r="6" spans="1:15" ht="15" hidden="1" customHeight="1" x14ac:dyDescent="0.25">
      <c r="A6" s="862" t="s">
        <v>4</v>
      </c>
      <c r="C6" s="880" t="s">
        <v>5</v>
      </c>
      <c r="D6" s="954"/>
      <c r="E6" s="878"/>
      <c r="F6" s="878"/>
      <c r="G6" s="879"/>
      <c r="H6" s="880" t="s">
        <v>5</v>
      </c>
      <c r="I6" s="883" t="s">
        <v>6</v>
      </c>
      <c r="J6" s="886" t="s">
        <v>7</v>
      </c>
      <c r="K6" s="883"/>
      <c r="L6" s="889" t="s">
        <v>8</v>
      </c>
      <c r="M6" s="883"/>
    </row>
    <row r="7" spans="1:15" ht="15" hidden="1" customHeight="1" x14ac:dyDescent="0.25">
      <c r="A7" s="862"/>
      <c r="C7" s="881"/>
      <c r="D7" s="954"/>
      <c r="E7" s="878"/>
      <c r="F7" s="878"/>
      <c r="G7" s="879"/>
      <c r="H7" s="881"/>
      <c r="I7" s="884"/>
      <c r="J7" s="887"/>
      <c r="K7" s="884"/>
      <c r="L7" s="890"/>
      <c r="M7" s="884"/>
    </row>
    <row r="8" spans="1:15" ht="15" hidden="1" customHeight="1" x14ac:dyDescent="0.25">
      <c r="A8" s="862"/>
      <c r="C8" s="881"/>
      <c r="D8" s="954"/>
      <c r="E8" s="878"/>
      <c r="F8" s="878"/>
      <c r="G8" s="879"/>
      <c r="H8" s="881"/>
      <c r="I8" s="884"/>
      <c r="J8" s="887"/>
      <c r="K8" s="884"/>
      <c r="L8" s="890"/>
      <c r="M8" s="884"/>
    </row>
    <row r="9" spans="1:15" ht="15" hidden="1" customHeight="1" x14ac:dyDescent="0.25">
      <c r="A9" s="862"/>
      <c r="C9" s="881"/>
      <c r="D9" s="954"/>
      <c r="E9" s="878"/>
      <c r="F9" s="878"/>
      <c r="G9" s="879"/>
      <c r="H9" s="881"/>
      <c r="I9" s="884"/>
      <c r="J9" s="887"/>
      <c r="K9" s="884"/>
      <c r="L9" s="890"/>
      <c r="M9" s="884"/>
    </row>
    <row r="10" spans="1:15" ht="15" hidden="1" customHeight="1" x14ac:dyDescent="0.25">
      <c r="A10" s="862"/>
      <c r="C10" s="882"/>
      <c r="D10" s="954"/>
      <c r="E10" s="878"/>
      <c r="F10" s="878"/>
      <c r="G10" s="879"/>
      <c r="H10" s="882"/>
      <c r="I10" s="885"/>
      <c r="J10" s="888"/>
      <c r="K10" s="885"/>
      <c r="L10" s="891"/>
      <c r="M10" s="885"/>
    </row>
    <row r="11" spans="1:15" ht="18" hidden="1" customHeight="1" x14ac:dyDescent="0.25">
      <c r="A11" s="863" t="s">
        <v>9</v>
      </c>
      <c r="C11" s="548"/>
      <c r="D11" s="955"/>
      <c r="E11" s="865"/>
      <c r="F11" s="865"/>
      <c r="G11" s="866"/>
      <c r="H11" s="548"/>
      <c r="I11" s="549"/>
      <c r="J11" s="550"/>
      <c r="K11" s="550"/>
      <c r="L11" s="550"/>
      <c r="M11" s="550"/>
    </row>
    <row r="12" spans="1:15" ht="18" hidden="1" customHeight="1" x14ac:dyDescent="0.25">
      <c r="A12" s="910" t="s">
        <v>10</v>
      </c>
      <c r="C12" s="13"/>
      <c r="D12" s="859" t="s">
        <v>11</v>
      </c>
      <c r="E12" s="867"/>
      <c r="F12" s="867"/>
      <c r="G12" s="861"/>
      <c r="H12" s="13"/>
      <c r="I12" s="14"/>
      <c r="J12" s="15">
        <f>48062338.53+20000000+3000000+2399320.06+1000000</f>
        <v>74461658.590000004</v>
      </c>
      <c r="K12" s="15"/>
      <c r="L12" s="15"/>
      <c r="M12" s="15"/>
    </row>
    <row r="13" spans="1:15" ht="18" hidden="1" customHeight="1" x14ac:dyDescent="0.25">
      <c r="A13" s="911" t="s">
        <v>12</v>
      </c>
      <c r="C13" s="13"/>
      <c r="D13" s="859" t="s">
        <v>13</v>
      </c>
      <c r="E13" s="867"/>
      <c r="F13" s="867"/>
      <c r="G13" s="861"/>
      <c r="H13" s="13"/>
      <c r="I13" s="14"/>
      <c r="J13" s="15">
        <v>14242804.09</v>
      </c>
      <c r="K13" s="15"/>
      <c r="L13" s="15"/>
      <c r="M13" s="15"/>
    </row>
    <row r="14" spans="1:15" ht="18" hidden="1" customHeight="1" x14ac:dyDescent="0.25">
      <c r="A14" s="910" t="s">
        <v>12</v>
      </c>
      <c r="C14" s="13"/>
      <c r="D14" s="859" t="s">
        <v>14</v>
      </c>
      <c r="E14" s="867"/>
      <c r="F14" s="867"/>
      <c r="G14" s="861"/>
      <c r="H14" s="13"/>
      <c r="I14" s="17"/>
      <c r="J14" s="18">
        <v>16310186.460000001</v>
      </c>
      <c r="K14" s="18"/>
      <c r="L14" s="18"/>
      <c r="M14" s="18"/>
    </row>
    <row r="15" spans="1:15" ht="18" hidden="1" customHeight="1" x14ac:dyDescent="0.25">
      <c r="A15" s="868" t="s">
        <v>15</v>
      </c>
      <c r="C15" s="13"/>
      <c r="D15" s="956"/>
      <c r="E15" s="870"/>
      <c r="F15" s="870"/>
      <c r="G15" s="871"/>
      <c r="H15" s="13"/>
      <c r="I15" s="17"/>
      <c r="J15" s="19">
        <f>SUM(J12:J14)</f>
        <v>105014649.14000002</v>
      </c>
      <c r="K15" s="20"/>
      <c r="L15" s="20">
        <f>SUM(L12:L14)</f>
        <v>0</v>
      </c>
      <c r="M15" s="20"/>
    </row>
    <row r="16" spans="1:15" ht="18" hidden="1" customHeight="1" x14ac:dyDescent="0.25">
      <c r="A16" s="872" t="s">
        <v>16</v>
      </c>
      <c r="C16" s="13"/>
      <c r="D16" s="369"/>
      <c r="E16" s="865"/>
      <c r="F16" s="865"/>
      <c r="G16" s="874"/>
      <c r="H16" s="13"/>
      <c r="I16" s="17"/>
      <c r="J16" s="17"/>
      <c r="K16" s="21"/>
      <c r="L16" s="20"/>
      <c r="M16" s="21"/>
    </row>
    <row r="17" spans="1:13" ht="18" hidden="1" customHeight="1" x14ac:dyDescent="0.25">
      <c r="A17" s="912" t="s">
        <v>17</v>
      </c>
      <c r="C17" s="26"/>
      <c r="D17" s="23" t="s">
        <v>18</v>
      </c>
      <c r="E17" s="24" t="s">
        <v>19</v>
      </c>
      <c r="F17" s="24"/>
      <c r="G17" s="25"/>
      <c r="H17" s="26"/>
      <c r="I17" s="27"/>
      <c r="J17" s="27"/>
      <c r="K17" s="28"/>
      <c r="L17" s="29"/>
      <c r="M17" s="28"/>
    </row>
    <row r="18" spans="1:13" ht="18" hidden="1" customHeight="1" x14ac:dyDescent="0.25">
      <c r="A18" s="912"/>
      <c r="C18" s="26"/>
      <c r="D18" s="23" t="s">
        <v>20</v>
      </c>
      <c r="E18" s="24" t="s">
        <v>21</v>
      </c>
      <c r="F18" s="24"/>
      <c r="G18" s="25"/>
      <c r="H18" s="26"/>
      <c r="I18" s="27"/>
      <c r="J18" s="27"/>
      <c r="K18" s="28"/>
      <c r="L18" s="29"/>
      <c r="M18" s="28"/>
    </row>
    <row r="19" spans="1:13" ht="18" hidden="1" customHeight="1" x14ac:dyDescent="0.25">
      <c r="A19" s="912"/>
      <c r="C19" s="26"/>
      <c r="D19" s="23" t="s">
        <v>22</v>
      </c>
      <c r="E19" s="24" t="s">
        <v>23</v>
      </c>
      <c r="F19" s="24"/>
      <c r="G19" s="25"/>
      <c r="H19" s="26"/>
      <c r="I19" s="27"/>
      <c r="J19" s="27"/>
      <c r="K19" s="28"/>
      <c r="L19" s="29"/>
      <c r="M19" s="28"/>
    </row>
    <row r="20" spans="1:13" ht="15.75" hidden="1" customHeight="1" x14ac:dyDescent="0.25">
      <c r="A20" s="913"/>
      <c r="C20" s="26" t="s">
        <v>25</v>
      </c>
      <c r="E20" s="31" t="s">
        <v>24</v>
      </c>
      <c r="F20" s="32"/>
      <c r="G20" s="33"/>
      <c r="H20" s="26" t="s">
        <v>25</v>
      </c>
      <c r="I20" s="27"/>
      <c r="J20" s="34">
        <v>12000000</v>
      </c>
      <c r="K20" s="34"/>
      <c r="L20" s="34"/>
      <c r="M20" s="34"/>
    </row>
    <row r="21" spans="1:13" ht="15.75" hidden="1" customHeight="1" x14ac:dyDescent="0.25">
      <c r="A21" s="913"/>
      <c r="C21" s="26" t="s">
        <v>25</v>
      </c>
      <c r="E21" s="31" t="s">
        <v>26</v>
      </c>
      <c r="F21" s="32"/>
      <c r="G21" s="33"/>
      <c r="H21" s="26" t="s">
        <v>25</v>
      </c>
      <c r="I21" s="27"/>
      <c r="J21" s="34">
        <v>1500000</v>
      </c>
      <c r="K21" s="34"/>
      <c r="L21" s="34"/>
      <c r="M21" s="34"/>
    </row>
    <row r="22" spans="1:13" ht="15.75" hidden="1" customHeight="1" x14ac:dyDescent="0.25">
      <c r="A22" s="913"/>
      <c r="C22" s="26" t="s">
        <v>25</v>
      </c>
      <c r="E22" s="31" t="s">
        <v>27</v>
      </c>
      <c r="F22" s="32"/>
      <c r="G22" s="33"/>
      <c r="H22" s="26" t="s">
        <v>25</v>
      </c>
      <c r="I22" s="27"/>
      <c r="J22" s="34">
        <v>980000</v>
      </c>
      <c r="K22" s="34"/>
      <c r="L22" s="34"/>
      <c r="M22" s="34"/>
    </row>
    <row r="23" spans="1:13" ht="15.75" hidden="1" customHeight="1" x14ac:dyDescent="0.25">
      <c r="A23" s="913"/>
      <c r="C23" s="26" t="s">
        <v>25</v>
      </c>
      <c r="E23" s="31" t="s">
        <v>28</v>
      </c>
      <c r="F23" s="32"/>
      <c r="G23" s="33"/>
      <c r="H23" s="26" t="s">
        <v>25</v>
      </c>
      <c r="I23" s="27"/>
      <c r="J23" s="29">
        <v>650000</v>
      </c>
      <c r="K23" s="29"/>
      <c r="L23" s="29"/>
      <c r="M23" s="29"/>
    </row>
    <row r="24" spans="1:13" ht="15.75" hidden="1" customHeight="1" x14ac:dyDescent="0.25">
      <c r="A24" s="913"/>
      <c r="C24" s="26"/>
      <c r="E24" s="31" t="s">
        <v>29</v>
      </c>
      <c r="F24" s="32"/>
      <c r="G24" s="33"/>
      <c r="H24" s="26"/>
      <c r="I24" s="27"/>
      <c r="J24" s="29">
        <v>44000</v>
      </c>
      <c r="K24" s="29"/>
      <c r="L24" s="29"/>
      <c r="M24" s="29"/>
    </row>
    <row r="25" spans="1:13" ht="18" hidden="1" customHeight="1" x14ac:dyDescent="0.25">
      <c r="A25" s="914"/>
      <c r="C25" s="26"/>
      <c r="D25" s="23" t="s">
        <v>30</v>
      </c>
      <c r="E25" s="32" t="s">
        <v>31</v>
      </c>
      <c r="F25" s="32"/>
      <c r="G25" s="33"/>
      <c r="H25" s="26"/>
      <c r="I25" s="27"/>
      <c r="J25" s="29"/>
      <c r="K25" s="29"/>
      <c r="L25" s="29"/>
      <c r="M25" s="29"/>
    </row>
    <row r="26" spans="1:13" ht="15.75" hidden="1" customHeight="1" x14ac:dyDescent="0.25">
      <c r="A26" s="913"/>
      <c r="C26" s="26" t="s">
        <v>25</v>
      </c>
      <c r="E26" s="31" t="s">
        <v>32</v>
      </c>
      <c r="F26" s="32"/>
      <c r="G26" s="33"/>
      <c r="H26" s="26" t="s">
        <v>25</v>
      </c>
      <c r="I26" s="27"/>
      <c r="J26" s="29">
        <v>100000</v>
      </c>
      <c r="K26" s="29"/>
      <c r="L26" s="29"/>
      <c r="M26" s="29"/>
    </row>
    <row r="27" spans="1:13" ht="15.75" hidden="1" customHeight="1" x14ac:dyDescent="0.25">
      <c r="A27" s="913"/>
      <c r="C27" s="26" t="s">
        <v>25</v>
      </c>
      <c r="E27" s="31" t="s">
        <v>33</v>
      </c>
      <c r="F27" s="32"/>
      <c r="G27" s="33"/>
      <c r="H27" s="26" t="s">
        <v>25</v>
      </c>
      <c r="I27" s="27"/>
      <c r="J27" s="29">
        <v>160000</v>
      </c>
      <c r="K27" s="29"/>
      <c r="L27" s="29"/>
      <c r="M27" s="29"/>
    </row>
    <row r="28" spans="1:13" ht="15.75" hidden="1" customHeight="1" x14ac:dyDescent="0.25">
      <c r="A28" s="913"/>
      <c r="C28" s="26" t="s">
        <v>25</v>
      </c>
      <c r="E28" s="31" t="s">
        <v>34</v>
      </c>
      <c r="F28" s="32"/>
      <c r="G28" s="33"/>
      <c r="H28" s="26" t="s">
        <v>25</v>
      </c>
      <c r="I28" s="27"/>
      <c r="J28" s="29">
        <v>30000</v>
      </c>
      <c r="K28" s="29"/>
      <c r="L28" s="29"/>
      <c r="M28" s="29"/>
    </row>
    <row r="29" spans="1:13" ht="15.75" hidden="1" customHeight="1" x14ac:dyDescent="0.25">
      <c r="A29" s="913"/>
      <c r="C29" s="26" t="s">
        <v>25</v>
      </c>
      <c r="E29" s="31" t="s">
        <v>35</v>
      </c>
      <c r="F29" s="32"/>
      <c r="G29" s="33"/>
      <c r="H29" s="26" t="s">
        <v>25</v>
      </c>
      <c r="I29" s="27"/>
      <c r="J29" s="29">
        <v>42000000</v>
      </c>
      <c r="K29" s="29"/>
      <c r="L29" s="29"/>
      <c r="M29" s="29"/>
    </row>
    <row r="30" spans="1:13" ht="15.75" hidden="1" customHeight="1" x14ac:dyDescent="0.25">
      <c r="A30" s="913"/>
      <c r="C30" s="26"/>
      <c r="E30" s="31" t="s">
        <v>36</v>
      </c>
      <c r="F30" s="32"/>
      <c r="G30" s="33"/>
      <c r="H30" s="26"/>
      <c r="I30" s="27"/>
      <c r="J30" s="29"/>
      <c r="K30" s="29"/>
      <c r="L30" s="29"/>
      <c r="M30" s="29"/>
    </row>
    <row r="31" spans="1:13" ht="15.75" hidden="1" customHeight="1" x14ac:dyDescent="0.25">
      <c r="A31" s="913"/>
      <c r="C31" s="26" t="s">
        <v>25</v>
      </c>
      <c r="E31" s="31" t="s">
        <v>37</v>
      </c>
      <c r="F31" s="32"/>
      <c r="G31" s="33"/>
      <c r="H31" s="26" t="s">
        <v>25</v>
      </c>
      <c r="I31" s="27"/>
      <c r="J31" s="29">
        <v>700000</v>
      </c>
      <c r="K31" s="29"/>
      <c r="L31" s="29"/>
      <c r="M31" s="29"/>
    </row>
    <row r="32" spans="1:13" ht="18" hidden="1" customHeight="1" x14ac:dyDescent="0.25">
      <c r="A32" s="915"/>
      <c r="C32" s="26"/>
      <c r="D32" s="23" t="s">
        <v>38</v>
      </c>
      <c r="E32" s="32" t="s">
        <v>39</v>
      </c>
      <c r="F32" s="32"/>
      <c r="G32" s="33"/>
      <c r="H32" s="26"/>
      <c r="I32" s="27"/>
      <c r="J32" s="29"/>
      <c r="K32" s="29"/>
      <c r="L32" s="29"/>
      <c r="M32" s="29"/>
    </row>
    <row r="33" spans="1:15" ht="15.75" hidden="1" customHeight="1" x14ac:dyDescent="0.25">
      <c r="A33" s="915"/>
      <c r="C33" s="26" t="s">
        <v>25</v>
      </c>
      <c r="E33" s="31" t="s">
        <v>40</v>
      </c>
      <c r="F33" s="32"/>
      <c r="G33" s="33"/>
      <c r="H33" s="26" t="s">
        <v>25</v>
      </c>
      <c r="I33" s="27"/>
      <c r="J33" s="29">
        <v>130000</v>
      </c>
      <c r="K33" s="29"/>
      <c r="L33" s="29"/>
      <c r="M33" s="29"/>
    </row>
    <row r="34" spans="1:15" ht="15.75" hidden="1" customHeight="1" x14ac:dyDescent="0.25">
      <c r="A34" s="915"/>
      <c r="C34" s="26" t="s">
        <v>25</v>
      </c>
      <c r="E34" s="31" t="s">
        <v>41</v>
      </c>
      <c r="F34" s="32"/>
      <c r="G34" s="33"/>
      <c r="H34" s="26" t="s">
        <v>25</v>
      </c>
      <c r="I34" s="27"/>
      <c r="J34" s="29">
        <v>1500000</v>
      </c>
      <c r="K34" s="29"/>
      <c r="L34" s="29"/>
      <c r="M34" s="29"/>
    </row>
    <row r="35" spans="1:15" ht="18" hidden="1" customHeight="1" x14ac:dyDescent="0.25">
      <c r="A35" s="915"/>
      <c r="C35" s="26" t="s">
        <v>25</v>
      </c>
      <c r="E35" s="551" t="s">
        <v>42</v>
      </c>
      <c r="F35" s="552"/>
      <c r="G35" s="33"/>
      <c r="H35" s="26" t="s">
        <v>25</v>
      </c>
      <c r="I35" s="27"/>
      <c r="J35" s="29">
        <v>5000</v>
      </c>
      <c r="K35" s="29"/>
      <c r="L35" s="29"/>
      <c r="M35" s="29"/>
    </row>
    <row r="36" spans="1:15" ht="18" hidden="1" customHeight="1" x14ac:dyDescent="0.25">
      <c r="A36" s="915"/>
      <c r="C36" s="26"/>
      <c r="E36" s="38" t="s">
        <v>43</v>
      </c>
      <c r="F36" s="33"/>
      <c r="G36" s="33"/>
      <c r="H36" s="26"/>
      <c r="I36" s="27"/>
      <c r="J36" s="29"/>
      <c r="K36" s="29"/>
      <c r="L36" s="29"/>
      <c r="M36" s="29"/>
    </row>
    <row r="37" spans="1:15" ht="18" hidden="1" customHeight="1" x14ac:dyDescent="0.25">
      <c r="A37" s="915"/>
      <c r="C37" s="26"/>
      <c r="E37" s="39" t="s">
        <v>44</v>
      </c>
      <c r="F37" s="33"/>
      <c r="G37" s="33"/>
      <c r="H37" s="26"/>
      <c r="I37" s="27"/>
      <c r="J37" s="29"/>
      <c r="K37" s="29"/>
      <c r="L37" s="29"/>
      <c r="M37" s="29"/>
    </row>
    <row r="38" spans="1:15" ht="18" hidden="1" customHeight="1" x14ac:dyDescent="0.25">
      <c r="A38" s="912"/>
      <c r="C38" s="26"/>
      <c r="D38" s="23" t="s">
        <v>45</v>
      </c>
      <c r="E38" s="23"/>
      <c r="F38" s="23"/>
      <c r="G38" s="25"/>
      <c r="H38" s="26"/>
      <c r="I38" s="27"/>
      <c r="J38" s="29"/>
      <c r="K38" s="29"/>
      <c r="L38" s="29"/>
      <c r="M38" s="29"/>
    </row>
    <row r="39" spans="1:15" ht="18" hidden="1" customHeight="1" x14ac:dyDescent="0.25">
      <c r="A39" s="916"/>
      <c r="C39" s="26"/>
      <c r="D39" s="23" t="s">
        <v>46</v>
      </c>
      <c r="E39" s="41"/>
      <c r="F39" s="33"/>
      <c r="G39" s="33"/>
      <c r="H39" s="26"/>
      <c r="I39" s="27"/>
      <c r="J39" s="29"/>
      <c r="K39" s="29"/>
      <c r="L39" s="29"/>
      <c r="M39" s="29"/>
    </row>
    <row r="40" spans="1:15" s="48" customFormat="1" ht="18" hidden="1" customHeight="1" x14ac:dyDescent="0.25">
      <c r="A40" s="917"/>
      <c r="C40" s="46" t="s">
        <v>25</v>
      </c>
      <c r="D40" s="43"/>
      <c r="E40" s="44" t="s">
        <v>47</v>
      </c>
      <c r="F40" s="45"/>
      <c r="G40" s="45"/>
      <c r="H40" s="46" t="s">
        <v>25</v>
      </c>
      <c r="I40" s="27"/>
      <c r="J40" s="29">
        <v>2200000</v>
      </c>
      <c r="K40" s="29"/>
      <c r="L40" s="29"/>
      <c r="M40" s="29"/>
      <c r="N40" s="47"/>
      <c r="O40" s="47"/>
    </row>
    <row r="41" spans="1:15" s="48" customFormat="1" ht="18" hidden="1" customHeight="1" x14ac:dyDescent="0.25">
      <c r="A41" s="917"/>
      <c r="C41" s="46"/>
      <c r="D41" s="43"/>
      <c r="E41" s="44" t="s">
        <v>48</v>
      </c>
      <c r="F41" s="45"/>
      <c r="G41" s="45"/>
      <c r="H41" s="46"/>
      <c r="I41" s="27"/>
      <c r="J41" s="29">
        <v>75000</v>
      </c>
      <c r="K41" s="29"/>
      <c r="L41" s="29"/>
      <c r="M41" s="29"/>
      <c r="N41" s="47"/>
      <c r="O41" s="47"/>
    </row>
    <row r="42" spans="1:15" s="48" customFormat="1" ht="18" hidden="1" customHeight="1" x14ac:dyDescent="0.25">
      <c r="A42" s="917"/>
      <c r="C42" s="46" t="s">
        <v>25</v>
      </c>
      <c r="D42" s="43"/>
      <c r="E42" s="44" t="s">
        <v>49</v>
      </c>
      <c r="F42" s="45"/>
      <c r="G42" s="45"/>
      <c r="H42" s="46" t="s">
        <v>25</v>
      </c>
      <c r="I42" s="27"/>
      <c r="J42" s="29">
        <v>1000000</v>
      </c>
      <c r="K42" s="29"/>
      <c r="L42" s="29"/>
      <c r="M42" s="29"/>
      <c r="N42" s="47"/>
      <c r="O42" s="47"/>
    </row>
    <row r="43" spans="1:15" s="48" customFormat="1" ht="18" hidden="1" customHeight="1" x14ac:dyDescent="0.25">
      <c r="A43" s="917"/>
      <c r="C43" s="46" t="s">
        <v>25</v>
      </c>
      <c r="D43" s="43"/>
      <c r="E43" s="859" t="s">
        <v>50</v>
      </c>
      <c r="F43" s="45"/>
      <c r="G43" s="45"/>
      <c r="H43" s="46" t="s">
        <v>25</v>
      </c>
      <c r="I43" s="27"/>
      <c r="J43" s="29">
        <v>2000</v>
      </c>
      <c r="K43" s="29"/>
      <c r="L43" s="29"/>
      <c r="M43" s="29"/>
      <c r="N43" s="47"/>
      <c r="O43" s="47"/>
    </row>
    <row r="44" spans="1:15" s="48" customFormat="1" ht="18" hidden="1" customHeight="1" x14ac:dyDescent="0.25">
      <c r="A44" s="917"/>
      <c r="C44" s="46" t="s">
        <v>25</v>
      </c>
      <c r="D44" s="43"/>
      <c r="E44" s="44" t="s">
        <v>51</v>
      </c>
      <c r="F44" s="45"/>
      <c r="G44" s="45"/>
      <c r="H44" s="46" t="s">
        <v>25</v>
      </c>
      <c r="I44" s="27"/>
      <c r="J44" s="29">
        <v>60000</v>
      </c>
      <c r="K44" s="29"/>
      <c r="L44" s="29"/>
      <c r="M44" s="29"/>
      <c r="N44" s="47"/>
      <c r="O44" s="47"/>
    </row>
    <row r="45" spans="1:15" s="48" customFormat="1" ht="18" hidden="1" customHeight="1" x14ac:dyDescent="0.25">
      <c r="A45" s="917"/>
      <c r="C45" s="46" t="s">
        <v>25</v>
      </c>
      <c r="D45" s="43"/>
      <c r="E45" s="44" t="s">
        <v>52</v>
      </c>
      <c r="F45" s="45"/>
      <c r="G45" s="45"/>
      <c r="H45" s="46" t="s">
        <v>25</v>
      </c>
      <c r="I45" s="27"/>
      <c r="J45" s="29">
        <v>72000</v>
      </c>
      <c r="K45" s="29"/>
      <c r="L45" s="29"/>
      <c r="M45" s="29"/>
      <c r="N45" s="47"/>
      <c r="O45" s="47"/>
    </row>
    <row r="46" spans="1:15" s="48" customFormat="1" ht="18" hidden="1" customHeight="1" x14ac:dyDescent="0.25">
      <c r="A46" s="917"/>
      <c r="C46" s="46" t="s">
        <v>25</v>
      </c>
      <c r="D46" s="43"/>
      <c r="E46" s="44" t="s">
        <v>53</v>
      </c>
      <c r="F46" s="45"/>
      <c r="G46" s="45"/>
      <c r="H46" s="46" t="s">
        <v>25</v>
      </c>
      <c r="I46" s="27"/>
      <c r="J46" s="29">
        <v>9600</v>
      </c>
      <c r="K46" s="29"/>
      <c r="L46" s="29"/>
      <c r="M46" s="29"/>
      <c r="N46" s="47"/>
      <c r="O46" s="47"/>
    </row>
    <row r="47" spans="1:15" s="48" customFormat="1" ht="18" hidden="1" customHeight="1" x14ac:dyDescent="0.25">
      <c r="A47" s="917"/>
      <c r="C47" s="46" t="s">
        <v>25</v>
      </c>
      <c r="D47" s="43"/>
      <c r="E47" s="44" t="s">
        <v>54</v>
      </c>
      <c r="F47" s="45"/>
      <c r="G47" s="45"/>
      <c r="H47" s="46" t="s">
        <v>25</v>
      </c>
      <c r="I47" s="27"/>
      <c r="J47" s="29">
        <v>1700000</v>
      </c>
      <c r="K47" s="29"/>
      <c r="L47" s="29"/>
      <c r="M47" s="29"/>
      <c r="N47" s="47"/>
      <c r="O47" s="47"/>
    </row>
    <row r="48" spans="1:15" s="48" customFormat="1" ht="18" hidden="1" customHeight="1" x14ac:dyDescent="0.25">
      <c r="A48" s="917"/>
      <c r="C48" s="46" t="s">
        <v>25</v>
      </c>
      <c r="D48" s="43"/>
      <c r="E48" s="859" t="s">
        <v>55</v>
      </c>
      <c r="F48" s="45"/>
      <c r="G48" s="45"/>
      <c r="H48" s="46" t="s">
        <v>25</v>
      </c>
      <c r="I48" s="27"/>
      <c r="J48" s="29">
        <v>1850000</v>
      </c>
      <c r="K48" s="29"/>
      <c r="L48" s="29"/>
      <c r="M48" s="29"/>
      <c r="N48" s="47"/>
      <c r="O48" s="47"/>
    </row>
    <row r="49" spans="1:15" s="48" customFormat="1" ht="36.75" hidden="1" customHeight="1" x14ac:dyDescent="0.25">
      <c r="A49" s="917"/>
      <c r="C49" s="46" t="s">
        <v>25</v>
      </c>
      <c r="D49" s="43"/>
      <c r="E49" s="840" t="s">
        <v>56</v>
      </c>
      <c r="F49" s="840"/>
      <c r="G49" s="861"/>
      <c r="H49" s="46" t="s">
        <v>25</v>
      </c>
      <c r="I49" s="27"/>
      <c r="J49" s="29">
        <v>54000</v>
      </c>
      <c r="K49" s="29"/>
      <c r="L49" s="29"/>
      <c r="M49" s="29"/>
      <c r="N49" s="47"/>
      <c r="O49" s="47"/>
    </row>
    <row r="50" spans="1:15" s="48" customFormat="1" ht="18" hidden="1" customHeight="1" x14ac:dyDescent="0.25">
      <c r="A50" s="917"/>
      <c r="C50" s="46" t="s">
        <v>25</v>
      </c>
      <c r="D50" s="43"/>
      <c r="E50" s="49" t="s">
        <v>57</v>
      </c>
      <c r="F50" s="45"/>
      <c r="G50" s="45"/>
      <c r="H50" s="46" t="s">
        <v>25</v>
      </c>
      <c r="I50" s="27"/>
      <c r="J50" s="29">
        <v>20000</v>
      </c>
      <c r="K50" s="29"/>
      <c r="L50" s="29"/>
      <c r="M50" s="29"/>
      <c r="N50" s="47"/>
      <c r="O50" s="47"/>
    </row>
    <row r="51" spans="1:15" s="48" customFormat="1" ht="34.5" hidden="1" customHeight="1" x14ac:dyDescent="0.25">
      <c r="A51" s="917"/>
      <c r="C51" s="46" t="s">
        <v>25</v>
      </c>
      <c r="D51" s="43"/>
      <c r="E51" s="840" t="s">
        <v>58</v>
      </c>
      <c r="F51" s="840"/>
      <c r="G51" s="861"/>
      <c r="H51" s="46" t="s">
        <v>25</v>
      </c>
      <c r="I51" s="27"/>
      <c r="J51" s="29">
        <v>15000</v>
      </c>
      <c r="K51" s="29"/>
      <c r="L51" s="29"/>
      <c r="M51" s="29"/>
      <c r="N51" s="47"/>
      <c r="O51" s="47"/>
    </row>
    <row r="52" spans="1:15" ht="35.25" hidden="1" customHeight="1" x14ac:dyDescent="0.25">
      <c r="A52" s="915"/>
      <c r="C52" s="46" t="s">
        <v>25</v>
      </c>
      <c r="E52" s="840" t="s">
        <v>59</v>
      </c>
      <c r="F52" s="840"/>
      <c r="G52" s="861"/>
      <c r="H52" s="46" t="s">
        <v>25</v>
      </c>
      <c r="I52" s="27"/>
      <c r="J52" s="29">
        <v>30000</v>
      </c>
      <c r="K52" s="29"/>
      <c r="L52" s="29"/>
      <c r="M52" s="29"/>
    </row>
    <row r="53" spans="1:15" s="48" customFormat="1" ht="18" hidden="1" customHeight="1" x14ac:dyDescent="0.25">
      <c r="A53" s="917"/>
      <c r="C53" s="46" t="s">
        <v>25</v>
      </c>
      <c r="D53" s="43"/>
      <c r="E53" s="44" t="s">
        <v>60</v>
      </c>
      <c r="F53" s="45"/>
      <c r="G53" s="45"/>
      <c r="H53" s="46" t="s">
        <v>25</v>
      </c>
      <c r="I53" s="50"/>
      <c r="J53" s="29"/>
      <c r="K53" s="29"/>
      <c r="L53" s="29"/>
      <c r="M53" s="29"/>
      <c r="N53" s="47"/>
      <c r="O53" s="47"/>
    </row>
    <row r="54" spans="1:15" s="48" customFormat="1" ht="18" hidden="1" customHeight="1" x14ac:dyDescent="0.25">
      <c r="A54" s="917"/>
      <c r="C54" s="46" t="s">
        <v>25</v>
      </c>
      <c r="D54" s="43"/>
      <c r="E54" s="44" t="s">
        <v>61</v>
      </c>
      <c r="F54" s="45"/>
      <c r="G54" s="45"/>
      <c r="H54" s="46" t="s">
        <v>25</v>
      </c>
      <c r="I54" s="27"/>
      <c r="J54" s="29">
        <v>969600</v>
      </c>
      <c r="K54" s="29"/>
      <c r="L54" s="29"/>
      <c r="M54" s="29"/>
      <c r="N54" s="47"/>
      <c r="O54" s="47"/>
    </row>
    <row r="55" spans="1:15" s="48" customFormat="1" ht="36" hidden="1" customHeight="1" x14ac:dyDescent="0.25">
      <c r="A55" s="917"/>
      <c r="C55" s="46" t="s">
        <v>25</v>
      </c>
      <c r="D55" s="43"/>
      <c r="E55" s="840" t="s">
        <v>62</v>
      </c>
      <c r="F55" s="840"/>
      <c r="G55" s="861"/>
      <c r="H55" s="46" t="s">
        <v>25</v>
      </c>
      <c r="I55" s="27"/>
      <c r="J55" s="29">
        <v>750000</v>
      </c>
      <c r="K55" s="29"/>
      <c r="L55" s="29"/>
      <c r="M55" s="29"/>
      <c r="N55" s="47"/>
      <c r="O55" s="47"/>
    </row>
    <row r="56" spans="1:15" ht="18" hidden="1" customHeight="1" x14ac:dyDescent="0.25">
      <c r="A56" s="915"/>
      <c r="C56" s="46" t="s">
        <v>25</v>
      </c>
      <c r="E56" s="859" t="s">
        <v>63</v>
      </c>
      <c r="F56" s="33"/>
      <c r="G56" s="33"/>
      <c r="H56" s="46" t="s">
        <v>25</v>
      </c>
      <c r="I56" s="27"/>
      <c r="J56" s="29">
        <v>25000</v>
      </c>
      <c r="K56" s="29"/>
      <c r="L56" s="29"/>
      <c r="M56" s="29"/>
    </row>
    <row r="57" spans="1:15" ht="35.25" hidden="1" customHeight="1" x14ac:dyDescent="0.25">
      <c r="A57" s="915"/>
      <c r="C57" s="46" t="s">
        <v>25</v>
      </c>
      <c r="D57" s="957"/>
      <c r="E57" s="840" t="s">
        <v>64</v>
      </c>
      <c r="F57" s="840"/>
      <c r="G57" s="861"/>
      <c r="H57" s="46" t="s">
        <v>25</v>
      </c>
      <c r="I57" s="27"/>
      <c r="J57" s="29">
        <v>30000</v>
      </c>
      <c r="K57" s="29"/>
      <c r="L57" s="29"/>
      <c r="M57" s="29"/>
    </row>
    <row r="58" spans="1:15" ht="20.25" hidden="1" customHeight="1" x14ac:dyDescent="0.25">
      <c r="A58" s="591"/>
      <c r="C58" s="53"/>
      <c r="D58" s="957"/>
      <c r="E58" s="840"/>
      <c r="F58" s="840"/>
      <c r="G58" s="861"/>
      <c r="H58" s="53"/>
      <c r="I58" s="54"/>
      <c r="J58" s="54"/>
      <c r="K58" s="54"/>
      <c r="L58" s="55"/>
      <c r="M58" s="54"/>
    </row>
    <row r="59" spans="1:15" ht="20.25" hidden="1" customHeight="1" x14ac:dyDescent="0.25">
      <c r="A59" s="591"/>
      <c r="C59" s="53"/>
      <c r="D59" s="957"/>
      <c r="E59" s="840"/>
      <c r="F59" s="840"/>
      <c r="G59" s="861"/>
      <c r="H59" s="53"/>
      <c r="I59" s="54"/>
      <c r="J59" s="54"/>
      <c r="K59" s="54"/>
      <c r="L59" s="55"/>
      <c r="M59" s="54"/>
    </row>
    <row r="60" spans="1:15" ht="20.25" hidden="1" customHeight="1" x14ac:dyDescent="0.25">
      <c r="A60" s="591"/>
      <c r="C60" s="53"/>
      <c r="D60" s="957"/>
      <c r="E60" s="840"/>
      <c r="F60" s="840"/>
      <c r="G60" s="861"/>
      <c r="H60" s="53"/>
      <c r="I60" s="54"/>
      <c r="J60" s="54"/>
      <c r="K60" s="54"/>
      <c r="L60" s="55"/>
      <c r="M60" s="54"/>
    </row>
    <row r="61" spans="1:15" ht="20.25" hidden="1" customHeight="1" x14ac:dyDescent="0.25">
      <c r="A61" s="591"/>
      <c r="C61" s="53"/>
      <c r="D61" s="957"/>
      <c r="E61" s="840"/>
      <c r="F61" s="840"/>
      <c r="G61" s="861"/>
      <c r="H61" s="53"/>
      <c r="I61" s="54"/>
      <c r="J61" s="54"/>
      <c r="K61" s="54"/>
      <c r="L61" s="55"/>
      <c r="M61" s="54"/>
    </row>
    <row r="62" spans="1:15" ht="20.25" hidden="1" customHeight="1" x14ac:dyDescent="0.25">
      <c r="A62" s="591"/>
      <c r="C62" s="53"/>
      <c r="D62" s="957"/>
      <c r="E62" s="840"/>
      <c r="F62" s="840"/>
      <c r="G62" s="861"/>
      <c r="H62" s="53"/>
      <c r="I62" s="54"/>
      <c r="J62" s="54"/>
      <c r="K62" s="54"/>
      <c r="L62" s="55"/>
      <c r="M62" s="54"/>
    </row>
    <row r="63" spans="1:15" ht="20.25" hidden="1" customHeight="1" x14ac:dyDescent="0.25">
      <c r="A63" s="591"/>
      <c r="C63" s="53"/>
      <c r="D63" s="957"/>
      <c r="E63" s="840"/>
      <c r="F63" s="840"/>
      <c r="G63" s="861"/>
      <c r="H63" s="53"/>
      <c r="I63" s="54"/>
      <c r="J63" s="54"/>
      <c r="K63" s="54"/>
      <c r="L63" s="55"/>
      <c r="M63" s="54"/>
    </row>
    <row r="64" spans="1:15" ht="20.25" hidden="1" customHeight="1" x14ac:dyDescent="0.25">
      <c r="A64" s="591"/>
      <c r="C64" s="53"/>
      <c r="D64" s="957"/>
      <c r="E64" s="840"/>
      <c r="F64" s="840"/>
      <c r="G64" s="861"/>
      <c r="H64" s="53"/>
      <c r="I64" s="54"/>
      <c r="J64" s="54"/>
      <c r="K64" s="54"/>
      <c r="L64" s="55"/>
      <c r="M64" s="54"/>
    </row>
    <row r="65" spans="1:13" ht="20.25" hidden="1" customHeight="1" x14ac:dyDescent="0.25">
      <c r="A65" s="591"/>
      <c r="C65" s="53"/>
      <c r="D65" s="957"/>
      <c r="E65" s="840"/>
      <c r="F65" s="840"/>
      <c r="G65" s="861"/>
      <c r="H65" s="53"/>
      <c r="I65" s="54"/>
      <c r="J65" s="54"/>
      <c r="K65" s="54"/>
      <c r="L65" s="55"/>
      <c r="M65" s="54"/>
    </row>
    <row r="66" spans="1:13" ht="20.25" hidden="1" customHeight="1" x14ac:dyDescent="0.25">
      <c r="A66" s="591"/>
      <c r="C66" s="53"/>
      <c r="D66" s="957"/>
      <c r="E66" s="840"/>
      <c r="F66" s="840"/>
      <c r="G66" s="861"/>
      <c r="H66" s="53"/>
      <c r="I66" s="54"/>
      <c r="J66" s="54"/>
      <c r="K66" s="54"/>
      <c r="L66" s="55"/>
      <c r="M66" s="54"/>
    </row>
    <row r="67" spans="1:13" ht="20.25" hidden="1" customHeight="1" x14ac:dyDescent="0.25">
      <c r="A67" s="591"/>
      <c r="C67" s="53"/>
      <c r="D67" s="957"/>
      <c r="E67" s="840"/>
      <c r="F67" s="840"/>
      <c r="G67" s="861"/>
      <c r="H67" s="53"/>
      <c r="I67" s="54"/>
      <c r="J67" s="54"/>
      <c r="K67" s="54"/>
      <c r="L67" s="55"/>
      <c r="M67" s="54"/>
    </row>
    <row r="68" spans="1:13" ht="20.25" hidden="1" customHeight="1" x14ac:dyDescent="0.25">
      <c r="A68" s="591"/>
      <c r="C68" s="53"/>
      <c r="D68" s="957"/>
      <c r="E68" s="840"/>
      <c r="F68" s="840"/>
      <c r="G68" s="861"/>
      <c r="H68" s="53"/>
      <c r="I68" s="54"/>
      <c r="J68" s="54"/>
      <c r="K68" s="54"/>
      <c r="L68" s="55"/>
      <c r="M68" s="54"/>
    </row>
    <row r="69" spans="1:13" ht="15" hidden="1" customHeight="1" x14ac:dyDescent="0.25">
      <c r="A69" s="862" t="s">
        <v>4</v>
      </c>
      <c r="C69" s="892" t="s">
        <v>5</v>
      </c>
      <c r="D69" s="954"/>
      <c r="E69" s="862"/>
      <c r="F69" s="862"/>
      <c r="G69" s="862"/>
      <c r="H69" s="892" t="s">
        <v>5</v>
      </c>
      <c r="I69" s="893" t="s">
        <v>65</v>
      </c>
      <c r="J69" s="894" t="s">
        <v>66</v>
      </c>
      <c r="K69" s="893"/>
      <c r="L69" s="895" t="s">
        <v>67</v>
      </c>
      <c r="M69" s="893"/>
    </row>
    <row r="70" spans="1:13" ht="15" hidden="1" customHeight="1" x14ac:dyDescent="0.25">
      <c r="A70" s="862"/>
      <c r="C70" s="881"/>
      <c r="D70" s="954"/>
      <c r="E70" s="862"/>
      <c r="F70" s="862"/>
      <c r="G70" s="862"/>
      <c r="H70" s="881"/>
      <c r="I70" s="884"/>
      <c r="J70" s="887"/>
      <c r="K70" s="884"/>
      <c r="L70" s="890"/>
      <c r="M70" s="884"/>
    </row>
    <row r="71" spans="1:13" ht="15" hidden="1" customHeight="1" x14ac:dyDescent="0.25">
      <c r="A71" s="862"/>
      <c r="C71" s="881"/>
      <c r="D71" s="954"/>
      <c r="E71" s="862"/>
      <c r="F71" s="862"/>
      <c r="G71" s="862"/>
      <c r="H71" s="881"/>
      <c r="I71" s="884"/>
      <c r="J71" s="887"/>
      <c r="K71" s="884"/>
      <c r="L71" s="890"/>
      <c r="M71" s="884"/>
    </row>
    <row r="72" spans="1:13" ht="15" hidden="1" customHeight="1" x14ac:dyDescent="0.25">
      <c r="A72" s="862"/>
      <c r="C72" s="881"/>
      <c r="D72" s="954"/>
      <c r="E72" s="862"/>
      <c r="F72" s="862"/>
      <c r="G72" s="862"/>
      <c r="H72" s="881"/>
      <c r="I72" s="884"/>
      <c r="J72" s="887"/>
      <c r="K72" s="884"/>
      <c r="L72" s="890"/>
      <c r="M72" s="884"/>
    </row>
    <row r="73" spans="1:13" ht="15" hidden="1" customHeight="1" x14ac:dyDescent="0.25">
      <c r="A73" s="862"/>
      <c r="C73" s="882"/>
      <c r="D73" s="954"/>
      <c r="E73" s="862"/>
      <c r="F73" s="862"/>
      <c r="G73" s="862"/>
      <c r="H73" s="882"/>
      <c r="I73" s="885"/>
      <c r="J73" s="888"/>
      <c r="K73" s="885"/>
      <c r="L73" s="891"/>
      <c r="M73" s="885"/>
    </row>
    <row r="74" spans="1:13" ht="20.25" hidden="1" customHeight="1" x14ac:dyDescent="0.25">
      <c r="A74" s="591"/>
      <c r="C74" s="53"/>
      <c r="D74" s="957"/>
      <c r="E74" s="840"/>
      <c r="F74" s="840"/>
      <c r="G74" s="861"/>
      <c r="H74" s="53"/>
      <c r="I74" s="54"/>
      <c r="J74" s="54"/>
      <c r="K74" s="54"/>
      <c r="L74" s="55"/>
      <c r="M74" s="54"/>
    </row>
    <row r="75" spans="1:13" ht="18" hidden="1" customHeight="1" x14ac:dyDescent="0.25">
      <c r="A75" s="918"/>
      <c r="C75" s="57"/>
      <c r="D75" s="847" t="s">
        <v>68</v>
      </c>
      <c r="E75" s="847"/>
      <c r="F75" s="847"/>
      <c r="G75" s="896"/>
      <c r="H75" s="57"/>
      <c r="I75" s="58"/>
      <c r="J75" s="58"/>
      <c r="K75" s="58"/>
      <c r="L75" s="58"/>
      <c r="M75" s="58"/>
    </row>
    <row r="76" spans="1:13" ht="18" hidden="1" customHeight="1" x14ac:dyDescent="0.25">
      <c r="A76" s="919"/>
      <c r="C76" s="62" t="s">
        <v>25</v>
      </c>
      <c r="D76" s="206" t="s">
        <v>69</v>
      </c>
      <c r="E76" s="41"/>
      <c r="F76" s="60"/>
      <c r="G76" s="61"/>
      <c r="H76" s="62" t="s">
        <v>25</v>
      </c>
      <c r="I76" s="58"/>
      <c r="J76" s="58">
        <v>80000</v>
      </c>
      <c r="K76" s="58"/>
      <c r="L76" s="58"/>
      <c r="M76" s="58"/>
    </row>
    <row r="77" spans="1:13" ht="18" hidden="1" customHeight="1" x14ac:dyDescent="0.25">
      <c r="A77" s="919"/>
      <c r="C77" s="62" t="s">
        <v>25</v>
      </c>
      <c r="D77" s="206" t="s">
        <v>70</v>
      </c>
      <c r="E77" s="41"/>
      <c r="F77" s="60"/>
      <c r="G77" s="61"/>
      <c r="H77" s="62" t="s">
        <v>25</v>
      </c>
      <c r="I77" s="58"/>
      <c r="J77" s="58">
        <v>3000000</v>
      </c>
      <c r="K77" s="58"/>
      <c r="L77" s="58"/>
      <c r="M77" s="58"/>
    </row>
    <row r="78" spans="1:13" ht="18" hidden="1" customHeight="1" x14ac:dyDescent="0.25">
      <c r="A78" s="919"/>
      <c r="C78" s="62" t="s">
        <v>25</v>
      </c>
      <c r="D78" s="206" t="s">
        <v>71</v>
      </c>
      <c r="E78" s="41"/>
      <c r="F78" s="60"/>
      <c r="G78" s="61"/>
      <c r="H78" s="62" t="s">
        <v>25</v>
      </c>
      <c r="I78" s="58"/>
      <c r="J78" s="58">
        <v>430000</v>
      </c>
      <c r="K78" s="58"/>
      <c r="L78" s="58"/>
      <c r="M78" s="58"/>
    </row>
    <row r="79" spans="1:13" ht="18" hidden="1" customHeight="1" x14ac:dyDescent="0.25">
      <c r="A79" s="919"/>
      <c r="C79" s="62" t="s">
        <v>25</v>
      </c>
      <c r="D79" s="206" t="s">
        <v>72</v>
      </c>
      <c r="E79" s="41"/>
      <c r="F79" s="60"/>
      <c r="G79" s="61"/>
      <c r="H79" s="62" t="s">
        <v>25</v>
      </c>
      <c r="I79" s="58"/>
      <c r="J79" s="58">
        <v>630000</v>
      </c>
      <c r="K79" s="58"/>
      <c r="L79" s="58"/>
      <c r="M79" s="58"/>
    </row>
    <row r="80" spans="1:13" ht="18" hidden="1" customHeight="1" x14ac:dyDescent="0.25">
      <c r="A80" s="919"/>
      <c r="C80" s="62" t="s">
        <v>25</v>
      </c>
      <c r="D80" s="206" t="s">
        <v>73</v>
      </c>
      <c r="E80" s="41"/>
      <c r="F80" s="60"/>
      <c r="G80" s="61"/>
      <c r="H80" s="62" t="s">
        <v>25</v>
      </c>
      <c r="I80" s="58"/>
      <c r="J80" s="58">
        <v>1000000</v>
      </c>
      <c r="K80" s="58"/>
      <c r="L80" s="58"/>
      <c r="M80" s="58"/>
    </row>
    <row r="81" spans="1:13" ht="18" hidden="1" customHeight="1" x14ac:dyDescent="0.25">
      <c r="A81" s="918"/>
      <c r="C81" s="62"/>
      <c r="D81" s="23"/>
      <c r="E81" s="41"/>
      <c r="F81" s="60"/>
      <c r="G81" s="61"/>
      <c r="H81" s="62"/>
      <c r="I81" s="58"/>
      <c r="J81" s="58"/>
      <c r="K81" s="58"/>
      <c r="L81" s="58"/>
      <c r="M81" s="58"/>
    </row>
    <row r="82" spans="1:13" ht="18" hidden="1" customHeight="1" x14ac:dyDescent="0.25">
      <c r="A82" s="919"/>
      <c r="C82" s="62" t="s">
        <v>25</v>
      </c>
      <c r="D82" s="206" t="s">
        <v>74</v>
      </c>
      <c r="E82" s="41"/>
      <c r="F82" s="60"/>
      <c r="G82" s="61"/>
      <c r="H82" s="62" t="s">
        <v>25</v>
      </c>
      <c r="I82" s="58"/>
      <c r="J82" s="58">
        <v>1000000</v>
      </c>
      <c r="K82" s="58"/>
      <c r="L82" s="58"/>
      <c r="M82" s="58"/>
    </row>
    <row r="83" spans="1:13" ht="18" hidden="1" customHeight="1" x14ac:dyDescent="0.25">
      <c r="A83" s="915"/>
      <c r="C83" s="62"/>
      <c r="D83" s="958"/>
      <c r="E83" s="41"/>
      <c r="F83" s="60"/>
      <c r="G83" s="61"/>
      <c r="H83" s="62"/>
      <c r="I83" s="58"/>
      <c r="J83" s="58"/>
      <c r="K83" s="58"/>
      <c r="L83" s="58"/>
      <c r="M83" s="58"/>
    </row>
    <row r="84" spans="1:13" ht="18" hidden="1" customHeight="1" x14ac:dyDescent="0.25">
      <c r="A84" s="915"/>
      <c r="C84" s="62" t="s">
        <v>25</v>
      </c>
      <c r="D84" s="206" t="s">
        <v>75</v>
      </c>
      <c r="E84" s="41"/>
      <c r="F84" s="60"/>
      <c r="G84" s="61"/>
      <c r="H84" s="62" t="s">
        <v>25</v>
      </c>
      <c r="I84" s="58"/>
      <c r="J84" s="58">
        <v>1400000</v>
      </c>
      <c r="K84" s="58"/>
      <c r="L84" s="58"/>
      <c r="M84" s="58"/>
    </row>
    <row r="85" spans="1:13" ht="18" hidden="1" customHeight="1" x14ac:dyDescent="0.25">
      <c r="A85" s="915"/>
      <c r="C85" s="62" t="s">
        <v>25</v>
      </c>
      <c r="D85" s="206" t="s">
        <v>76</v>
      </c>
      <c r="E85" s="41"/>
      <c r="F85" s="60"/>
      <c r="G85" s="61"/>
      <c r="H85" s="62" t="s">
        <v>25</v>
      </c>
      <c r="I85" s="58"/>
      <c r="J85" s="58">
        <v>4000000</v>
      </c>
      <c r="K85" s="58"/>
      <c r="L85" s="58"/>
      <c r="M85" s="58"/>
    </row>
    <row r="86" spans="1:13" ht="18" hidden="1" customHeight="1" x14ac:dyDescent="0.25">
      <c r="A86" s="915"/>
      <c r="C86" s="62" t="s">
        <v>25</v>
      </c>
      <c r="D86" s="206" t="s">
        <v>77</v>
      </c>
      <c r="E86" s="41"/>
      <c r="F86" s="60"/>
      <c r="G86" s="61"/>
      <c r="H86" s="62" t="s">
        <v>25</v>
      </c>
      <c r="I86" s="58"/>
      <c r="J86" s="58">
        <v>200000</v>
      </c>
      <c r="K86" s="58"/>
      <c r="L86" s="58"/>
      <c r="M86" s="58"/>
    </row>
    <row r="87" spans="1:13" ht="18" hidden="1" customHeight="1" x14ac:dyDescent="0.25">
      <c r="A87" s="915"/>
      <c r="C87" s="62" t="s">
        <v>25</v>
      </c>
      <c r="D87" s="206" t="s">
        <v>78</v>
      </c>
      <c r="E87" s="41"/>
      <c r="F87" s="60"/>
      <c r="G87" s="61"/>
      <c r="H87" s="62" t="s">
        <v>25</v>
      </c>
      <c r="I87" s="58"/>
      <c r="J87" s="58">
        <v>5000</v>
      </c>
      <c r="K87" s="58"/>
      <c r="L87" s="58"/>
      <c r="M87" s="58"/>
    </row>
    <row r="88" spans="1:13" ht="18" hidden="1" customHeight="1" x14ac:dyDescent="0.25">
      <c r="A88" s="915"/>
      <c r="C88" s="62" t="s">
        <v>25</v>
      </c>
      <c r="D88" s="206" t="s">
        <v>79</v>
      </c>
      <c r="E88" s="41"/>
      <c r="F88" s="60"/>
      <c r="G88" s="61"/>
      <c r="H88" s="62" t="s">
        <v>25</v>
      </c>
      <c r="I88" s="58"/>
      <c r="J88" s="58">
        <v>1000000</v>
      </c>
      <c r="K88" s="58"/>
      <c r="L88" s="58"/>
      <c r="M88" s="58"/>
    </row>
    <row r="89" spans="1:13" ht="18" hidden="1" customHeight="1" x14ac:dyDescent="0.25">
      <c r="A89" s="915"/>
      <c r="C89" s="62" t="s">
        <v>25</v>
      </c>
      <c r="D89" s="206" t="s">
        <v>80</v>
      </c>
      <c r="E89" s="41"/>
      <c r="F89" s="60"/>
      <c r="G89" s="64"/>
      <c r="H89" s="62" t="s">
        <v>25</v>
      </c>
      <c r="I89" s="58"/>
      <c r="J89" s="65"/>
      <c r="K89" s="65"/>
      <c r="L89" s="65"/>
      <c r="M89" s="65"/>
    </row>
    <row r="90" spans="1:13" ht="18" hidden="1" customHeight="1" x14ac:dyDescent="0.25">
      <c r="A90" s="915"/>
      <c r="C90" s="62" t="s">
        <v>82</v>
      </c>
      <c r="D90" s="206" t="s">
        <v>81</v>
      </c>
      <c r="E90" s="41"/>
      <c r="F90" s="60"/>
      <c r="G90" s="61"/>
      <c r="H90" s="62" t="s">
        <v>82</v>
      </c>
      <c r="I90" s="58"/>
      <c r="J90" s="58">
        <v>3000000</v>
      </c>
      <c r="K90" s="58"/>
      <c r="L90" s="58"/>
      <c r="M90" s="58"/>
    </row>
    <row r="91" spans="1:13" ht="18" hidden="1" customHeight="1" x14ac:dyDescent="0.25">
      <c r="A91" s="915"/>
      <c r="C91" s="62"/>
      <c r="D91" s="23" t="s">
        <v>83</v>
      </c>
      <c r="E91" s="41"/>
      <c r="F91" s="66"/>
      <c r="G91" s="67"/>
      <c r="H91" s="62"/>
      <c r="I91" s="68">
        <f>SUM(I17:I90)</f>
        <v>0</v>
      </c>
      <c r="J91" s="68">
        <f>SUM(J17:J90)</f>
        <v>84406200</v>
      </c>
      <c r="K91" s="68"/>
      <c r="L91" s="68">
        <f>SUM(L17:L90)</f>
        <v>0</v>
      </c>
      <c r="M91" s="68"/>
    </row>
    <row r="92" spans="1:13" ht="18" hidden="1" customHeight="1" x14ac:dyDescent="0.25">
      <c r="A92" s="919"/>
      <c r="C92" s="62"/>
      <c r="D92" s="847" t="s">
        <v>84</v>
      </c>
      <c r="E92" s="41"/>
      <c r="F92" s="60"/>
      <c r="G92" s="67"/>
      <c r="H92" s="62"/>
      <c r="I92" s="58"/>
      <c r="J92" s="68"/>
      <c r="K92" s="68"/>
      <c r="L92" s="68"/>
      <c r="M92" s="68"/>
    </row>
    <row r="93" spans="1:13" ht="18" hidden="1" customHeight="1" x14ac:dyDescent="0.25">
      <c r="A93" s="919"/>
      <c r="C93" s="62"/>
      <c r="D93" s="23" t="s">
        <v>85</v>
      </c>
      <c r="E93" s="41"/>
      <c r="F93" s="60"/>
      <c r="G93" s="67"/>
      <c r="H93" s="62"/>
      <c r="I93" s="58"/>
      <c r="J93" s="68"/>
      <c r="K93" s="68"/>
      <c r="L93" s="68"/>
      <c r="M93" s="68"/>
    </row>
    <row r="94" spans="1:13" ht="18" hidden="1" customHeight="1" x14ac:dyDescent="0.25">
      <c r="A94" s="920"/>
      <c r="C94" s="62" t="s">
        <v>25</v>
      </c>
      <c r="D94" s="206" t="s">
        <v>86</v>
      </c>
      <c r="E94" s="41"/>
      <c r="F94" s="60"/>
      <c r="G94" s="61"/>
      <c r="H94" s="62" t="s">
        <v>25</v>
      </c>
      <c r="I94" s="58"/>
      <c r="J94" s="58">
        <f>511558377+2283860</f>
        <v>513842237</v>
      </c>
      <c r="K94" s="58"/>
      <c r="L94" s="58"/>
      <c r="M94" s="58"/>
    </row>
    <row r="95" spans="1:13" ht="18" hidden="1" customHeight="1" x14ac:dyDescent="0.25">
      <c r="A95" s="921"/>
      <c r="C95" s="62" t="s">
        <v>25</v>
      </c>
      <c r="D95" s="206" t="s">
        <v>87</v>
      </c>
      <c r="E95" s="41"/>
      <c r="F95" s="60"/>
      <c r="G95" s="61"/>
      <c r="H95" s="62" t="s">
        <v>25</v>
      </c>
      <c r="I95" s="58"/>
      <c r="J95" s="58"/>
      <c r="K95" s="58"/>
      <c r="L95" s="58"/>
      <c r="M95" s="58"/>
    </row>
    <row r="96" spans="1:13" ht="18" hidden="1" customHeight="1" x14ac:dyDescent="0.25">
      <c r="A96" s="921"/>
      <c r="C96" s="62"/>
      <c r="D96" s="206" t="s">
        <v>88</v>
      </c>
      <c r="E96" s="41"/>
      <c r="F96" s="60"/>
      <c r="G96" s="61"/>
      <c r="H96" s="62"/>
      <c r="I96" s="58"/>
      <c r="J96" s="58"/>
      <c r="K96" s="58"/>
      <c r="L96" s="58"/>
      <c r="M96" s="58"/>
    </row>
    <row r="97" spans="1:13" ht="18" hidden="1" customHeight="1" x14ac:dyDescent="0.25">
      <c r="A97" s="921"/>
      <c r="C97" s="62"/>
      <c r="D97" s="206" t="s">
        <v>89</v>
      </c>
      <c r="E97" s="41"/>
      <c r="F97" s="60"/>
      <c r="G97" s="61"/>
      <c r="H97" s="62"/>
      <c r="I97" s="58"/>
      <c r="J97" s="58"/>
      <c r="K97" s="58"/>
      <c r="L97" s="58"/>
      <c r="M97" s="58"/>
    </row>
    <row r="98" spans="1:13" ht="18" hidden="1" customHeight="1" x14ac:dyDescent="0.25">
      <c r="A98" s="921"/>
      <c r="C98" s="62" t="s">
        <v>82</v>
      </c>
      <c r="D98" s="206" t="s">
        <v>90</v>
      </c>
      <c r="E98" s="41"/>
      <c r="F98" s="60"/>
      <c r="G98" s="64"/>
      <c r="H98" s="62" t="s">
        <v>82</v>
      </c>
      <c r="I98" s="58"/>
      <c r="J98" s="65">
        <v>0</v>
      </c>
      <c r="K98" s="65"/>
      <c r="L98" s="65"/>
      <c r="M98" s="65"/>
    </row>
    <row r="99" spans="1:13" ht="18" hidden="1" customHeight="1" x14ac:dyDescent="0.25">
      <c r="A99" s="919" t="s">
        <v>91</v>
      </c>
      <c r="C99" s="71"/>
      <c r="D99" s="206"/>
      <c r="E99" s="41"/>
      <c r="F99" s="60"/>
      <c r="G99" s="61"/>
      <c r="H99" s="71"/>
      <c r="I99" s="58">
        <f>SUM(I94:I98)</f>
        <v>0</v>
      </c>
      <c r="J99" s="58">
        <f>SUM(J94:J98)</f>
        <v>513842237</v>
      </c>
      <c r="K99" s="58"/>
      <c r="L99" s="58">
        <f>SUM(L94:L98)</f>
        <v>0</v>
      </c>
      <c r="M99" s="58"/>
    </row>
    <row r="100" spans="1:13" ht="18" hidden="1" customHeight="1" x14ac:dyDescent="0.25">
      <c r="A100" s="919" t="s">
        <v>92</v>
      </c>
      <c r="C100" s="72"/>
      <c r="D100" s="206"/>
      <c r="E100" s="41"/>
      <c r="F100" s="60"/>
      <c r="G100" s="61"/>
      <c r="H100" s="72"/>
      <c r="I100" s="58">
        <f>SUM(I99+I91)</f>
        <v>0</v>
      </c>
      <c r="J100" s="58">
        <f>SUM(J99+J91)</f>
        <v>598248437</v>
      </c>
      <c r="K100" s="58"/>
      <c r="L100" s="58">
        <f>SUM(L99+L91)</f>
        <v>0</v>
      </c>
      <c r="M100" s="58"/>
    </row>
    <row r="101" spans="1:13" ht="18" hidden="1" customHeight="1" x14ac:dyDescent="0.25">
      <c r="A101" s="922" t="s">
        <v>93</v>
      </c>
      <c r="C101" s="72"/>
      <c r="D101" s="206"/>
      <c r="E101" s="41"/>
      <c r="F101" s="60"/>
      <c r="G101" s="61"/>
      <c r="H101" s="72"/>
      <c r="I101" s="58">
        <f>SUM(I100+N14)</f>
        <v>0</v>
      </c>
      <c r="J101" s="58">
        <f>SUM(J100+O11)</f>
        <v>598248437</v>
      </c>
      <c r="K101" s="58"/>
      <c r="L101" s="58">
        <f>SUM(L100+P15)</f>
        <v>0</v>
      </c>
      <c r="M101" s="58"/>
    </row>
    <row r="102" spans="1:13" ht="18" hidden="1" customHeight="1" x14ac:dyDescent="0.25">
      <c r="A102" s="923"/>
      <c r="C102" s="76"/>
      <c r="D102" s="958"/>
      <c r="E102" s="41"/>
      <c r="F102" s="75"/>
      <c r="G102" s="76"/>
      <c r="H102" s="76"/>
      <c r="I102" s="77"/>
      <c r="J102" s="78"/>
      <c r="K102" s="77"/>
      <c r="L102" s="77"/>
      <c r="M102" s="77"/>
    </row>
    <row r="103" spans="1:13" ht="18" hidden="1" customHeight="1" x14ac:dyDescent="0.25">
      <c r="A103" s="919"/>
      <c r="C103" s="62"/>
      <c r="D103" s="23" t="s">
        <v>94</v>
      </c>
      <c r="E103" s="41"/>
      <c r="F103" s="60"/>
      <c r="G103" s="67"/>
      <c r="H103" s="62"/>
      <c r="I103" s="58"/>
      <c r="J103" s="68"/>
      <c r="K103" s="68"/>
      <c r="L103" s="68"/>
      <c r="M103" s="68"/>
    </row>
    <row r="104" spans="1:13" ht="18" hidden="1" customHeight="1" x14ac:dyDescent="0.25">
      <c r="A104" s="919"/>
      <c r="C104" s="62"/>
      <c r="D104" s="23"/>
      <c r="E104" s="41"/>
      <c r="F104" s="60"/>
      <c r="G104" s="67"/>
      <c r="H104" s="62"/>
      <c r="I104" s="58"/>
      <c r="J104" s="68"/>
      <c r="K104" s="68"/>
      <c r="L104" s="68"/>
      <c r="M104" s="68"/>
    </row>
    <row r="105" spans="1:13" ht="18" hidden="1" customHeight="1" x14ac:dyDescent="0.25">
      <c r="A105" s="919"/>
      <c r="C105" s="62"/>
      <c r="D105" s="23" t="s">
        <v>95</v>
      </c>
      <c r="E105" s="41"/>
      <c r="F105" s="60"/>
      <c r="G105" s="67"/>
      <c r="H105" s="62"/>
      <c r="I105" s="58"/>
      <c r="J105" s="68"/>
      <c r="K105" s="68"/>
      <c r="L105" s="68"/>
      <c r="M105" s="68"/>
    </row>
    <row r="106" spans="1:13" ht="18" hidden="1" customHeight="1" x14ac:dyDescent="0.25">
      <c r="A106" s="920"/>
      <c r="C106" s="79" t="s">
        <v>25</v>
      </c>
      <c r="D106" s="206" t="s">
        <v>96</v>
      </c>
      <c r="E106" s="41"/>
      <c r="F106" s="60"/>
      <c r="G106" s="61"/>
      <c r="H106" s="79" t="s">
        <v>25</v>
      </c>
      <c r="I106" s="58"/>
      <c r="J106" s="58">
        <v>20500000</v>
      </c>
      <c r="K106" s="58"/>
      <c r="L106" s="58"/>
      <c r="M106" s="58"/>
    </row>
    <row r="107" spans="1:13" ht="18" hidden="1" customHeight="1" x14ac:dyDescent="0.25">
      <c r="A107" s="920"/>
      <c r="C107" s="79" t="s">
        <v>25</v>
      </c>
      <c r="D107" s="206" t="s">
        <v>97</v>
      </c>
      <c r="E107" s="41"/>
      <c r="F107" s="60"/>
      <c r="G107" s="61"/>
      <c r="H107" s="79" t="s">
        <v>25</v>
      </c>
      <c r="I107" s="58"/>
      <c r="J107" s="58">
        <v>1204000</v>
      </c>
      <c r="K107" s="58"/>
      <c r="L107" s="58"/>
      <c r="M107" s="58"/>
    </row>
    <row r="108" spans="1:13" ht="18" hidden="1" customHeight="1" x14ac:dyDescent="0.25">
      <c r="A108" s="920"/>
      <c r="C108" s="79"/>
      <c r="D108" s="206" t="s">
        <v>98</v>
      </c>
      <c r="E108" s="41"/>
      <c r="F108" s="60"/>
      <c r="G108" s="61"/>
      <c r="H108" s="79"/>
      <c r="I108" s="58"/>
      <c r="J108" s="58">
        <v>30500</v>
      </c>
      <c r="K108" s="58"/>
      <c r="L108" s="58"/>
      <c r="M108" s="58"/>
    </row>
    <row r="109" spans="1:13" ht="18" hidden="1" customHeight="1" x14ac:dyDescent="0.25">
      <c r="A109" s="920"/>
      <c r="C109" s="79" t="s">
        <v>25</v>
      </c>
      <c r="D109" s="206" t="s">
        <v>99</v>
      </c>
      <c r="E109" s="41"/>
      <c r="F109" s="60"/>
      <c r="G109" s="61"/>
      <c r="H109" s="79" t="s">
        <v>25</v>
      </c>
      <c r="I109" s="58"/>
      <c r="J109" s="58">
        <v>1850000</v>
      </c>
      <c r="K109" s="58"/>
      <c r="L109" s="58"/>
      <c r="M109" s="58"/>
    </row>
    <row r="110" spans="1:13" ht="18" hidden="1" customHeight="1" x14ac:dyDescent="0.25">
      <c r="A110" s="920"/>
      <c r="C110" s="79" t="s">
        <v>25</v>
      </c>
      <c r="D110" s="206" t="s">
        <v>100</v>
      </c>
      <c r="E110" s="41"/>
      <c r="F110" s="60"/>
      <c r="G110" s="61"/>
      <c r="H110" s="79" t="s">
        <v>25</v>
      </c>
      <c r="I110" s="58"/>
      <c r="J110" s="58">
        <v>950000</v>
      </c>
      <c r="K110" s="58"/>
      <c r="L110" s="58"/>
      <c r="M110" s="58"/>
    </row>
    <row r="111" spans="1:13" ht="18" hidden="1" customHeight="1" x14ac:dyDescent="0.25">
      <c r="A111" s="920"/>
      <c r="C111" s="79" t="s">
        <v>25</v>
      </c>
      <c r="D111" s="206" t="s">
        <v>101</v>
      </c>
      <c r="E111" s="41"/>
      <c r="F111" s="60"/>
      <c r="G111" s="61"/>
      <c r="H111" s="79" t="s">
        <v>25</v>
      </c>
      <c r="I111" s="58"/>
      <c r="J111" s="58">
        <v>2500000</v>
      </c>
      <c r="K111" s="58"/>
      <c r="L111" s="58"/>
      <c r="M111" s="58"/>
    </row>
    <row r="112" spans="1:13" ht="18" hidden="1" customHeight="1" x14ac:dyDescent="0.25">
      <c r="A112" s="920"/>
      <c r="C112" s="79"/>
      <c r="D112" s="206" t="s">
        <v>102</v>
      </c>
      <c r="E112" s="41"/>
      <c r="F112" s="60"/>
      <c r="G112" s="61"/>
      <c r="H112" s="79"/>
      <c r="I112" s="58"/>
      <c r="J112" s="58"/>
      <c r="K112" s="58"/>
      <c r="L112" s="58"/>
      <c r="M112" s="58"/>
    </row>
    <row r="113" spans="1:13" ht="18" hidden="1" customHeight="1" x14ac:dyDescent="0.25">
      <c r="A113" s="920"/>
      <c r="C113" s="79"/>
      <c r="D113" s="206"/>
      <c r="E113" s="41"/>
      <c r="F113" s="60"/>
      <c r="G113" s="67"/>
      <c r="H113" s="79"/>
      <c r="I113" s="58">
        <f>SUM(I106:I111)</f>
        <v>0</v>
      </c>
      <c r="J113" s="68">
        <f>SUM(J106:J111)</f>
        <v>27034500</v>
      </c>
      <c r="K113" s="68"/>
      <c r="L113" s="68">
        <f>SUM(L106:L111)</f>
        <v>0</v>
      </c>
      <c r="M113" s="68"/>
    </row>
    <row r="114" spans="1:13" ht="18" hidden="1" customHeight="1" x14ac:dyDescent="0.25">
      <c r="A114" s="920"/>
      <c r="C114" s="79"/>
      <c r="D114" s="23" t="s">
        <v>103</v>
      </c>
      <c r="E114" s="41"/>
      <c r="F114" s="60"/>
      <c r="G114" s="67"/>
      <c r="H114" s="79"/>
      <c r="I114" s="58"/>
      <c r="J114" s="68"/>
      <c r="K114" s="68"/>
      <c r="L114" s="68"/>
      <c r="M114" s="68"/>
    </row>
    <row r="115" spans="1:13" ht="18" hidden="1" customHeight="1" x14ac:dyDescent="0.25">
      <c r="A115" s="920"/>
      <c r="C115" s="79" t="s">
        <v>25</v>
      </c>
      <c r="D115" s="206" t="s">
        <v>104</v>
      </c>
      <c r="E115" s="41"/>
      <c r="F115" s="60"/>
      <c r="G115" s="61"/>
      <c r="H115" s="79" t="s">
        <v>25</v>
      </c>
      <c r="I115" s="58"/>
      <c r="J115" s="58">
        <v>1300000</v>
      </c>
      <c r="K115" s="58"/>
      <c r="L115" s="58"/>
      <c r="M115" s="58"/>
    </row>
    <row r="116" spans="1:13" ht="18" hidden="1" customHeight="1" x14ac:dyDescent="0.25">
      <c r="A116" s="920"/>
      <c r="C116" s="79" t="s">
        <v>25</v>
      </c>
      <c r="D116" s="206" t="s">
        <v>105</v>
      </c>
      <c r="E116" s="41"/>
      <c r="F116" s="60"/>
      <c r="G116" s="61"/>
      <c r="H116" s="79" t="s">
        <v>25</v>
      </c>
      <c r="I116" s="58"/>
      <c r="J116" s="58">
        <v>700000</v>
      </c>
      <c r="K116" s="58"/>
      <c r="L116" s="58"/>
      <c r="M116" s="58"/>
    </row>
    <row r="117" spans="1:13" ht="18" hidden="1" customHeight="1" x14ac:dyDescent="0.25">
      <c r="A117" s="920"/>
      <c r="C117" s="79" t="s">
        <v>25</v>
      </c>
      <c r="D117" s="206" t="s">
        <v>106</v>
      </c>
      <c r="E117" s="41"/>
      <c r="F117" s="60"/>
      <c r="G117" s="61"/>
      <c r="H117" s="79" t="s">
        <v>25</v>
      </c>
      <c r="I117" s="58"/>
      <c r="J117" s="58">
        <v>800000</v>
      </c>
      <c r="K117" s="58"/>
      <c r="L117" s="58"/>
      <c r="M117" s="58"/>
    </row>
    <row r="118" spans="1:13" ht="18" hidden="1" customHeight="1" x14ac:dyDescent="0.25">
      <c r="A118" s="920"/>
      <c r="C118" s="79" t="s">
        <v>25</v>
      </c>
      <c r="D118" s="206" t="s">
        <v>107</v>
      </c>
      <c r="E118" s="41"/>
      <c r="F118" s="60"/>
      <c r="G118" s="61"/>
      <c r="H118" s="79" t="s">
        <v>25</v>
      </c>
      <c r="I118" s="58"/>
      <c r="J118" s="58">
        <v>200000</v>
      </c>
      <c r="K118" s="58"/>
      <c r="L118" s="58"/>
      <c r="M118" s="58"/>
    </row>
    <row r="119" spans="1:13" ht="18" hidden="1" customHeight="1" x14ac:dyDescent="0.25">
      <c r="A119" s="920"/>
      <c r="C119" s="79" t="s">
        <v>25</v>
      </c>
      <c r="D119" s="206" t="s">
        <v>108</v>
      </c>
      <c r="E119" s="41"/>
      <c r="F119" s="60"/>
      <c r="G119" s="61"/>
      <c r="H119" s="79" t="s">
        <v>25</v>
      </c>
      <c r="I119" s="58"/>
      <c r="J119" s="58">
        <v>2700000</v>
      </c>
      <c r="K119" s="58"/>
      <c r="L119" s="58"/>
      <c r="M119" s="58"/>
    </row>
    <row r="120" spans="1:13" ht="18" hidden="1" customHeight="1" x14ac:dyDescent="0.25">
      <c r="A120" s="920"/>
      <c r="C120" s="79" t="s">
        <v>25</v>
      </c>
      <c r="D120" s="206" t="s">
        <v>109</v>
      </c>
      <c r="E120" s="41"/>
      <c r="F120" s="60"/>
      <c r="G120" s="61"/>
      <c r="H120" s="79" t="s">
        <v>25</v>
      </c>
      <c r="I120" s="58"/>
      <c r="J120" s="58">
        <v>650000</v>
      </c>
      <c r="K120" s="58"/>
      <c r="L120" s="58"/>
      <c r="M120" s="58"/>
    </row>
    <row r="121" spans="1:13" ht="18" hidden="1" customHeight="1" x14ac:dyDescent="0.25">
      <c r="A121" s="920"/>
      <c r="C121" s="79" t="s">
        <v>25</v>
      </c>
      <c r="D121" s="206" t="s">
        <v>110</v>
      </c>
      <c r="E121" s="41"/>
      <c r="F121" s="60"/>
      <c r="G121" s="61"/>
      <c r="H121" s="79" t="s">
        <v>25</v>
      </c>
      <c r="I121" s="58"/>
      <c r="J121" s="58"/>
      <c r="K121" s="58"/>
      <c r="L121" s="58"/>
      <c r="M121" s="58"/>
    </row>
    <row r="122" spans="1:13" ht="18" hidden="1" customHeight="1" x14ac:dyDescent="0.25">
      <c r="A122" s="920"/>
      <c r="C122" s="79"/>
      <c r="D122" s="206"/>
      <c r="E122" s="41"/>
      <c r="F122" s="80"/>
      <c r="G122" s="81"/>
      <c r="H122" s="79"/>
      <c r="I122" s="82">
        <f>SUM(I115:I121)</f>
        <v>0</v>
      </c>
      <c r="J122" s="83">
        <f>SUM(J115:J121)</f>
        <v>6350000</v>
      </c>
      <c r="K122" s="83"/>
      <c r="L122" s="83">
        <f>SUM(L115:L121)</f>
        <v>0</v>
      </c>
      <c r="M122" s="83"/>
    </row>
    <row r="123" spans="1:13" ht="18" hidden="1" customHeight="1" x14ac:dyDescent="0.25">
      <c r="A123" s="920"/>
      <c r="C123" s="79"/>
      <c r="D123" s="23" t="s">
        <v>111</v>
      </c>
      <c r="E123" s="41"/>
      <c r="F123" s="80"/>
      <c r="G123" s="84"/>
      <c r="H123" s="79"/>
      <c r="I123" s="82">
        <f>SUM(I122+I113)</f>
        <v>0</v>
      </c>
      <c r="J123" s="82">
        <f>SUM(J122+J113)</f>
        <v>33384500</v>
      </c>
      <c r="K123" s="82"/>
      <c r="L123" s="82">
        <f>SUM(L122+L113)</f>
        <v>0</v>
      </c>
      <c r="M123" s="82"/>
    </row>
    <row r="124" spans="1:13" ht="18" hidden="1" customHeight="1" x14ac:dyDescent="0.25">
      <c r="A124" s="924"/>
      <c r="C124" s="89"/>
      <c r="D124" s="959" t="s">
        <v>93</v>
      </c>
      <c r="E124" s="41"/>
      <c r="F124" s="87"/>
      <c r="G124" s="88"/>
      <c r="H124" s="89"/>
      <c r="I124" s="90">
        <f>SUM(I101+I123)</f>
        <v>0</v>
      </c>
      <c r="J124" s="90">
        <f>SUM(J123+J101)</f>
        <v>631632937</v>
      </c>
      <c r="K124" s="90"/>
      <c r="L124" s="90">
        <f>SUM(L123+L101)</f>
        <v>0</v>
      </c>
      <c r="M124" s="90"/>
    </row>
    <row r="125" spans="1:13" ht="15.75" hidden="1" customHeight="1" x14ac:dyDescent="0.25">
      <c r="C125" s="91"/>
      <c r="F125" s="91"/>
      <c r="G125" s="92"/>
      <c r="H125" s="91"/>
    </row>
    <row r="126" spans="1:13" ht="15.75" hidden="1" customHeight="1" x14ac:dyDescent="0.25"/>
    <row r="127" spans="1:13" ht="15.75" hidden="1" customHeight="1" x14ac:dyDescent="0.25"/>
    <row r="128" spans="1:13" ht="15.75" hidden="1" customHeight="1" x14ac:dyDescent="0.25"/>
    <row r="129" ht="15.75" hidden="1" customHeight="1" x14ac:dyDescent="0.25"/>
    <row r="130" ht="15.75" hidden="1" customHeight="1" x14ac:dyDescent="0.25"/>
    <row r="131" ht="15.75" hidden="1" customHeight="1" x14ac:dyDescent="0.25"/>
    <row r="132" ht="15.75" hidden="1" customHeight="1" x14ac:dyDescent="0.25"/>
    <row r="133" ht="15.75" hidden="1" customHeight="1" x14ac:dyDescent="0.25"/>
    <row r="134" ht="15.75" hidden="1" customHeight="1" x14ac:dyDescent="0.25"/>
    <row r="135" ht="15.75" hidden="1" customHeight="1" x14ac:dyDescent="0.25"/>
    <row r="136" ht="15.75" hidden="1" customHeight="1" x14ac:dyDescent="0.25"/>
    <row r="137" ht="15.75" hidden="1" customHeight="1" x14ac:dyDescent="0.25"/>
    <row r="138" ht="15.75" hidden="1" customHeight="1" x14ac:dyDescent="0.25"/>
    <row r="139" ht="15.75" hidden="1" customHeight="1" x14ac:dyDescent="0.25"/>
    <row r="140" ht="15.75" hidden="1" customHeight="1" x14ac:dyDescent="0.25"/>
    <row r="141" ht="15.75" hidden="1" customHeight="1" x14ac:dyDescent="0.25"/>
    <row r="142" ht="15.75" hidden="1" customHeight="1" x14ac:dyDescent="0.25"/>
    <row r="143" ht="15.75" hidden="1" customHeight="1" x14ac:dyDescent="0.25"/>
    <row r="144" ht="15.75" hidden="1" customHeight="1" x14ac:dyDescent="0.25"/>
    <row r="145" spans="1:15" ht="15.75" hidden="1" customHeight="1" x14ac:dyDescent="0.25"/>
    <row r="146" spans="1:15" ht="15.75" hidden="1" customHeight="1" x14ac:dyDescent="0.25"/>
    <row r="147" spans="1:15" s="48" customFormat="1" ht="17.45" customHeight="1" x14ac:dyDescent="0.25">
      <c r="A147" s="926" t="s">
        <v>1388</v>
      </c>
      <c r="B147" s="136" t="s">
        <v>201</v>
      </c>
      <c r="C147" s="97"/>
      <c r="D147" s="838" t="s">
        <v>238</v>
      </c>
      <c r="E147" s="687"/>
      <c r="F147" s="687"/>
      <c r="G147" s="687"/>
      <c r="H147" s="97"/>
      <c r="I147" s="101"/>
      <c r="J147" s="102"/>
      <c r="K147" s="101"/>
      <c r="L147" s="102">
        <v>400000</v>
      </c>
      <c r="M147" s="101"/>
      <c r="N147" s="6"/>
      <c r="O147" s="6"/>
    </row>
    <row r="148" spans="1:15" s="48" customFormat="1" ht="17.45" customHeight="1" x14ac:dyDescent="0.25">
      <c r="A148" s="926" t="s">
        <v>1388</v>
      </c>
      <c r="B148" s="136" t="s">
        <v>201</v>
      </c>
      <c r="C148" s="97"/>
      <c r="D148" s="838" t="s">
        <v>239</v>
      </c>
      <c r="E148" s="687"/>
      <c r="F148" s="687"/>
      <c r="G148" s="687"/>
      <c r="H148" s="97"/>
      <c r="I148" s="101"/>
      <c r="J148" s="102"/>
      <c r="K148" s="101"/>
      <c r="L148" s="102">
        <v>80000</v>
      </c>
      <c r="M148" s="101"/>
      <c r="N148" s="6"/>
      <c r="O148" s="6"/>
    </row>
    <row r="149" spans="1:15" s="48" customFormat="1" ht="17.45" customHeight="1" x14ac:dyDescent="0.25">
      <c r="A149" s="926" t="s">
        <v>1388</v>
      </c>
      <c r="B149" s="136" t="s">
        <v>201</v>
      </c>
      <c r="C149" s="97"/>
      <c r="D149" s="838" t="s">
        <v>203</v>
      </c>
      <c r="E149" s="687"/>
      <c r="F149" s="687"/>
      <c r="G149" s="687"/>
      <c r="H149" s="97"/>
      <c r="I149" s="101"/>
      <c r="J149" s="102"/>
      <c r="K149" s="101"/>
      <c r="L149" s="102">
        <v>115000</v>
      </c>
      <c r="M149" s="101"/>
      <c r="N149" s="6"/>
      <c r="O149" s="6">
        <f>192000+72000</f>
        <v>264000</v>
      </c>
    </row>
    <row r="150" spans="1:15" s="48" customFormat="1" ht="17.45" customHeight="1" x14ac:dyDescent="0.25">
      <c r="A150" s="926" t="s">
        <v>1388</v>
      </c>
      <c r="B150" s="136" t="s">
        <v>201</v>
      </c>
      <c r="C150" s="97"/>
      <c r="D150" s="838" t="s">
        <v>240</v>
      </c>
      <c r="E150" s="687"/>
      <c r="F150" s="687"/>
      <c r="G150" s="687"/>
      <c r="H150" s="97"/>
      <c r="I150" s="101"/>
      <c r="J150" s="102"/>
      <c r="K150" s="101"/>
      <c r="L150" s="101">
        <v>300000</v>
      </c>
      <c r="M150" s="101"/>
      <c r="N150" s="6"/>
      <c r="O150" s="6"/>
    </row>
    <row r="151" spans="1:15" s="48" customFormat="1" ht="17.45" customHeight="1" x14ac:dyDescent="0.25">
      <c r="A151" s="926" t="s">
        <v>1388</v>
      </c>
      <c r="B151" s="136" t="s">
        <v>201</v>
      </c>
      <c r="C151" s="97"/>
      <c r="D151" s="838" t="s">
        <v>283</v>
      </c>
      <c r="E151" s="835"/>
      <c r="F151" s="835"/>
      <c r="G151" s="835"/>
      <c r="H151" s="97"/>
      <c r="I151" s="101"/>
      <c r="J151" s="102"/>
      <c r="K151" s="101"/>
      <c r="L151" s="101">
        <v>66000</v>
      </c>
      <c r="M151" s="101"/>
      <c r="N151" s="6"/>
      <c r="O151" s="6"/>
    </row>
    <row r="152" spans="1:15" s="48" customFormat="1" ht="17.45" customHeight="1" x14ac:dyDescent="0.25">
      <c r="A152" s="926" t="s">
        <v>1388</v>
      </c>
      <c r="B152" s="136" t="s">
        <v>201</v>
      </c>
      <c r="C152" s="97"/>
      <c r="D152" s="860" t="s">
        <v>287</v>
      </c>
      <c r="E152" s="835"/>
      <c r="F152" s="835"/>
      <c r="G152" s="835"/>
      <c r="H152" s="97"/>
      <c r="I152" s="101"/>
      <c r="J152" s="102">
        <v>85000</v>
      </c>
      <c r="K152" s="101"/>
      <c r="L152" s="101">
        <v>80000</v>
      </c>
      <c r="M152" s="101"/>
      <c r="N152" s="6"/>
      <c r="O152" s="6"/>
    </row>
    <row r="153" spans="1:15" s="48" customFormat="1" ht="17.45" customHeight="1" x14ac:dyDescent="0.25">
      <c r="A153" s="926" t="s">
        <v>1388</v>
      </c>
      <c r="B153" s="136" t="s">
        <v>201</v>
      </c>
      <c r="C153" s="97"/>
      <c r="D153" s="860" t="s">
        <v>529</v>
      </c>
      <c r="E153" s="835"/>
      <c r="F153" s="835"/>
      <c r="G153" s="835"/>
      <c r="H153" s="97"/>
      <c r="I153" s="101"/>
      <c r="J153" s="102"/>
      <c r="K153" s="101"/>
      <c r="L153" s="101">
        <v>183600</v>
      </c>
      <c r="M153" s="101"/>
      <c r="N153" s="6"/>
      <c r="O153" s="6">
        <f>309558+34594</f>
        <v>344152</v>
      </c>
    </row>
    <row r="154" spans="1:15" s="48" customFormat="1" ht="17.45" customHeight="1" x14ac:dyDescent="0.25">
      <c r="A154" s="926" t="s">
        <v>1388</v>
      </c>
      <c r="B154" s="136" t="s">
        <v>201</v>
      </c>
      <c r="C154" s="97"/>
      <c r="D154" s="860" t="s">
        <v>530</v>
      </c>
      <c r="E154" s="835"/>
      <c r="F154" s="835"/>
      <c r="G154" s="835"/>
      <c r="H154" s="97"/>
      <c r="I154" s="101"/>
      <c r="J154" s="102"/>
      <c r="K154" s="101"/>
      <c r="L154" s="101">
        <v>56000</v>
      </c>
      <c r="M154" s="101"/>
      <c r="N154" s="6"/>
      <c r="O154" s="6">
        <f>312022+34594</f>
        <v>346616</v>
      </c>
    </row>
    <row r="155" spans="1:15" s="48" customFormat="1" ht="17.45" customHeight="1" x14ac:dyDescent="0.25">
      <c r="A155" s="926" t="s">
        <v>1388</v>
      </c>
      <c r="B155" s="136" t="s">
        <v>201</v>
      </c>
      <c r="C155" s="97"/>
      <c r="D155" s="860" t="s">
        <v>531</v>
      </c>
      <c r="E155" s="835"/>
      <c r="F155" s="835"/>
      <c r="G155" s="835"/>
      <c r="H155" s="97"/>
      <c r="I155" s="101"/>
      <c r="J155" s="102"/>
      <c r="K155" s="101"/>
      <c r="L155" s="101">
        <v>40000</v>
      </c>
      <c r="M155" s="101"/>
      <c r="N155" s="6"/>
      <c r="O155" s="6"/>
    </row>
    <row r="156" spans="1:15" s="48" customFormat="1" ht="17.45" customHeight="1" x14ac:dyDescent="0.25">
      <c r="A156" s="926" t="s">
        <v>1388</v>
      </c>
      <c r="B156" s="136" t="s">
        <v>201</v>
      </c>
      <c r="C156" s="97"/>
      <c r="D156" s="860" t="s">
        <v>532</v>
      </c>
      <c r="E156" s="835"/>
      <c r="F156" s="835"/>
      <c r="G156" s="850"/>
      <c r="H156" s="97"/>
      <c r="I156" s="101"/>
      <c r="J156" s="102"/>
      <c r="K156" s="101"/>
      <c r="L156" s="101">
        <v>58500</v>
      </c>
      <c r="M156" s="101"/>
      <c r="N156" s="6"/>
      <c r="O156" s="6"/>
    </row>
    <row r="157" spans="1:15" s="48" customFormat="1" ht="17.45" customHeight="1" x14ac:dyDescent="0.25">
      <c r="A157" s="926" t="s">
        <v>1388</v>
      </c>
      <c r="B157" s="136" t="s">
        <v>201</v>
      </c>
      <c r="C157" s="97"/>
      <c r="D157" s="859" t="s">
        <v>203</v>
      </c>
      <c r="E157" s="836"/>
      <c r="F157" s="836"/>
      <c r="G157" s="836"/>
      <c r="H157" s="97"/>
      <c r="I157" s="101"/>
      <c r="J157" s="102"/>
      <c r="K157" s="101"/>
      <c r="L157" s="101">
        <v>115000</v>
      </c>
      <c r="M157" s="101"/>
      <c r="N157" s="6"/>
      <c r="O157" s="6">
        <f>24000+9000</f>
        <v>33000</v>
      </c>
    </row>
    <row r="158" spans="1:15" s="48" customFormat="1" ht="17.45" customHeight="1" x14ac:dyDescent="0.25">
      <c r="A158" s="926" t="s">
        <v>1388</v>
      </c>
      <c r="B158" s="136" t="s">
        <v>201</v>
      </c>
      <c r="C158" s="97"/>
      <c r="D158" s="860" t="s">
        <v>533</v>
      </c>
      <c r="E158" s="853"/>
      <c r="F158" s="835"/>
      <c r="G158" s="835"/>
      <c r="H158" s="97"/>
      <c r="I158" s="101"/>
      <c r="J158" s="102"/>
      <c r="K158" s="101"/>
      <c r="L158" s="101">
        <v>90000</v>
      </c>
      <c r="M158" s="101"/>
      <c r="N158" s="6"/>
      <c r="O158" s="6">
        <f>447402.35+49815.36</f>
        <v>497217.70999999996</v>
      </c>
    </row>
    <row r="159" spans="1:15" s="48" customFormat="1" ht="17.45" customHeight="1" x14ac:dyDescent="0.25">
      <c r="A159" s="926" t="s">
        <v>1388</v>
      </c>
      <c r="B159" s="136" t="s">
        <v>201</v>
      </c>
      <c r="C159" s="97"/>
      <c r="D159" s="860" t="s">
        <v>534</v>
      </c>
      <c r="E159" s="853"/>
      <c r="F159" s="835"/>
      <c r="G159" s="835"/>
      <c r="H159" s="97"/>
      <c r="I159" s="101"/>
      <c r="J159" s="102"/>
      <c r="K159" s="101"/>
      <c r="L159" s="101">
        <v>600000</v>
      </c>
      <c r="M159" s="101"/>
      <c r="N159" s="6"/>
      <c r="O159" s="6">
        <f>9600+3600</f>
        <v>13200</v>
      </c>
    </row>
    <row r="160" spans="1:15" s="48" customFormat="1" ht="17.45" customHeight="1" x14ac:dyDescent="0.25">
      <c r="A160" s="926" t="s">
        <v>1388</v>
      </c>
      <c r="B160" s="136" t="s">
        <v>201</v>
      </c>
      <c r="C160" s="97"/>
      <c r="D160" s="860" t="s">
        <v>535</v>
      </c>
      <c r="E160" s="853"/>
      <c r="F160" s="835"/>
      <c r="G160" s="835"/>
      <c r="H160" s="97"/>
      <c r="I160" s="101"/>
      <c r="J160" s="102"/>
      <c r="K160" s="101"/>
      <c r="L160" s="101">
        <v>4000000</v>
      </c>
      <c r="M160" s="101"/>
      <c r="N160" s="6"/>
      <c r="O160" s="6">
        <f>114514.12+16632</f>
        <v>131146.12</v>
      </c>
    </row>
    <row r="161" spans="1:17" s="48" customFormat="1" ht="17.45" customHeight="1" x14ac:dyDescent="0.25">
      <c r="A161" s="926" t="s">
        <v>1388</v>
      </c>
      <c r="B161" s="927" t="s">
        <v>201</v>
      </c>
      <c r="C161" s="258"/>
      <c r="D161" s="860" t="s">
        <v>554</v>
      </c>
      <c r="E161" s="853"/>
      <c r="F161" s="853"/>
      <c r="G161" s="853"/>
      <c r="H161" s="258"/>
      <c r="I161" s="106"/>
      <c r="J161" s="106"/>
      <c r="K161" s="106"/>
      <c r="L161" s="106">
        <v>23900</v>
      </c>
      <c r="M161" s="105"/>
      <c r="N161" s="6"/>
      <c r="O161" s="6">
        <f>9600+3600</f>
        <v>13200</v>
      </c>
    </row>
    <row r="162" spans="1:17" s="48" customFormat="1" ht="17.45" customHeight="1" x14ac:dyDescent="0.25">
      <c r="A162" s="926" t="s">
        <v>1388</v>
      </c>
      <c r="B162" s="927" t="s">
        <v>201</v>
      </c>
      <c r="C162" s="168"/>
      <c r="D162" s="859" t="s">
        <v>204</v>
      </c>
      <c r="E162" s="840"/>
      <c r="F162" s="840"/>
      <c r="G162" s="852"/>
      <c r="H162" s="168"/>
      <c r="I162" s="102"/>
      <c r="J162" s="111"/>
      <c r="K162" s="111"/>
      <c r="L162" s="102">
        <v>80000</v>
      </c>
      <c r="M162" s="112"/>
      <c r="N162" s="6"/>
      <c r="O162" s="6"/>
    </row>
    <row r="163" spans="1:17" s="48" customFormat="1" ht="17.45" customHeight="1" x14ac:dyDescent="0.25">
      <c r="A163" s="926" t="s">
        <v>1388</v>
      </c>
      <c r="B163" s="927" t="s">
        <v>201</v>
      </c>
      <c r="C163" s="97"/>
      <c r="D163" s="859" t="s">
        <v>559</v>
      </c>
      <c r="E163" s="836"/>
      <c r="F163" s="836"/>
      <c r="G163" s="834"/>
      <c r="H163" s="97"/>
      <c r="I163" s="101"/>
      <c r="J163" s="111"/>
      <c r="K163" s="112"/>
      <c r="L163" s="101">
        <v>76300</v>
      </c>
      <c r="M163" s="112"/>
      <c r="N163" s="6"/>
      <c r="O163" s="6"/>
    </row>
    <row r="164" spans="1:17" s="48" customFormat="1" ht="17.45" customHeight="1" x14ac:dyDescent="0.25">
      <c r="A164" s="926" t="s">
        <v>1388</v>
      </c>
      <c r="B164" s="927" t="s">
        <v>201</v>
      </c>
      <c r="C164" s="97"/>
      <c r="D164" s="859" t="s">
        <v>560</v>
      </c>
      <c r="E164" s="836"/>
      <c r="F164" s="836"/>
      <c r="G164" s="834"/>
      <c r="H164" s="97"/>
      <c r="I164" s="101"/>
      <c r="J164" s="111"/>
      <c r="K164" s="112"/>
      <c r="L164" s="101">
        <v>62400</v>
      </c>
      <c r="M164" s="112"/>
      <c r="N164" s="6"/>
      <c r="O164" s="6"/>
    </row>
    <row r="165" spans="1:17" s="48" customFormat="1" ht="17.45" customHeight="1" x14ac:dyDescent="0.25">
      <c r="A165" s="926" t="s">
        <v>1388</v>
      </c>
      <c r="B165" s="927" t="s">
        <v>201</v>
      </c>
      <c r="C165" s="97"/>
      <c r="D165" s="859" t="s">
        <v>516</v>
      </c>
      <c r="E165" s="836"/>
      <c r="F165" s="836"/>
      <c r="G165" s="834"/>
      <c r="H165" s="97"/>
      <c r="I165" s="101"/>
      <c r="J165" s="111"/>
      <c r="K165" s="112"/>
      <c r="L165" s="101">
        <v>230000</v>
      </c>
      <c r="M165" s="112"/>
      <c r="N165" s="6"/>
      <c r="O165" s="6">
        <f>1559927+25000+450000</f>
        <v>2034927</v>
      </c>
    </row>
    <row r="166" spans="1:17" s="48" customFormat="1" ht="17.45" customHeight="1" x14ac:dyDescent="0.25">
      <c r="A166" s="926" t="s">
        <v>1388</v>
      </c>
      <c r="B166" s="927" t="s">
        <v>201</v>
      </c>
      <c r="C166" s="97"/>
      <c r="D166" s="859" t="s">
        <v>351</v>
      </c>
      <c r="E166" s="836"/>
      <c r="F166" s="836"/>
      <c r="G166" s="834"/>
      <c r="H166" s="97"/>
      <c r="I166" s="101"/>
      <c r="J166" s="111"/>
      <c r="K166" s="112"/>
      <c r="L166" s="101">
        <v>25000</v>
      </c>
      <c r="M166" s="112"/>
      <c r="N166" s="6"/>
      <c r="O166" s="6">
        <v>60000</v>
      </c>
      <c r="P166" s="115"/>
      <c r="Q166" s="115"/>
    </row>
    <row r="167" spans="1:17" s="48" customFormat="1" ht="17.45" customHeight="1" x14ac:dyDescent="0.25">
      <c r="A167" s="926" t="s">
        <v>1388</v>
      </c>
      <c r="B167" s="927" t="s">
        <v>201</v>
      </c>
      <c r="C167" s="168"/>
      <c r="D167" s="859" t="s">
        <v>561</v>
      </c>
      <c r="E167" s="840"/>
      <c r="F167" s="840"/>
      <c r="G167" s="852"/>
      <c r="H167" s="168"/>
      <c r="I167" s="102"/>
      <c r="J167" s="111"/>
      <c r="K167" s="111"/>
      <c r="L167" s="102">
        <v>200000</v>
      </c>
      <c r="M167" s="112"/>
      <c r="N167" s="6"/>
      <c r="O167" s="6">
        <f>SUM(O166:O166)</f>
        <v>60000</v>
      </c>
    </row>
    <row r="168" spans="1:17" s="48" customFormat="1" ht="17.45" customHeight="1" x14ac:dyDescent="0.25">
      <c r="A168" s="926" t="s">
        <v>1388</v>
      </c>
      <c r="B168" s="927" t="s">
        <v>201</v>
      </c>
      <c r="C168" s="168"/>
      <c r="D168" s="859" t="s">
        <v>562</v>
      </c>
      <c r="E168" s="840"/>
      <c r="F168" s="840"/>
      <c r="G168" s="852"/>
      <c r="H168" s="168"/>
      <c r="I168" s="102"/>
      <c r="J168" s="111"/>
      <c r="K168" s="111"/>
      <c r="L168" s="102">
        <v>250000</v>
      </c>
      <c r="M168" s="112"/>
      <c r="N168" s="6"/>
      <c r="O168" s="6">
        <f>2093172.6-L168</f>
        <v>1843172.6</v>
      </c>
      <c r="P168" s="115"/>
      <c r="Q168" s="115"/>
    </row>
    <row r="169" spans="1:17" s="48" customFormat="1" ht="17.45" customHeight="1" x14ac:dyDescent="0.25">
      <c r="A169" s="926" t="s">
        <v>1388</v>
      </c>
      <c r="B169" s="927" t="s">
        <v>201</v>
      </c>
      <c r="C169" s="168"/>
      <c r="D169" s="859" t="s">
        <v>204</v>
      </c>
      <c r="E169" s="840"/>
      <c r="F169" s="840"/>
      <c r="G169" s="852"/>
      <c r="H169" s="168"/>
      <c r="I169" s="102"/>
      <c r="J169" s="111"/>
      <c r="K169" s="111"/>
      <c r="L169" s="102">
        <v>135000</v>
      </c>
      <c r="M169" s="112"/>
      <c r="N169" s="6"/>
      <c r="O169" s="6"/>
      <c r="P169" s="115"/>
      <c r="Q169" s="115"/>
    </row>
    <row r="170" spans="1:17" s="48" customFormat="1" ht="17.45" customHeight="1" x14ac:dyDescent="0.25">
      <c r="A170" s="926" t="s">
        <v>1388</v>
      </c>
      <c r="B170" s="927" t="s">
        <v>201</v>
      </c>
      <c r="C170" s="97"/>
      <c r="D170" s="837" t="s">
        <v>569</v>
      </c>
      <c r="E170" s="836"/>
      <c r="F170" s="836"/>
      <c r="G170" s="834"/>
      <c r="H170" s="97"/>
      <c r="I170" s="101">
        <v>0</v>
      </c>
      <c r="J170" s="111">
        <v>30000</v>
      </c>
      <c r="K170" s="112"/>
      <c r="L170" s="101">
        <v>32000</v>
      </c>
      <c r="M170" s="112"/>
      <c r="N170" s="6"/>
      <c r="O170" s="6">
        <f>N170-18551.14</f>
        <v>-18551.14</v>
      </c>
      <c r="P170" s="115"/>
      <c r="Q170" s="115"/>
    </row>
    <row r="171" spans="1:17" s="48" customFormat="1" ht="17.45" customHeight="1" x14ac:dyDescent="0.25">
      <c r="A171" s="926" t="s">
        <v>1388</v>
      </c>
      <c r="B171" s="927" t="s">
        <v>201</v>
      </c>
      <c r="C171" s="97"/>
      <c r="D171" s="859" t="s">
        <v>203</v>
      </c>
      <c r="E171" s="836"/>
      <c r="F171" s="836"/>
      <c r="G171" s="834"/>
      <c r="H171" s="97"/>
      <c r="I171" s="101"/>
      <c r="J171" s="111"/>
      <c r="K171" s="112"/>
      <c r="L171" s="101">
        <v>75000</v>
      </c>
      <c r="M171" s="112"/>
      <c r="N171" s="6"/>
      <c r="O171" s="6"/>
    </row>
    <row r="172" spans="1:17" s="48" customFormat="1" ht="17.45" customHeight="1" x14ac:dyDescent="0.25">
      <c r="A172" s="926" t="s">
        <v>1388</v>
      </c>
      <c r="B172" s="927" t="s">
        <v>201</v>
      </c>
      <c r="C172" s="97"/>
      <c r="D172" s="837" t="s">
        <v>572</v>
      </c>
      <c r="E172" s="836"/>
      <c r="F172" s="836"/>
      <c r="G172" s="834"/>
      <c r="H172" s="97"/>
      <c r="I172" s="101">
        <v>0</v>
      </c>
      <c r="J172" s="111">
        <v>100000</v>
      </c>
      <c r="K172" s="112"/>
      <c r="L172" s="101">
        <v>100000</v>
      </c>
      <c r="M172" s="112"/>
      <c r="N172" s="6"/>
      <c r="O172" s="6"/>
      <c r="P172" s="115"/>
      <c r="Q172" s="115"/>
    </row>
    <row r="173" spans="1:17" s="48" customFormat="1" ht="17.45" customHeight="1" x14ac:dyDescent="0.25">
      <c r="A173" s="926" t="s">
        <v>1388</v>
      </c>
      <c r="B173" s="146" t="s">
        <v>201</v>
      </c>
      <c r="C173" s="376"/>
      <c r="D173" s="859" t="s">
        <v>203</v>
      </c>
      <c r="E173" s="836"/>
      <c r="F173" s="836"/>
      <c r="G173" s="834"/>
      <c r="H173" s="376"/>
      <c r="I173" s="101"/>
      <c r="J173" s="111"/>
      <c r="K173" s="112"/>
      <c r="L173" s="101">
        <v>75000</v>
      </c>
      <c r="M173" s="112"/>
      <c r="N173" s="6"/>
      <c r="O173" s="6"/>
    </row>
    <row r="174" spans="1:17" s="48" customFormat="1" ht="17.45" customHeight="1" x14ac:dyDescent="0.25">
      <c r="A174" s="926" t="s">
        <v>1388</v>
      </c>
      <c r="B174" s="146" t="s">
        <v>201</v>
      </c>
      <c r="C174" s="238"/>
      <c r="D174" s="652" t="s">
        <v>1269</v>
      </c>
      <c r="E174" s="842"/>
      <c r="F174" s="843"/>
      <c r="G174" s="843"/>
      <c r="H174" s="238"/>
      <c r="I174" s="101"/>
      <c r="J174" s="111"/>
      <c r="K174" s="112"/>
      <c r="L174" s="101">
        <v>160000</v>
      </c>
      <c r="M174" s="112"/>
      <c r="N174" s="6"/>
      <c r="O174" s="6"/>
      <c r="P174" s="115"/>
      <c r="Q174" s="115"/>
    </row>
    <row r="175" spans="1:17" s="48" customFormat="1" ht="17.45" customHeight="1" x14ac:dyDescent="0.25">
      <c r="A175" s="926" t="s">
        <v>1388</v>
      </c>
      <c r="B175" s="146" t="s">
        <v>201</v>
      </c>
      <c r="C175" s="948"/>
      <c r="D175" s="855" t="s">
        <v>1270</v>
      </c>
      <c r="E175" s="839"/>
      <c r="F175" s="839"/>
      <c r="G175" s="842"/>
      <c r="H175" s="948"/>
      <c r="I175" s="101"/>
      <c r="J175" s="117"/>
      <c r="K175" s="118"/>
      <c r="L175" s="105">
        <v>35000</v>
      </c>
      <c r="M175" s="118"/>
      <c r="N175" s="6"/>
      <c r="O175" s="6"/>
      <c r="P175" s="115"/>
      <c r="Q175" s="115"/>
    </row>
    <row r="176" spans="1:17" s="48" customFormat="1" ht="17.45" customHeight="1" x14ac:dyDescent="0.25">
      <c r="A176" s="926" t="s">
        <v>1388</v>
      </c>
      <c r="B176" s="146" t="s">
        <v>201</v>
      </c>
      <c r="C176" s="238"/>
      <c r="D176" s="855" t="s">
        <v>1271</v>
      </c>
      <c r="E176" s="839"/>
      <c r="F176" s="839"/>
      <c r="G176" s="839"/>
      <c r="H176" s="238"/>
      <c r="I176" s="101"/>
      <c r="J176" s="122"/>
      <c r="K176" s="101"/>
      <c r="L176" s="101">
        <v>14000</v>
      </c>
      <c r="M176" s="101"/>
      <c r="N176" s="6"/>
      <c r="O176" s="6"/>
      <c r="P176" s="115"/>
      <c r="Q176" s="115"/>
    </row>
    <row r="177" spans="1:17" s="48" customFormat="1" ht="17.45" customHeight="1" x14ac:dyDescent="0.25">
      <c r="A177" s="926" t="s">
        <v>1388</v>
      </c>
      <c r="B177" s="146" t="s">
        <v>201</v>
      </c>
      <c r="C177" s="238"/>
      <c r="D177" s="855" t="s">
        <v>1272</v>
      </c>
      <c r="E177" s="839"/>
      <c r="F177" s="839"/>
      <c r="G177" s="839"/>
      <c r="H177" s="238"/>
      <c r="I177" s="101"/>
      <c r="J177" s="122"/>
      <c r="K177" s="101"/>
      <c r="L177" s="101">
        <v>75000</v>
      </c>
      <c r="M177" s="101"/>
      <c r="N177" s="6"/>
      <c r="O177" s="6"/>
      <c r="P177" s="115"/>
      <c r="Q177" s="115"/>
    </row>
    <row r="178" spans="1:17" s="48" customFormat="1" ht="17.45" customHeight="1" x14ac:dyDescent="0.25">
      <c r="A178" s="926" t="s">
        <v>1388</v>
      </c>
      <c r="B178" s="146" t="s">
        <v>201</v>
      </c>
      <c r="C178" s="238"/>
      <c r="D178" s="652" t="s">
        <v>1273</v>
      </c>
      <c r="E178" s="839"/>
      <c r="F178" s="839"/>
      <c r="G178" s="839"/>
      <c r="H178" s="238"/>
      <c r="I178" s="101"/>
      <c r="J178" s="122"/>
      <c r="K178" s="101"/>
      <c r="L178" s="101">
        <v>26600</v>
      </c>
      <c r="M178" s="101"/>
      <c r="N178" s="6"/>
      <c r="O178" s="6">
        <f>16000*2</f>
        <v>32000</v>
      </c>
      <c r="P178" s="115"/>
      <c r="Q178" s="115"/>
    </row>
    <row r="179" spans="1:17" s="48" customFormat="1" ht="17.45" customHeight="1" x14ac:dyDescent="0.25">
      <c r="A179" s="926" t="s">
        <v>1388</v>
      </c>
      <c r="B179" s="191" t="s">
        <v>201</v>
      </c>
      <c r="C179" s="97"/>
      <c r="D179" s="859" t="s">
        <v>1289</v>
      </c>
      <c r="E179" s="836"/>
      <c r="F179" s="836"/>
      <c r="G179" s="836"/>
      <c r="H179" s="97"/>
      <c r="I179" s="101"/>
      <c r="J179" s="122"/>
      <c r="K179" s="101"/>
      <c r="L179" s="101">
        <v>28000</v>
      </c>
      <c r="M179" s="101"/>
      <c r="N179" s="6"/>
      <c r="O179" s="6"/>
      <c r="P179" s="115"/>
      <c r="Q179" s="115"/>
    </row>
    <row r="180" spans="1:17" s="48" customFormat="1" ht="17.45" customHeight="1" x14ac:dyDescent="0.25">
      <c r="A180" s="926" t="s">
        <v>1388</v>
      </c>
      <c r="B180" s="191" t="s">
        <v>201</v>
      </c>
      <c r="C180" s="108"/>
      <c r="D180" s="859" t="s">
        <v>1290</v>
      </c>
      <c r="E180" s="836"/>
      <c r="F180" s="836"/>
      <c r="G180" s="834"/>
      <c r="H180" s="108"/>
      <c r="I180" s="101"/>
      <c r="J180" s="122"/>
      <c r="K180" s="105"/>
      <c r="L180" s="101">
        <v>23900</v>
      </c>
      <c r="M180" s="101"/>
      <c r="N180" s="6"/>
      <c r="O180" s="6"/>
      <c r="P180" s="115"/>
      <c r="Q180" s="115"/>
    </row>
    <row r="181" spans="1:17" s="48" customFormat="1" ht="18" customHeight="1" x14ac:dyDescent="0.25">
      <c r="A181" s="926" t="s">
        <v>1388</v>
      </c>
      <c r="B181" s="191" t="s">
        <v>201</v>
      </c>
      <c r="C181" s="97"/>
      <c r="D181" s="860" t="s">
        <v>1296</v>
      </c>
      <c r="E181" s="687"/>
      <c r="F181" s="687"/>
      <c r="G181" s="687"/>
      <c r="H181" s="97"/>
      <c r="I181" s="101">
        <v>0</v>
      </c>
      <c r="J181" s="102">
        <v>20000</v>
      </c>
      <c r="K181" s="101"/>
      <c r="L181" s="101">
        <v>26000</v>
      </c>
      <c r="M181" s="101"/>
      <c r="N181" s="6"/>
      <c r="O181" s="6"/>
    </row>
    <row r="182" spans="1:17" s="48" customFormat="1" ht="18" customHeight="1" x14ac:dyDescent="0.25">
      <c r="A182" s="926" t="s">
        <v>1388</v>
      </c>
      <c r="B182" t="s">
        <v>201</v>
      </c>
      <c r="C182" s="394" t="s">
        <v>1302</v>
      </c>
      <c r="D182" s="700" t="s">
        <v>1301</v>
      </c>
      <c r="E182" s="237"/>
      <c r="F182" s="237"/>
      <c r="G182" s="237"/>
      <c r="H182" s="394" t="s">
        <v>1302</v>
      </c>
      <c r="I182" s="101">
        <v>0</v>
      </c>
      <c r="J182" s="102">
        <v>0</v>
      </c>
      <c r="K182" s="101"/>
      <c r="L182" s="101">
        <v>30600</v>
      </c>
      <c r="M182" s="101"/>
      <c r="N182" s="6"/>
      <c r="O182" s="6"/>
    </row>
    <row r="183" spans="1:17" s="48" customFormat="1" ht="18" customHeight="1" x14ac:dyDescent="0.25">
      <c r="A183" s="926" t="s">
        <v>1388</v>
      </c>
      <c r="B183" t="s">
        <v>201</v>
      </c>
      <c r="C183" s="394"/>
      <c r="D183" s="700" t="s">
        <v>204</v>
      </c>
      <c r="E183" s="237"/>
      <c r="F183" s="237"/>
      <c r="G183" s="237"/>
      <c r="H183" s="394"/>
      <c r="I183" s="101">
        <v>0</v>
      </c>
      <c r="J183" s="102">
        <v>80000</v>
      </c>
      <c r="K183" s="101">
        <v>0</v>
      </c>
      <c r="L183" s="101">
        <v>80000</v>
      </c>
      <c r="M183" s="101"/>
      <c r="N183" s="6"/>
      <c r="O183" s="6">
        <f>288000+432000</f>
        <v>720000</v>
      </c>
    </row>
    <row r="184" spans="1:17" s="48" customFormat="1" ht="18" customHeight="1" x14ac:dyDescent="0.25">
      <c r="A184" s="926" t="s">
        <v>1388</v>
      </c>
      <c r="B184" s="48" t="s">
        <v>163</v>
      </c>
      <c r="C184" s="131" t="s">
        <v>165</v>
      </c>
      <c r="D184" s="245" t="s">
        <v>164</v>
      </c>
      <c r="E184" s="116"/>
      <c r="F184" s="116"/>
      <c r="G184" s="116"/>
      <c r="H184" s="131" t="s">
        <v>165</v>
      </c>
      <c r="I184" s="101">
        <v>5060</v>
      </c>
      <c r="J184" s="102">
        <v>10000</v>
      </c>
      <c r="K184" s="101"/>
      <c r="L184" s="101">
        <v>10000</v>
      </c>
      <c r="M184" s="101"/>
      <c r="N184" s="6"/>
      <c r="O184" s="6"/>
    </row>
    <row r="185" spans="1:17" s="48" customFormat="1" ht="18" customHeight="1" x14ac:dyDescent="0.25">
      <c r="A185" s="926" t="s">
        <v>1388</v>
      </c>
      <c r="B185" s="48" t="s">
        <v>163</v>
      </c>
      <c r="C185" s="131" t="s">
        <v>165</v>
      </c>
      <c r="D185" s="245" t="s">
        <v>164</v>
      </c>
      <c r="E185" s="116"/>
      <c r="F185" s="116"/>
      <c r="G185" s="116"/>
      <c r="H185" s="131" t="s">
        <v>165</v>
      </c>
      <c r="I185" s="101">
        <v>9426</v>
      </c>
      <c r="J185" s="102">
        <v>20000</v>
      </c>
      <c r="K185" s="101"/>
      <c r="L185" s="101">
        <v>20000</v>
      </c>
      <c r="M185" s="101"/>
      <c r="N185" s="6"/>
      <c r="O185" s="6">
        <f>108000+72000</f>
        <v>180000</v>
      </c>
    </row>
    <row r="186" spans="1:17" s="48" customFormat="1" ht="18" customHeight="1" x14ac:dyDescent="0.25">
      <c r="A186" s="926" t="s">
        <v>1388</v>
      </c>
      <c r="B186" s="48" t="s">
        <v>163</v>
      </c>
      <c r="C186" s="131" t="s">
        <v>165</v>
      </c>
      <c r="D186" s="245" t="s">
        <v>164</v>
      </c>
      <c r="E186" s="97"/>
      <c r="F186" s="97"/>
      <c r="G186" s="97"/>
      <c r="H186" s="131" t="s">
        <v>165</v>
      </c>
      <c r="I186" s="101">
        <v>436061</v>
      </c>
      <c r="J186" s="102">
        <v>890000</v>
      </c>
      <c r="K186" s="101">
        <v>293615</v>
      </c>
      <c r="L186" s="101">
        <v>932000</v>
      </c>
      <c r="M186" s="101"/>
      <c r="N186" s="6"/>
      <c r="O186" s="6">
        <f>173440+208952</f>
        <v>382392</v>
      </c>
    </row>
    <row r="187" spans="1:17" s="48" customFormat="1" ht="18" customHeight="1" x14ac:dyDescent="0.25">
      <c r="A187" s="926" t="s">
        <v>1388</v>
      </c>
      <c r="B187" s="48" t="s">
        <v>163</v>
      </c>
      <c r="C187" s="131" t="s">
        <v>165</v>
      </c>
      <c r="D187" s="245" t="s">
        <v>164</v>
      </c>
      <c r="E187" s="116"/>
      <c r="F187" s="116"/>
      <c r="G187" s="116"/>
      <c r="H187" s="131" t="s">
        <v>165</v>
      </c>
      <c r="I187" s="101">
        <v>4030</v>
      </c>
      <c r="J187" s="102">
        <v>54000</v>
      </c>
      <c r="K187" s="101"/>
      <c r="L187" s="101">
        <v>30000</v>
      </c>
      <c r="M187" s="101"/>
      <c r="N187" s="6"/>
      <c r="O187" s="6">
        <f>208952+173440</f>
        <v>382392</v>
      </c>
    </row>
    <row r="188" spans="1:17" s="48" customFormat="1" ht="18" customHeight="1" x14ac:dyDescent="0.25">
      <c r="A188" s="926" t="s">
        <v>1388</v>
      </c>
      <c r="B188" s="48" t="s">
        <v>163</v>
      </c>
      <c r="C188" s="131" t="s">
        <v>165</v>
      </c>
      <c r="D188" s="245" t="s">
        <v>164</v>
      </c>
      <c r="E188" s="116"/>
      <c r="F188" s="116"/>
      <c r="G188" s="116"/>
      <c r="H188" s="131" t="s">
        <v>165</v>
      </c>
      <c r="I188" s="101">
        <v>5900</v>
      </c>
      <c r="J188" s="102">
        <v>75000</v>
      </c>
      <c r="K188" s="101"/>
      <c r="L188" s="101">
        <v>75000</v>
      </c>
      <c r="M188" s="101"/>
      <c r="N188" s="6"/>
      <c r="O188" s="6">
        <f>90000+60000</f>
        <v>150000</v>
      </c>
    </row>
    <row r="189" spans="1:17" s="48" customFormat="1" ht="18" customHeight="1" x14ac:dyDescent="0.25">
      <c r="A189" s="926" t="s">
        <v>1388</v>
      </c>
      <c r="B189" s="48" t="s">
        <v>163</v>
      </c>
      <c r="C189" s="131" t="s">
        <v>165</v>
      </c>
      <c r="D189" s="245" t="s">
        <v>164</v>
      </c>
      <c r="E189" s="97"/>
      <c r="F189" s="97"/>
      <c r="G189" s="97"/>
      <c r="H189" s="131" t="s">
        <v>165</v>
      </c>
      <c r="I189" s="101"/>
      <c r="J189" s="102">
        <v>35000</v>
      </c>
      <c r="K189" s="101"/>
      <c r="L189" s="101">
        <v>35000</v>
      </c>
      <c r="M189" s="101"/>
      <c r="N189" s="6"/>
      <c r="O189" s="6"/>
    </row>
    <row r="190" spans="1:17" s="48" customFormat="1" ht="18" customHeight="1" x14ac:dyDescent="0.25">
      <c r="A190" s="926" t="s">
        <v>1388</v>
      </c>
      <c r="B190" s="48" t="s">
        <v>163</v>
      </c>
      <c r="C190" s="100" t="s">
        <v>165</v>
      </c>
      <c r="D190" s="44" t="s">
        <v>164</v>
      </c>
      <c r="E190" s="125"/>
      <c r="F190" s="125"/>
      <c r="G190" s="134"/>
      <c r="H190" s="100" t="s">
        <v>165</v>
      </c>
      <c r="I190" s="101">
        <v>1950</v>
      </c>
      <c r="J190" s="102">
        <v>30000</v>
      </c>
      <c r="K190" s="101"/>
      <c r="L190" s="101">
        <v>30000</v>
      </c>
      <c r="M190" s="101"/>
      <c r="N190" s="6"/>
      <c r="O190" s="6"/>
    </row>
    <row r="191" spans="1:17" s="48" customFormat="1" ht="18" customHeight="1" x14ac:dyDescent="0.25">
      <c r="A191" s="926" t="s">
        <v>1388</v>
      </c>
      <c r="B191" s="48" t="s">
        <v>163</v>
      </c>
      <c r="C191" s="100" t="s">
        <v>165</v>
      </c>
      <c r="D191" s="44" t="s">
        <v>164</v>
      </c>
      <c r="E191" s="125"/>
      <c r="F191" s="125"/>
      <c r="G191" s="134"/>
      <c r="H191" s="100" t="s">
        <v>165</v>
      </c>
      <c r="I191" s="101">
        <v>7260</v>
      </c>
      <c r="J191" s="102">
        <v>30000</v>
      </c>
      <c r="K191" s="101"/>
      <c r="L191" s="101">
        <v>30000</v>
      </c>
      <c r="M191" s="101">
        <f>SUM(L184:L191)</f>
        <v>1162000</v>
      </c>
      <c r="N191" s="6"/>
      <c r="O191" s="6"/>
    </row>
    <row r="192" spans="1:17" s="48" customFormat="1" ht="18" customHeight="1" x14ac:dyDescent="0.25">
      <c r="A192" s="926" t="s">
        <v>1388</v>
      </c>
      <c r="B192" s="48" t="s">
        <v>163</v>
      </c>
      <c r="C192" s="100" t="s">
        <v>1285</v>
      </c>
      <c r="D192" s="44" t="s">
        <v>384</v>
      </c>
      <c r="E192" s="125"/>
      <c r="F192" s="125"/>
      <c r="G192" s="134"/>
      <c r="H192" s="100" t="s">
        <v>1285</v>
      </c>
      <c r="I192" s="101">
        <v>65429.38</v>
      </c>
      <c r="J192" s="102">
        <v>50000</v>
      </c>
      <c r="K192" s="101">
        <v>24794.44</v>
      </c>
      <c r="L192" s="101">
        <v>50000</v>
      </c>
      <c r="M192" s="101"/>
      <c r="N192" s="6"/>
      <c r="O192" s="6"/>
    </row>
    <row r="193" spans="1:17" s="48" customFormat="1" ht="18" customHeight="1" x14ac:dyDescent="0.25">
      <c r="A193" s="926" t="s">
        <v>1388</v>
      </c>
      <c r="B193" s="48" t="s">
        <v>163</v>
      </c>
      <c r="C193" s="172" t="s">
        <v>167</v>
      </c>
      <c r="D193" s="44" t="s">
        <v>178</v>
      </c>
      <c r="E193" s="170"/>
      <c r="F193" s="170"/>
      <c r="G193" s="171"/>
      <c r="H193" s="172" t="s">
        <v>167</v>
      </c>
      <c r="I193" s="102"/>
      <c r="J193" s="102"/>
      <c r="K193" s="102"/>
      <c r="L193" s="102">
        <v>30000</v>
      </c>
      <c r="M193" s="101"/>
      <c r="N193" s="6"/>
      <c r="O193" s="6"/>
    </row>
    <row r="194" spans="1:17" s="48" customFormat="1" ht="18" customHeight="1" x14ac:dyDescent="0.25">
      <c r="A194" s="926" t="s">
        <v>1388</v>
      </c>
      <c r="B194" s="48" t="s">
        <v>163</v>
      </c>
      <c r="C194" s="131" t="s">
        <v>293</v>
      </c>
      <c r="D194" s="245" t="s">
        <v>166</v>
      </c>
      <c r="E194" s="97"/>
      <c r="F194" s="97"/>
      <c r="G194" s="97"/>
      <c r="H194" s="131" t="s">
        <v>293</v>
      </c>
      <c r="I194" s="101"/>
      <c r="J194" s="102"/>
      <c r="K194" s="101"/>
      <c r="L194" s="101">
        <v>50000</v>
      </c>
      <c r="M194" s="101"/>
      <c r="N194" s="6"/>
      <c r="O194" s="6">
        <f>300890.88+249753.6</f>
        <v>550644.47999999998</v>
      </c>
    </row>
    <row r="195" spans="1:17" s="48" customFormat="1" ht="18" customHeight="1" x14ac:dyDescent="0.25">
      <c r="A195" s="926" t="s">
        <v>1388</v>
      </c>
      <c r="B195" s="48" t="s">
        <v>163</v>
      </c>
      <c r="C195" s="131" t="s">
        <v>169</v>
      </c>
      <c r="D195" s="245" t="s">
        <v>168</v>
      </c>
      <c r="E195" s="116"/>
      <c r="F195" s="116"/>
      <c r="G195" s="116"/>
      <c r="H195" s="131" t="s">
        <v>169</v>
      </c>
      <c r="I195" s="101">
        <v>138447.70000000001</v>
      </c>
      <c r="J195" s="102">
        <v>90000</v>
      </c>
      <c r="K195" s="101">
        <v>85691.25</v>
      </c>
      <c r="L195" s="101">
        <v>65810</v>
      </c>
      <c r="M195" s="101"/>
      <c r="N195" s="6"/>
      <c r="O195" s="6">
        <f>14400+21600</f>
        <v>36000</v>
      </c>
    </row>
    <row r="196" spans="1:17" s="48" customFormat="1" ht="18" customHeight="1" x14ac:dyDescent="0.25">
      <c r="A196" s="926" t="s">
        <v>1388</v>
      </c>
      <c r="B196" s="48" t="s">
        <v>163</v>
      </c>
      <c r="C196" s="131" t="s">
        <v>169</v>
      </c>
      <c r="D196" s="245" t="s">
        <v>168</v>
      </c>
      <c r="E196" s="116"/>
      <c r="F196" s="116"/>
      <c r="G196" s="116"/>
      <c r="H196" s="131" t="s">
        <v>169</v>
      </c>
      <c r="I196" s="101">
        <v>22308.25</v>
      </c>
      <c r="J196" s="102">
        <v>33681</v>
      </c>
      <c r="K196" s="101">
        <v>23056.5</v>
      </c>
      <c r="L196" s="101">
        <v>20000</v>
      </c>
      <c r="M196" s="101"/>
      <c r="N196" s="6"/>
      <c r="O196" s="6">
        <f>100440+83364</f>
        <v>183804</v>
      </c>
    </row>
    <row r="197" spans="1:17" s="48" customFormat="1" ht="18" customHeight="1" x14ac:dyDescent="0.25">
      <c r="A197" s="926" t="s">
        <v>1388</v>
      </c>
      <c r="B197" s="48" t="s">
        <v>163</v>
      </c>
      <c r="C197" s="133" t="s">
        <v>169</v>
      </c>
      <c r="D197" s="44" t="s">
        <v>168</v>
      </c>
      <c r="E197" s="125"/>
      <c r="F197" s="125"/>
      <c r="G197" s="134"/>
      <c r="H197" s="133" t="s">
        <v>169</v>
      </c>
      <c r="I197" s="105">
        <v>320917.34999999998</v>
      </c>
      <c r="J197" s="106">
        <v>457586.25</v>
      </c>
      <c r="K197" s="105">
        <v>211691</v>
      </c>
      <c r="L197" s="106">
        <v>1087166.5</v>
      </c>
      <c r="M197" s="105"/>
      <c r="N197" s="6"/>
      <c r="O197" s="6">
        <f>14400+21600</f>
        <v>36000</v>
      </c>
    </row>
    <row r="198" spans="1:17" s="48" customFormat="1" ht="18" customHeight="1" x14ac:dyDescent="0.25">
      <c r="A198" s="926" t="s">
        <v>1388</v>
      </c>
      <c r="B198" s="48" t="s">
        <v>163</v>
      </c>
      <c r="C198" s="131" t="s">
        <v>169</v>
      </c>
      <c r="D198" s="44" t="s">
        <v>168</v>
      </c>
      <c r="E198" s="113"/>
      <c r="F198" s="113"/>
      <c r="G198" s="114"/>
      <c r="H198" s="131" t="s">
        <v>169</v>
      </c>
      <c r="I198" s="101">
        <v>57584</v>
      </c>
      <c r="J198" s="102">
        <v>144146</v>
      </c>
      <c r="K198" s="101">
        <v>52392</v>
      </c>
      <c r="L198" s="101">
        <v>99547</v>
      </c>
      <c r="M198" s="101"/>
      <c r="N198" s="6"/>
      <c r="O198" s="6"/>
    </row>
    <row r="199" spans="1:17" s="48" customFormat="1" ht="18" customHeight="1" x14ac:dyDescent="0.25">
      <c r="A199" s="926" t="s">
        <v>1388</v>
      </c>
      <c r="B199" s="48" t="s">
        <v>163</v>
      </c>
      <c r="C199" s="131" t="s">
        <v>169</v>
      </c>
      <c r="D199" s="44" t="s">
        <v>555</v>
      </c>
      <c r="E199" s="113"/>
      <c r="F199" s="113"/>
      <c r="G199" s="114"/>
      <c r="H199" s="131" t="s">
        <v>169</v>
      </c>
      <c r="I199" s="101">
        <v>126695.6</v>
      </c>
      <c r="J199" s="111">
        <v>233027</v>
      </c>
      <c r="K199" s="112">
        <v>161308</v>
      </c>
      <c r="L199" s="101">
        <v>270816</v>
      </c>
      <c r="M199" s="112"/>
      <c r="N199" s="6"/>
      <c r="O199" s="6"/>
    </row>
    <row r="200" spans="1:17" s="48" customFormat="1" ht="18" customHeight="1" x14ac:dyDescent="0.25">
      <c r="A200" s="926" t="s">
        <v>1388</v>
      </c>
      <c r="B200" s="48" t="s">
        <v>163</v>
      </c>
      <c r="C200" s="131" t="s">
        <v>169</v>
      </c>
      <c r="D200" s="44" t="s">
        <v>555</v>
      </c>
      <c r="E200" s="125"/>
      <c r="F200" s="125"/>
      <c r="G200" s="134"/>
      <c r="H200" s="131" t="s">
        <v>169</v>
      </c>
      <c r="I200" s="101">
        <v>327395.45</v>
      </c>
      <c r="J200" s="111">
        <v>397352</v>
      </c>
      <c r="K200" s="112">
        <v>317462.5</v>
      </c>
      <c r="L200" s="101">
        <v>255222.5</v>
      </c>
      <c r="M200" s="112"/>
      <c r="N200" s="6"/>
      <c r="O200" s="6"/>
    </row>
    <row r="201" spans="1:17" s="48" customFormat="1" ht="18" customHeight="1" x14ac:dyDescent="0.25">
      <c r="A201" s="926" t="s">
        <v>1388</v>
      </c>
      <c r="B201" s="48" t="s">
        <v>163</v>
      </c>
      <c r="C201" s="100" t="s">
        <v>169</v>
      </c>
      <c r="D201" s="44" t="s">
        <v>168</v>
      </c>
      <c r="E201" s="125"/>
      <c r="F201" s="134"/>
      <c r="G201" s="125"/>
      <c r="H201" s="100" t="s">
        <v>169</v>
      </c>
      <c r="I201" s="101">
        <v>73940</v>
      </c>
      <c r="J201" s="111">
        <v>92706</v>
      </c>
      <c r="K201" s="112">
        <v>48916.5</v>
      </c>
      <c r="L201" s="101">
        <v>96656</v>
      </c>
      <c r="M201" s="112"/>
      <c r="N201" s="6"/>
      <c r="O201" s="6"/>
      <c r="P201" s="115"/>
      <c r="Q201" s="115"/>
    </row>
    <row r="202" spans="1:17" s="48" customFormat="1" ht="18" customHeight="1" x14ac:dyDescent="0.25">
      <c r="A202" s="926" t="s">
        <v>1388</v>
      </c>
      <c r="B202" s="48" t="s">
        <v>163</v>
      </c>
      <c r="C202" s="100" t="s">
        <v>169</v>
      </c>
      <c r="D202" s="44" t="s">
        <v>168</v>
      </c>
      <c r="E202" s="125"/>
      <c r="F202" s="134"/>
      <c r="G202" s="134"/>
      <c r="H202" s="100" t="s">
        <v>169</v>
      </c>
      <c r="I202" s="101">
        <v>41492</v>
      </c>
      <c r="J202" s="111">
        <v>55000.5</v>
      </c>
      <c r="K202" s="112">
        <v>32996</v>
      </c>
      <c r="L202" s="105">
        <v>55000</v>
      </c>
      <c r="M202" s="112"/>
      <c r="N202" s="6"/>
      <c r="O202" s="6"/>
      <c r="P202" s="115"/>
      <c r="Q202" s="115"/>
    </row>
    <row r="203" spans="1:17" s="136" customFormat="1" ht="18" customHeight="1" x14ac:dyDescent="0.25">
      <c r="A203" s="926" t="s">
        <v>1388</v>
      </c>
      <c r="B203" s="48" t="s">
        <v>163</v>
      </c>
      <c r="C203" s="100" t="s">
        <v>169</v>
      </c>
      <c r="D203" s="44" t="s">
        <v>168</v>
      </c>
      <c r="E203" s="125"/>
      <c r="F203" s="125"/>
      <c r="G203" s="125"/>
      <c r="H203" s="100" t="s">
        <v>169</v>
      </c>
      <c r="I203" s="101">
        <v>184687</v>
      </c>
      <c r="J203" s="111">
        <v>226890</v>
      </c>
      <c r="K203" s="112">
        <v>103305</v>
      </c>
      <c r="L203" s="121">
        <v>91953</v>
      </c>
      <c r="M203" s="112">
        <f>SUM(L195:L203)</f>
        <v>2042171</v>
      </c>
      <c r="N203" s="6"/>
      <c r="O203" s="6"/>
      <c r="P203" s="115"/>
      <c r="Q203" s="115"/>
    </row>
    <row r="204" spans="1:17" s="136" customFormat="1" ht="18" customHeight="1" x14ac:dyDescent="0.25">
      <c r="A204" s="926" t="s">
        <v>1388</v>
      </c>
      <c r="B204" s="48" t="s">
        <v>163</v>
      </c>
      <c r="C204" s="100" t="s">
        <v>427</v>
      </c>
      <c r="D204" s="44" t="s">
        <v>1299</v>
      </c>
      <c r="E204" s="125"/>
      <c r="F204" s="125"/>
      <c r="G204" s="931"/>
      <c r="H204" s="100" t="s">
        <v>427</v>
      </c>
      <c r="I204" s="101">
        <v>640450</v>
      </c>
      <c r="J204" s="111">
        <v>850500</v>
      </c>
      <c r="K204" s="112"/>
      <c r="L204" s="101">
        <v>1342000</v>
      </c>
      <c r="M204" s="112"/>
      <c r="N204" s="6"/>
      <c r="O204" s="6"/>
      <c r="P204" s="115"/>
      <c r="Q204" s="115"/>
    </row>
    <row r="205" spans="1:17" s="136" customFormat="1" ht="18" customHeight="1" x14ac:dyDescent="0.25">
      <c r="A205" s="926" t="s">
        <v>1388</v>
      </c>
      <c r="B205" s="48" t="s">
        <v>163</v>
      </c>
      <c r="C205" s="100" t="s">
        <v>173</v>
      </c>
      <c r="D205" s="44" t="s">
        <v>172</v>
      </c>
      <c r="E205" s="125"/>
      <c r="F205" s="125"/>
      <c r="G205" s="125"/>
      <c r="H205" s="100" t="s">
        <v>173</v>
      </c>
      <c r="I205" s="101">
        <v>781124.36</v>
      </c>
      <c r="J205" s="111">
        <v>1525050</v>
      </c>
      <c r="K205" s="112">
        <v>312132.07</v>
      </c>
      <c r="L205" s="101">
        <v>1503330</v>
      </c>
      <c r="M205" s="112"/>
      <c r="N205" s="6"/>
      <c r="O205" s="6"/>
      <c r="P205" s="115"/>
      <c r="Q205" s="115"/>
    </row>
    <row r="206" spans="1:17" s="48" customFormat="1" ht="18" customHeight="1" x14ac:dyDescent="0.25">
      <c r="A206" s="926" t="s">
        <v>1388</v>
      </c>
      <c r="B206" s="48" t="s">
        <v>163</v>
      </c>
      <c r="C206" s="100" t="s">
        <v>173</v>
      </c>
      <c r="D206" s="44" t="s">
        <v>172</v>
      </c>
      <c r="E206" s="125"/>
      <c r="F206" s="692"/>
      <c r="G206" s="719"/>
      <c r="H206" s="100" t="s">
        <v>173</v>
      </c>
      <c r="I206" s="101">
        <v>62762.55</v>
      </c>
      <c r="J206" s="111">
        <v>280010</v>
      </c>
      <c r="K206" s="112">
        <v>76160.5</v>
      </c>
      <c r="L206" s="101">
        <v>280010</v>
      </c>
      <c r="M206" s="112"/>
      <c r="N206" s="6"/>
      <c r="O206" s="6"/>
      <c r="P206" s="115"/>
      <c r="Q206" s="115"/>
    </row>
    <row r="207" spans="1:17" s="48" customFormat="1" ht="18" customHeight="1" x14ac:dyDescent="0.25">
      <c r="A207" s="926" t="s">
        <v>1388</v>
      </c>
      <c r="B207" s="136" t="s">
        <v>163</v>
      </c>
      <c r="C207" s="100" t="s">
        <v>173</v>
      </c>
      <c r="D207" s="245" t="s">
        <v>172</v>
      </c>
      <c r="E207" s="97"/>
      <c r="F207" s="97"/>
      <c r="G207" s="97"/>
      <c r="H207" s="100" t="s">
        <v>173</v>
      </c>
      <c r="I207" s="101">
        <v>8662.25</v>
      </c>
      <c r="J207" s="102">
        <v>20000</v>
      </c>
      <c r="K207" s="101">
        <v>5685.05</v>
      </c>
      <c r="L207" s="101">
        <v>20000</v>
      </c>
      <c r="M207" s="101">
        <f>SUM(L205:L207)</f>
        <v>1803340</v>
      </c>
      <c r="N207" s="6"/>
      <c r="O207" s="6"/>
    </row>
    <row r="208" spans="1:17" s="48" customFormat="1" ht="18" customHeight="1" x14ac:dyDescent="0.25">
      <c r="A208" s="926" t="s">
        <v>1388</v>
      </c>
      <c r="B208" s="136" t="s">
        <v>163</v>
      </c>
      <c r="C208" s="143" t="s">
        <v>171</v>
      </c>
      <c r="D208" s="44" t="s">
        <v>233</v>
      </c>
      <c r="E208" s="113"/>
      <c r="F208" s="113"/>
      <c r="G208" s="113"/>
      <c r="H208" s="143" t="s">
        <v>171</v>
      </c>
      <c r="I208" s="101"/>
      <c r="J208" s="102"/>
      <c r="K208" s="101"/>
      <c r="L208" s="101">
        <v>95084</v>
      </c>
      <c r="M208" s="101"/>
      <c r="N208" s="6"/>
      <c r="O208" s="6"/>
    </row>
    <row r="209" spans="1:15" s="48" customFormat="1" ht="18" customHeight="1" x14ac:dyDescent="0.25">
      <c r="A209" s="926" t="s">
        <v>1388</v>
      </c>
      <c r="B209" s="136" t="s">
        <v>163</v>
      </c>
      <c r="C209" s="143" t="s">
        <v>171</v>
      </c>
      <c r="D209" s="44" t="s">
        <v>213</v>
      </c>
      <c r="E209" s="113"/>
      <c r="F209" s="113"/>
      <c r="G209" s="113"/>
      <c r="H209" s="143" t="s">
        <v>171</v>
      </c>
      <c r="I209" s="101"/>
      <c r="J209" s="102"/>
      <c r="K209" s="101"/>
      <c r="L209" s="101">
        <v>113350</v>
      </c>
      <c r="M209" s="101"/>
      <c r="N209" s="6"/>
      <c r="O209" s="6"/>
    </row>
    <row r="210" spans="1:15" s="48" customFormat="1" ht="18" customHeight="1" x14ac:dyDescent="0.25">
      <c r="A210" s="926" t="s">
        <v>1388</v>
      </c>
      <c r="B210" s="136" t="s">
        <v>163</v>
      </c>
      <c r="C210" s="143" t="s">
        <v>171</v>
      </c>
      <c r="D210" s="44" t="s">
        <v>170</v>
      </c>
      <c r="E210" s="125"/>
      <c r="F210" s="125"/>
      <c r="G210" s="125"/>
      <c r="H210" s="143" t="s">
        <v>171</v>
      </c>
      <c r="I210" s="101"/>
      <c r="J210" s="102"/>
      <c r="K210" s="101"/>
      <c r="L210" s="102">
        <v>417885</v>
      </c>
      <c r="M210" s="101"/>
      <c r="N210" s="6"/>
      <c r="O210" s="6"/>
    </row>
    <row r="211" spans="1:15" s="48" customFormat="1" ht="18" customHeight="1" x14ac:dyDescent="0.25">
      <c r="A211" s="926" t="s">
        <v>1388</v>
      </c>
      <c r="B211" s="136" t="s">
        <v>163</v>
      </c>
      <c r="C211" s="143" t="s">
        <v>171</v>
      </c>
      <c r="D211" s="44" t="s">
        <v>248</v>
      </c>
      <c r="E211" s="113"/>
      <c r="F211" s="113"/>
      <c r="G211" s="113"/>
      <c r="H211" s="143" t="s">
        <v>171</v>
      </c>
      <c r="I211" s="101"/>
      <c r="J211" s="102"/>
      <c r="K211" s="101"/>
      <c r="L211" s="102">
        <v>574810</v>
      </c>
      <c r="M211" s="101"/>
      <c r="N211" s="6"/>
      <c r="O211" s="6"/>
    </row>
    <row r="212" spans="1:15" s="48" customFormat="1" ht="18" customHeight="1" x14ac:dyDescent="0.25">
      <c r="A212" s="926" t="s">
        <v>1388</v>
      </c>
      <c r="B212" s="136" t="s">
        <v>163</v>
      </c>
      <c r="C212" s="143" t="s">
        <v>171</v>
      </c>
      <c r="D212" s="44" t="s">
        <v>213</v>
      </c>
      <c r="E212" s="113"/>
      <c r="F212" s="113"/>
      <c r="G212" s="113"/>
      <c r="H212" s="143" t="s">
        <v>171</v>
      </c>
      <c r="I212" s="101"/>
      <c r="J212" s="102"/>
      <c r="K212" s="101"/>
      <c r="L212" s="101">
        <v>216240</v>
      </c>
      <c r="M212" s="101"/>
      <c r="N212" s="6"/>
      <c r="O212" s="6"/>
    </row>
    <row r="213" spans="1:15" s="48" customFormat="1" ht="18" customHeight="1" x14ac:dyDescent="0.25">
      <c r="A213" s="926" t="s">
        <v>1388</v>
      </c>
      <c r="B213" s="136" t="s">
        <v>163</v>
      </c>
      <c r="C213" s="143" t="s">
        <v>171</v>
      </c>
      <c r="D213" s="44" t="s">
        <v>213</v>
      </c>
      <c r="E213" s="125"/>
      <c r="F213" s="125"/>
      <c r="G213" s="125"/>
      <c r="H213" s="143" t="s">
        <v>171</v>
      </c>
      <c r="I213" s="101"/>
      <c r="J213" s="102"/>
      <c r="K213" s="101"/>
      <c r="L213" s="101">
        <v>39017</v>
      </c>
      <c r="M213" s="101"/>
      <c r="N213" s="6"/>
      <c r="O213" s="6"/>
    </row>
    <row r="214" spans="1:15" s="48" customFormat="1" ht="18" customHeight="1" x14ac:dyDescent="0.25">
      <c r="A214" s="926" t="s">
        <v>1388</v>
      </c>
      <c r="B214" s="927" t="s">
        <v>163</v>
      </c>
      <c r="C214" s="716" t="s">
        <v>171</v>
      </c>
      <c r="D214" s="44" t="s">
        <v>170</v>
      </c>
      <c r="E214" s="125"/>
      <c r="F214" s="125"/>
      <c r="G214" s="931"/>
      <c r="H214" s="716" t="s">
        <v>171</v>
      </c>
      <c r="I214" s="101"/>
      <c r="J214" s="102"/>
      <c r="K214" s="101"/>
      <c r="L214" s="101">
        <v>4031072.2</v>
      </c>
      <c r="M214" s="101"/>
      <c r="N214" s="6"/>
      <c r="O214" s="6"/>
    </row>
    <row r="215" spans="1:15" s="48" customFormat="1" ht="18" customHeight="1" x14ac:dyDescent="0.25">
      <c r="A215" s="926" t="s">
        <v>1388</v>
      </c>
      <c r="B215" s="927" t="s">
        <v>163</v>
      </c>
      <c r="C215" s="716" t="s">
        <v>171</v>
      </c>
      <c r="D215" s="44" t="s">
        <v>213</v>
      </c>
      <c r="E215" s="125"/>
      <c r="F215" s="125"/>
      <c r="G215" s="931"/>
      <c r="H215" s="716" t="s">
        <v>171</v>
      </c>
      <c r="I215" s="101"/>
      <c r="J215" s="102"/>
      <c r="K215" s="101"/>
      <c r="L215" s="101">
        <f>200100+300000</f>
        <v>500100</v>
      </c>
      <c r="M215" s="101"/>
      <c r="N215" s="6"/>
      <c r="O215" s="6"/>
    </row>
    <row r="216" spans="1:15" s="48" customFormat="1" ht="18" customHeight="1" x14ac:dyDescent="0.25">
      <c r="A216" s="926" t="s">
        <v>1388</v>
      </c>
      <c r="B216" s="927" t="s">
        <v>163</v>
      </c>
      <c r="C216" s="716" t="s">
        <v>171</v>
      </c>
      <c r="D216" s="936" t="s">
        <v>170</v>
      </c>
      <c r="E216" s="931"/>
      <c r="F216" s="931"/>
      <c r="G216" s="931"/>
      <c r="H216" s="716" t="s">
        <v>171</v>
      </c>
      <c r="I216" s="101"/>
      <c r="J216" s="102"/>
      <c r="K216" s="101"/>
      <c r="L216" s="101">
        <f>103264+500000</f>
        <v>603264</v>
      </c>
      <c r="M216" s="101">
        <f>SUM(L208:L216)</f>
        <v>6590822.2000000002</v>
      </c>
      <c r="N216" s="6"/>
      <c r="O216" s="6"/>
    </row>
    <row r="217" spans="1:15" s="48" customFormat="1" ht="18" customHeight="1" x14ac:dyDescent="0.25">
      <c r="A217" s="926" t="s">
        <v>1388</v>
      </c>
      <c r="B217" s="927" t="s">
        <v>163</v>
      </c>
      <c r="C217" s="143" t="s">
        <v>383</v>
      </c>
      <c r="D217" s="44" t="s">
        <v>382</v>
      </c>
      <c r="E217" s="113"/>
      <c r="F217" s="113"/>
      <c r="G217" s="113"/>
      <c r="H217" s="143" t="s">
        <v>383</v>
      </c>
      <c r="I217" s="101"/>
      <c r="J217" s="102">
        <v>60000</v>
      </c>
      <c r="K217" s="101"/>
      <c r="L217" s="101">
        <v>35000</v>
      </c>
      <c r="M217" s="101"/>
      <c r="N217" s="6"/>
      <c r="O217" s="6"/>
    </row>
    <row r="218" spans="1:15" s="48" customFormat="1" ht="18" customHeight="1" x14ac:dyDescent="0.25">
      <c r="A218" s="926" t="s">
        <v>1388</v>
      </c>
      <c r="B218" s="927" t="s">
        <v>163</v>
      </c>
      <c r="C218" s="716" t="s">
        <v>385</v>
      </c>
      <c r="D218" s="44" t="s">
        <v>384</v>
      </c>
      <c r="E218" s="125"/>
      <c r="F218" s="125"/>
      <c r="G218" s="125"/>
      <c r="H218" s="716" t="s">
        <v>385</v>
      </c>
      <c r="I218" s="101">
        <v>1246510.8</v>
      </c>
      <c r="J218" s="102">
        <v>1500000</v>
      </c>
      <c r="K218" s="101">
        <v>700334.34</v>
      </c>
      <c r="L218" s="101">
        <v>1500000</v>
      </c>
      <c r="M218" s="101"/>
      <c r="N218" s="6"/>
      <c r="O218" s="6"/>
    </row>
    <row r="219" spans="1:15" s="48" customFormat="1" ht="18" customHeight="1" x14ac:dyDescent="0.25">
      <c r="A219" s="926" t="s">
        <v>1388</v>
      </c>
      <c r="B219" s="927" t="s">
        <v>163</v>
      </c>
      <c r="C219" s="131" t="s">
        <v>177</v>
      </c>
      <c r="D219" s="245" t="s">
        <v>176</v>
      </c>
      <c r="E219" s="97"/>
      <c r="F219" s="97"/>
      <c r="G219" s="97"/>
      <c r="H219" s="131" t="s">
        <v>177</v>
      </c>
      <c r="I219" s="101">
        <v>0</v>
      </c>
      <c r="J219" s="102">
        <v>4500</v>
      </c>
      <c r="K219" s="101"/>
      <c r="L219" s="101">
        <v>4500</v>
      </c>
      <c r="M219" s="101"/>
      <c r="N219" s="6"/>
      <c r="O219" s="6"/>
    </row>
    <row r="220" spans="1:15" s="48" customFormat="1" ht="18" customHeight="1" x14ac:dyDescent="0.25">
      <c r="A220" s="926" t="s">
        <v>1388</v>
      </c>
      <c r="B220" s="927" t="s">
        <v>163</v>
      </c>
      <c r="C220" s="133" t="s">
        <v>177</v>
      </c>
      <c r="D220" s="245" t="s">
        <v>176</v>
      </c>
      <c r="E220" s="97"/>
      <c r="F220" s="97"/>
      <c r="G220" s="97"/>
      <c r="H220" s="133" t="s">
        <v>177</v>
      </c>
      <c r="I220" s="105">
        <v>5400</v>
      </c>
      <c r="J220" s="106">
        <v>5900</v>
      </c>
      <c r="K220" s="105">
        <v>5650</v>
      </c>
      <c r="L220" s="105">
        <v>7800</v>
      </c>
      <c r="M220" s="105">
        <f>SUM(L219:L220)</f>
        <v>12300</v>
      </c>
      <c r="N220" s="6"/>
      <c r="O220" s="6"/>
    </row>
    <row r="221" spans="1:15" s="48" customFormat="1" ht="18" customHeight="1" x14ac:dyDescent="0.25">
      <c r="A221" s="926" t="s">
        <v>1388</v>
      </c>
      <c r="B221" s="927" t="s">
        <v>163</v>
      </c>
      <c r="C221" s="131" t="s">
        <v>179</v>
      </c>
      <c r="D221" s="44" t="s">
        <v>178</v>
      </c>
      <c r="E221" s="113"/>
      <c r="F221" s="113"/>
      <c r="G221" s="114"/>
      <c r="H221" s="131" t="s">
        <v>179</v>
      </c>
      <c r="I221" s="101"/>
      <c r="J221" s="102"/>
      <c r="K221" s="101"/>
      <c r="L221" s="101">
        <v>30000</v>
      </c>
      <c r="M221" s="101"/>
      <c r="N221" s="6"/>
      <c r="O221" s="6"/>
    </row>
    <row r="222" spans="1:15" s="48" customFormat="1" ht="18" customHeight="1" x14ac:dyDescent="0.25">
      <c r="A222" s="926" t="s">
        <v>1388</v>
      </c>
      <c r="B222" s="927" t="s">
        <v>163</v>
      </c>
      <c r="C222" s="131" t="s">
        <v>179</v>
      </c>
      <c r="D222" s="44" t="s">
        <v>178</v>
      </c>
      <c r="E222" s="125"/>
      <c r="F222" s="125"/>
      <c r="G222" s="134"/>
      <c r="H222" s="131" t="s">
        <v>179</v>
      </c>
      <c r="I222" s="101"/>
      <c r="J222" s="111"/>
      <c r="K222" s="112"/>
      <c r="L222" s="102">
        <v>84000</v>
      </c>
      <c r="M222" s="112"/>
      <c r="N222" s="6"/>
      <c r="O222" s="6"/>
    </row>
    <row r="223" spans="1:15" s="48" customFormat="1" ht="18" customHeight="1" x14ac:dyDescent="0.25">
      <c r="A223" s="926" t="s">
        <v>1388</v>
      </c>
      <c r="B223" s="927" t="s">
        <v>163</v>
      </c>
      <c r="C223" s="131" t="s">
        <v>179</v>
      </c>
      <c r="D223" s="44" t="s">
        <v>178</v>
      </c>
      <c r="E223" s="113"/>
      <c r="F223" s="113"/>
      <c r="G223" s="114"/>
      <c r="H223" s="131" t="s">
        <v>179</v>
      </c>
      <c r="I223" s="101"/>
      <c r="J223" s="111"/>
      <c r="K223" s="112"/>
      <c r="L223" s="101">
        <v>42000</v>
      </c>
      <c r="M223" s="112"/>
      <c r="N223" s="6"/>
      <c r="O223" s="6"/>
    </row>
    <row r="224" spans="1:15" s="48" customFormat="1" ht="18" customHeight="1" x14ac:dyDescent="0.25">
      <c r="A224" s="926" t="s">
        <v>1388</v>
      </c>
      <c r="B224" s="927" t="s">
        <v>163</v>
      </c>
      <c r="C224" s="131" t="s">
        <v>179</v>
      </c>
      <c r="D224" s="44" t="s">
        <v>178</v>
      </c>
      <c r="E224" s="113"/>
      <c r="F224" s="113"/>
      <c r="G224" s="114"/>
      <c r="H224" s="131" t="s">
        <v>179</v>
      </c>
      <c r="I224" s="101"/>
      <c r="J224" s="111"/>
      <c r="K224" s="112"/>
      <c r="L224" s="101">
        <v>42000</v>
      </c>
      <c r="M224" s="112"/>
      <c r="N224" s="6"/>
      <c r="O224" s="6"/>
    </row>
    <row r="225" spans="1:17" s="48" customFormat="1" ht="18" customHeight="1" x14ac:dyDescent="0.25">
      <c r="A225" s="926" t="s">
        <v>1388</v>
      </c>
      <c r="B225" s="927" t="s">
        <v>163</v>
      </c>
      <c r="C225" s="133" t="s">
        <v>179</v>
      </c>
      <c r="D225" s="44" t="s">
        <v>178</v>
      </c>
      <c r="E225" s="125"/>
      <c r="F225" s="125"/>
      <c r="G225" s="134"/>
      <c r="H225" s="133" t="s">
        <v>179</v>
      </c>
      <c r="I225" s="105"/>
      <c r="J225" s="117"/>
      <c r="K225" s="118"/>
      <c r="L225" s="105">
        <v>42000</v>
      </c>
      <c r="M225" s="118"/>
      <c r="N225" s="6"/>
      <c r="O225" s="6">
        <f>210024-48000</f>
        <v>162024</v>
      </c>
      <c r="P225" s="115"/>
      <c r="Q225" s="115"/>
    </row>
    <row r="226" spans="1:17" s="146" customFormat="1" ht="18" customHeight="1" x14ac:dyDescent="0.25">
      <c r="A226" s="926" t="s">
        <v>1388</v>
      </c>
      <c r="B226" s="927" t="s">
        <v>163</v>
      </c>
      <c r="C226" s="100" t="s">
        <v>179</v>
      </c>
      <c r="D226" s="44" t="s">
        <v>178</v>
      </c>
      <c r="E226" s="125"/>
      <c r="F226" s="125"/>
      <c r="G226" s="125"/>
      <c r="H226" s="100"/>
      <c r="I226" s="101"/>
      <c r="J226" s="102"/>
      <c r="K226" s="101"/>
      <c r="L226" s="121">
        <v>30000</v>
      </c>
      <c r="M226" s="101">
        <f>SUM(L221:L226)</f>
        <v>270000</v>
      </c>
      <c r="N226" s="10"/>
      <c r="O226" s="10"/>
      <c r="P226"/>
      <c r="Q226"/>
    </row>
    <row r="227" spans="1:17" s="48" customFormat="1" ht="18" customHeight="1" x14ac:dyDescent="0.25">
      <c r="A227" s="926" t="s">
        <v>1388</v>
      </c>
      <c r="B227" s="927" t="s">
        <v>163</v>
      </c>
      <c r="C227" s="221" t="s">
        <v>183</v>
      </c>
      <c r="D227" s="44" t="s">
        <v>182</v>
      </c>
      <c r="E227" s="113"/>
      <c r="F227" s="113"/>
      <c r="G227" s="114"/>
      <c r="H227" s="131" t="s">
        <v>179</v>
      </c>
      <c r="I227" s="101">
        <v>36525.35</v>
      </c>
      <c r="J227" s="111">
        <v>54000</v>
      </c>
      <c r="K227" s="112"/>
      <c r="L227" s="101">
        <v>54000</v>
      </c>
      <c r="M227" s="112"/>
      <c r="N227" s="6"/>
      <c r="O227" s="6"/>
    </row>
    <row r="228" spans="1:17" s="48" customFormat="1" ht="18" customHeight="1" x14ac:dyDescent="0.25">
      <c r="A228" s="926" t="s">
        <v>1388</v>
      </c>
      <c r="B228" s="927" t="s">
        <v>163</v>
      </c>
      <c r="C228" s="221" t="s">
        <v>183</v>
      </c>
      <c r="D228" s="44" t="s">
        <v>567</v>
      </c>
      <c r="E228" s="125"/>
      <c r="F228" s="125"/>
      <c r="G228" s="134"/>
      <c r="H228" s="131" t="s">
        <v>179</v>
      </c>
      <c r="I228" s="101"/>
      <c r="J228" s="111">
        <v>30000</v>
      </c>
      <c r="K228" s="112">
        <v>13194</v>
      </c>
      <c r="L228" s="102">
        <v>60000</v>
      </c>
      <c r="M228" s="112"/>
      <c r="N228" s="6"/>
      <c r="O228" s="6"/>
    </row>
    <row r="229" spans="1:17" s="48" customFormat="1" ht="18" customHeight="1" x14ac:dyDescent="0.25">
      <c r="A229" s="926" t="s">
        <v>1388</v>
      </c>
      <c r="B229" s="927" t="s">
        <v>163</v>
      </c>
      <c r="C229" s="221" t="s">
        <v>183</v>
      </c>
      <c r="D229" s="44" t="s">
        <v>182</v>
      </c>
      <c r="E229" s="114"/>
      <c r="F229" s="113"/>
      <c r="G229" s="113"/>
      <c r="H229" s="221" t="s">
        <v>183</v>
      </c>
      <c r="I229" s="105">
        <v>22246.400000000001</v>
      </c>
      <c r="J229" s="106">
        <v>30000</v>
      </c>
      <c r="K229" s="141">
        <v>14156.8</v>
      </c>
      <c r="L229" s="105">
        <v>30000</v>
      </c>
      <c r="M229" s="140"/>
      <c r="N229" s="6"/>
      <c r="O229" s="6"/>
      <c r="P229" s="115"/>
      <c r="Q229" s="115"/>
    </row>
    <row r="230" spans="1:17" s="48" customFormat="1" ht="18" customHeight="1" x14ac:dyDescent="0.25">
      <c r="A230" s="926" t="s">
        <v>1388</v>
      </c>
      <c r="B230" s="927" t="s">
        <v>163</v>
      </c>
      <c r="C230" s="100" t="s">
        <v>183</v>
      </c>
      <c r="D230" s="245" t="s">
        <v>182</v>
      </c>
      <c r="E230" s="97"/>
      <c r="F230" s="97"/>
      <c r="G230" s="97"/>
      <c r="H230" s="100" t="s">
        <v>183</v>
      </c>
      <c r="I230" s="101"/>
      <c r="J230" s="102">
        <v>42000</v>
      </c>
      <c r="K230" s="101"/>
      <c r="L230" s="101">
        <v>42000</v>
      </c>
      <c r="M230" s="101"/>
      <c r="N230" s="6"/>
      <c r="O230" s="6"/>
    </row>
    <row r="231" spans="1:17" s="48" customFormat="1" ht="18" customHeight="1" x14ac:dyDescent="0.25">
      <c r="A231" s="926" t="s">
        <v>1388</v>
      </c>
      <c r="B231" s="927" t="s">
        <v>163</v>
      </c>
      <c r="C231" s="100" t="s">
        <v>183</v>
      </c>
      <c r="D231" s="245" t="s">
        <v>182</v>
      </c>
      <c r="E231" s="97"/>
      <c r="F231" s="97"/>
      <c r="G231" s="97"/>
      <c r="H231" s="100" t="s">
        <v>183</v>
      </c>
      <c r="I231" s="101">
        <v>0</v>
      </c>
      <c r="J231" s="102">
        <v>42000</v>
      </c>
      <c r="K231" s="101"/>
      <c r="L231" s="101">
        <v>42000</v>
      </c>
      <c r="M231" s="101">
        <f>SUM(L227:L231)</f>
        <v>228000</v>
      </c>
      <c r="N231" s="6"/>
      <c r="O231" s="6"/>
    </row>
    <row r="232" spans="1:17" s="48" customFormat="1" ht="18" customHeight="1" x14ac:dyDescent="0.25">
      <c r="A232" s="926" t="s">
        <v>1388</v>
      </c>
      <c r="B232" s="927" t="s">
        <v>163</v>
      </c>
      <c r="C232" s="100" t="s">
        <v>308</v>
      </c>
      <c r="D232" s="44" t="s">
        <v>1266</v>
      </c>
      <c r="E232" s="134"/>
      <c r="F232" s="97"/>
      <c r="G232" s="97"/>
      <c r="H232" s="100" t="s">
        <v>308</v>
      </c>
      <c r="I232" s="101">
        <v>337991</v>
      </c>
      <c r="J232" s="102">
        <v>2000000</v>
      </c>
      <c r="K232" s="101">
        <v>231060</v>
      </c>
      <c r="L232" s="101">
        <v>1000000</v>
      </c>
      <c r="M232" s="101"/>
      <c r="N232" s="6"/>
      <c r="O232" s="6"/>
    </row>
    <row r="233" spans="1:17" s="48" customFormat="1" ht="18" customHeight="1" x14ac:dyDescent="0.25">
      <c r="A233" s="926" t="s">
        <v>1388</v>
      </c>
      <c r="B233" s="927" t="s">
        <v>163</v>
      </c>
      <c r="C233" s="100" t="s">
        <v>308</v>
      </c>
      <c r="D233" s="245" t="s">
        <v>1287</v>
      </c>
      <c r="E233" s="97"/>
      <c r="F233" s="97"/>
      <c r="G233" s="97"/>
      <c r="H233" s="100" t="s">
        <v>308</v>
      </c>
      <c r="I233" s="101">
        <v>0</v>
      </c>
      <c r="J233" s="102">
        <v>150000</v>
      </c>
      <c r="K233" s="101"/>
      <c r="L233" s="101">
        <v>800000</v>
      </c>
      <c r="M233" s="101"/>
      <c r="N233" s="6"/>
      <c r="O233" s="6"/>
    </row>
    <row r="234" spans="1:17" s="48" customFormat="1" ht="18" customHeight="1" x14ac:dyDescent="0.25">
      <c r="A234" s="926" t="s">
        <v>1388</v>
      </c>
      <c r="B234" s="229" t="s">
        <v>163</v>
      </c>
      <c r="C234" s="131" t="s">
        <v>187</v>
      </c>
      <c r="D234" s="937" t="s">
        <v>235</v>
      </c>
      <c r="E234" s="929"/>
      <c r="F234" s="929"/>
      <c r="G234" s="929"/>
      <c r="H234" s="131" t="s">
        <v>187</v>
      </c>
      <c r="I234" s="101"/>
      <c r="J234" s="102">
        <v>100000</v>
      </c>
      <c r="K234" s="101"/>
      <c r="L234" s="101">
        <v>40000</v>
      </c>
      <c r="M234" s="101"/>
      <c r="N234" s="6"/>
      <c r="O234" s="6"/>
    </row>
    <row r="235" spans="1:17" s="48" customFormat="1" ht="18" customHeight="1" x14ac:dyDescent="0.25">
      <c r="A235" s="926" t="s">
        <v>1388</v>
      </c>
      <c r="B235" s="229" t="s">
        <v>163</v>
      </c>
      <c r="C235" s="131" t="s">
        <v>187</v>
      </c>
      <c r="D235" s="245" t="s">
        <v>186</v>
      </c>
      <c r="E235" s="97"/>
      <c r="F235" s="97"/>
      <c r="G235" s="97"/>
      <c r="H235" s="131" t="s">
        <v>187</v>
      </c>
      <c r="I235" s="101">
        <v>13000</v>
      </c>
      <c r="J235" s="102">
        <v>155000</v>
      </c>
      <c r="K235" s="101"/>
      <c r="L235" s="101">
        <v>185000</v>
      </c>
      <c r="M235" s="101"/>
      <c r="N235" s="6"/>
      <c r="O235" s="6"/>
    </row>
    <row r="236" spans="1:17" s="48" customFormat="1" ht="18" customHeight="1" x14ac:dyDescent="0.25">
      <c r="A236" s="926" t="s">
        <v>1388</v>
      </c>
      <c r="B236" s="229" t="s">
        <v>163</v>
      </c>
      <c r="C236" s="100" t="s">
        <v>187</v>
      </c>
      <c r="D236" s="245" t="s">
        <v>186</v>
      </c>
      <c r="E236" s="97"/>
      <c r="F236" s="97"/>
      <c r="G236" s="97"/>
      <c r="H236" s="100" t="s">
        <v>187</v>
      </c>
      <c r="I236" s="101">
        <v>84240</v>
      </c>
      <c r="J236" s="102">
        <v>100000</v>
      </c>
      <c r="K236" s="101"/>
      <c r="L236" s="101">
        <v>200000</v>
      </c>
      <c r="M236" s="101"/>
      <c r="N236" s="6"/>
      <c r="O236" s="6"/>
    </row>
    <row r="237" spans="1:17" s="48" customFormat="1" ht="18" customHeight="1" x14ac:dyDescent="0.25">
      <c r="A237" s="926" t="s">
        <v>1388</v>
      </c>
      <c r="B237" s="229" t="s">
        <v>163</v>
      </c>
      <c r="C237" s="131" t="s">
        <v>187</v>
      </c>
      <c r="D237" s="245" t="s">
        <v>186</v>
      </c>
      <c r="E237" s="116"/>
      <c r="F237" s="116"/>
      <c r="G237" s="116"/>
      <c r="H237" s="131"/>
      <c r="I237" s="101"/>
      <c r="J237" s="102"/>
      <c r="K237" s="101"/>
      <c r="L237" s="101">
        <v>10000</v>
      </c>
      <c r="M237" s="101"/>
      <c r="N237" s="6"/>
      <c r="O237" s="6"/>
    </row>
    <row r="238" spans="1:17" s="48" customFormat="1" ht="18" customHeight="1" x14ac:dyDescent="0.25">
      <c r="A238" s="926" t="s">
        <v>1388</v>
      </c>
      <c r="B238" s="229" t="s">
        <v>163</v>
      </c>
      <c r="C238" s="131" t="s">
        <v>187</v>
      </c>
      <c r="D238" s="245" t="s">
        <v>1519</v>
      </c>
      <c r="E238" s="116"/>
      <c r="F238" s="116"/>
      <c r="G238" s="116"/>
      <c r="H238" s="131"/>
      <c r="I238" s="101"/>
      <c r="J238" s="102"/>
      <c r="K238" s="101"/>
      <c r="L238" s="101">
        <v>50000</v>
      </c>
      <c r="M238" s="101"/>
      <c r="N238" s="6"/>
      <c r="O238" s="6"/>
    </row>
    <row r="239" spans="1:17" s="48" customFormat="1" ht="18" customHeight="1" x14ac:dyDescent="0.25">
      <c r="A239" s="926" t="s">
        <v>1388</v>
      </c>
      <c r="B239" s="229" t="s">
        <v>163</v>
      </c>
      <c r="C239" s="131" t="s">
        <v>187</v>
      </c>
      <c r="D239" s="245" t="s">
        <v>186</v>
      </c>
      <c r="E239" s="97"/>
      <c r="F239" s="97"/>
      <c r="G239" s="232"/>
      <c r="H239" s="131"/>
      <c r="I239" s="101"/>
      <c r="J239" s="102"/>
      <c r="K239" s="101"/>
      <c r="L239" s="101">
        <v>80000</v>
      </c>
      <c r="M239" s="101"/>
      <c r="N239" s="6"/>
      <c r="O239" s="6"/>
    </row>
    <row r="240" spans="1:17" s="48" customFormat="1" ht="18" customHeight="1" x14ac:dyDescent="0.25">
      <c r="A240" s="926" t="s">
        <v>1388</v>
      </c>
      <c r="B240" s="229" t="s">
        <v>163</v>
      </c>
      <c r="C240" s="131" t="s">
        <v>187</v>
      </c>
      <c r="D240" s="44" t="s">
        <v>1519</v>
      </c>
      <c r="E240" s="125"/>
      <c r="F240" s="125"/>
      <c r="G240" s="125"/>
      <c r="H240" s="100"/>
      <c r="I240" s="101"/>
      <c r="J240" s="102"/>
      <c r="K240" s="101"/>
      <c r="L240" s="101">
        <v>90000</v>
      </c>
      <c r="M240" s="101"/>
      <c r="N240" s="6"/>
      <c r="O240" s="6"/>
    </row>
    <row r="241" spans="1:17" s="48" customFormat="1" ht="18" customHeight="1" x14ac:dyDescent="0.25">
      <c r="A241" s="926" t="s">
        <v>1388</v>
      </c>
      <c r="B241" s="229" t="s">
        <v>163</v>
      </c>
      <c r="C241" s="131" t="s">
        <v>187</v>
      </c>
      <c r="D241" s="44" t="s">
        <v>186</v>
      </c>
      <c r="E241" s="125"/>
      <c r="F241" s="125"/>
      <c r="G241" s="125"/>
      <c r="H241" s="100"/>
      <c r="I241" s="101"/>
      <c r="J241" s="102"/>
      <c r="K241" s="101"/>
      <c r="L241" s="101">
        <v>20000</v>
      </c>
      <c r="M241" s="101">
        <f>SUM(L234:L241)</f>
        <v>675000</v>
      </c>
      <c r="N241" s="6"/>
      <c r="O241" s="6"/>
    </row>
    <row r="242" spans="1:17" s="48" customFormat="1" ht="18" customHeight="1" x14ac:dyDescent="0.25">
      <c r="A242" s="926" t="s">
        <v>1388</v>
      </c>
      <c r="B242" s="229" t="s">
        <v>163</v>
      </c>
      <c r="C242" s="131" t="s">
        <v>189</v>
      </c>
      <c r="D242" s="245" t="s">
        <v>1518</v>
      </c>
      <c r="E242" s="97"/>
      <c r="F242" s="97"/>
      <c r="G242" s="97"/>
      <c r="H242" s="131" t="s">
        <v>189</v>
      </c>
      <c r="I242" s="101"/>
      <c r="J242" s="102">
        <v>0</v>
      </c>
      <c r="K242" s="101"/>
      <c r="L242" s="101">
        <v>100000</v>
      </c>
      <c r="M242" s="101"/>
      <c r="N242" s="6"/>
      <c r="O242" s="6"/>
    </row>
    <row r="243" spans="1:17" s="48" customFormat="1" ht="18" customHeight="1" x14ac:dyDescent="0.25">
      <c r="A243" s="926" t="s">
        <v>1388</v>
      </c>
      <c r="B243" s="212" t="s">
        <v>163</v>
      </c>
      <c r="C243" s="131" t="s">
        <v>189</v>
      </c>
      <c r="D243" s="245" t="s">
        <v>393</v>
      </c>
      <c r="E243" s="116"/>
      <c r="F243" s="116"/>
      <c r="G243" s="116"/>
      <c r="H243" s="131" t="s">
        <v>189</v>
      </c>
      <c r="I243" s="101"/>
      <c r="J243" s="102">
        <v>10000</v>
      </c>
      <c r="K243" s="101"/>
      <c r="L243" s="101">
        <v>10000</v>
      </c>
      <c r="M243" s="101"/>
      <c r="N243" s="6"/>
      <c r="O243" s="6"/>
    </row>
    <row r="244" spans="1:17" s="48" customFormat="1" ht="18" customHeight="1" x14ac:dyDescent="0.25">
      <c r="A244" s="926" t="s">
        <v>1388</v>
      </c>
      <c r="B244" s="212" t="s">
        <v>163</v>
      </c>
      <c r="C244" s="131" t="s">
        <v>189</v>
      </c>
      <c r="D244" s="245" t="s">
        <v>557</v>
      </c>
      <c r="E244" s="116"/>
      <c r="F244" s="116"/>
      <c r="G244" s="116"/>
      <c r="H244" s="131" t="s">
        <v>189</v>
      </c>
      <c r="I244" s="101">
        <v>536047.02</v>
      </c>
      <c r="J244" s="102">
        <v>5315000</v>
      </c>
      <c r="K244" s="101">
        <v>168993</v>
      </c>
      <c r="L244" s="101">
        <v>5000000</v>
      </c>
      <c r="M244" s="101"/>
      <c r="N244" s="6"/>
      <c r="O244" s="6"/>
    </row>
    <row r="245" spans="1:17" s="48" customFormat="1" ht="18" customHeight="1" x14ac:dyDescent="0.25">
      <c r="A245" s="926" t="s">
        <v>1388</v>
      </c>
      <c r="B245" s="212" t="s">
        <v>163</v>
      </c>
      <c r="C245" s="104" t="s">
        <v>189</v>
      </c>
      <c r="D245" s="44" t="s">
        <v>1518</v>
      </c>
      <c r="E245" s="125"/>
      <c r="F245" s="931"/>
      <c r="G245" s="932"/>
      <c r="H245" s="104" t="s">
        <v>189</v>
      </c>
      <c r="I245" s="105"/>
      <c r="J245" s="106">
        <v>234000</v>
      </c>
      <c r="K245" s="105"/>
      <c r="L245" s="101">
        <v>200000</v>
      </c>
      <c r="M245" s="101"/>
      <c r="N245" s="6"/>
      <c r="O245" s="6"/>
    </row>
    <row r="246" spans="1:17" s="48" customFormat="1" ht="18" customHeight="1" x14ac:dyDescent="0.25">
      <c r="A246" s="926" t="s">
        <v>1388</v>
      </c>
      <c r="B246" s="212" t="s">
        <v>163</v>
      </c>
      <c r="C246" s="100" t="s">
        <v>189</v>
      </c>
      <c r="D246" s="44" t="s">
        <v>1518</v>
      </c>
      <c r="E246" s="125"/>
      <c r="F246" s="125"/>
      <c r="G246" s="134"/>
      <c r="H246" s="100"/>
      <c r="I246" s="101"/>
      <c r="J246" s="111"/>
      <c r="K246" s="112"/>
      <c r="L246" s="101">
        <v>40000</v>
      </c>
      <c r="M246" s="112">
        <f>SUM(L242:L246)</f>
        <v>5350000</v>
      </c>
      <c r="N246" s="6"/>
      <c r="O246" s="6"/>
    </row>
    <row r="247" spans="1:17" s="48" customFormat="1" ht="18" customHeight="1" x14ac:dyDescent="0.25">
      <c r="A247" s="926" t="s">
        <v>1388</v>
      </c>
      <c r="B247" s="212" t="s">
        <v>163</v>
      </c>
      <c r="C247" s="176" t="s">
        <v>282</v>
      </c>
      <c r="D247" s="180" t="s">
        <v>281</v>
      </c>
      <c r="E247" s="174"/>
      <c r="F247" s="174"/>
      <c r="G247" s="175"/>
      <c r="H247" s="176" t="s">
        <v>282</v>
      </c>
      <c r="I247" s="101">
        <v>4200</v>
      </c>
      <c r="J247" s="111">
        <v>15000</v>
      </c>
      <c r="K247" s="112"/>
      <c r="L247" s="101">
        <v>15000</v>
      </c>
      <c r="M247" s="112"/>
      <c r="N247" s="6"/>
      <c r="O247" s="6"/>
    </row>
    <row r="248" spans="1:17" s="48" customFormat="1" ht="17.100000000000001" customHeight="1" x14ac:dyDescent="0.25">
      <c r="A248" s="926" t="s">
        <v>1388</v>
      </c>
      <c r="B248" s="212" t="s">
        <v>163</v>
      </c>
      <c r="C248" s="131" t="s">
        <v>237</v>
      </c>
      <c r="D248" s="44" t="s">
        <v>236</v>
      </c>
      <c r="E248" s="113"/>
      <c r="F248" s="113"/>
      <c r="G248" s="114"/>
      <c r="H248" s="131" t="s">
        <v>237</v>
      </c>
      <c r="I248" s="101">
        <v>0</v>
      </c>
      <c r="J248" s="111">
        <v>5000</v>
      </c>
      <c r="K248" s="112"/>
      <c r="L248" s="101">
        <v>5000</v>
      </c>
      <c r="M248" s="112"/>
      <c r="N248" s="6"/>
      <c r="O248" s="6"/>
      <c r="P248" s="115"/>
      <c r="Q248" s="115"/>
    </row>
    <row r="249" spans="1:17" s="48" customFormat="1" ht="18" customHeight="1" x14ac:dyDescent="0.25">
      <c r="A249" s="926" t="s">
        <v>1388</v>
      </c>
      <c r="B249" s="212" t="s">
        <v>163</v>
      </c>
      <c r="C249" s="131" t="s">
        <v>237</v>
      </c>
      <c r="D249" s="44" t="s">
        <v>457</v>
      </c>
      <c r="E249" s="113"/>
      <c r="F249" s="113"/>
      <c r="G249" s="114"/>
      <c r="H249" s="131" t="s">
        <v>237</v>
      </c>
      <c r="I249" s="101">
        <v>0</v>
      </c>
      <c r="J249" s="111">
        <v>7000</v>
      </c>
      <c r="K249" s="112"/>
      <c r="L249" s="101">
        <v>7000</v>
      </c>
      <c r="M249" s="112">
        <f>SUM(L248:L249)</f>
        <v>12000</v>
      </c>
      <c r="N249" s="6"/>
      <c r="O249" s="6"/>
    </row>
    <row r="250" spans="1:17" s="48" customFormat="1" ht="18" customHeight="1" x14ac:dyDescent="0.25">
      <c r="A250" s="926" t="s">
        <v>1388</v>
      </c>
      <c r="B250" s="212" t="s">
        <v>163</v>
      </c>
      <c r="C250" s="131" t="s">
        <v>199</v>
      </c>
      <c r="D250" s="44" t="s">
        <v>198</v>
      </c>
      <c r="E250" s="113"/>
      <c r="F250" s="113"/>
      <c r="G250" s="114"/>
      <c r="H250" s="131" t="s">
        <v>199</v>
      </c>
      <c r="I250" s="101">
        <v>264243.05</v>
      </c>
      <c r="J250" s="111">
        <v>731035.68</v>
      </c>
      <c r="K250" s="112">
        <v>163423.59</v>
      </c>
      <c r="L250" s="102">
        <v>420000</v>
      </c>
      <c r="M250" s="112"/>
      <c r="N250" s="6"/>
      <c r="O250" s="6"/>
    </row>
    <row r="251" spans="1:17" s="48" customFormat="1" ht="18" customHeight="1" x14ac:dyDescent="0.25">
      <c r="A251" s="926" t="s">
        <v>1388</v>
      </c>
      <c r="B251" s="212" t="s">
        <v>163</v>
      </c>
      <c r="C251" s="176" t="s">
        <v>199</v>
      </c>
      <c r="D251" s="180" t="s">
        <v>198</v>
      </c>
      <c r="E251" s="175"/>
      <c r="F251" s="693"/>
      <c r="G251" s="693"/>
      <c r="H251" s="176" t="s">
        <v>199</v>
      </c>
      <c r="I251" s="101">
        <v>495365.91</v>
      </c>
      <c r="J251" s="111">
        <v>1435820.88</v>
      </c>
      <c r="K251" s="112">
        <v>354493</v>
      </c>
      <c r="L251" s="101">
        <v>1493678.16</v>
      </c>
      <c r="M251" s="112"/>
      <c r="N251" s="6"/>
      <c r="O251" s="6"/>
      <c r="P251" s="115"/>
      <c r="Q251" s="115"/>
    </row>
    <row r="252" spans="1:17" s="48" customFormat="1" ht="18" customHeight="1" x14ac:dyDescent="0.25">
      <c r="A252" s="926" t="s">
        <v>1388</v>
      </c>
      <c r="B252" s="212" t="s">
        <v>163</v>
      </c>
      <c r="C252" s="131" t="s">
        <v>199</v>
      </c>
      <c r="D252" s="44" t="s">
        <v>198</v>
      </c>
      <c r="E252" s="125"/>
      <c r="F252" s="125"/>
      <c r="G252" s="134"/>
      <c r="H252" s="131" t="s">
        <v>199</v>
      </c>
      <c r="I252" s="101">
        <v>371478.43</v>
      </c>
      <c r="J252" s="111">
        <v>1343892.4</v>
      </c>
      <c r="K252" s="112">
        <v>271288.32000000001</v>
      </c>
      <c r="L252" s="101">
        <v>2056360.4</v>
      </c>
      <c r="M252" s="112"/>
      <c r="N252" s="6"/>
      <c r="O252" s="6"/>
    </row>
    <row r="253" spans="1:17" s="48" customFormat="1" ht="18" customHeight="1" x14ac:dyDescent="0.25">
      <c r="A253" s="926" t="s">
        <v>1388</v>
      </c>
      <c r="B253" s="229" t="s">
        <v>163</v>
      </c>
      <c r="C253" s="172" t="s">
        <v>199</v>
      </c>
      <c r="D253" s="44" t="s">
        <v>198</v>
      </c>
      <c r="E253" s="170"/>
      <c r="F253" s="170"/>
      <c r="G253" s="171"/>
      <c r="H253" s="970" t="s">
        <v>199</v>
      </c>
      <c r="I253" s="106">
        <v>0</v>
      </c>
      <c r="J253" s="117">
        <v>160000</v>
      </c>
      <c r="K253" s="117"/>
      <c r="L253" s="106">
        <v>200000</v>
      </c>
      <c r="M253" s="118"/>
      <c r="N253" s="6"/>
      <c r="O253" s="6"/>
      <c r="P253" s="115"/>
      <c r="Q253" s="115"/>
    </row>
    <row r="254" spans="1:17" s="136" customFormat="1" ht="18" customHeight="1" x14ac:dyDescent="0.25">
      <c r="A254" s="926" t="s">
        <v>1388</v>
      </c>
      <c r="B254" s="229" t="s">
        <v>163</v>
      </c>
      <c r="C254" s="131" t="s">
        <v>199</v>
      </c>
      <c r="D254" s="44" t="s">
        <v>198</v>
      </c>
      <c r="E254" s="113"/>
      <c r="F254" s="113"/>
      <c r="G254" s="114"/>
      <c r="H254" s="131" t="s">
        <v>199</v>
      </c>
      <c r="I254" s="101">
        <v>1613193.71</v>
      </c>
      <c r="J254" s="111">
        <v>2989610.88</v>
      </c>
      <c r="K254" s="112">
        <v>580328.39</v>
      </c>
      <c r="L254" s="121">
        <v>2372108.16</v>
      </c>
      <c r="M254" s="112"/>
      <c r="N254" s="6"/>
      <c r="O254" s="6"/>
      <c r="P254" s="115"/>
      <c r="Q254" s="115"/>
    </row>
    <row r="255" spans="1:17" s="136" customFormat="1" ht="18" customHeight="1" x14ac:dyDescent="0.25">
      <c r="A255" s="926" t="s">
        <v>1388</v>
      </c>
      <c r="B255" s="229" t="s">
        <v>163</v>
      </c>
      <c r="C255" s="131" t="s">
        <v>199</v>
      </c>
      <c r="D255" s="44" t="s">
        <v>457</v>
      </c>
      <c r="E255" s="125"/>
      <c r="F255" s="125"/>
      <c r="G255" s="134"/>
      <c r="H255" s="131" t="s">
        <v>199</v>
      </c>
      <c r="I255" s="101"/>
      <c r="J255" s="111">
        <v>7000</v>
      </c>
      <c r="K255" s="112"/>
      <c r="L255" s="101">
        <v>7000</v>
      </c>
      <c r="M255" s="112"/>
      <c r="N255" s="6"/>
      <c r="O255" s="6"/>
      <c r="P255" s="115"/>
      <c r="Q255" s="115"/>
    </row>
    <row r="256" spans="1:17" s="136" customFormat="1" ht="18" customHeight="1" x14ac:dyDescent="0.25">
      <c r="A256" s="926" t="s">
        <v>1388</v>
      </c>
      <c r="B256" s="229" t="s">
        <v>163</v>
      </c>
      <c r="C256" s="131" t="s">
        <v>199</v>
      </c>
      <c r="D256" s="44" t="s">
        <v>198</v>
      </c>
      <c r="E256" s="125"/>
      <c r="F256" s="125"/>
      <c r="G256" s="134"/>
      <c r="H256" s="131" t="s">
        <v>199</v>
      </c>
      <c r="I256" s="101">
        <v>334924.61</v>
      </c>
      <c r="J256" s="111">
        <v>1024539.44</v>
      </c>
      <c r="K256" s="112">
        <v>117623.02</v>
      </c>
      <c r="L256" s="101">
        <v>1151063.6000000001</v>
      </c>
      <c r="M256" s="112"/>
      <c r="N256" s="6"/>
      <c r="O256" s="6"/>
      <c r="P256" s="115"/>
      <c r="Q256" s="115"/>
    </row>
    <row r="257" spans="1:17" s="136" customFormat="1" ht="18" customHeight="1" x14ac:dyDescent="0.25">
      <c r="A257" s="926" t="s">
        <v>1388</v>
      </c>
      <c r="B257" s="229" t="s">
        <v>163</v>
      </c>
      <c r="C257" s="100" t="s">
        <v>199</v>
      </c>
      <c r="D257" s="44" t="s">
        <v>198</v>
      </c>
      <c r="E257" s="125"/>
      <c r="F257" s="125"/>
      <c r="G257" s="134"/>
      <c r="H257" s="100" t="s">
        <v>199</v>
      </c>
      <c r="I257" s="101">
        <v>1302470.25</v>
      </c>
      <c r="J257" s="111">
        <v>1607030</v>
      </c>
      <c r="K257" s="112">
        <v>587500.54</v>
      </c>
      <c r="L257" s="101">
        <v>1768634.16</v>
      </c>
      <c r="M257" s="112"/>
      <c r="N257" s="6"/>
      <c r="O257" s="6"/>
      <c r="P257" s="115"/>
      <c r="Q257" s="115"/>
    </row>
    <row r="258" spans="1:17" s="48" customFormat="1" ht="18" customHeight="1" x14ac:dyDescent="0.25">
      <c r="A258" s="926" t="s">
        <v>1388</v>
      </c>
      <c r="B258" s="229" t="s">
        <v>163</v>
      </c>
      <c r="C258" s="100" t="s">
        <v>199</v>
      </c>
      <c r="D258" s="245" t="s">
        <v>198</v>
      </c>
      <c r="E258" s="97"/>
      <c r="F258" s="97"/>
      <c r="G258" s="97"/>
      <c r="H258" s="100" t="s">
        <v>199</v>
      </c>
      <c r="I258" s="101">
        <v>0</v>
      </c>
      <c r="J258" s="102"/>
      <c r="K258" s="101"/>
      <c r="L258" s="101">
        <v>442040.64</v>
      </c>
      <c r="M258" s="101">
        <f>SUM(L250:L258)</f>
        <v>9910885.120000001</v>
      </c>
      <c r="N258" s="6"/>
      <c r="O258" s="6"/>
    </row>
    <row r="259" spans="1:17" s="48" customFormat="1" ht="18" customHeight="1" x14ac:dyDescent="0.25">
      <c r="A259" s="926" t="s">
        <v>1388</v>
      </c>
      <c r="B259" s="229" t="s">
        <v>163</v>
      </c>
      <c r="C259" s="172"/>
      <c r="D259" s="245" t="s">
        <v>558</v>
      </c>
      <c r="E259" s="690"/>
      <c r="F259" s="944"/>
      <c r="G259" s="944"/>
      <c r="H259" s="172"/>
      <c r="I259" s="101">
        <v>999700</v>
      </c>
      <c r="J259" s="102">
        <v>2500000</v>
      </c>
      <c r="K259" s="101"/>
      <c r="L259" s="101">
        <v>3500000</v>
      </c>
      <c r="M259" s="101"/>
      <c r="N259" s="6"/>
      <c r="O259" s="6"/>
    </row>
    <row r="260" spans="1:17" s="48" customFormat="1" ht="18" customHeight="1" x14ac:dyDescent="0.25">
      <c r="A260" s="926"/>
      <c r="B260" s="229"/>
      <c r="C260" s="172"/>
      <c r="D260" s="245"/>
      <c r="E260" s="690"/>
      <c r="F260" s="944"/>
      <c r="G260" s="944"/>
      <c r="H260" s="172"/>
      <c r="I260" s="101"/>
      <c r="J260" s="102"/>
      <c r="K260" s="101"/>
      <c r="L260" s="101"/>
      <c r="M260" s="101"/>
      <c r="N260" s="6"/>
      <c r="O260" s="6"/>
    </row>
    <row r="261" spans="1:17" s="48" customFormat="1" ht="18" customHeight="1" x14ac:dyDescent="0.25">
      <c r="A261" s="926" t="s">
        <v>1388</v>
      </c>
      <c r="B261" s="48" t="s">
        <v>123</v>
      </c>
      <c r="C261" s="131" t="s">
        <v>125</v>
      </c>
      <c r="D261" s="838" t="s">
        <v>124</v>
      </c>
      <c r="E261" s="835"/>
      <c r="F261" s="835"/>
      <c r="G261" s="835"/>
      <c r="H261" s="131" t="s">
        <v>125</v>
      </c>
      <c r="I261" s="101">
        <v>695268</v>
      </c>
      <c r="J261" s="102">
        <v>909504</v>
      </c>
      <c r="K261" s="101">
        <v>421456</v>
      </c>
      <c r="L261" s="101">
        <v>993912</v>
      </c>
      <c r="M261" s="101"/>
      <c r="N261" s="6"/>
      <c r="O261" s="6"/>
    </row>
    <row r="262" spans="1:17" s="48" customFormat="1" ht="18" customHeight="1" x14ac:dyDescent="0.25">
      <c r="A262" s="926" t="s">
        <v>1388</v>
      </c>
      <c r="B262" s="48" t="s">
        <v>123</v>
      </c>
      <c r="C262" s="131" t="s">
        <v>125</v>
      </c>
      <c r="D262" s="932" t="s">
        <v>124</v>
      </c>
      <c r="E262" s="929"/>
      <c r="F262" s="929"/>
      <c r="G262" s="929"/>
      <c r="H262" s="131" t="s">
        <v>125</v>
      </c>
      <c r="I262" s="101">
        <v>214236</v>
      </c>
      <c r="J262" s="102">
        <v>654492</v>
      </c>
      <c r="K262" s="101">
        <v>133714</v>
      </c>
      <c r="L262" s="101">
        <v>725076</v>
      </c>
      <c r="M262" s="101"/>
      <c r="N262" s="6"/>
      <c r="O262" s="6"/>
    </row>
    <row r="263" spans="1:17" s="48" customFormat="1" ht="18" customHeight="1" x14ac:dyDescent="0.25">
      <c r="A263" s="926" t="s">
        <v>1388</v>
      </c>
      <c r="B263" s="48" t="s">
        <v>123</v>
      </c>
      <c r="C263" s="131" t="s">
        <v>125</v>
      </c>
      <c r="D263" s="931" t="s">
        <v>124</v>
      </c>
      <c r="E263" s="930"/>
      <c r="F263" s="930"/>
      <c r="G263" s="928"/>
      <c r="H263" s="131" t="s">
        <v>125</v>
      </c>
      <c r="I263" s="101">
        <v>3092279</v>
      </c>
      <c r="J263" s="102">
        <v>6378036</v>
      </c>
      <c r="K263" s="101">
        <v>2211426.2000000002</v>
      </c>
      <c r="L263" s="101">
        <v>6989580</v>
      </c>
      <c r="M263" s="101"/>
      <c r="N263" s="6"/>
      <c r="O263" s="6"/>
    </row>
    <row r="264" spans="1:17" s="48" customFormat="1" ht="18" customHeight="1" x14ac:dyDescent="0.25">
      <c r="A264" s="926" t="s">
        <v>1388</v>
      </c>
      <c r="B264" s="48" t="s">
        <v>123</v>
      </c>
      <c r="C264" s="131" t="s">
        <v>125</v>
      </c>
      <c r="D264" s="932" t="s">
        <v>124</v>
      </c>
      <c r="E264" s="929"/>
      <c r="F264" s="929"/>
      <c r="G264" s="929"/>
      <c r="H264" s="131" t="s">
        <v>125</v>
      </c>
      <c r="I264" s="101">
        <v>1262292</v>
      </c>
      <c r="J264" s="102">
        <v>1262292</v>
      </c>
      <c r="K264" s="101">
        <v>754831</v>
      </c>
      <c r="L264" s="101">
        <v>1325712</v>
      </c>
      <c r="M264" s="101"/>
      <c r="N264" s="6"/>
      <c r="O264" s="6"/>
    </row>
    <row r="265" spans="1:17" s="48" customFormat="1" ht="18" customHeight="1" x14ac:dyDescent="0.25">
      <c r="A265" s="926" t="s">
        <v>1388</v>
      </c>
      <c r="B265" s="48" t="s">
        <v>123</v>
      </c>
      <c r="C265" s="131" t="s">
        <v>125</v>
      </c>
      <c r="D265" s="932" t="s">
        <v>124</v>
      </c>
      <c r="E265" s="929"/>
      <c r="F265" s="929"/>
      <c r="G265" s="929"/>
      <c r="H265" s="131" t="s">
        <v>125</v>
      </c>
      <c r="I265" s="101">
        <v>6156284.6299999999</v>
      </c>
      <c r="J265" s="102">
        <v>8489460</v>
      </c>
      <c r="K265" s="101">
        <v>3723223.5</v>
      </c>
      <c r="L265" s="101">
        <v>9234504</v>
      </c>
      <c r="M265" s="101"/>
      <c r="N265" s="6"/>
      <c r="O265" s="6"/>
    </row>
    <row r="266" spans="1:17" s="48" customFormat="1" ht="18" customHeight="1" x14ac:dyDescent="0.25">
      <c r="A266" s="926" t="s">
        <v>1388</v>
      </c>
      <c r="B266" s="48" t="s">
        <v>123</v>
      </c>
      <c r="C266" s="131" t="s">
        <v>125</v>
      </c>
      <c r="D266" s="838" t="s">
        <v>124</v>
      </c>
      <c r="E266" s="835"/>
      <c r="F266" s="835"/>
      <c r="G266" s="835"/>
      <c r="H266" s="131" t="s">
        <v>125</v>
      </c>
      <c r="I266" s="101">
        <v>1497444</v>
      </c>
      <c r="J266" s="102">
        <v>1711680</v>
      </c>
      <c r="K266" s="101">
        <v>990049.04</v>
      </c>
      <c r="L266" s="101">
        <v>1855656</v>
      </c>
      <c r="M266" s="101"/>
      <c r="N266" s="6"/>
      <c r="O266" s="6"/>
    </row>
    <row r="267" spans="1:17" s="48" customFormat="1" ht="18" customHeight="1" x14ac:dyDescent="0.25">
      <c r="A267" s="926" t="s">
        <v>1388</v>
      </c>
      <c r="B267" s="48" t="s">
        <v>123</v>
      </c>
      <c r="C267" s="131" t="s">
        <v>125</v>
      </c>
      <c r="D267" s="838" t="s">
        <v>124</v>
      </c>
      <c r="E267" s="835"/>
      <c r="F267" s="835"/>
      <c r="G267" s="835"/>
      <c r="H267" s="100" t="s">
        <v>125</v>
      </c>
      <c r="I267" s="101">
        <v>2065820.82</v>
      </c>
      <c r="J267" s="102">
        <v>2925708</v>
      </c>
      <c r="K267" s="101">
        <v>1282836.69</v>
      </c>
      <c r="L267" s="101">
        <v>3171624</v>
      </c>
      <c r="M267" s="101"/>
      <c r="N267" s="6"/>
      <c r="O267" s="6"/>
    </row>
    <row r="268" spans="1:17" s="48" customFormat="1" ht="18" customHeight="1" x14ac:dyDescent="0.25">
      <c r="A268" s="926" t="s">
        <v>1388</v>
      </c>
      <c r="B268" s="48" t="s">
        <v>123</v>
      </c>
      <c r="C268" s="131" t="s">
        <v>125</v>
      </c>
      <c r="D268" s="932" t="s">
        <v>124</v>
      </c>
      <c r="E268" s="929"/>
      <c r="F268" s="929"/>
      <c r="G268" s="929"/>
      <c r="H268" s="100" t="s">
        <v>125</v>
      </c>
      <c r="I268" s="101">
        <v>1068489.1399999999</v>
      </c>
      <c r="J268" s="102">
        <v>1192644</v>
      </c>
      <c r="K268" s="101">
        <v>594210.67000000004</v>
      </c>
      <c r="L268" s="101">
        <v>1296300</v>
      </c>
      <c r="M268" s="101"/>
      <c r="N268" s="6"/>
      <c r="O268" s="6"/>
    </row>
    <row r="269" spans="1:17" s="48" customFormat="1" ht="18" customHeight="1" x14ac:dyDescent="0.25">
      <c r="A269" s="926" t="s">
        <v>1388</v>
      </c>
      <c r="B269" s="48" t="s">
        <v>123</v>
      </c>
      <c r="C269" s="131" t="s">
        <v>125</v>
      </c>
      <c r="D269" s="837" t="s">
        <v>124</v>
      </c>
      <c r="E269" s="836"/>
      <c r="F269" s="836"/>
      <c r="G269" s="834"/>
      <c r="H269" s="100" t="s">
        <v>125</v>
      </c>
      <c r="I269" s="101">
        <v>2300526</v>
      </c>
      <c r="J269" s="102">
        <v>2887656</v>
      </c>
      <c r="K269" s="101">
        <v>1409227.54</v>
      </c>
      <c r="L269" s="101">
        <v>3160164</v>
      </c>
      <c r="M269" s="101">
        <f>SUM(L261:L269)</f>
        <v>28752528</v>
      </c>
      <c r="N269" s="6"/>
      <c r="O269" s="6"/>
    </row>
    <row r="270" spans="1:17" s="48" customFormat="1" ht="18" customHeight="1" x14ac:dyDescent="0.25">
      <c r="A270" s="926" t="s">
        <v>1388</v>
      </c>
      <c r="B270" s="48" t="s">
        <v>123</v>
      </c>
      <c r="C270" s="131" t="s">
        <v>125</v>
      </c>
      <c r="D270" s="838" t="s">
        <v>128</v>
      </c>
      <c r="E270" s="687"/>
      <c r="F270" s="835"/>
      <c r="G270" s="835"/>
      <c r="H270" s="131" t="s">
        <v>125</v>
      </c>
      <c r="I270" s="101"/>
      <c r="J270" s="102"/>
      <c r="K270" s="101"/>
      <c r="L270" s="101">
        <v>6070</v>
      </c>
      <c r="M270" s="101"/>
      <c r="N270" s="6"/>
      <c r="O270" s="6"/>
    </row>
    <row r="271" spans="1:17" s="48" customFormat="1" ht="18" customHeight="1" x14ac:dyDescent="0.25">
      <c r="A271" s="926" t="s">
        <v>1388</v>
      </c>
      <c r="B271" s="48" t="s">
        <v>123</v>
      </c>
      <c r="C271" s="131" t="s">
        <v>125</v>
      </c>
      <c r="D271" s="932" t="s">
        <v>128</v>
      </c>
      <c r="E271" s="835"/>
      <c r="F271" s="835"/>
      <c r="G271" s="835"/>
      <c r="H271" s="131" t="s">
        <v>125</v>
      </c>
      <c r="I271" s="101"/>
      <c r="J271" s="102"/>
      <c r="K271" s="101"/>
      <c r="L271" s="101">
        <v>2270</v>
      </c>
      <c r="M271" s="101"/>
      <c r="N271" s="6"/>
      <c r="O271" s="6"/>
    </row>
    <row r="272" spans="1:17" s="48" customFormat="1" ht="18" customHeight="1" x14ac:dyDescent="0.25">
      <c r="A272" s="926" t="s">
        <v>1388</v>
      </c>
      <c r="B272" s="48" t="s">
        <v>123</v>
      </c>
      <c r="C272" s="100" t="s">
        <v>125</v>
      </c>
      <c r="D272" s="932" t="s">
        <v>128</v>
      </c>
      <c r="E272" s="835"/>
      <c r="F272" s="835"/>
      <c r="G272" s="835"/>
      <c r="H272" s="131" t="s">
        <v>125</v>
      </c>
      <c r="I272" s="101">
        <v>0</v>
      </c>
      <c r="J272" s="102">
        <v>9644</v>
      </c>
      <c r="K272" s="101"/>
      <c r="L272" s="101">
        <v>4031.63</v>
      </c>
      <c r="M272" s="101"/>
      <c r="N272" s="6"/>
      <c r="O272" s="6"/>
    </row>
    <row r="273" spans="1:17" s="48" customFormat="1" ht="18" customHeight="1" x14ac:dyDescent="0.25">
      <c r="A273" s="926" t="s">
        <v>1388</v>
      </c>
      <c r="B273" s="48" t="s">
        <v>123</v>
      </c>
      <c r="C273" s="104" t="s">
        <v>125</v>
      </c>
      <c r="D273" s="932" t="s">
        <v>128</v>
      </c>
      <c r="E273" s="929"/>
      <c r="F273" s="929"/>
      <c r="G273" s="929"/>
      <c r="H273" s="133" t="s">
        <v>125</v>
      </c>
      <c r="I273" s="105">
        <v>0</v>
      </c>
      <c r="J273" s="106">
        <v>0</v>
      </c>
      <c r="K273" s="105"/>
      <c r="L273" s="105">
        <v>2634</v>
      </c>
      <c r="M273" s="105"/>
      <c r="N273" s="6"/>
      <c r="O273" s="6"/>
    </row>
    <row r="274" spans="1:17" s="48" customFormat="1" ht="18" customHeight="1" x14ac:dyDescent="0.25">
      <c r="A274" s="926" t="s">
        <v>1388</v>
      </c>
      <c r="B274" s="48" t="s">
        <v>123</v>
      </c>
      <c r="C274" s="100" t="s">
        <v>125</v>
      </c>
      <c r="D274" s="931" t="s">
        <v>128</v>
      </c>
      <c r="E274" s="930"/>
      <c r="F274" s="930"/>
      <c r="G274" s="928"/>
      <c r="H274" s="131" t="s">
        <v>125</v>
      </c>
      <c r="I274" s="101"/>
      <c r="J274" s="111">
        <v>8160</v>
      </c>
      <c r="K274" s="112"/>
      <c r="L274" s="101">
        <v>930</v>
      </c>
      <c r="M274" s="112"/>
      <c r="N274" s="6"/>
      <c r="O274" s="6"/>
    </row>
    <row r="275" spans="1:17" s="48" customFormat="1" ht="18" customHeight="1" x14ac:dyDescent="0.25">
      <c r="A275" s="926" t="s">
        <v>1388</v>
      </c>
      <c r="B275" s="48" t="s">
        <v>123</v>
      </c>
      <c r="C275" s="100" t="s">
        <v>125</v>
      </c>
      <c r="D275" s="936" t="s">
        <v>128</v>
      </c>
      <c r="E275" s="930"/>
      <c r="F275" s="930"/>
      <c r="G275" s="928"/>
      <c r="H275" s="100" t="s">
        <v>125</v>
      </c>
      <c r="I275" s="101"/>
      <c r="J275" s="111">
        <v>2009</v>
      </c>
      <c r="K275" s="112"/>
      <c r="L275" s="101">
        <v>2513.38</v>
      </c>
      <c r="M275" s="112"/>
      <c r="N275" s="6"/>
      <c r="O275" s="6"/>
    </row>
    <row r="276" spans="1:17" s="48" customFormat="1" ht="18" customHeight="1" x14ac:dyDescent="0.25">
      <c r="A276" s="926" t="s">
        <v>1388</v>
      </c>
      <c r="B276" s="48" t="s">
        <v>123</v>
      </c>
      <c r="C276" s="100" t="s">
        <v>125</v>
      </c>
      <c r="D276" s="837" t="s">
        <v>128</v>
      </c>
      <c r="E276" s="931"/>
      <c r="F276" s="930"/>
      <c r="G276" s="928"/>
      <c r="H276" s="100" t="s">
        <v>125</v>
      </c>
      <c r="I276" s="101"/>
      <c r="J276" s="111"/>
      <c r="K276" s="112"/>
      <c r="L276" s="101">
        <v>6453.63</v>
      </c>
      <c r="M276" s="112"/>
      <c r="N276" s="6"/>
      <c r="O276" s="6"/>
    </row>
    <row r="277" spans="1:17" s="48" customFormat="1" ht="18" customHeight="1" x14ac:dyDescent="0.25">
      <c r="A277" s="926" t="s">
        <v>1388</v>
      </c>
      <c r="B277" s="48" t="s">
        <v>123</v>
      </c>
      <c r="C277" s="100" t="s">
        <v>125</v>
      </c>
      <c r="D277" s="931" t="s">
        <v>128</v>
      </c>
      <c r="E277" s="930"/>
      <c r="F277" s="930"/>
      <c r="G277" s="928"/>
      <c r="H277" s="100" t="s">
        <v>125</v>
      </c>
      <c r="I277" s="101"/>
      <c r="J277" s="111">
        <v>5832</v>
      </c>
      <c r="K277" s="112"/>
      <c r="L277" s="101">
        <v>6038.72</v>
      </c>
      <c r="M277" s="112"/>
      <c r="N277" s="6"/>
      <c r="O277" s="6"/>
    </row>
    <row r="278" spans="1:17" s="48" customFormat="1" ht="17.100000000000001" customHeight="1" x14ac:dyDescent="0.25">
      <c r="A278" s="926" t="s">
        <v>1388</v>
      </c>
      <c r="B278" s="48" t="s">
        <v>123</v>
      </c>
      <c r="C278" s="131" t="s">
        <v>127</v>
      </c>
      <c r="D278" s="932" t="s">
        <v>128</v>
      </c>
      <c r="E278" s="929"/>
      <c r="F278" s="929"/>
      <c r="G278" s="929"/>
      <c r="H278" s="131" t="s">
        <v>127</v>
      </c>
      <c r="I278" s="101"/>
      <c r="J278" s="162">
        <v>18092.5</v>
      </c>
      <c r="K278" s="112"/>
      <c r="L278" s="101">
        <v>9942.7199999999993</v>
      </c>
      <c r="M278" s="112">
        <f>SUM(L270:L278)</f>
        <v>40884.080000000002</v>
      </c>
      <c r="N278" s="6"/>
      <c r="O278" s="6"/>
    </row>
    <row r="279" spans="1:17" s="48" customFormat="1" ht="18" customHeight="1" x14ac:dyDescent="0.25">
      <c r="A279" s="926" t="s">
        <v>1388</v>
      </c>
      <c r="B279" s="48" t="s">
        <v>123</v>
      </c>
      <c r="C279" s="131" t="s">
        <v>127</v>
      </c>
      <c r="D279" s="931" t="s">
        <v>126</v>
      </c>
      <c r="E279" s="930"/>
      <c r="F279" s="930"/>
      <c r="G279" s="928"/>
      <c r="H279" s="131" t="s">
        <v>127</v>
      </c>
      <c r="I279" s="101">
        <v>149929.13</v>
      </c>
      <c r="J279" s="111">
        <v>132552</v>
      </c>
      <c r="K279" s="112">
        <v>70776.45</v>
      </c>
      <c r="L279" s="101">
        <v>143928</v>
      </c>
      <c r="M279" s="112"/>
      <c r="N279" s="6"/>
      <c r="O279" s="6"/>
      <c r="P279" s="115"/>
      <c r="Q279" s="115"/>
    </row>
    <row r="280" spans="1:17" s="48" customFormat="1" ht="18" customHeight="1" x14ac:dyDescent="0.25">
      <c r="A280" s="926" t="s">
        <v>1388</v>
      </c>
      <c r="B280" s="48" t="s">
        <v>123</v>
      </c>
      <c r="C280" s="133" t="s">
        <v>127</v>
      </c>
      <c r="D280" s="931" t="s">
        <v>126</v>
      </c>
      <c r="E280" s="930"/>
      <c r="F280" s="930"/>
      <c r="G280" s="928"/>
      <c r="H280" s="133" t="s">
        <v>127</v>
      </c>
      <c r="I280" s="101">
        <v>150179.91</v>
      </c>
      <c r="J280" s="117">
        <v>265104</v>
      </c>
      <c r="K280" s="118">
        <v>70776.45</v>
      </c>
      <c r="L280" s="105">
        <v>287856</v>
      </c>
      <c r="M280" s="118"/>
      <c r="N280" s="6"/>
      <c r="O280" s="6"/>
      <c r="P280" s="115"/>
      <c r="Q280" s="115"/>
    </row>
    <row r="281" spans="1:17" s="136" customFormat="1" ht="18" customHeight="1" x14ac:dyDescent="0.25">
      <c r="A281" s="926" t="s">
        <v>1388</v>
      </c>
      <c r="B281" s="48" t="s">
        <v>123</v>
      </c>
      <c r="C281" s="131" t="s">
        <v>127</v>
      </c>
      <c r="D281" s="931" t="s">
        <v>126</v>
      </c>
      <c r="E281" s="836"/>
      <c r="F281" s="836"/>
      <c r="G281" s="836"/>
      <c r="H281" s="131" t="s">
        <v>127</v>
      </c>
      <c r="I281" s="101">
        <v>984154.85</v>
      </c>
      <c r="J281" s="111">
        <v>1139964</v>
      </c>
      <c r="K281" s="112">
        <v>409404.63</v>
      </c>
      <c r="L281" s="101">
        <v>1237056</v>
      </c>
      <c r="M281" s="112"/>
      <c r="N281" s="6"/>
      <c r="O281" s="6"/>
      <c r="P281" s="115"/>
      <c r="Q281" s="115"/>
    </row>
    <row r="282" spans="1:17" s="48" customFormat="1" ht="17.100000000000001" customHeight="1" x14ac:dyDescent="0.25">
      <c r="A282" s="926" t="s">
        <v>1388</v>
      </c>
      <c r="B282" s="48" t="s">
        <v>123</v>
      </c>
      <c r="C282" s="131" t="s">
        <v>127</v>
      </c>
      <c r="D282" s="931" t="s">
        <v>126</v>
      </c>
      <c r="E282" s="928"/>
      <c r="F282" s="835"/>
      <c r="G282" s="835"/>
      <c r="H282" s="131" t="s">
        <v>127</v>
      </c>
      <c r="I282" s="101">
        <v>147691.04999999999</v>
      </c>
      <c r="J282" s="162">
        <v>132552</v>
      </c>
      <c r="K282" s="112">
        <v>70776.45</v>
      </c>
      <c r="L282" s="101">
        <v>143928</v>
      </c>
      <c r="M282" s="112"/>
      <c r="N282" s="6"/>
      <c r="O282" s="6"/>
    </row>
    <row r="283" spans="1:17" s="48" customFormat="1" ht="17.100000000000001" customHeight="1" x14ac:dyDescent="0.25">
      <c r="A283" s="926" t="s">
        <v>1388</v>
      </c>
      <c r="B283" s="48" t="s">
        <v>123</v>
      </c>
      <c r="C283" s="100" t="s">
        <v>127</v>
      </c>
      <c r="D283" s="838" t="s">
        <v>126</v>
      </c>
      <c r="E283" s="835"/>
      <c r="F283" s="835"/>
      <c r="G283" s="835"/>
      <c r="H283" s="100" t="s">
        <v>127</v>
      </c>
      <c r="I283" s="101">
        <v>587673.22</v>
      </c>
      <c r="J283" s="162">
        <v>749880</v>
      </c>
      <c r="K283" s="112">
        <v>273088.09999999998</v>
      </c>
      <c r="L283" s="101">
        <v>813600</v>
      </c>
      <c r="M283" s="112"/>
      <c r="N283" s="6"/>
      <c r="O283" s="6"/>
    </row>
    <row r="284" spans="1:17" s="48" customFormat="1" ht="17.100000000000001" customHeight="1" x14ac:dyDescent="0.25">
      <c r="A284" s="926" t="s">
        <v>1388</v>
      </c>
      <c r="B284" s="48" t="s">
        <v>123</v>
      </c>
      <c r="C284" s="100" t="s">
        <v>127</v>
      </c>
      <c r="D284" s="838" t="s">
        <v>126</v>
      </c>
      <c r="E284" s="835"/>
      <c r="F284" s="835"/>
      <c r="G284" s="835"/>
      <c r="H284" s="100" t="s">
        <v>127</v>
      </c>
      <c r="I284" s="101">
        <v>444155.57</v>
      </c>
      <c r="J284" s="162">
        <v>499920</v>
      </c>
      <c r="K284" s="112">
        <v>201978.22</v>
      </c>
      <c r="L284" s="101">
        <v>542400</v>
      </c>
      <c r="M284" s="112">
        <f>SUM(L279:L284)</f>
        <v>3168768</v>
      </c>
      <c r="N284" s="6"/>
      <c r="O284" s="6"/>
    </row>
    <row r="285" spans="1:17" s="48" customFormat="1" ht="17.100000000000001" customHeight="1" x14ac:dyDescent="0.25">
      <c r="A285" s="926" t="s">
        <v>1388</v>
      </c>
      <c r="B285" s="48" t="s">
        <v>123</v>
      </c>
      <c r="C285" s="132" t="s">
        <v>130</v>
      </c>
      <c r="D285" s="838" t="s">
        <v>129</v>
      </c>
      <c r="E285" s="835"/>
      <c r="F285" s="835"/>
      <c r="G285" s="835"/>
      <c r="H285" s="132" t="s">
        <v>130</v>
      </c>
      <c r="I285" s="101">
        <v>86272.55</v>
      </c>
      <c r="J285" s="162">
        <v>120000</v>
      </c>
      <c r="K285" s="112">
        <v>54181.81</v>
      </c>
      <c r="L285" s="101">
        <v>120000</v>
      </c>
      <c r="M285" s="112"/>
      <c r="N285" s="6"/>
      <c r="O285" s="6"/>
    </row>
    <row r="286" spans="1:17" s="48" customFormat="1" ht="17.100000000000001" customHeight="1" x14ac:dyDescent="0.25">
      <c r="A286" s="926" t="s">
        <v>1388</v>
      </c>
      <c r="B286" s="48" t="s">
        <v>123</v>
      </c>
      <c r="C286" s="132" t="s">
        <v>130</v>
      </c>
      <c r="D286" s="932" t="s">
        <v>129</v>
      </c>
      <c r="E286" s="929"/>
      <c r="F286" s="929"/>
      <c r="G286" s="929"/>
      <c r="H286" s="132" t="s">
        <v>130</v>
      </c>
      <c r="I286" s="101">
        <v>24000</v>
      </c>
      <c r="J286" s="162">
        <v>72000</v>
      </c>
      <c r="K286" s="112">
        <v>14000</v>
      </c>
      <c r="L286" s="101">
        <v>72000</v>
      </c>
      <c r="M286" s="112"/>
      <c r="N286" s="6"/>
      <c r="O286" s="6"/>
    </row>
    <row r="287" spans="1:17" s="48" customFormat="1" ht="17.100000000000001" customHeight="1" x14ac:dyDescent="0.25">
      <c r="A287" s="926" t="s">
        <v>1388</v>
      </c>
      <c r="B287" s="48" t="s">
        <v>123</v>
      </c>
      <c r="C287" s="132" t="s">
        <v>130</v>
      </c>
      <c r="D287" s="838" t="s">
        <v>129</v>
      </c>
      <c r="E287" s="835"/>
      <c r="F287" s="835"/>
      <c r="G287" s="835"/>
      <c r="H287" s="132" t="s">
        <v>130</v>
      </c>
      <c r="I287" s="101">
        <v>422545.45</v>
      </c>
      <c r="J287" s="162">
        <v>720000</v>
      </c>
      <c r="K287" s="112">
        <v>268363.63</v>
      </c>
      <c r="L287" s="101">
        <v>720000</v>
      </c>
      <c r="M287" s="112"/>
      <c r="N287" s="6"/>
      <c r="O287" s="6"/>
    </row>
    <row r="288" spans="1:17" s="48" customFormat="1" ht="17.100000000000001" customHeight="1" x14ac:dyDescent="0.25">
      <c r="A288" s="926" t="s">
        <v>1388</v>
      </c>
      <c r="B288" s="48" t="s">
        <v>123</v>
      </c>
      <c r="C288" s="132" t="s">
        <v>130</v>
      </c>
      <c r="D288" s="838" t="s">
        <v>129</v>
      </c>
      <c r="E288" s="835"/>
      <c r="F288" s="835"/>
      <c r="G288" s="835"/>
      <c r="H288" s="132" t="s">
        <v>130</v>
      </c>
      <c r="I288" s="101">
        <v>72000</v>
      </c>
      <c r="J288" s="162">
        <v>72000</v>
      </c>
      <c r="K288" s="112">
        <v>42000</v>
      </c>
      <c r="L288" s="101">
        <v>72000</v>
      </c>
      <c r="M288" s="112"/>
      <c r="N288" s="6"/>
      <c r="O288" s="6"/>
    </row>
    <row r="289" spans="1:15" s="48" customFormat="1" ht="17.100000000000001" customHeight="1" x14ac:dyDescent="0.25">
      <c r="A289" s="926" t="s">
        <v>1388</v>
      </c>
      <c r="B289" s="48" t="s">
        <v>123</v>
      </c>
      <c r="C289" s="132" t="s">
        <v>130</v>
      </c>
      <c r="D289" s="932" t="s">
        <v>129</v>
      </c>
      <c r="E289" s="929"/>
      <c r="F289" s="929"/>
      <c r="G289" s="929"/>
      <c r="H289" s="132" t="s">
        <v>130</v>
      </c>
      <c r="I289" s="101">
        <v>936090.38</v>
      </c>
      <c r="J289" s="162">
        <v>1296000</v>
      </c>
      <c r="K289" s="112">
        <v>550272.68000000005</v>
      </c>
      <c r="L289" s="101">
        <v>1296000</v>
      </c>
      <c r="M289" s="112"/>
      <c r="N289" s="6"/>
      <c r="O289" s="6"/>
    </row>
    <row r="290" spans="1:15" s="48" customFormat="1" ht="17.100000000000001" customHeight="1" x14ac:dyDescent="0.25">
      <c r="A290" s="926" t="s">
        <v>1388</v>
      </c>
      <c r="B290" s="48" t="s">
        <v>123</v>
      </c>
      <c r="C290" s="132" t="s">
        <v>130</v>
      </c>
      <c r="D290" s="837" t="s">
        <v>129</v>
      </c>
      <c r="E290" s="836"/>
      <c r="F290" s="836"/>
      <c r="G290" s="834"/>
      <c r="H290" s="132" t="s">
        <v>130</v>
      </c>
      <c r="I290" s="101">
        <v>110181.56</v>
      </c>
      <c r="J290" s="162">
        <v>144000</v>
      </c>
      <c r="K290" s="112">
        <v>77272.72</v>
      </c>
      <c r="L290" s="101">
        <v>144000</v>
      </c>
      <c r="M290" s="112"/>
      <c r="N290" s="6"/>
      <c r="O290" s="6"/>
    </row>
    <row r="291" spans="1:15" s="48" customFormat="1" ht="17.100000000000001" customHeight="1" x14ac:dyDescent="0.25">
      <c r="A291" s="926" t="s">
        <v>1388</v>
      </c>
      <c r="B291" s="48" t="s">
        <v>123</v>
      </c>
      <c r="C291" s="103" t="s">
        <v>130</v>
      </c>
      <c r="D291" s="838" t="s">
        <v>129</v>
      </c>
      <c r="E291" s="835"/>
      <c r="F291" s="835"/>
      <c r="G291" s="835"/>
      <c r="H291" s="103" t="s">
        <v>130</v>
      </c>
      <c r="I291" s="101">
        <v>395727.31</v>
      </c>
      <c r="J291" s="162">
        <v>576000</v>
      </c>
      <c r="K291" s="112">
        <v>241909.09</v>
      </c>
      <c r="L291" s="101">
        <v>576000</v>
      </c>
      <c r="M291" s="112"/>
      <c r="N291" s="6"/>
      <c r="O291" s="6"/>
    </row>
    <row r="292" spans="1:15" s="48" customFormat="1" ht="17.100000000000001" customHeight="1" x14ac:dyDescent="0.25">
      <c r="A292" s="926" t="s">
        <v>1388</v>
      </c>
      <c r="B292" s="48" t="s">
        <v>123</v>
      </c>
      <c r="C292" s="103" t="s">
        <v>130</v>
      </c>
      <c r="D292" s="838" t="s">
        <v>129</v>
      </c>
      <c r="E292" s="835"/>
      <c r="F292" s="835"/>
      <c r="G292" s="835"/>
      <c r="H292" s="103" t="s">
        <v>130</v>
      </c>
      <c r="I292" s="101">
        <v>213181.73</v>
      </c>
      <c r="J292" s="162">
        <v>288000</v>
      </c>
      <c r="K292" s="112">
        <v>126272.71</v>
      </c>
      <c r="L292" s="101">
        <v>288000</v>
      </c>
      <c r="M292" s="112"/>
      <c r="N292" s="6"/>
      <c r="O292" s="6"/>
    </row>
    <row r="293" spans="1:15" s="48" customFormat="1" ht="17.100000000000001" customHeight="1" x14ac:dyDescent="0.25">
      <c r="A293" s="926" t="s">
        <v>1388</v>
      </c>
      <c r="B293" s="48" t="s">
        <v>123</v>
      </c>
      <c r="C293" s="103" t="s">
        <v>130</v>
      </c>
      <c r="D293" s="838" t="s">
        <v>129</v>
      </c>
      <c r="E293" s="835"/>
      <c r="F293" s="835"/>
      <c r="G293" s="835"/>
      <c r="H293" s="103" t="s">
        <v>130</v>
      </c>
      <c r="I293" s="101">
        <v>335000</v>
      </c>
      <c r="J293" s="162">
        <v>432000</v>
      </c>
      <c r="K293" s="112">
        <v>195909.09</v>
      </c>
      <c r="L293" s="101">
        <v>432000</v>
      </c>
      <c r="M293" s="112">
        <f>SUM(L285:L293)</f>
        <v>3720000</v>
      </c>
      <c r="N293" s="6"/>
      <c r="O293" s="6"/>
    </row>
    <row r="294" spans="1:15" s="48" customFormat="1" ht="17.100000000000001" customHeight="1" x14ac:dyDescent="0.25">
      <c r="A294" s="926" t="s">
        <v>1388</v>
      </c>
      <c r="B294" s="48" t="s">
        <v>123</v>
      </c>
      <c r="C294" s="133" t="s">
        <v>132</v>
      </c>
      <c r="D294" s="932" t="s">
        <v>131</v>
      </c>
      <c r="E294" s="929"/>
      <c r="F294" s="929"/>
      <c r="G294" s="929"/>
      <c r="H294" s="133" t="s">
        <v>132</v>
      </c>
      <c r="I294" s="105">
        <v>72000</v>
      </c>
      <c r="J294" s="163">
        <v>72000</v>
      </c>
      <c r="K294" s="118">
        <v>42000</v>
      </c>
      <c r="L294" s="105">
        <v>72000</v>
      </c>
      <c r="M294" s="118"/>
      <c r="N294" s="6"/>
      <c r="O294" s="6"/>
    </row>
    <row r="295" spans="1:15" s="48" customFormat="1" ht="17.100000000000001" customHeight="1" x14ac:dyDescent="0.25">
      <c r="A295" s="926" t="s">
        <v>1388</v>
      </c>
      <c r="B295" s="48" t="s">
        <v>123</v>
      </c>
      <c r="C295" s="131" t="s">
        <v>132</v>
      </c>
      <c r="D295" s="931" t="s">
        <v>131</v>
      </c>
      <c r="E295" s="930"/>
      <c r="F295" s="930"/>
      <c r="G295" s="928"/>
      <c r="H295" s="131" t="s">
        <v>132</v>
      </c>
      <c r="I295" s="101">
        <v>70500</v>
      </c>
      <c r="J295" s="162">
        <v>72000</v>
      </c>
      <c r="K295" s="112">
        <v>40500</v>
      </c>
      <c r="L295" s="101">
        <v>72000</v>
      </c>
      <c r="M295" s="112"/>
      <c r="N295" s="6"/>
      <c r="O295" s="6"/>
    </row>
    <row r="296" spans="1:15" s="48" customFormat="1" ht="17.100000000000001" customHeight="1" x14ac:dyDescent="0.25">
      <c r="A296" s="926" t="s">
        <v>1388</v>
      </c>
      <c r="B296" s="48" t="s">
        <v>123</v>
      </c>
      <c r="C296" s="131" t="s">
        <v>132</v>
      </c>
      <c r="D296" s="837" t="s">
        <v>131</v>
      </c>
      <c r="E296" s="836"/>
      <c r="F296" s="836"/>
      <c r="G296" s="928"/>
      <c r="H296" s="131" t="s">
        <v>132</v>
      </c>
      <c r="I296" s="101">
        <v>70500</v>
      </c>
      <c r="J296" s="162">
        <v>72000</v>
      </c>
      <c r="K296" s="112">
        <v>40500</v>
      </c>
      <c r="L296" s="101">
        <v>72000</v>
      </c>
      <c r="M296" s="112"/>
      <c r="N296" s="6"/>
      <c r="O296" s="6"/>
    </row>
    <row r="297" spans="1:15" s="48" customFormat="1" ht="17.100000000000001" customHeight="1" x14ac:dyDescent="0.25">
      <c r="A297" s="926" t="s">
        <v>1388</v>
      </c>
      <c r="B297" s="48" t="s">
        <v>123</v>
      </c>
      <c r="C297" s="131" t="s">
        <v>132</v>
      </c>
      <c r="D297" s="837" t="s">
        <v>131</v>
      </c>
      <c r="E297" s="836"/>
      <c r="F297" s="836"/>
      <c r="G297" s="834"/>
      <c r="H297" s="131" t="s">
        <v>132</v>
      </c>
      <c r="I297" s="101">
        <v>72000</v>
      </c>
      <c r="J297" s="162">
        <v>72000</v>
      </c>
      <c r="K297" s="112">
        <v>40500</v>
      </c>
      <c r="L297" s="101">
        <v>72000</v>
      </c>
      <c r="M297" s="112"/>
      <c r="N297" s="6"/>
      <c r="O297" s="6">
        <f>34540+8730+12800</f>
        <v>56070</v>
      </c>
    </row>
    <row r="298" spans="1:15" s="48" customFormat="1" ht="17.100000000000001" customHeight="1" x14ac:dyDescent="0.25">
      <c r="A298" s="926" t="s">
        <v>1388</v>
      </c>
      <c r="B298" s="48" t="s">
        <v>123</v>
      </c>
      <c r="C298" s="131" t="s">
        <v>134</v>
      </c>
      <c r="D298" s="837" t="s">
        <v>133</v>
      </c>
      <c r="E298" s="836"/>
      <c r="F298" s="836"/>
      <c r="G298" s="834"/>
      <c r="H298" s="131" t="s">
        <v>134</v>
      </c>
      <c r="I298" s="101">
        <v>72000</v>
      </c>
      <c r="J298" s="162">
        <v>72000</v>
      </c>
      <c r="K298" s="112">
        <v>42000</v>
      </c>
      <c r="L298" s="101">
        <v>72000</v>
      </c>
      <c r="M298" s="112"/>
      <c r="N298" s="6"/>
      <c r="O298" s="6"/>
    </row>
    <row r="299" spans="1:15" s="48" customFormat="1" ht="17.100000000000001" customHeight="1" x14ac:dyDescent="0.25">
      <c r="A299" s="926" t="s">
        <v>1388</v>
      </c>
      <c r="B299" s="48" t="s">
        <v>123</v>
      </c>
      <c r="C299" s="131" t="s">
        <v>134</v>
      </c>
      <c r="D299" s="931" t="s">
        <v>133</v>
      </c>
      <c r="E299" s="930"/>
      <c r="F299" s="930"/>
      <c r="G299" s="928"/>
      <c r="H299" s="131" t="s">
        <v>134</v>
      </c>
      <c r="I299" s="101">
        <v>70500</v>
      </c>
      <c r="J299" s="162">
        <v>72000</v>
      </c>
      <c r="K299" s="112">
        <v>40500</v>
      </c>
      <c r="L299" s="101">
        <v>72000</v>
      </c>
      <c r="M299" s="112"/>
      <c r="N299" s="6"/>
      <c r="O299" s="6"/>
    </row>
    <row r="300" spans="1:15" s="48" customFormat="1" ht="17.100000000000001" customHeight="1" x14ac:dyDescent="0.25">
      <c r="A300" s="926" t="s">
        <v>1388</v>
      </c>
      <c r="B300" s="48" t="s">
        <v>123</v>
      </c>
      <c r="C300" s="131" t="s">
        <v>134</v>
      </c>
      <c r="D300" s="837" t="s">
        <v>133</v>
      </c>
      <c r="E300" s="928"/>
      <c r="F300" s="929"/>
      <c r="G300" s="929"/>
      <c r="H300" s="131" t="s">
        <v>134</v>
      </c>
      <c r="I300" s="101">
        <v>70500</v>
      </c>
      <c r="J300" s="162">
        <v>72000</v>
      </c>
      <c r="K300" s="112">
        <v>40500</v>
      </c>
      <c r="L300" s="101">
        <v>72000</v>
      </c>
      <c r="M300" s="112"/>
      <c r="N300" s="6"/>
      <c r="O300" s="6"/>
    </row>
    <row r="301" spans="1:15" s="48" customFormat="1" ht="17.100000000000001" customHeight="1" x14ac:dyDescent="0.25">
      <c r="A301" s="926" t="s">
        <v>1388</v>
      </c>
      <c r="B301" s="48" t="s">
        <v>123</v>
      </c>
      <c r="C301" s="131" t="s">
        <v>134</v>
      </c>
      <c r="D301" s="837" t="s">
        <v>133</v>
      </c>
      <c r="E301" s="836"/>
      <c r="F301" s="836"/>
      <c r="G301" s="834"/>
      <c r="H301" s="131" t="s">
        <v>134</v>
      </c>
      <c r="I301" s="101">
        <v>72000</v>
      </c>
      <c r="J301" s="162">
        <v>72000</v>
      </c>
      <c r="K301" s="112">
        <v>40500</v>
      </c>
      <c r="L301" s="101">
        <v>72000</v>
      </c>
      <c r="M301" s="112">
        <f>SUM(L294:L301)</f>
        <v>576000</v>
      </c>
      <c r="N301" s="6"/>
      <c r="O301" s="6"/>
    </row>
    <row r="302" spans="1:15" s="48" customFormat="1" ht="17.100000000000001" customHeight="1" x14ac:dyDescent="0.25">
      <c r="A302" s="926" t="s">
        <v>1388</v>
      </c>
      <c r="B302" s="48" t="s">
        <v>123</v>
      </c>
      <c r="C302" s="131" t="s">
        <v>138</v>
      </c>
      <c r="D302" s="931" t="s">
        <v>137</v>
      </c>
      <c r="E302" s="930"/>
      <c r="F302" s="930"/>
      <c r="G302" s="928"/>
      <c r="H302" s="131" t="s">
        <v>138</v>
      </c>
      <c r="I302" s="101">
        <v>18000</v>
      </c>
      <c r="J302" s="162">
        <v>30000</v>
      </c>
      <c r="K302" s="112">
        <v>24000</v>
      </c>
      <c r="L302" s="105">
        <v>30000</v>
      </c>
      <c r="M302" s="112"/>
      <c r="N302" s="6"/>
      <c r="O302" s="6"/>
    </row>
    <row r="303" spans="1:15" s="48" customFormat="1" ht="36.75" customHeight="1" x14ac:dyDescent="0.25">
      <c r="A303" s="926" t="s">
        <v>1388</v>
      </c>
      <c r="B303" s="48" t="s">
        <v>123</v>
      </c>
      <c r="C303" s="131" t="s">
        <v>138</v>
      </c>
      <c r="D303" s="701" t="s">
        <v>137</v>
      </c>
      <c r="E303" s="935"/>
      <c r="F303" s="930"/>
      <c r="G303" s="930"/>
      <c r="H303" s="131" t="s">
        <v>138</v>
      </c>
      <c r="I303" s="101">
        <v>6000</v>
      </c>
      <c r="J303" s="111">
        <v>18000</v>
      </c>
      <c r="K303" s="112">
        <v>6000</v>
      </c>
      <c r="L303" s="101">
        <v>18000</v>
      </c>
      <c r="M303" s="112"/>
      <c r="N303" s="6"/>
      <c r="O303" s="6"/>
    </row>
    <row r="304" spans="1:15" s="48" customFormat="1" ht="18" customHeight="1" x14ac:dyDescent="0.25">
      <c r="A304" s="926" t="s">
        <v>1388</v>
      </c>
      <c r="B304" s="48" t="s">
        <v>123</v>
      </c>
      <c r="C304" s="131" t="s">
        <v>138</v>
      </c>
      <c r="D304" s="931" t="s">
        <v>137</v>
      </c>
      <c r="E304" s="836"/>
      <c r="F304" s="836"/>
      <c r="G304" s="930"/>
      <c r="H304" s="131" t="s">
        <v>138</v>
      </c>
      <c r="I304" s="101">
        <v>102000</v>
      </c>
      <c r="J304" s="111">
        <v>180000</v>
      </c>
      <c r="K304" s="112">
        <v>108000</v>
      </c>
      <c r="L304" s="101">
        <v>180000</v>
      </c>
      <c r="M304" s="112"/>
      <c r="N304" s="6"/>
      <c r="O304" s="6"/>
    </row>
    <row r="305" spans="1:15" s="48" customFormat="1" ht="18" customHeight="1" x14ac:dyDescent="0.25">
      <c r="A305" s="926" t="s">
        <v>1388</v>
      </c>
      <c r="B305" s="48" t="s">
        <v>123</v>
      </c>
      <c r="C305" s="131" t="s">
        <v>138</v>
      </c>
      <c r="D305" s="837" t="s">
        <v>137</v>
      </c>
      <c r="E305" s="836"/>
      <c r="F305" s="836"/>
      <c r="G305" s="930"/>
      <c r="H305" s="131" t="s">
        <v>138</v>
      </c>
      <c r="I305" s="101">
        <v>18000</v>
      </c>
      <c r="J305" s="111">
        <v>18000</v>
      </c>
      <c r="K305" s="112">
        <v>18000</v>
      </c>
      <c r="L305" s="101">
        <v>18000</v>
      </c>
      <c r="M305" s="112"/>
      <c r="N305" s="6"/>
      <c r="O305" s="6"/>
    </row>
    <row r="306" spans="1:15" s="48" customFormat="1" ht="18" customHeight="1" x14ac:dyDescent="0.25">
      <c r="A306" s="926" t="s">
        <v>1388</v>
      </c>
      <c r="B306" s="48" t="s">
        <v>123</v>
      </c>
      <c r="C306" s="131" t="s">
        <v>138</v>
      </c>
      <c r="D306" s="837" t="s">
        <v>137</v>
      </c>
      <c r="E306" s="836"/>
      <c r="F306" s="836"/>
      <c r="G306" s="836"/>
      <c r="H306" s="131" t="s">
        <v>138</v>
      </c>
      <c r="I306" s="101">
        <v>210000</v>
      </c>
      <c r="J306" s="111">
        <v>324000</v>
      </c>
      <c r="K306" s="112">
        <v>240000</v>
      </c>
      <c r="L306" s="101">
        <v>324000</v>
      </c>
      <c r="M306" s="112"/>
      <c r="N306" s="6"/>
      <c r="O306" s="6"/>
    </row>
    <row r="307" spans="1:15" s="48" customFormat="1" ht="17.100000000000001" customHeight="1" x14ac:dyDescent="0.25">
      <c r="A307" s="926" t="s">
        <v>1388</v>
      </c>
      <c r="B307" s="48" t="s">
        <v>123</v>
      </c>
      <c r="C307" s="131" t="s">
        <v>138</v>
      </c>
      <c r="D307" s="932" t="s">
        <v>137</v>
      </c>
      <c r="E307" s="929"/>
      <c r="F307" s="929"/>
      <c r="G307" s="929"/>
      <c r="H307" s="131" t="s">
        <v>138</v>
      </c>
      <c r="I307" s="101">
        <v>24000</v>
      </c>
      <c r="J307" s="162">
        <v>36000</v>
      </c>
      <c r="K307" s="112">
        <v>30000</v>
      </c>
      <c r="L307" s="101">
        <v>36000</v>
      </c>
      <c r="M307" s="112"/>
      <c r="N307" s="6"/>
      <c r="O307" s="6"/>
    </row>
    <row r="308" spans="1:15" s="48" customFormat="1" ht="17.100000000000001" customHeight="1" x14ac:dyDescent="0.25">
      <c r="A308" s="926" t="s">
        <v>1388</v>
      </c>
      <c r="B308" s="48" t="s">
        <v>123</v>
      </c>
      <c r="C308" s="100" t="s">
        <v>138</v>
      </c>
      <c r="D308" s="838" t="s">
        <v>137</v>
      </c>
      <c r="E308" s="835"/>
      <c r="F308" s="835"/>
      <c r="G308" s="835"/>
      <c r="H308" s="100" t="s">
        <v>138</v>
      </c>
      <c r="I308" s="101">
        <v>84000</v>
      </c>
      <c r="J308" s="162">
        <v>144000</v>
      </c>
      <c r="K308" s="112">
        <v>108000</v>
      </c>
      <c r="L308" s="101">
        <v>144000</v>
      </c>
      <c r="M308" s="112"/>
      <c r="N308" s="6"/>
      <c r="O308" s="6"/>
    </row>
    <row r="309" spans="1:15" s="48" customFormat="1" ht="17.100000000000001" customHeight="1" x14ac:dyDescent="0.25">
      <c r="A309" s="926" t="s">
        <v>1388</v>
      </c>
      <c r="B309" s="136" t="s">
        <v>123</v>
      </c>
      <c r="C309" s="100" t="s">
        <v>138</v>
      </c>
      <c r="D309" s="838" t="s">
        <v>137</v>
      </c>
      <c r="E309" s="835"/>
      <c r="F309" s="835"/>
      <c r="G309" s="835"/>
      <c r="H309" s="100" t="s">
        <v>138</v>
      </c>
      <c r="I309" s="101">
        <v>42000</v>
      </c>
      <c r="J309" s="162">
        <v>72000</v>
      </c>
      <c r="K309" s="112">
        <v>60000</v>
      </c>
      <c r="L309" s="101">
        <v>72000</v>
      </c>
      <c r="M309" s="112"/>
      <c r="N309" s="6"/>
      <c r="O309" s="6"/>
    </row>
    <row r="310" spans="1:15" s="48" customFormat="1" ht="17.100000000000001" customHeight="1" x14ac:dyDescent="0.25">
      <c r="A310" s="926" t="s">
        <v>1388</v>
      </c>
      <c r="B310" s="136" t="s">
        <v>123</v>
      </c>
      <c r="C310" s="100" t="s">
        <v>138</v>
      </c>
      <c r="D310" s="838" t="s">
        <v>137</v>
      </c>
      <c r="E310" s="835"/>
      <c r="F310" s="835"/>
      <c r="G310" s="835"/>
      <c r="H310" s="100" t="s">
        <v>138</v>
      </c>
      <c r="I310" s="101">
        <v>84000</v>
      </c>
      <c r="J310" s="162">
        <v>108000</v>
      </c>
      <c r="K310" s="112">
        <v>84000</v>
      </c>
      <c r="L310" s="101">
        <v>108000</v>
      </c>
      <c r="M310" s="112">
        <f>SUM(L302:L310)</f>
        <v>930000</v>
      </c>
      <c r="N310" s="6"/>
      <c r="O310" s="6"/>
    </row>
    <row r="311" spans="1:15" s="48" customFormat="1" ht="17.100000000000001" customHeight="1" x14ac:dyDescent="0.25">
      <c r="A311" s="926" t="s">
        <v>1388</v>
      </c>
      <c r="B311" s="136" t="s">
        <v>123</v>
      </c>
      <c r="C311" s="100" t="s">
        <v>464</v>
      </c>
      <c r="D311" s="932" t="s">
        <v>210</v>
      </c>
      <c r="E311" s="929"/>
      <c r="F311" s="929"/>
      <c r="G311" s="929"/>
      <c r="H311" s="100" t="s">
        <v>464</v>
      </c>
      <c r="I311" s="101">
        <v>36400</v>
      </c>
      <c r="J311" s="162">
        <v>54000</v>
      </c>
      <c r="K311" s="112">
        <v>5850</v>
      </c>
      <c r="L311" s="101">
        <v>54000</v>
      </c>
      <c r="M311" s="112"/>
      <c r="N311" s="6"/>
      <c r="O311" s="6"/>
    </row>
    <row r="312" spans="1:15" s="48" customFormat="1" ht="17.100000000000001" customHeight="1" x14ac:dyDescent="0.25">
      <c r="A312" s="926" t="s">
        <v>1388</v>
      </c>
      <c r="B312" s="136" t="s">
        <v>123</v>
      </c>
      <c r="C312" s="100" t="s">
        <v>212</v>
      </c>
      <c r="D312" s="932" t="s">
        <v>211</v>
      </c>
      <c r="E312" s="929"/>
      <c r="F312" s="929"/>
      <c r="G312" s="929"/>
      <c r="H312" s="100" t="s">
        <v>212</v>
      </c>
      <c r="I312" s="101">
        <v>5195.84</v>
      </c>
      <c r="J312" s="162">
        <v>5400</v>
      </c>
      <c r="K312" s="112">
        <v>866.02</v>
      </c>
      <c r="L312" s="101">
        <v>5400</v>
      </c>
      <c r="M312" s="112"/>
      <c r="N312" s="6"/>
      <c r="O312" s="6"/>
    </row>
    <row r="313" spans="1:15" s="48" customFormat="1" ht="17.100000000000001" customHeight="1" x14ac:dyDescent="0.25">
      <c r="A313" s="926" t="s">
        <v>1388</v>
      </c>
      <c r="B313" s="136" t="s">
        <v>123</v>
      </c>
      <c r="C313" s="131" t="s">
        <v>146</v>
      </c>
      <c r="D313" s="838" t="s">
        <v>145</v>
      </c>
      <c r="E313" s="835"/>
      <c r="F313" s="835"/>
      <c r="G313" s="835"/>
      <c r="H313" s="131" t="s">
        <v>146</v>
      </c>
      <c r="I313" s="101">
        <v>20000</v>
      </c>
      <c r="J313" s="162">
        <v>25000</v>
      </c>
      <c r="K313" s="112"/>
      <c r="L313" s="101">
        <v>25000</v>
      </c>
      <c r="M313" s="112"/>
      <c r="N313" s="6"/>
      <c r="O313" s="6"/>
    </row>
    <row r="314" spans="1:15" s="48" customFormat="1" ht="17.100000000000001" customHeight="1" x14ac:dyDescent="0.25">
      <c r="A314" s="926" t="s">
        <v>1388</v>
      </c>
      <c r="B314" s="136" t="s">
        <v>123</v>
      </c>
      <c r="C314" s="131" t="s">
        <v>146</v>
      </c>
      <c r="D314" s="838" t="s">
        <v>145</v>
      </c>
      <c r="E314" s="835"/>
      <c r="F314" s="835"/>
      <c r="G314" s="835"/>
      <c r="H314" s="131" t="s">
        <v>146</v>
      </c>
      <c r="I314" s="101">
        <v>5000</v>
      </c>
      <c r="J314" s="162">
        <v>15000</v>
      </c>
      <c r="K314" s="112"/>
      <c r="L314" s="101">
        <v>15000</v>
      </c>
      <c r="M314" s="112"/>
      <c r="N314" s="6"/>
      <c r="O314" s="6"/>
    </row>
    <row r="315" spans="1:15" s="48" customFormat="1" ht="17.100000000000001" customHeight="1" x14ac:dyDescent="0.25">
      <c r="A315" s="926" t="s">
        <v>1388</v>
      </c>
      <c r="B315" s="136" t="s">
        <v>123</v>
      </c>
      <c r="C315" s="131" t="s">
        <v>146</v>
      </c>
      <c r="D315" s="837" t="s">
        <v>145</v>
      </c>
      <c r="E315" s="836"/>
      <c r="F315" s="836"/>
      <c r="G315" s="834"/>
      <c r="H315" s="131" t="s">
        <v>146</v>
      </c>
      <c r="I315" s="101">
        <v>90000</v>
      </c>
      <c r="J315" s="162">
        <v>150000</v>
      </c>
      <c r="K315" s="112"/>
      <c r="L315" s="101">
        <v>150000</v>
      </c>
      <c r="M315" s="112"/>
      <c r="N315" s="6"/>
      <c r="O315" s="6"/>
    </row>
    <row r="316" spans="1:15" s="48" customFormat="1" ht="17.100000000000001" customHeight="1" x14ac:dyDescent="0.25">
      <c r="A316" s="926" t="s">
        <v>1388</v>
      </c>
      <c r="B316" s="136" t="s">
        <v>123</v>
      </c>
      <c r="C316" s="131" t="s">
        <v>146</v>
      </c>
      <c r="D316" s="932" t="s">
        <v>145</v>
      </c>
      <c r="E316" s="929"/>
      <c r="F316" s="929"/>
      <c r="G316" s="929"/>
      <c r="H316" s="131" t="s">
        <v>146</v>
      </c>
      <c r="I316" s="101">
        <v>15000</v>
      </c>
      <c r="J316" s="162">
        <v>15000</v>
      </c>
      <c r="K316" s="112"/>
      <c r="L316" s="101">
        <v>15000</v>
      </c>
      <c r="M316" s="112"/>
      <c r="N316" s="6"/>
      <c r="O316" s="6"/>
    </row>
    <row r="317" spans="1:15" s="48" customFormat="1" ht="17.100000000000001" customHeight="1" x14ac:dyDescent="0.25">
      <c r="A317" s="926" t="s">
        <v>1388</v>
      </c>
      <c r="B317" s="136" t="s">
        <v>123</v>
      </c>
      <c r="C317" s="131" t="s">
        <v>146</v>
      </c>
      <c r="D317" s="838" t="s">
        <v>145</v>
      </c>
      <c r="E317" s="835"/>
      <c r="F317" s="835"/>
      <c r="G317" s="835"/>
      <c r="H317" s="131" t="s">
        <v>146</v>
      </c>
      <c r="I317" s="101">
        <v>205000</v>
      </c>
      <c r="J317" s="162">
        <v>270000</v>
      </c>
      <c r="K317" s="112"/>
      <c r="L317" s="101">
        <v>270000</v>
      </c>
      <c r="M317" s="112"/>
      <c r="N317" s="6"/>
      <c r="O317" s="6"/>
    </row>
    <row r="318" spans="1:15" s="48" customFormat="1" ht="17.100000000000001" customHeight="1" x14ac:dyDescent="0.25">
      <c r="A318" s="926" t="s">
        <v>1388</v>
      </c>
      <c r="B318" s="136" t="s">
        <v>123</v>
      </c>
      <c r="C318" s="131" t="s">
        <v>146</v>
      </c>
      <c r="D318" s="838" t="s">
        <v>145</v>
      </c>
      <c r="E318" s="835"/>
      <c r="F318" s="835"/>
      <c r="G318" s="835"/>
      <c r="H318" s="131" t="s">
        <v>146</v>
      </c>
      <c r="I318" s="101">
        <v>25000</v>
      </c>
      <c r="J318" s="162">
        <v>30000</v>
      </c>
      <c r="K318" s="112"/>
      <c r="L318" s="101">
        <v>30000</v>
      </c>
      <c r="M318" s="112"/>
      <c r="N318" s="6"/>
      <c r="O318" s="6"/>
    </row>
    <row r="319" spans="1:15" s="48" customFormat="1" ht="17.100000000000001" customHeight="1" x14ac:dyDescent="0.25">
      <c r="A319" s="926" t="s">
        <v>1388</v>
      </c>
      <c r="B319" s="136" t="s">
        <v>123</v>
      </c>
      <c r="C319" s="104" t="s">
        <v>146</v>
      </c>
      <c r="D319" s="932" t="s">
        <v>145</v>
      </c>
      <c r="E319" s="929"/>
      <c r="F319" s="929"/>
      <c r="G319" s="929"/>
      <c r="H319" s="104" t="s">
        <v>146</v>
      </c>
      <c r="I319" s="105">
        <v>90000</v>
      </c>
      <c r="J319" s="163">
        <v>120000</v>
      </c>
      <c r="K319" s="118"/>
      <c r="L319" s="101">
        <v>120000</v>
      </c>
      <c r="M319" s="112"/>
      <c r="N319" s="6"/>
      <c r="O319" s="6"/>
    </row>
    <row r="320" spans="1:15" s="48" customFormat="1" ht="17.100000000000001" customHeight="1" x14ac:dyDescent="0.25">
      <c r="A320" s="926" t="s">
        <v>1388</v>
      </c>
      <c r="B320" s="136" t="s">
        <v>123</v>
      </c>
      <c r="C320" s="100" t="s">
        <v>146</v>
      </c>
      <c r="D320" s="931" t="s">
        <v>145</v>
      </c>
      <c r="E320" s="930"/>
      <c r="F320" s="930"/>
      <c r="G320" s="928"/>
      <c r="H320" s="100" t="s">
        <v>146</v>
      </c>
      <c r="I320" s="101">
        <v>50000</v>
      </c>
      <c r="J320" s="162">
        <v>60000</v>
      </c>
      <c r="K320" s="112"/>
      <c r="L320" s="101">
        <v>60000</v>
      </c>
      <c r="M320" s="112"/>
      <c r="N320" s="6"/>
      <c r="O320" s="6"/>
    </row>
    <row r="321" spans="1:15" s="48" customFormat="1" ht="17.100000000000001" customHeight="1" x14ac:dyDescent="0.25">
      <c r="A321" s="926" t="s">
        <v>1388</v>
      </c>
      <c r="B321" s="136" t="s">
        <v>123</v>
      </c>
      <c r="C321" s="100" t="s">
        <v>146</v>
      </c>
      <c r="D321" s="931" t="s">
        <v>145</v>
      </c>
      <c r="E321" s="930"/>
      <c r="F321" s="930"/>
      <c r="G321" s="928"/>
      <c r="H321" s="100" t="s">
        <v>146</v>
      </c>
      <c r="I321" s="101">
        <v>70000</v>
      </c>
      <c r="J321" s="162">
        <v>90000</v>
      </c>
      <c r="K321" s="112"/>
      <c r="L321" s="101">
        <v>90000</v>
      </c>
      <c r="M321" s="112">
        <f>SUM(L313:L321)</f>
        <v>775000</v>
      </c>
      <c r="N321" s="6"/>
      <c r="O321" s="6"/>
    </row>
    <row r="322" spans="1:15" s="48" customFormat="1" ht="17.100000000000001" customHeight="1" x14ac:dyDescent="0.25">
      <c r="A322" s="926" t="s">
        <v>1388</v>
      </c>
      <c r="B322" s="136" t="s">
        <v>123</v>
      </c>
      <c r="C322" s="100" t="s">
        <v>150</v>
      </c>
      <c r="D322" s="936" t="s">
        <v>149</v>
      </c>
      <c r="E322" s="836"/>
      <c r="F322" s="836"/>
      <c r="G322" s="834"/>
      <c r="H322" s="100" t="s">
        <v>150</v>
      </c>
      <c r="I322" s="101">
        <v>273885</v>
      </c>
      <c r="J322" s="162">
        <v>128862</v>
      </c>
      <c r="K322" s="112">
        <v>22450</v>
      </c>
      <c r="L322" s="101">
        <v>140918.82</v>
      </c>
      <c r="M322" s="112"/>
      <c r="N322" s="6"/>
      <c r="O322" s="6"/>
    </row>
    <row r="323" spans="1:15" s="48" customFormat="1" ht="17.100000000000001" customHeight="1" x14ac:dyDescent="0.25">
      <c r="A323" s="926" t="s">
        <v>1388</v>
      </c>
      <c r="B323" s="136" t="s">
        <v>123</v>
      </c>
      <c r="C323" s="131" t="s">
        <v>232</v>
      </c>
      <c r="D323" s="936" t="s">
        <v>231</v>
      </c>
      <c r="E323" s="930"/>
      <c r="F323" s="930"/>
      <c r="G323" s="928"/>
      <c r="H323" s="131" t="s">
        <v>232</v>
      </c>
      <c r="I323" s="101"/>
      <c r="J323" s="162"/>
      <c r="K323" s="112"/>
      <c r="L323" s="101">
        <v>5000</v>
      </c>
      <c r="M323" s="112"/>
      <c r="N323" s="6"/>
      <c r="O323" s="6"/>
    </row>
    <row r="324" spans="1:15" s="48" customFormat="1" ht="17.100000000000001" customHeight="1" x14ac:dyDescent="0.25">
      <c r="A324" s="926" t="s">
        <v>1388</v>
      </c>
      <c r="B324" s="136" t="s">
        <v>123</v>
      </c>
      <c r="C324" s="131" t="s">
        <v>232</v>
      </c>
      <c r="D324" s="931" t="s">
        <v>231</v>
      </c>
      <c r="E324" s="930"/>
      <c r="F324" s="836"/>
      <c r="G324" s="928"/>
      <c r="H324" s="131" t="s">
        <v>232</v>
      </c>
      <c r="I324" s="101"/>
      <c r="J324" s="162">
        <v>0</v>
      </c>
      <c r="K324" s="112"/>
      <c r="L324" s="101">
        <v>15000</v>
      </c>
      <c r="M324" s="112"/>
      <c r="N324" s="6"/>
      <c r="O324" s="6"/>
    </row>
    <row r="325" spans="1:15" s="48" customFormat="1" ht="17.100000000000001" customHeight="1" x14ac:dyDescent="0.25">
      <c r="A325" s="926" t="s">
        <v>1388</v>
      </c>
      <c r="B325" s="136" t="s">
        <v>123</v>
      </c>
      <c r="C325" s="131" t="s">
        <v>232</v>
      </c>
      <c r="D325" s="936" t="s">
        <v>231</v>
      </c>
      <c r="E325" s="933"/>
      <c r="F325" s="933"/>
      <c r="G325" s="934"/>
      <c r="H325" s="131" t="s">
        <v>232</v>
      </c>
      <c r="I325" s="101">
        <v>35000</v>
      </c>
      <c r="J325" s="162">
        <v>20000</v>
      </c>
      <c r="K325" s="112"/>
      <c r="L325" s="101">
        <v>45000</v>
      </c>
      <c r="M325" s="112"/>
      <c r="N325" s="6"/>
      <c r="O325" s="6"/>
    </row>
    <row r="326" spans="1:15" s="48" customFormat="1" ht="17.100000000000001" customHeight="1" x14ac:dyDescent="0.25">
      <c r="A326" s="926" t="s">
        <v>1388</v>
      </c>
      <c r="B326" s="927" t="s">
        <v>123</v>
      </c>
      <c r="C326" s="100" t="s">
        <v>232</v>
      </c>
      <c r="D326" s="936" t="s">
        <v>231</v>
      </c>
      <c r="E326" s="836"/>
      <c r="F326" s="836"/>
      <c r="G326" s="834"/>
      <c r="H326" s="100" t="s">
        <v>232</v>
      </c>
      <c r="I326" s="101"/>
      <c r="J326" s="162">
        <v>10000</v>
      </c>
      <c r="K326" s="112"/>
      <c r="L326" s="105">
        <v>5000</v>
      </c>
      <c r="M326" s="112"/>
      <c r="N326" s="6"/>
      <c r="O326" s="6"/>
    </row>
    <row r="327" spans="1:15" s="136" customFormat="1" ht="18" customHeight="1" x14ac:dyDescent="0.25">
      <c r="A327" s="926" t="s">
        <v>1388</v>
      </c>
      <c r="B327" s="927" t="s">
        <v>123</v>
      </c>
      <c r="C327" s="100" t="s">
        <v>232</v>
      </c>
      <c r="D327" s="936" t="s">
        <v>231</v>
      </c>
      <c r="E327" s="930"/>
      <c r="F327" s="930"/>
      <c r="G327" s="930"/>
      <c r="H327" s="100" t="s">
        <v>232</v>
      </c>
      <c r="I327" s="101">
        <v>0</v>
      </c>
      <c r="J327" s="111">
        <v>0</v>
      </c>
      <c r="K327" s="112"/>
      <c r="L327" s="101">
        <v>5000</v>
      </c>
      <c r="M327" s="112">
        <f>SUM(L323:L327)</f>
        <v>75000</v>
      </c>
      <c r="N327" s="6"/>
      <c r="O327" s="6"/>
    </row>
    <row r="328" spans="1:15" s="136" customFormat="1" ht="18" customHeight="1" x14ac:dyDescent="0.25">
      <c r="A328" s="926" t="s">
        <v>1388</v>
      </c>
      <c r="B328" s="927" t="s">
        <v>123</v>
      </c>
      <c r="C328" s="131" t="s">
        <v>136</v>
      </c>
      <c r="D328" s="931" t="s">
        <v>135</v>
      </c>
      <c r="E328" s="930"/>
      <c r="F328" s="930"/>
      <c r="G328" s="930"/>
      <c r="H328" s="131" t="s">
        <v>136</v>
      </c>
      <c r="I328" s="101">
        <v>0</v>
      </c>
      <c r="J328" s="111">
        <v>204879.09</v>
      </c>
      <c r="K328" s="112"/>
      <c r="L328" s="101">
        <v>50000</v>
      </c>
      <c r="M328" s="112"/>
      <c r="N328" s="6"/>
      <c r="O328" s="6"/>
    </row>
    <row r="329" spans="1:15" s="136" customFormat="1" ht="18" customHeight="1" x14ac:dyDescent="0.25">
      <c r="A329" s="926" t="s">
        <v>1388</v>
      </c>
      <c r="B329" s="927" t="s">
        <v>123</v>
      </c>
      <c r="C329" s="131" t="s">
        <v>136</v>
      </c>
      <c r="D329" s="936" t="s">
        <v>135</v>
      </c>
      <c r="E329" s="836"/>
      <c r="F329" s="836"/>
      <c r="G329" s="836"/>
      <c r="H329" s="131" t="s">
        <v>136</v>
      </c>
      <c r="I329" s="101"/>
      <c r="J329" s="111">
        <v>20186.060000000001</v>
      </c>
      <c r="K329" s="112">
        <v>7949.84</v>
      </c>
      <c r="L329" s="102">
        <v>20000</v>
      </c>
      <c r="M329" s="112"/>
      <c r="N329" s="6"/>
      <c r="O329" s="6"/>
    </row>
    <row r="330" spans="1:15" s="136" customFormat="1" ht="18" customHeight="1" x14ac:dyDescent="0.25">
      <c r="A330" s="926" t="s">
        <v>1388</v>
      </c>
      <c r="B330" s="927" t="s">
        <v>123</v>
      </c>
      <c r="C330" s="131" t="s">
        <v>136</v>
      </c>
      <c r="D330" s="837" t="s">
        <v>135</v>
      </c>
      <c r="E330" s="836"/>
      <c r="F330" s="836"/>
      <c r="G330" s="930"/>
      <c r="H330" s="131" t="s">
        <v>136</v>
      </c>
      <c r="I330" s="101">
        <v>176983.09</v>
      </c>
      <c r="J330" s="111">
        <v>536811.72</v>
      </c>
      <c r="K330" s="112">
        <v>131318.94</v>
      </c>
      <c r="L330" s="102">
        <v>296799.95</v>
      </c>
      <c r="M330" s="112"/>
      <c r="N330" s="6"/>
      <c r="O330" s="6"/>
    </row>
    <row r="331" spans="1:15" s="136" customFormat="1" ht="18" customHeight="1" x14ac:dyDescent="0.25">
      <c r="A331" s="926" t="s">
        <v>1388</v>
      </c>
      <c r="B331" s="927" t="s">
        <v>123</v>
      </c>
      <c r="C331" s="131" t="s">
        <v>136</v>
      </c>
      <c r="D331" s="931" t="s">
        <v>135</v>
      </c>
      <c r="E331" s="930"/>
      <c r="F331" s="930"/>
      <c r="G331" s="930"/>
      <c r="H331" s="131" t="s">
        <v>136</v>
      </c>
      <c r="I331" s="101">
        <v>11812.16</v>
      </c>
      <c r="J331" s="111">
        <v>97851.56</v>
      </c>
      <c r="K331" s="112"/>
      <c r="L331" s="101">
        <v>40812.5</v>
      </c>
      <c r="M331" s="112"/>
      <c r="N331" s="6"/>
      <c r="O331" s="6"/>
    </row>
    <row r="332" spans="1:15" s="136" customFormat="1" ht="18" customHeight="1" x14ac:dyDescent="0.25">
      <c r="A332" s="926" t="s">
        <v>1388</v>
      </c>
      <c r="B332" s="927" t="s">
        <v>123</v>
      </c>
      <c r="C332" s="131" t="s">
        <v>136</v>
      </c>
      <c r="D332" s="837" t="s">
        <v>135</v>
      </c>
      <c r="E332" s="836"/>
      <c r="F332" s="836"/>
      <c r="G332" s="836"/>
      <c r="H332" s="131" t="s">
        <v>136</v>
      </c>
      <c r="I332" s="101">
        <v>105493.65</v>
      </c>
      <c r="J332" s="111">
        <v>372794.2</v>
      </c>
      <c r="K332" s="112"/>
      <c r="L332" s="102">
        <v>372794.2</v>
      </c>
      <c r="M332" s="112"/>
      <c r="N332" s="6"/>
      <c r="O332" s="6"/>
    </row>
    <row r="333" spans="1:15" s="136" customFormat="1" ht="18" customHeight="1" x14ac:dyDescent="0.25">
      <c r="A333" s="926" t="s">
        <v>1388</v>
      </c>
      <c r="B333" s="927" t="s">
        <v>123</v>
      </c>
      <c r="C333" s="131" t="s">
        <v>136</v>
      </c>
      <c r="D333" s="837" t="s">
        <v>135</v>
      </c>
      <c r="E333" s="836"/>
      <c r="F333" s="836"/>
      <c r="G333" s="930"/>
      <c r="H333" s="131" t="s">
        <v>136</v>
      </c>
      <c r="I333" s="101">
        <v>15492.52</v>
      </c>
      <c r="J333" s="111">
        <v>37971.800000000003</v>
      </c>
      <c r="K333" s="112">
        <v>24999.96</v>
      </c>
      <c r="L333" s="102">
        <v>37971.800000000003</v>
      </c>
      <c r="M333" s="111"/>
      <c r="N333" s="6"/>
      <c r="O333" s="6"/>
    </row>
    <row r="334" spans="1:15" s="48" customFormat="1" ht="18" customHeight="1" x14ac:dyDescent="0.25">
      <c r="A334" s="926" t="s">
        <v>1388</v>
      </c>
      <c r="B334" s="927" t="s">
        <v>123</v>
      </c>
      <c r="C334" s="100" t="s">
        <v>136</v>
      </c>
      <c r="D334" s="838" t="s">
        <v>135</v>
      </c>
      <c r="E334" s="835"/>
      <c r="F334" s="835"/>
      <c r="G334" s="835"/>
      <c r="H334" s="100" t="s">
        <v>136</v>
      </c>
      <c r="I334" s="101">
        <v>244412.07</v>
      </c>
      <c r="J334" s="102">
        <v>606092.16</v>
      </c>
      <c r="K334" s="101">
        <v>172549.97</v>
      </c>
      <c r="L334" s="101">
        <v>1336195.2</v>
      </c>
      <c r="M334" s="101"/>
      <c r="N334" s="6"/>
      <c r="O334" s="6"/>
    </row>
    <row r="335" spans="1:15" s="48" customFormat="1" ht="18" customHeight="1" x14ac:dyDescent="0.25">
      <c r="A335" s="926" t="s">
        <v>1388</v>
      </c>
      <c r="B335" s="927" t="s">
        <v>123</v>
      </c>
      <c r="C335" s="100" t="s">
        <v>136</v>
      </c>
      <c r="D335" s="931" t="s">
        <v>135</v>
      </c>
      <c r="E335" s="928"/>
      <c r="F335" s="835"/>
      <c r="G335" s="835"/>
      <c r="H335" s="100" t="s">
        <v>136</v>
      </c>
      <c r="I335" s="101">
        <v>209605.68</v>
      </c>
      <c r="J335" s="102">
        <v>289431.96000000002</v>
      </c>
      <c r="K335" s="101">
        <v>95244.65</v>
      </c>
      <c r="L335" s="101">
        <v>486384.24</v>
      </c>
      <c r="M335" s="101"/>
      <c r="N335" s="6"/>
      <c r="O335" s="6"/>
    </row>
    <row r="336" spans="1:15" s="48" customFormat="1" ht="18" customHeight="1" x14ac:dyDescent="0.25">
      <c r="A336" s="926" t="s">
        <v>1388</v>
      </c>
      <c r="B336" s="927" t="s">
        <v>123</v>
      </c>
      <c r="C336" s="100" t="s">
        <v>136</v>
      </c>
      <c r="D336" s="931" t="s">
        <v>135</v>
      </c>
      <c r="E336" s="930"/>
      <c r="F336" s="930"/>
      <c r="G336" s="928"/>
      <c r="H336" s="100" t="s">
        <v>136</v>
      </c>
      <c r="I336" s="101">
        <v>405422.89</v>
      </c>
      <c r="J336" s="102">
        <v>527266.36</v>
      </c>
      <c r="K336" s="101">
        <v>204511.31</v>
      </c>
      <c r="L336" s="102">
        <v>552447.27</v>
      </c>
      <c r="M336" s="101">
        <f>SUM(L328:L336)</f>
        <v>3193405.1599999997</v>
      </c>
      <c r="N336" s="6"/>
      <c r="O336" s="6"/>
    </row>
    <row r="337" spans="1:15" s="48" customFormat="1" ht="18" customHeight="1" x14ac:dyDescent="0.25">
      <c r="A337" s="926" t="s">
        <v>1388</v>
      </c>
      <c r="B337" s="927" t="s">
        <v>123</v>
      </c>
      <c r="C337" s="100" t="s">
        <v>136</v>
      </c>
      <c r="D337" s="932" t="s">
        <v>1284</v>
      </c>
      <c r="E337" s="929"/>
      <c r="F337" s="929"/>
      <c r="G337" s="929"/>
      <c r="H337" s="100" t="s">
        <v>136</v>
      </c>
      <c r="I337" s="101">
        <v>0</v>
      </c>
      <c r="J337" s="102">
        <v>137324.85</v>
      </c>
      <c r="K337" s="101"/>
      <c r="L337" s="101">
        <v>154854.26</v>
      </c>
      <c r="M337" s="101"/>
      <c r="N337" s="6"/>
      <c r="O337" s="6"/>
    </row>
    <row r="338" spans="1:15" s="48" customFormat="1" ht="18" customHeight="1" x14ac:dyDescent="0.25">
      <c r="A338" s="926" t="s">
        <v>1388</v>
      </c>
      <c r="B338" s="927" t="s">
        <v>123</v>
      </c>
      <c r="C338" s="131" t="s">
        <v>142</v>
      </c>
      <c r="D338" s="838" t="s">
        <v>141</v>
      </c>
      <c r="E338" s="835"/>
      <c r="F338" s="835"/>
      <c r="G338" s="835"/>
      <c r="H338" s="131" t="s">
        <v>142</v>
      </c>
      <c r="I338" s="101">
        <v>68985</v>
      </c>
      <c r="J338" s="102">
        <v>86838</v>
      </c>
      <c r="K338" s="101"/>
      <c r="L338" s="101">
        <v>95427</v>
      </c>
      <c r="M338" s="101"/>
      <c r="N338" s="6"/>
      <c r="O338" s="6"/>
    </row>
    <row r="339" spans="1:15" s="48" customFormat="1" ht="18" customHeight="1" x14ac:dyDescent="0.25">
      <c r="A339" s="926" t="s">
        <v>1388</v>
      </c>
      <c r="B339" s="927" t="s">
        <v>123</v>
      </c>
      <c r="C339" s="131" t="s">
        <v>142</v>
      </c>
      <c r="D339" s="932" t="s">
        <v>141</v>
      </c>
      <c r="E339" s="929"/>
      <c r="F339" s="929"/>
      <c r="G339" s="929"/>
      <c r="H339" s="131" t="s">
        <v>142</v>
      </c>
      <c r="I339" s="101">
        <v>17853</v>
      </c>
      <c r="J339" s="102">
        <v>54541</v>
      </c>
      <c r="K339" s="101"/>
      <c r="L339" s="101">
        <v>60650</v>
      </c>
      <c r="M339" s="101"/>
      <c r="N339" s="6"/>
      <c r="O339" s="6"/>
    </row>
    <row r="340" spans="1:15" s="48" customFormat="1" ht="18" customHeight="1" x14ac:dyDescent="0.25">
      <c r="A340" s="926" t="s">
        <v>1388</v>
      </c>
      <c r="B340" s="927" t="s">
        <v>123</v>
      </c>
      <c r="C340" s="131" t="s">
        <v>142</v>
      </c>
      <c r="D340" s="932" t="s">
        <v>141</v>
      </c>
      <c r="E340" s="929"/>
      <c r="F340" s="835"/>
      <c r="G340" s="835"/>
      <c r="H340" s="131" t="s">
        <v>142</v>
      </c>
      <c r="I340" s="101">
        <v>268756</v>
      </c>
      <c r="J340" s="102">
        <v>554909</v>
      </c>
      <c r="K340" s="101"/>
      <c r="L340" s="101">
        <v>606885</v>
      </c>
      <c r="M340" s="101"/>
      <c r="N340" s="6"/>
      <c r="O340" s="6"/>
    </row>
    <row r="341" spans="1:15" s="48" customFormat="1" ht="18" customHeight="1" x14ac:dyDescent="0.25">
      <c r="A341" s="926" t="s">
        <v>1388</v>
      </c>
      <c r="B341" s="927" t="s">
        <v>123</v>
      </c>
      <c r="C341" s="131" t="s">
        <v>142</v>
      </c>
      <c r="D341" s="838" t="s">
        <v>141</v>
      </c>
      <c r="E341" s="835"/>
      <c r="F341" s="835"/>
      <c r="G341" s="835"/>
      <c r="H341" s="131" t="s">
        <v>142</v>
      </c>
      <c r="I341" s="101">
        <v>105191</v>
      </c>
      <c r="J341" s="102">
        <v>105191</v>
      </c>
      <c r="K341" s="101"/>
      <c r="L341" s="101">
        <v>110707</v>
      </c>
      <c r="M341" s="101"/>
      <c r="N341" s="6"/>
      <c r="O341" s="6"/>
    </row>
    <row r="342" spans="1:15" s="48" customFormat="1" ht="18" customHeight="1" x14ac:dyDescent="0.25">
      <c r="A342" s="926" t="s">
        <v>1388</v>
      </c>
      <c r="B342" s="927" t="s">
        <v>123</v>
      </c>
      <c r="C342" s="131" t="s">
        <v>142</v>
      </c>
      <c r="D342" s="838" t="s">
        <v>141</v>
      </c>
      <c r="E342" s="835"/>
      <c r="F342" s="835"/>
      <c r="G342" s="835"/>
      <c r="H342" s="131" t="s">
        <v>142</v>
      </c>
      <c r="I342" s="101">
        <v>589332</v>
      </c>
      <c r="J342" s="102">
        <v>804553</v>
      </c>
      <c r="K342" s="101"/>
      <c r="L342" s="101">
        <v>873602</v>
      </c>
      <c r="M342" s="101"/>
      <c r="N342" s="6"/>
      <c r="O342" s="6"/>
    </row>
    <row r="343" spans="1:15" s="48" customFormat="1" ht="18" customHeight="1" x14ac:dyDescent="0.25">
      <c r="A343" s="926" t="s">
        <v>1388</v>
      </c>
      <c r="B343" s="927" t="s">
        <v>123</v>
      </c>
      <c r="C343" s="131" t="s">
        <v>142</v>
      </c>
      <c r="D343" s="837" t="s">
        <v>141</v>
      </c>
      <c r="E343" s="836"/>
      <c r="F343" s="836"/>
      <c r="G343" s="928"/>
      <c r="H343" s="131" t="s">
        <v>142</v>
      </c>
      <c r="I343" s="101">
        <v>135833</v>
      </c>
      <c r="J343" s="102">
        <v>155347</v>
      </c>
      <c r="K343" s="101"/>
      <c r="L343" s="101">
        <v>166725</v>
      </c>
      <c r="M343" s="101"/>
      <c r="N343" s="6"/>
      <c r="O343" s="6"/>
    </row>
    <row r="344" spans="1:15" s="48" customFormat="1" ht="18" customHeight="1" x14ac:dyDescent="0.25">
      <c r="A344" s="926" t="s">
        <v>1388</v>
      </c>
      <c r="B344" s="927" t="s">
        <v>123</v>
      </c>
      <c r="C344" s="100" t="s">
        <v>142</v>
      </c>
      <c r="D344" s="932" t="s">
        <v>141</v>
      </c>
      <c r="E344" s="929"/>
      <c r="F344" s="929"/>
      <c r="G344" s="929"/>
      <c r="H344" s="100" t="s">
        <v>142</v>
      </c>
      <c r="I344" s="101">
        <v>214025</v>
      </c>
      <c r="J344" s="102">
        <v>306425</v>
      </c>
      <c r="K344" s="101"/>
      <c r="L344" s="101">
        <v>332384</v>
      </c>
      <c r="M344" s="101"/>
      <c r="N344" s="6"/>
      <c r="O344" s="6"/>
    </row>
    <row r="345" spans="1:15" s="48" customFormat="1" ht="18" customHeight="1" x14ac:dyDescent="0.25">
      <c r="A345" s="926" t="s">
        <v>1388</v>
      </c>
      <c r="B345" s="927" t="s">
        <v>123</v>
      </c>
      <c r="C345" s="100" t="s">
        <v>142</v>
      </c>
      <c r="D345" s="932" t="s">
        <v>141</v>
      </c>
      <c r="E345" s="929"/>
      <c r="F345" s="929"/>
      <c r="G345" s="929"/>
      <c r="H345" s="100" t="s">
        <v>142</v>
      </c>
      <c r="I345" s="101">
        <v>120217</v>
      </c>
      <c r="J345" s="102">
        <v>141047</v>
      </c>
      <c r="K345" s="101"/>
      <c r="L345" s="101">
        <v>153894</v>
      </c>
      <c r="M345" s="101"/>
      <c r="N345" s="6"/>
      <c r="O345" s="6"/>
    </row>
    <row r="346" spans="1:15" s="48" customFormat="1" ht="18" customHeight="1" x14ac:dyDescent="0.25">
      <c r="A346" s="926" t="s">
        <v>1388</v>
      </c>
      <c r="B346" s="927" t="s">
        <v>123</v>
      </c>
      <c r="C346" s="100" t="s">
        <v>142</v>
      </c>
      <c r="D346" s="838" t="s">
        <v>141</v>
      </c>
      <c r="E346" s="835"/>
      <c r="F346" s="835"/>
      <c r="G346" s="835"/>
      <c r="H346" s="100" t="s">
        <v>142</v>
      </c>
      <c r="I346" s="101">
        <v>179065</v>
      </c>
      <c r="J346" s="102">
        <v>241071</v>
      </c>
      <c r="K346" s="101"/>
      <c r="L346" s="101">
        <v>263980</v>
      </c>
      <c r="M346" s="101">
        <f>SUM(L338:L346)</f>
        <v>2664254</v>
      </c>
      <c r="N346" s="6"/>
      <c r="O346" s="6"/>
    </row>
    <row r="347" spans="1:15" s="48" customFormat="1" ht="18" customHeight="1" x14ac:dyDescent="0.25">
      <c r="A347" s="926" t="s">
        <v>1388</v>
      </c>
      <c r="B347" s="927" t="s">
        <v>123</v>
      </c>
      <c r="C347" s="133" t="s">
        <v>144</v>
      </c>
      <c r="D347" s="932" t="s">
        <v>143</v>
      </c>
      <c r="E347" s="929"/>
      <c r="F347" s="929"/>
      <c r="G347" s="929"/>
      <c r="H347" s="133" t="s">
        <v>144</v>
      </c>
      <c r="I347" s="105">
        <v>20000</v>
      </c>
      <c r="J347" s="106">
        <v>25000</v>
      </c>
      <c r="K347" s="105"/>
      <c r="L347" s="105">
        <v>25000</v>
      </c>
      <c r="M347" s="105"/>
      <c r="N347" s="6"/>
      <c r="O347" s="6"/>
    </row>
    <row r="348" spans="1:15" s="48" customFormat="1" ht="18" customHeight="1" x14ac:dyDescent="0.25">
      <c r="A348" s="926" t="s">
        <v>1388</v>
      </c>
      <c r="B348" s="927" t="s">
        <v>123</v>
      </c>
      <c r="C348" s="131" t="s">
        <v>144</v>
      </c>
      <c r="D348" s="931" t="s">
        <v>143</v>
      </c>
      <c r="E348" s="930"/>
      <c r="F348" s="930"/>
      <c r="G348" s="928"/>
      <c r="H348" s="131" t="s">
        <v>144</v>
      </c>
      <c r="I348" s="101">
        <v>5000</v>
      </c>
      <c r="J348" s="102">
        <v>15000</v>
      </c>
      <c r="K348" s="101"/>
      <c r="L348" s="101">
        <v>15000</v>
      </c>
      <c r="M348" s="101"/>
      <c r="N348" s="6"/>
      <c r="O348" s="6"/>
    </row>
    <row r="349" spans="1:15" s="48" customFormat="1" ht="18" customHeight="1" x14ac:dyDescent="0.25">
      <c r="A349" s="926" t="s">
        <v>1388</v>
      </c>
      <c r="B349" s="927" t="s">
        <v>123</v>
      </c>
      <c r="C349" s="131" t="s">
        <v>144</v>
      </c>
      <c r="D349" s="837" t="s">
        <v>143</v>
      </c>
      <c r="E349" s="836"/>
      <c r="F349" s="836"/>
      <c r="G349" s="834"/>
      <c r="H349" s="131" t="s">
        <v>144</v>
      </c>
      <c r="I349" s="101">
        <v>90000</v>
      </c>
      <c r="J349" s="102">
        <v>150000</v>
      </c>
      <c r="K349" s="101"/>
      <c r="L349" s="101">
        <v>150000</v>
      </c>
      <c r="M349" s="102"/>
      <c r="N349" s="6"/>
      <c r="O349" s="6"/>
    </row>
    <row r="350" spans="1:15" s="48" customFormat="1" ht="18" customHeight="1" x14ac:dyDescent="0.25">
      <c r="A350" s="926" t="s">
        <v>1388</v>
      </c>
      <c r="B350" s="927" t="s">
        <v>123</v>
      </c>
      <c r="C350" s="131" t="s">
        <v>144</v>
      </c>
      <c r="D350" s="931" t="s">
        <v>143</v>
      </c>
      <c r="E350" s="930"/>
      <c r="F350" s="930"/>
      <c r="G350" s="928"/>
      <c r="H350" s="131" t="s">
        <v>144</v>
      </c>
      <c r="I350" s="101">
        <v>15000</v>
      </c>
      <c r="J350" s="102">
        <v>15000</v>
      </c>
      <c r="K350" s="101"/>
      <c r="L350" s="101">
        <v>15000</v>
      </c>
      <c r="M350" s="101"/>
      <c r="N350" s="6"/>
      <c r="O350" s="6"/>
    </row>
    <row r="351" spans="1:15" s="48" customFormat="1" ht="18" customHeight="1" x14ac:dyDescent="0.25">
      <c r="A351" s="926" t="s">
        <v>1388</v>
      </c>
      <c r="B351" s="927" t="s">
        <v>123</v>
      </c>
      <c r="C351" s="131" t="s">
        <v>144</v>
      </c>
      <c r="D351" s="837" t="s">
        <v>143</v>
      </c>
      <c r="E351" s="836"/>
      <c r="F351" s="836"/>
      <c r="G351" s="834"/>
      <c r="H351" s="131" t="s">
        <v>144</v>
      </c>
      <c r="I351" s="101">
        <v>210000</v>
      </c>
      <c r="J351" s="102">
        <v>270000</v>
      </c>
      <c r="K351" s="101"/>
      <c r="L351" s="101">
        <v>270000</v>
      </c>
      <c r="M351" s="101"/>
      <c r="N351" s="6"/>
      <c r="O351" s="6"/>
    </row>
    <row r="352" spans="1:15" s="179" customFormat="1" ht="21.75" customHeight="1" x14ac:dyDescent="0.25">
      <c r="A352" s="926" t="s">
        <v>1388</v>
      </c>
      <c r="B352" s="927" t="s">
        <v>123</v>
      </c>
      <c r="C352" s="131" t="s">
        <v>144</v>
      </c>
      <c r="D352" s="837" t="s">
        <v>143</v>
      </c>
      <c r="E352" s="836"/>
      <c r="F352" s="836"/>
      <c r="G352" s="834"/>
      <c r="H352" s="131" t="s">
        <v>144</v>
      </c>
      <c r="I352" s="101">
        <v>25000</v>
      </c>
      <c r="J352" s="162">
        <v>30000</v>
      </c>
      <c r="K352" s="112"/>
      <c r="L352" s="101">
        <v>30000</v>
      </c>
      <c r="M352" s="112"/>
      <c r="N352" s="177"/>
      <c r="O352" s="177"/>
    </row>
    <row r="353" spans="1:17" s="179" customFormat="1" ht="18" customHeight="1" x14ac:dyDescent="0.25">
      <c r="A353" s="926" t="s">
        <v>1388</v>
      </c>
      <c r="B353" s="927" t="s">
        <v>123</v>
      </c>
      <c r="C353" s="104" t="s">
        <v>144</v>
      </c>
      <c r="D353" s="837" t="s">
        <v>143</v>
      </c>
      <c r="E353" s="836"/>
      <c r="F353" s="836"/>
      <c r="G353" s="834"/>
      <c r="H353" s="104" t="s">
        <v>144</v>
      </c>
      <c r="I353" s="105">
        <v>90000</v>
      </c>
      <c r="J353" s="106">
        <v>120000</v>
      </c>
      <c r="K353" s="105"/>
      <c r="L353" s="105">
        <v>120000</v>
      </c>
      <c r="M353" s="105"/>
      <c r="N353" s="177"/>
      <c r="O353" s="177">
        <f>1435820.88+276480</f>
        <v>1712300.88</v>
      </c>
      <c r="P353" s="178"/>
      <c r="Q353" s="178"/>
    </row>
    <row r="354" spans="1:17" s="136" customFormat="1" ht="18" customHeight="1" x14ac:dyDescent="0.25">
      <c r="A354" s="926" t="s">
        <v>1388</v>
      </c>
      <c r="B354" s="927" t="s">
        <v>123</v>
      </c>
      <c r="C354" s="100" t="s">
        <v>144</v>
      </c>
      <c r="D354" s="931" t="s">
        <v>143</v>
      </c>
      <c r="E354" s="930"/>
      <c r="F354" s="930"/>
      <c r="G354" s="930"/>
      <c r="H354" s="100" t="s">
        <v>144</v>
      </c>
      <c r="I354" s="101">
        <v>50000</v>
      </c>
      <c r="J354" s="102">
        <v>60000</v>
      </c>
      <c r="K354" s="101"/>
      <c r="L354" s="101">
        <v>60000</v>
      </c>
      <c r="M354" s="101"/>
      <c r="N354" s="6"/>
      <c r="O354" s="6"/>
      <c r="P354" s="115"/>
      <c r="Q354" s="115"/>
    </row>
    <row r="355" spans="1:17" s="136" customFormat="1" ht="18" customHeight="1" x14ac:dyDescent="0.25">
      <c r="A355" s="926" t="s">
        <v>1388</v>
      </c>
      <c r="B355" s="927" t="s">
        <v>123</v>
      </c>
      <c r="C355" s="100" t="s">
        <v>144</v>
      </c>
      <c r="D355" s="931" t="s">
        <v>143</v>
      </c>
      <c r="E355" s="930"/>
      <c r="F355" s="930"/>
      <c r="G355" s="928"/>
      <c r="H355" s="100" t="s">
        <v>144</v>
      </c>
      <c r="I355" s="101">
        <v>65000</v>
      </c>
      <c r="J355" s="102">
        <v>90000</v>
      </c>
      <c r="K355" s="101"/>
      <c r="L355" s="101">
        <v>90000</v>
      </c>
      <c r="M355" s="101">
        <f>SUM(L347:L355)</f>
        <v>775000</v>
      </c>
      <c r="N355" s="6"/>
      <c r="O355" s="6"/>
      <c r="P355" s="115"/>
      <c r="Q355" s="115"/>
    </row>
    <row r="356" spans="1:17" s="48" customFormat="1" ht="17.100000000000001" customHeight="1" x14ac:dyDescent="0.25">
      <c r="A356" s="926" t="s">
        <v>1388</v>
      </c>
      <c r="B356" s="927" t="s">
        <v>123</v>
      </c>
      <c r="C356" s="131" t="s">
        <v>148</v>
      </c>
      <c r="D356" s="937" t="s">
        <v>147</v>
      </c>
      <c r="E356" s="835"/>
      <c r="F356" s="835"/>
      <c r="G356" s="835"/>
      <c r="H356" s="131" t="s">
        <v>148</v>
      </c>
      <c r="I356" s="101"/>
      <c r="J356" s="162"/>
      <c r="K356" s="112"/>
      <c r="L356" s="101">
        <v>15000</v>
      </c>
      <c r="M356" s="112"/>
      <c r="N356" s="6"/>
      <c r="O356" s="6"/>
    </row>
    <row r="357" spans="1:17" s="48" customFormat="1" ht="17.100000000000001" customHeight="1" x14ac:dyDescent="0.25">
      <c r="A357" s="926" t="s">
        <v>1388</v>
      </c>
      <c r="B357" s="927" t="s">
        <v>123</v>
      </c>
      <c r="C357" s="131" t="s">
        <v>148</v>
      </c>
      <c r="D357" s="860" t="s">
        <v>147</v>
      </c>
      <c r="E357" s="835"/>
      <c r="F357" s="835"/>
      <c r="G357" s="835"/>
      <c r="H357" s="131" t="s">
        <v>148</v>
      </c>
      <c r="I357" s="101"/>
      <c r="J357" s="162"/>
      <c r="K357" s="112"/>
      <c r="L357" s="101">
        <v>9000</v>
      </c>
      <c r="M357" s="112"/>
      <c r="N357" s="6"/>
      <c r="O357" s="6"/>
    </row>
    <row r="358" spans="1:17" s="48" customFormat="1" ht="17.100000000000001" customHeight="1" x14ac:dyDescent="0.25">
      <c r="A358" s="926" t="s">
        <v>1388</v>
      </c>
      <c r="B358" s="927" t="s">
        <v>123</v>
      </c>
      <c r="C358" s="131" t="s">
        <v>148</v>
      </c>
      <c r="D358" s="937" t="s">
        <v>147</v>
      </c>
      <c r="E358" s="929"/>
      <c r="F358" s="929"/>
      <c r="G358" s="929"/>
      <c r="H358" s="131" t="s">
        <v>148</v>
      </c>
      <c r="I358" s="101"/>
      <c r="J358" s="162"/>
      <c r="K358" s="112"/>
      <c r="L358" s="101">
        <v>90000</v>
      </c>
      <c r="M358" s="112"/>
      <c r="N358" s="6"/>
      <c r="O358" s="6"/>
    </row>
    <row r="359" spans="1:17" s="48" customFormat="1" ht="17.100000000000001" customHeight="1" x14ac:dyDescent="0.25">
      <c r="A359" s="926" t="s">
        <v>1388</v>
      </c>
      <c r="B359" s="927" t="s">
        <v>123</v>
      </c>
      <c r="C359" s="131" t="s">
        <v>148</v>
      </c>
      <c r="D359" s="937" t="s">
        <v>147</v>
      </c>
      <c r="E359" s="929"/>
      <c r="F359" s="929"/>
      <c r="G359" s="929"/>
      <c r="H359" s="131" t="s">
        <v>148</v>
      </c>
      <c r="I359" s="101"/>
      <c r="J359" s="162"/>
      <c r="K359" s="112"/>
      <c r="L359" s="101">
        <v>9000</v>
      </c>
      <c r="M359" s="112"/>
      <c r="N359" s="6"/>
      <c r="O359" s="6"/>
    </row>
    <row r="360" spans="1:17" s="48" customFormat="1" ht="17.100000000000001" customHeight="1" x14ac:dyDescent="0.25">
      <c r="A360" s="926" t="s">
        <v>1388</v>
      </c>
      <c r="B360" s="927" t="s">
        <v>123</v>
      </c>
      <c r="C360" s="131" t="s">
        <v>148</v>
      </c>
      <c r="D360" s="937" t="s">
        <v>147</v>
      </c>
      <c r="E360" s="835"/>
      <c r="F360" s="835"/>
      <c r="G360" s="835"/>
      <c r="H360" s="131" t="s">
        <v>148</v>
      </c>
      <c r="I360" s="101"/>
      <c r="J360" s="162"/>
      <c r="K360" s="112"/>
      <c r="L360" s="101">
        <v>162000</v>
      </c>
      <c r="M360" s="112"/>
      <c r="N360" s="6"/>
      <c r="O360" s="6"/>
    </row>
    <row r="361" spans="1:17" s="48" customFormat="1" ht="17.100000000000001" customHeight="1" x14ac:dyDescent="0.25">
      <c r="A361" s="926" t="s">
        <v>1388</v>
      </c>
      <c r="B361" s="927" t="s">
        <v>123</v>
      </c>
      <c r="C361" s="131" t="s">
        <v>148</v>
      </c>
      <c r="D361" s="937" t="s">
        <v>147</v>
      </c>
      <c r="E361" s="835"/>
      <c r="F361" s="835"/>
      <c r="G361" s="835"/>
      <c r="H361" s="131" t="s">
        <v>148</v>
      </c>
      <c r="I361" s="101"/>
      <c r="J361" s="162"/>
      <c r="K361" s="112"/>
      <c r="L361" s="101">
        <v>18000</v>
      </c>
      <c r="M361" s="112"/>
      <c r="N361" s="6"/>
      <c r="O361" s="6"/>
    </row>
    <row r="362" spans="1:17" s="48" customFormat="1" ht="17.100000000000001" customHeight="1" x14ac:dyDescent="0.25">
      <c r="A362" s="926" t="s">
        <v>1388</v>
      </c>
      <c r="B362" s="927" t="s">
        <v>123</v>
      </c>
      <c r="C362" s="100" t="s">
        <v>148</v>
      </c>
      <c r="D362" s="937" t="s">
        <v>147</v>
      </c>
      <c r="E362" s="929"/>
      <c r="F362" s="929"/>
      <c r="G362" s="929"/>
      <c r="H362" s="100" t="s">
        <v>148</v>
      </c>
      <c r="I362" s="101"/>
      <c r="J362" s="162"/>
      <c r="K362" s="112"/>
      <c r="L362" s="101">
        <v>72000</v>
      </c>
      <c r="M362" s="112"/>
      <c r="N362" s="6"/>
      <c r="O362" s="6"/>
    </row>
    <row r="363" spans="1:17" s="48" customFormat="1" ht="17.100000000000001" customHeight="1" x14ac:dyDescent="0.25">
      <c r="A363" s="926" t="s">
        <v>1388</v>
      </c>
      <c r="B363" s="927" t="s">
        <v>123</v>
      </c>
      <c r="C363" s="100" t="s">
        <v>148</v>
      </c>
      <c r="D363" s="937" t="s">
        <v>147</v>
      </c>
      <c r="E363" s="835"/>
      <c r="F363" s="835"/>
      <c r="G363" s="835"/>
      <c r="H363" s="100" t="s">
        <v>148</v>
      </c>
      <c r="I363" s="101"/>
      <c r="J363" s="162"/>
      <c r="K363" s="112"/>
      <c r="L363" s="101">
        <v>36000</v>
      </c>
      <c r="M363" s="112"/>
      <c r="N363" s="6"/>
      <c r="O363" s="6"/>
    </row>
    <row r="364" spans="1:17" s="48" customFormat="1" ht="17.100000000000001" customHeight="1" x14ac:dyDescent="0.25">
      <c r="A364" s="926" t="s">
        <v>1388</v>
      </c>
      <c r="B364" s="927" t="s">
        <v>123</v>
      </c>
      <c r="C364" s="100" t="s">
        <v>148</v>
      </c>
      <c r="D364" s="859" t="s">
        <v>147</v>
      </c>
      <c r="E364" s="836"/>
      <c r="F364" s="836"/>
      <c r="G364" s="834"/>
      <c r="H364" s="100" t="s">
        <v>148</v>
      </c>
      <c r="I364" s="101"/>
      <c r="J364" s="162"/>
      <c r="K364" s="112"/>
      <c r="L364" s="101">
        <v>54000</v>
      </c>
      <c r="M364" s="112">
        <f>SUM(L356:L364)</f>
        <v>465000</v>
      </c>
      <c r="N364" s="6"/>
      <c r="O364" s="6"/>
    </row>
    <row r="365" spans="1:17" s="48" customFormat="1" ht="17.100000000000001" customHeight="1" x14ac:dyDescent="0.25">
      <c r="A365" s="926" t="s">
        <v>1388</v>
      </c>
      <c r="B365" s="927" t="s">
        <v>123</v>
      </c>
      <c r="C365" s="131" t="s">
        <v>154</v>
      </c>
      <c r="D365" s="838" t="s">
        <v>153</v>
      </c>
      <c r="E365" s="835"/>
      <c r="F365" s="835"/>
      <c r="G365" s="835"/>
      <c r="H365" s="131" t="s">
        <v>154</v>
      </c>
      <c r="I365" s="101">
        <v>93601.56</v>
      </c>
      <c r="J365" s="162">
        <v>125046.72</v>
      </c>
      <c r="K365" s="112">
        <v>59560.32</v>
      </c>
      <c r="L365" s="101">
        <v>137269.20000000001</v>
      </c>
      <c r="M365" s="112"/>
      <c r="N365" s="6"/>
      <c r="O365" s="6"/>
    </row>
    <row r="366" spans="1:17" s="48" customFormat="1" ht="17.100000000000001" customHeight="1" x14ac:dyDescent="0.25">
      <c r="A366" s="926" t="s">
        <v>1388</v>
      </c>
      <c r="B366" s="927" t="s">
        <v>123</v>
      </c>
      <c r="C366" s="131" t="s">
        <v>154</v>
      </c>
      <c r="D366" s="838" t="s">
        <v>153</v>
      </c>
      <c r="E366" s="835"/>
      <c r="F366" s="835"/>
      <c r="G366" s="835"/>
      <c r="H366" s="131" t="s">
        <v>154</v>
      </c>
      <c r="I366" s="101">
        <v>25708.32</v>
      </c>
      <c r="J366" s="162">
        <v>78539.039999999994</v>
      </c>
      <c r="K366" s="112">
        <v>16045.68</v>
      </c>
      <c r="L366" s="101">
        <v>87281.52</v>
      </c>
      <c r="M366" s="112"/>
      <c r="N366" s="6"/>
      <c r="O366" s="6"/>
    </row>
    <row r="367" spans="1:17" s="48" customFormat="1" ht="17.100000000000001" customHeight="1" x14ac:dyDescent="0.25">
      <c r="A367" s="926" t="s">
        <v>1388</v>
      </c>
      <c r="B367" s="927" t="s">
        <v>123</v>
      </c>
      <c r="C367" s="131" t="s">
        <v>154</v>
      </c>
      <c r="D367" s="932" t="s">
        <v>153</v>
      </c>
      <c r="E367" s="929"/>
      <c r="F367" s="929"/>
      <c r="G367" s="929"/>
      <c r="H367" s="131" t="s">
        <v>154</v>
      </c>
      <c r="I367" s="101">
        <v>381242.88</v>
      </c>
      <c r="J367" s="162">
        <v>798334.08</v>
      </c>
      <c r="K367" s="112">
        <v>272306.09000000003</v>
      </c>
      <c r="L367" s="101">
        <v>873776.12</v>
      </c>
      <c r="M367" s="112"/>
      <c r="N367" s="6"/>
      <c r="O367" s="6"/>
    </row>
    <row r="368" spans="1:17" s="48" customFormat="1" ht="17.100000000000001" customHeight="1" x14ac:dyDescent="0.25">
      <c r="A368" s="926" t="s">
        <v>1388</v>
      </c>
      <c r="B368" s="927" t="s">
        <v>123</v>
      </c>
      <c r="C368" s="133" t="s">
        <v>154</v>
      </c>
      <c r="D368" s="932" t="s">
        <v>153</v>
      </c>
      <c r="E368" s="929"/>
      <c r="F368" s="929"/>
      <c r="G368" s="929"/>
      <c r="H368" s="133" t="s">
        <v>154</v>
      </c>
      <c r="I368" s="105">
        <v>151475.04</v>
      </c>
      <c r="J368" s="163">
        <v>151475.04</v>
      </c>
      <c r="K368" s="118">
        <v>90579.72</v>
      </c>
      <c r="L368" s="105">
        <v>159401.51999999999</v>
      </c>
      <c r="M368" s="118"/>
      <c r="N368" s="6"/>
      <c r="O368" s="6"/>
    </row>
    <row r="369" spans="1:15" s="48" customFormat="1" ht="17.100000000000001" customHeight="1" x14ac:dyDescent="0.25">
      <c r="A369" s="926" t="s">
        <v>1388</v>
      </c>
      <c r="B369" s="927" t="s">
        <v>123</v>
      </c>
      <c r="C369" s="131" t="s">
        <v>154</v>
      </c>
      <c r="D369" s="931" t="s">
        <v>153</v>
      </c>
      <c r="E369" s="930"/>
      <c r="F369" s="930"/>
      <c r="G369" s="928"/>
      <c r="H369" s="131" t="s">
        <v>154</v>
      </c>
      <c r="I369" s="101">
        <v>805487.75</v>
      </c>
      <c r="J369" s="162">
        <v>1157222.46</v>
      </c>
      <c r="K369" s="112">
        <v>497324.99</v>
      </c>
      <c r="L369" s="699">
        <v>1257780.33</v>
      </c>
      <c r="M369" s="112"/>
      <c r="N369" s="6"/>
      <c r="O369" s="6"/>
    </row>
    <row r="370" spans="1:15" s="48" customFormat="1" ht="17.100000000000001" customHeight="1" x14ac:dyDescent="0.25">
      <c r="A370" s="926" t="s">
        <v>1388</v>
      </c>
      <c r="B370" s="927" t="s">
        <v>123</v>
      </c>
      <c r="C370" s="131" t="s">
        <v>154</v>
      </c>
      <c r="D370" s="931" t="s">
        <v>153</v>
      </c>
      <c r="E370" s="930"/>
      <c r="F370" s="930"/>
      <c r="G370" s="928"/>
      <c r="H370" s="131" t="s">
        <v>154</v>
      </c>
      <c r="I370" s="101">
        <v>189862.68</v>
      </c>
      <c r="J370" s="162">
        <v>222287.04</v>
      </c>
      <c r="K370" s="112">
        <v>127172.23</v>
      </c>
      <c r="L370" s="699">
        <v>239379.12</v>
      </c>
      <c r="M370" s="112"/>
      <c r="N370" s="6"/>
      <c r="O370" s="6"/>
    </row>
    <row r="371" spans="1:15" s="48" customFormat="1" ht="17.100000000000001" customHeight="1" x14ac:dyDescent="0.25">
      <c r="A371" s="926" t="s">
        <v>1388</v>
      </c>
      <c r="B371" s="927" t="s">
        <v>123</v>
      </c>
      <c r="C371" s="100" t="s">
        <v>154</v>
      </c>
      <c r="D371" s="837" t="s">
        <v>153</v>
      </c>
      <c r="E371" s="836"/>
      <c r="F371" s="836"/>
      <c r="G371" s="834"/>
      <c r="H371" s="100" t="s">
        <v>154</v>
      </c>
      <c r="I371" s="101">
        <v>286241.37</v>
      </c>
      <c r="J371" s="162">
        <v>441311.64</v>
      </c>
      <c r="K371" s="112">
        <v>184897.96</v>
      </c>
      <c r="L371" s="699">
        <v>478528.48</v>
      </c>
      <c r="M371" s="112"/>
      <c r="N371" s="6"/>
      <c r="O371" s="6"/>
    </row>
    <row r="372" spans="1:15" s="48" customFormat="1" ht="17.100000000000001" customHeight="1" x14ac:dyDescent="0.25">
      <c r="A372" s="926" t="s">
        <v>1388</v>
      </c>
      <c r="B372" s="927" t="s">
        <v>123</v>
      </c>
      <c r="C372" s="100" t="s">
        <v>154</v>
      </c>
      <c r="D372" s="837" t="s">
        <v>153</v>
      </c>
      <c r="E372" s="836"/>
      <c r="F372" s="836"/>
      <c r="G372" s="834"/>
      <c r="H372" s="100" t="s">
        <v>154</v>
      </c>
      <c r="I372" s="101">
        <v>156975.67000000001</v>
      </c>
      <c r="J372" s="162">
        <v>203107.68</v>
      </c>
      <c r="K372" s="112">
        <v>96713</v>
      </c>
      <c r="L372" s="699">
        <v>221418.44</v>
      </c>
      <c r="M372" s="112"/>
      <c r="N372" s="6"/>
      <c r="O372" s="6"/>
    </row>
    <row r="373" spans="1:15" s="48" customFormat="1" ht="17.100000000000001" customHeight="1" x14ac:dyDescent="0.25">
      <c r="A373" s="926" t="s">
        <v>1388</v>
      </c>
      <c r="B373" s="927" t="s">
        <v>123</v>
      </c>
      <c r="C373" s="100" t="s">
        <v>154</v>
      </c>
      <c r="D373" s="931" t="s">
        <v>153</v>
      </c>
      <c r="E373" s="930"/>
      <c r="F373" s="930"/>
      <c r="G373" s="928"/>
      <c r="H373" s="100" t="s">
        <v>154</v>
      </c>
      <c r="I373" s="101">
        <v>276063.12</v>
      </c>
      <c r="J373" s="162">
        <v>347218.56</v>
      </c>
      <c r="K373" s="112">
        <v>169104.26</v>
      </c>
      <c r="L373" s="699">
        <v>379944.33</v>
      </c>
      <c r="M373" s="112">
        <f>SUM(L365:L373)</f>
        <v>3834779.0600000005</v>
      </c>
      <c r="N373" s="6"/>
      <c r="O373" s="6"/>
    </row>
    <row r="374" spans="1:15" s="48" customFormat="1" ht="17.100000000000001" customHeight="1" x14ac:dyDescent="0.25">
      <c r="A374" s="926" t="s">
        <v>1388</v>
      </c>
      <c r="B374" s="927" t="s">
        <v>123</v>
      </c>
      <c r="C374" s="131" t="s">
        <v>156</v>
      </c>
      <c r="D374" s="931" t="s">
        <v>155</v>
      </c>
      <c r="E374" s="836"/>
      <c r="F374" s="836"/>
      <c r="G374" s="834"/>
      <c r="H374" s="131" t="s">
        <v>156</v>
      </c>
      <c r="I374" s="101">
        <v>4300</v>
      </c>
      <c r="J374" s="162">
        <v>6000</v>
      </c>
      <c r="K374" s="112">
        <v>2800</v>
      </c>
      <c r="L374" s="699">
        <v>6000</v>
      </c>
      <c r="M374" s="112"/>
      <c r="N374" s="6"/>
      <c r="O374" s="6"/>
    </row>
    <row r="375" spans="1:15" s="48" customFormat="1" ht="17.100000000000001" customHeight="1" x14ac:dyDescent="0.25">
      <c r="A375" s="926" t="s">
        <v>1388</v>
      </c>
      <c r="B375" s="927" t="s">
        <v>123</v>
      </c>
      <c r="C375" s="131" t="s">
        <v>156</v>
      </c>
      <c r="D375" s="931" t="s">
        <v>155</v>
      </c>
      <c r="E375" s="930"/>
      <c r="F375" s="930"/>
      <c r="G375" s="928"/>
      <c r="H375" s="131" t="s">
        <v>156</v>
      </c>
      <c r="I375" s="101">
        <v>1200</v>
      </c>
      <c r="J375" s="162">
        <v>3600</v>
      </c>
      <c r="K375" s="112">
        <v>700</v>
      </c>
      <c r="L375" s="699">
        <v>3600</v>
      </c>
      <c r="M375" s="112"/>
      <c r="N375" s="6"/>
      <c r="O375" s="6">
        <v>720</v>
      </c>
    </row>
    <row r="376" spans="1:15" s="48" customFormat="1" ht="17.100000000000001" customHeight="1" x14ac:dyDescent="0.25">
      <c r="A376" s="926" t="s">
        <v>1388</v>
      </c>
      <c r="B376" s="927" t="s">
        <v>123</v>
      </c>
      <c r="C376" s="131" t="s">
        <v>156</v>
      </c>
      <c r="D376" s="932" t="s">
        <v>155</v>
      </c>
      <c r="E376" s="929"/>
      <c r="F376" s="929"/>
      <c r="G376" s="929"/>
      <c r="H376" s="131" t="s">
        <v>156</v>
      </c>
      <c r="I376" s="101">
        <v>21100</v>
      </c>
      <c r="J376" s="162">
        <v>36000</v>
      </c>
      <c r="K376" s="112">
        <v>13600</v>
      </c>
      <c r="L376" s="101">
        <v>36000</v>
      </c>
      <c r="M376" s="112"/>
      <c r="N376" s="6"/>
      <c r="O376" s="6"/>
    </row>
    <row r="377" spans="1:15" s="48" customFormat="1" ht="18" customHeight="1" x14ac:dyDescent="0.25">
      <c r="A377" s="926" t="s">
        <v>1388</v>
      </c>
      <c r="B377" s="927" t="s">
        <v>123</v>
      </c>
      <c r="C377" s="131" t="s">
        <v>156</v>
      </c>
      <c r="D377" s="932" t="s">
        <v>155</v>
      </c>
      <c r="E377" s="929"/>
      <c r="F377" s="929"/>
      <c r="G377" s="929"/>
      <c r="H377" s="131" t="s">
        <v>156</v>
      </c>
      <c r="I377" s="101">
        <v>3600</v>
      </c>
      <c r="J377" s="102">
        <v>3600</v>
      </c>
      <c r="K377" s="101">
        <v>2100</v>
      </c>
      <c r="L377" s="101">
        <v>3600</v>
      </c>
      <c r="M377" s="101"/>
      <c r="N377" s="6"/>
      <c r="O377" s="6"/>
    </row>
    <row r="378" spans="1:15" s="48" customFormat="1" ht="17.100000000000001" customHeight="1" x14ac:dyDescent="0.25">
      <c r="A378" s="926" t="s">
        <v>1388</v>
      </c>
      <c r="B378" s="927" t="s">
        <v>123</v>
      </c>
      <c r="C378" s="131" t="s">
        <v>156</v>
      </c>
      <c r="D378" s="838" t="s">
        <v>155</v>
      </c>
      <c r="E378" s="835"/>
      <c r="F378" s="835"/>
      <c r="G378" s="835"/>
      <c r="H378" s="131" t="s">
        <v>156</v>
      </c>
      <c r="I378" s="101">
        <v>46800</v>
      </c>
      <c r="J378" s="162">
        <v>64800</v>
      </c>
      <c r="K378" s="112">
        <v>27900</v>
      </c>
      <c r="L378" s="101">
        <v>64800</v>
      </c>
      <c r="M378" s="112"/>
      <c r="N378" s="6"/>
      <c r="O378" s="6"/>
    </row>
    <row r="379" spans="1:15" s="48" customFormat="1" ht="17.100000000000001" customHeight="1" x14ac:dyDescent="0.25">
      <c r="A379" s="926" t="s">
        <v>1388</v>
      </c>
      <c r="B379" s="146" t="s">
        <v>123</v>
      </c>
      <c r="C379" s="131" t="s">
        <v>156</v>
      </c>
      <c r="D379" s="838" t="s">
        <v>155</v>
      </c>
      <c r="E379" s="835"/>
      <c r="F379" s="835"/>
      <c r="G379" s="835"/>
      <c r="H379" s="131" t="s">
        <v>156</v>
      </c>
      <c r="I379" s="101">
        <v>5500</v>
      </c>
      <c r="J379" s="162">
        <v>7200</v>
      </c>
      <c r="K379" s="112">
        <v>4000</v>
      </c>
      <c r="L379" s="101">
        <v>7200</v>
      </c>
      <c r="M379" s="112"/>
      <c r="N379" s="6"/>
      <c r="O379" s="6"/>
    </row>
    <row r="380" spans="1:15" s="48" customFormat="1" ht="17.100000000000001" customHeight="1" x14ac:dyDescent="0.25">
      <c r="A380" s="926" t="s">
        <v>1388</v>
      </c>
      <c r="B380" s="146" t="s">
        <v>123</v>
      </c>
      <c r="C380" s="100" t="s">
        <v>156</v>
      </c>
      <c r="D380" s="838" t="s">
        <v>155</v>
      </c>
      <c r="E380" s="835"/>
      <c r="F380" s="835"/>
      <c r="G380" s="835"/>
      <c r="H380" s="100" t="s">
        <v>156</v>
      </c>
      <c r="I380" s="101">
        <v>19600</v>
      </c>
      <c r="J380" s="162">
        <v>28800</v>
      </c>
      <c r="K380" s="112">
        <v>15005.92</v>
      </c>
      <c r="L380" s="101">
        <v>28800</v>
      </c>
      <c r="M380" s="112"/>
      <c r="N380" s="6"/>
      <c r="O380" s="6"/>
    </row>
    <row r="381" spans="1:15" s="48" customFormat="1" ht="17.100000000000001" customHeight="1" x14ac:dyDescent="0.25">
      <c r="A381" s="926" t="s">
        <v>1388</v>
      </c>
      <c r="B381" s="146" t="s">
        <v>123</v>
      </c>
      <c r="C381" s="100" t="s">
        <v>156</v>
      </c>
      <c r="D381" s="837" t="s">
        <v>155</v>
      </c>
      <c r="E381" s="928"/>
      <c r="F381" s="929"/>
      <c r="G381" s="929"/>
      <c r="H381" s="100" t="s">
        <v>156</v>
      </c>
      <c r="I381" s="101">
        <v>10600</v>
      </c>
      <c r="J381" s="162">
        <v>14400</v>
      </c>
      <c r="K381" s="112">
        <v>6600</v>
      </c>
      <c r="L381" s="101">
        <v>14400</v>
      </c>
      <c r="M381" s="112"/>
      <c r="N381" s="6"/>
      <c r="O381" s="6"/>
    </row>
    <row r="382" spans="1:15" s="48" customFormat="1" ht="17.100000000000001" customHeight="1" x14ac:dyDescent="0.25">
      <c r="A382" s="926" t="s">
        <v>1388</v>
      </c>
      <c r="B382" s="146" t="s">
        <v>123</v>
      </c>
      <c r="C382" s="100" t="s">
        <v>156</v>
      </c>
      <c r="D382" s="838" t="s">
        <v>155</v>
      </c>
      <c r="E382" s="835"/>
      <c r="F382" s="835"/>
      <c r="G382" s="835"/>
      <c r="H382" s="100" t="s">
        <v>156</v>
      </c>
      <c r="I382" s="101">
        <v>16800</v>
      </c>
      <c r="J382" s="162">
        <v>21600</v>
      </c>
      <c r="K382" s="112">
        <v>9800</v>
      </c>
      <c r="L382" s="101">
        <v>21600</v>
      </c>
      <c r="M382" s="112">
        <f>SUM(L374:L382)</f>
        <v>186000</v>
      </c>
      <c r="N382" s="6"/>
      <c r="O382" s="6"/>
    </row>
    <row r="383" spans="1:15" s="48" customFormat="1" ht="17.100000000000001" customHeight="1" x14ac:dyDescent="0.25">
      <c r="A383" s="926" t="s">
        <v>1388</v>
      </c>
      <c r="B383" s="146" t="s">
        <v>123</v>
      </c>
      <c r="C383" s="131" t="s">
        <v>158</v>
      </c>
      <c r="D383" s="932" t="s">
        <v>157</v>
      </c>
      <c r="E383" s="929"/>
      <c r="F383" s="929"/>
      <c r="G383" s="929"/>
      <c r="H383" s="131" t="s">
        <v>158</v>
      </c>
      <c r="I383" s="101">
        <v>11617.43</v>
      </c>
      <c r="J383" s="162">
        <v>18235.98</v>
      </c>
      <c r="K383" s="112">
        <v>7531.49</v>
      </c>
      <c r="L383" s="101">
        <v>45782.8</v>
      </c>
      <c r="M383" s="112"/>
      <c r="N383" s="6"/>
      <c r="O383" s="6"/>
    </row>
    <row r="384" spans="1:15" s="48" customFormat="1" ht="17.100000000000001" customHeight="1" x14ac:dyDescent="0.25">
      <c r="A384" s="926" t="s">
        <v>1388</v>
      </c>
      <c r="B384" s="146" t="s">
        <v>123</v>
      </c>
      <c r="C384" s="131" t="s">
        <v>158</v>
      </c>
      <c r="D384" s="838" t="s">
        <v>157</v>
      </c>
      <c r="E384" s="835"/>
      <c r="F384" s="835"/>
      <c r="G384" s="835"/>
      <c r="H384" s="131" t="s">
        <v>158</v>
      </c>
      <c r="I384" s="101">
        <v>3213.6</v>
      </c>
      <c r="J384" s="162">
        <v>11453.61</v>
      </c>
      <c r="K384" s="112">
        <v>2005.71</v>
      </c>
      <c r="L384" s="101">
        <v>29262.799999999999</v>
      </c>
      <c r="M384" s="112"/>
      <c r="N384" s="6"/>
      <c r="O384" s="6"/>
    </row>
    <row r="385" spans="1:15" s="48" customFormat="1" ht="17.100000000000001" customHeight="1" x14ac:dyDescent="0.25">
      <c r="A385" s="926" t="s">
        <v>1388</v>
      </c>
      <c r="B385" s="146" t="s">
        <v>123</v>
      </c>
      <c r="C385" s="131" t="s">
        <v>158</v>
      </c>
      <c r="D385" s="838" t="s">
        <v>157</v>
      </c>
      <c r="E385" s="835"/>
      <c r="F385" s="835"/>
      <c r="G385" s="835"/>
      <c r="H385" s="131" t="s">
        <v>158</v>
      </c>
      <c r="I385" s="101">
        <v>47573.06</v>
      </c>
      <c r="J385" s="162">
        <v>114830.24</v>
      </c>
      <c r="K385" s="112">
        <v>34804.33</v>
      </c>
      <c r="L385" s="101">
        <v>291221.27</v>
      </c>
      <c r="M385" s="112"/>
      <c r="N385" s="6"/>
      <c r="O385" s="6"/>
    </row>
    <row r="386" spans="1:15" s="48" customFormat="1" ht="17.100000000000001" customHeight="1" x14ac:dyDescent="0.25">
      <c r="A386" s="926" t="s">
        <v>1388</v>
      </c>
      <c r="B386" s="146" t="s">
        <v>123</v>
      </c>
      <c r="C386" s="131" t="s">
        <v>158</v>
      </c>
      <c r="D386" s="837" t="s">
        <v>157</v>
      </c>
      <c r="E386" s="836"/>
      <c r="F386" s="836"/>
      <c r="G386" s="834"/>
      <c r="H386" s="131" t="s">
        <v>158</v>
      </c>
      <c r="I386" s="101">
        <v>15309.02</v>
      </c>
      <c r="J386" s="162">
        <v>19960.5</v>
      </c>
      <c r="K386" s="112">
        <v>9042.73</v>
      </c>
      <c r="L386" s="101">
        <v>51561.36</v>
      </c>
      <c r="M386" s="112"/>
      <c r="N386" s="6"/>
      <c r="O386" s="6"/>
    </row>
    <row r="387" spans="1:15" s="48" customFormat="1" ht="17.100000000000001" customHeight="1" x14ac:dyDescent="0.25">
      <c r="A387" s="926" t="s">
        <v>1388</v>
      </c>
      <c r="B387" s="146" t="s">
        <v>123</v>
      </c>
      <c r="C387" s="131" t="s">
        <v>158</v>
      </c>
      <c r="D387" s="932" t="s">
        <v>157</v>
      </c>
      <c r="E387" s="929"/>
      <c r="F387" s="929"/>
      <c r="G387" s="929"/>
      <c r="H387" s="131" t="s">
        <v>158</v>
      </c>
      <c r="I387" s="101">
        <v>96143.34</v>
      </c>
      <c r="J387" s="162">
        <v>165626.12</v>
      </c>
      <c r="K387" s="112">
        <v>59987.040000000001</v>
      </c>
      <c r="L387" s="101">
        <v>415621.71</v>
      </c>
      <c r="M387" s="112"/>
      <c r="N387" s="6"/>
      <c r="O387" s="6"/>
    </row>
    <row r="388" spans="1:15" s="48" customFormat="1" ht="17.100000000000001" customHeight="1" x14ac:dyDescent="0.25">
      <c r="A388" s="926" t="s">
        <v>1388</v>
      </c>
      <c r="B388" s="146" t="s">
        <v>123</v>
      </c>
      <c r="C388" s="131" t="s">
        <v>158</v>
      </c>
      <c r="D388" s="838" t="s">
        <v>157</v>
      </c>
      <c r="E388" s="835"/>
      <c r="F388" s="835"/>
      <c r="G388" s="835"/>
      <c r="H388" s="131" t="s">
        <v>158</v>
      </c>
      <c r="I388" s="101">
        <v>20024.650000000001</v>
      </c>
      <c r="J388" s="162">
        <v>30218.58</v>
      </c>
      <c r="K388" s="112">
        <v>13911.19</v>
      </c>
      <c r="L388" s="101">
        <v>77821.2</v>
      </c>
      <c r="M388" s="112"/>
      <c r="N388" s="6"/>
      <c r="O388" s="6"/>
    </row>
    <row r="389" spans="1:15" s="48" customFormat="1" ht="17.100000000000001" customHeight="1" x14ac:dyDescent="0.25">
      <c r="A389" s="926" t="s">
        <v>1388</v>
      </c>
      <c r="B389" s="146" t="s">
        <v>123</v>
      </c>
      <c r="C389" s="100" t="s">
        <v>158</v>
      </c>
      <c r="D389" s="932" t="s">
        <v>157</v>
      </c>
      <c r="E389" s="835"/>
      <c r="F389" s="835"/>
      <c r="G389" s="835"/>
      <c r="H389" s="100" t="s">
        <v>158</v>
      </c>
      <c r="I389" s="101">
        <v>35484.800000000003</v>
      </c>
      <c r="J389" s="162">
        <v>64357.95</v>
      </c>
      <c r="K389" s="112">
        <v>23869.67</v>
      </c>
      <c r="L389" s="101">
        <v>159880.53</v>
      </c>
      <c r="M389" s="112"/>
      <c r="N389" s="6"/>
      <c r="O389" s="6"/>
    </row>
    <row r="390" spans="1:15" s="48" customFormat="1" ht="17.100000000000001" customHeight="1" x14ac:dyDescent="0.25">
      <c r="A390" s="926" t="s">
        <v>1388</v>
      </c>
      <c r="B390" s="146" t="s">
        <v>123</v>
      </c>
      <c r="C390" s="104" t="s">
        <v>158</v>
      </c>
      <c r="D390" s="932" t="s">
        <v>157</v>
      </c>
      <c r="E390" s="835"/>
      <c r="F390" s="835"/>
      <c r="G390" s="835"/>
      <c r="H390" s="104" t="s">
        <v>158</v>
      </c>
      <c r="I390" s="105">
        <v>19528.5</v>
      </c>
      <c r="J390" s="163">
        <v>29619.81</v>
      </c>
      <c r="K390" s="118">
        <v>12391.59</v>
      </c>
      <c r="L390" s="105">
        <v>73926.149999999994</v>
      </c>
      <c r="M390" s="118"/>
      <c r="N390" s="6"/>
      <c r="O390" s="6"/>
    </row>
    <row r="391" spans="1:15" s="48" customFormat="1" ht="17.100000000000001" customHeight="1" x14ac:dyDescent="0.25">
      <c r="A391" s="926" t="s">
        <v>1388</v>
      </c>
      <c r="B391" s="146" t="s">
        <v>123</v>
      </c>
      <c r="C391" s="100" t="s">
        <v>158</v>
      </c>
      <c r="D391" s="931" t="s">
        <v>157</v>
      </c>
      <c r="E391" s="930"/>
      <c r="F391" s="930"/>
      <c r="G391" s="928"/>
      <c r="H391" s="100" t="s">
        <v>158</v>
      </c>
      <c r="I391" s="101">
        <v>34607.74</v>
      </c>
      <c r="J391" s="162">
        <v>50639.61</v>
      </c>
      <c r="K391" s="112">
        <v>21148.86</v>
      </c>
      <c r="L391" s="101">
        <v>126949.55</v>
      </c>
      <c r="M391" s="112">
        <f>SUM(L383:L391)</f>
        <v>1272027.3699999999</v>
      </c>
      <c r="N391" s="6"/>
      <c r="O391" s="6"/>
    </row>
    <row r="392" spans="1:15" s="48" customFormat="1" ht="17.100000000000001" customHeight="1" x14ac:dyDescent="0.25">
      <c r="A392" s="926" t="s">
        <v>1388</v>
      </c>
      <c r="B392" s="146" t="s">
        <v>123</v>
      </c>
      <c r="C392" s="131" t="s">
        <v>160</v>
      </c>
      <c r="D392" s="837" t="s">
        <v>159</v>
      </c>
      <c r="E392" s="836"/>
      <c r="F392" s="836"/>
      <c r="G392" s="834"/>
      <c r="H392" s="131" t="s">
        <v>160</v>
      </c>
      <c r="I392" s="101">
        <v>4300</v>
      </c>
      <c r="J392" s="162">
        <v>6000</v>
      </c>
      <c r="K392" s="112">
        <v>2800</v>
      </c>
      <c r="L392" s="101">
        <v>6000</v>
      </c>
      <c r="M392" s="112"/>
      <c r="N392" s="6"/>
      <c r="O392" s="6"/>
    </row>
    <row r="393" spans="1:15" s="48" customFormat="1" ht="17.100000000000001" customHeight="1" x14ac:dyDescent="0.25">
      <c r="A393" s="926" t="s">
        <v>1388</v>
      </c>
      <c r="B393" s="146" t="s">
        <v>123</v>
      </c>
      <c r="C393" s="131" t="s">
        <v>160</v>
      </c>
      <c r="D393" s="931" t="s">
        <v>159</v>
      </c>
      <c r="E393" s="836"/>
      <c r="F393" s="836"/>
      <c r="G393" s="834"/>
      <c r="H393" s="131" t="s">
        <v>160</v>
      </c>
      <c r="I393" s="101">
        <v>1200</v>
      </c>
      <c r="J393" s="162">
        <v>3600</v>
      </c>
      <c r="K393" s="112">
        <v>700</v>
      </c>
      <c r="L393" s="101">
        <v>3600</v>
      </c>
      <c r="M393" s="112"/>
      <c r="N393" s="6"/>
      <c r="O393" s="6"/>
    </row>
    <row r="394" spans="1:15" s="48" customFormat="1" ht="17.100000000000001" customHeight="1" x14ac:dyDescent="0.25">
      <c r="A394" s="926" t="s">
        <v>1388</v>
      </c>
      <c r="B394" s="146" t="s">
        <v>123</v>
      </c>
      <c r="C394" s="131" t="s">
        <v>160</v>
      </c>
      <c r="D394" s="931" t="s">
        <v>159</v>
      </c>
      <c r="E394" s="930"/>
      <c r="F394" s="930"/>
      <c r="G394" s="928"/>
      <c r="H394" s="131" t="s">
        <v>160</v>
      </c>
      <c r="I394" s="101">
        <v>21100</v>
      </c>
      <c r="J394" s="162">
        <v>36000</v>
      </c>
      <c r="K394" s="112">
        <v>13600</v>
      </c>
      <c r="L394" s="101">
        <v>36000</v>
      </c>
      <c r="M394" s="111"/>
      <c r="N394" s="6"/>
      <c r="O394" s="6"/>
    </row>
    <row r="395" spans="1:15" s="48" customFormat="1" ht="18" customHeight="1" x14ac:dyDescent="0.25">
      <c r="A395" s="926" t="s">
        <v>1388</v>
      </c>
      <c r="B395" s="146" t="s">
        <v>123</v>
      </c>
      <c r="C395" s="131" t="s">
        <v>160</v>
      </c>
      <c r="D395" s="837" t="s">
        <v>159</v>
      </c>
      <c r="E395" s="836"/>
      <c r="F395" s="836"/>
      <c r="G395" s="834"/>
      <c r="H395" s="131" t="s">
        <v>160</v>
      </c>
      <c r="I395" s="101">
        <v>3600</v>
      </c>
      <c r="J395" s="102">
        <v>3600</v>
      </c>
      <c r="K395" s="101">
        <v>2100</v>
      </c>
      <c r="L395" s="101">
        <v>3600</v>
      </c>
      <c r="M395" s="102"/>
      <c r="N395" s="6"/>
      <c r="O395" s="6"/>
    </row>
    <row r="396" spans="1:15" s="48" customFormat="1" ht="17.100000000000001" customHeight="1" x14ac:dyDescent="0.25">
      <c r="A396" s="926" t="s">
        <v>1388</v>
      </c>
      <c r="B396" s="146" t="s">
        <v>123</v>
      </c>
      <c r="C396" s="131" t="s">
        <v>160</v>
      </c>
      <c r="D396" s="931" t="s">
        <v>159</v>
      </c>
      <c r="E396" s="930"/>
      <c r="F396" s="930"/>
      <c r="G396" s="928"/>
      <c r="H396" s="131" t="s">
        <v>160</v>
      </c>
      <c r="I396" s="101">
        <v>46806.48</v>
      </c>
      <c r="J396" s="162">
        <v>64800</v>
      </c>
      <c r="K396" s="112">
        <v>27900</v>
      </c>
      <c r="L396" s="105">
        <v>64800</v>
      </c>
      <c r="M396" s="112"/>
      <c r="N396" s="6"/>
      <c r="O396" s="6"/>
    </row>
    <row r="397" spans="1:15" s="48" customFormat="1" ht="18" customHeight="1" x14ac:dyDescent="0.25">
      <c r="A397" s="926" t="s">
        <v>1388</v>
      </c>
      <c r="B397" s="146" t="s">
        <v>123</v>
      </c>
      <c r="C397" s="131" t="s">
        <v>160</v>
      </c>
      <c r="D397" s="838" t="s">
        <v>159</v>
      </c>
      <c r="E397" s="835"/>
      <c r="F397" s="835"/>
      <c r="G397" s="835"/>
      <c r="H397" s="131" t="s">
        <v>160</v>
      </c>
      <c r="I397" s="101">
        <v>5500</v>
      </c>
      <c r="J397" s="102">
        <v>7200</v>
      </c>
      <c r="K397" s="101">
        <v>4000</v>
      </c>
      <c r="L397" s="101">
        <v>7200</v>
      </c>
      <c r="M397" s="101"/>
      <c r="N397" s="6"/>
      <c r="O397" s="47"/>
    </row>
    <row r="398" spans="1:15" s="48" customFormat="1" ht="18" customHeight="1" x14ac:dyDescent="0.25">
      <c r="A398" s="926" t="s">
        <v>1388</v>
      </c>
      <c r="B398" s="146" t="s">
        <v>123</v>
      </c>
      <c r="C398" s="100" t="s">
        <v>160</v>
      </c>
      <c r="D398" s="838" t="s">
        <v>159</v>
      </c>
      <c r="E398" s="835"/>
      <c r="F398" s="835"/>
      <c r="G398" s="835"/>
      <c r="H398" s="100" t="s">
        <v>160</v>
      </c>
      <c r="I398" s="101">
        <v>19604.32</v>
      </c>
      <c r="J398" s="102">
        <v>28800</v>
      </c>
      <c r="K398" s="101">
        <v>12400</v>
      </c>
      <c r="L398" s="101">
        <v>28800</v>
      </c>
      <c r="M398" s="101"/>
      <c r="N398" s="6"/>
      <c r="O398" s="47"/>
    </row>
    <row r="399" spans="1:15" s="48" customFormat="1" ht="18" customHeight="1" x14ac:dyDescent="0.25">
      <c r="A399" s="926" t="s">
        <v>1388</v>
      </c>
      <c r="B399" s="146" t="s">
        <v>123</v>
      </c>
      <c r="C399" s="100" t="s">
        <v>160</v>
      </c>
      <c r="D399" s="931" t="s">
        <v>159</v>
      </c>
      <c r="E399" s="928"/>
      <c r="F399" s="835"/>
      <c r="G399" s="835"/>
      <c r="H399" s="100" t="s">
        <v>160</v>
      </c>
      <c r="I399" s="101">
        <v>10603.24</v>
      </c>
      <c r="J399" s="102">
        <v>14400</v>
      </c>
      <c r="K399" s="101">
        <v>6600</v>
      </c>
      <c r="L399" s="101">
        <v>14400</v>
      </c>
      <c r="M399" s="101"/>
      <c r="N399" s="6"/>
      <c r="O399" s="47"/>
    </row>
    <row r="400" spans="1:15" s="48" customFormat="1" ht="18" customHeight="1" x14ac:dyDescent="0.25">
      <c r="A400" s="926" t="s">
        <v>1388</v>
      </c>
      <c r="B400" s="146" t="s">
        <v>123</v>
      </c>
      <c r="C400" s="100" t="s">
        <v>160</v>
      </c>
      <c r="D400" s="838" t="s">
        <v>159</v>
      </c>
      <c r="E400" s="835"/>
      <c r="F400" s="835"/>
      <c r="G400" s="835"/>
      <c r="H400" s="100" t="s">
        <v>160</v>
      </c>
      <c r="I400" s="101">
        <v>16800</v>
      </c>
      <c r="J400" s="102">
        <v>21600</v>
      </c>
      <c r="K400" s="101">
        <v>9800</v>
      </c>
      <c r="L400" s="101">
        <v>21600</v>
      </c>
      <c r="M400" s="101">
        <f>SUM(L392:L400)</f>
        <v>186000</v>
      </c>
      <c r="N400" s="6"/>
      <c r="O400" s="47"/>
    </row>
    <row r="401" spans="1:15" s="48" customFormat="1" ht="18" customHeight="1" x14ac:dyDescent="0.25">
      <c r="A401" s="926" t="s">
        <v>1388</v>
      </c>
      <c r="B401" s="146" t="s">
        <v>123</v>
      </c>
      <c r="C401" s="131" t="s">
        <v>140</v>
      </c>
      <c r="D401" s="838" t="s">
        <v>139</v>
      </c>
      <c r="E401" s="835"/>
      <c r="F401" s="835"/>
      <c r="G401" s="835"/>
      <c r="H401" s="131" t="s">
        <v>140</v>
      </c>
      <c r="I401" s="101">
        <v>68985</v>
      </c>
      <c r="J401" s="102">
        <v>86838</v>
      </c>
      <c r="K401" s="101">
        <v>71728</v>
      </c>
      <c r="L401" s="101">
        <v>95427</v>
      </c>
      <c r="M401" s="101"/>
      <c r="N401" s="6"/>
      <c r="O401" s="47"/>
    </row>
    <row r="402" spans="1:15" s="48" customFormat="1" ht="18" customHeight="1" x14ac:dyDescent="0.25">
      <c r="A402" s="926" t="s">
        <v>1388</v>
      </c>
      <c r="B402" s="146" t="s">
        <v>123</v>
      </c>
      <c r="C402" s="131" t="s">
        <v>140</v>
      </c>
      <c r="D402" s="932" t="s">
        <v>139</v>
      </c>
      <c r="E402" s="929"/>
      <c r="F402" s="835"/>
      <c r="G402" s="835"/>
      <c r="H402" s="131" t="s">
        <v>140</v>
      </c>
      <c r="I402" s="101">
        <v>17853</v>
      </c>
      <c r="J402" s="102">
        <v>54541</v>
      </c>
      <c r="K402" s="101">
        <v>19102</v>
      </c>
      <c r="L402" s="101">
        <v>60650</v>
      </c>
      <c r="M402" s="101"/>
      <c r="N402" s="6"/>
      <c r="O402" s="47"/>
    </row>
    <row r="403" spans="1:15" s="48" customFormat="1" ht="18" customHeight="1" x14ac:dyDescent="0.25">
      <c r="A403" s="926" t="s">
        <v>1388</v>
      </c>
      <c r="B403" s="146" t="s">
        <v>123</v>
      </c>
      <c r="C403" s="131" t="s">
        <v>140</v>
      </c>
      <c r="D403" s="932" t="s">
        <v>139</v>
      </c>
      <c r="E403" s="929"/>
      <c r="F403" s="929"/>
      <c r="G403" s="929"/>
      <c r="H403" s="131" t="s">
        <v>140</v>
      </c>
      <c r="I403" s="101">
        <v>268619</v>
      </c>
      <c r="J403" s="102">
        <v>554137</v>
      </c>
      <c r="K403" s="101">
        <v>319500</v>
      </c>
      <c r="L403" s="101">
        <v>606885</v>
      </c>
      <c r="M403" s="101"/>
      <c r="N403" s="6"/>
      <c r="O403" s="47">
        <f>27004+176489</f>
        <v>203493</v>
      </c>
    </row>
    <row r="404" spans="1:15" s="48" customFormat="1" ht="18" customHeight="1" x14ac:dyDescent="0.25">
      <c r="A404" s="926" t="s">
        <v>1388</v>
      </c>
      <c r="B404" s="146" t="s">
        <v>123</v>
      </c>
      <c r="C404" s="131" t="s">
        <v>140</v>
      </c>
      <c r="D404" s="838" t="s">
        <v>139</v>
      </c>
      <c r="E404" s="835"/>
      <c r="F404" s="835"/>
      <c r="G404" s="835"/>
      <c r="H404" s="131" t="s">
        <v>140</v>
      </c>
      <c r="I404" s="101">
        <v>105191</v>
      </c>
      <c r="J404" s="102">
        <v>105191</v>
      </c>
      <c r="K404" s="101">
        <v>107833</v>
      </c>
      <c r="L404" s="101">
        <v>110707</v>
      </c>
      <c r="M404" s="101"/>
      <c r="N404" s="6"/>
      <c r="O404" s="47">
        <f>178342+27004</f>
        <v>205346</v>
      </c>
    </row>
    <row r="405" spans="1:15" s="48" customFormat="1" ht="18" customHeight="1" x14ac:dyDescent="0.25">
      <c r="A405" s="926" t="s">
        <v>1388</v>
      </c>
      <c r="B405" s="146" t="s">
        <v>123</v>
      </c>
      <c r="C405" s="131" t="s">
        <v>140</v>
      </c>
      <c r="D405" s="932" t="s">
        <v>139</v>
      </c>
      <c r="E405" s="929"/>
      <c r="F405" s="835"/>
      <c r="G405" s="835"/>
      <c r="H405" s="131" t="s">
        <v>140</v>
      </c>
      <c r="I405" s="101">
        <v>588978</v>
      </c>
      <c r="J405" s="102">
        <v>802578</v>
      </c>
      <c r="K405" s="101">
        <v>599071</v>
      </c>
      <c r="L405" s="101">
        <v>873602</v>
      </c>
      <c r="M405" s="101"/>
      <c r="N405" s="6"/>
      <c r="O405" s="47">
        <f>25000+10000</f>
        <v>35000</v>
      </c>
    </row>
    <row r="406" spans="1:15" s="48" customFormat="1" ht="18" customHeight="1" x14ac:dyDescent="0.25">
      <c r="A406" s="926" t="s">
        <v>1388</v>
      </c>
      <c r="B406" s="146" t="s">
        <v>123</v>
      </c>
      <c r="C406" s="131" t="s">
        <v>140</v>
      </c>
      <c r="D406" s="932" t="s">
        <v>139</v>
      </c>
      <c r="E406" s="929"/>
      <c r="F406" s="929"/>
      <c r="G406" s="929"/>
      <c r="H406" s="131" t="s">
        <v>140</v>
      </c>
      <c r="I406" s="101">
        <v>135833</v>
      </c>
      <c r="J406" s="102">
        <v>154039</v>
      </c>
      <c r="K406" s="101">
        <v>140555</v>
      </c>
      <c r="L406" s="101">
        <v>166725</v>
      </c>
      <c r="M406" s="101"/>
      <c r="N406" s="6"/>
      <c r="O406" s="47"/>
    </row>
    <row r="407" spans="1:15" s="48" customFormat="1" ht="18" customHeight="1" x14ac:dyDescent="0.25">
      <c r="A407" s="926" t="s">
        <v>1388</v>
      </c>
      <c r="B407" s="146" t="s">
        <v>123</v>
      </c>
      <c r="C407" s="100" t="s">
        <v>140</v>
      </c>
      <c r="D407" s="931" t="s">
        <v>139</v>
      </c>
      <c r="E407" s="836"/>
      <c r="F407" s="836"/>
      <c r="G407" s="834"/>
      <c r="H407" s="100" t="s">
        <v>140</v>
      </c>
      <c r="I407" s="101">
        <v>213863</v>
      </c>
      <c r="J407" s="102">
        <v>306425</v>
      </c>
      <c r="K407" s="101">
        <v>233314</v>
      </c>
      <c r="L407" s="101">
        <v>332297</v>
      </c>
      <c r="M407" s="101"/>
      <c r="N407" s="6"/>
      <c r="O407" s="47">
        <f>15000+6000</f>
        <v>21000</v>
      </c>
    </row>
    <row r="408" spans="1:15" s="48" customFormat="1" ht="18" customHeight="1" x14ac:dyDescent="0.25">
      <c r="A408" s="926" t="s">
        <v>1388</v>
      </c>
      <c r="B408" s="146" t="s">
        <v>123</v>
      </c>
      <c r="C408" s="100" t="s">
        <v>140</v>
      </c>
      <c r="D408" s="838" t="s">
        <v>139</v>
      </c>
      <c r="E408" s="835"/>
      <c r="F408" s="835"/>
      <c r="G408" s="835"/>
      <c r="H408" s="100" t="s">
        <v>140</v>
      </c>
      <c r="I408" s="101">
        <v>120217</v>
      </c>
      <c r="J408" s="102">
        <v>141047</v>
      </c>
      <c r="K408" s="101">
        <v>112418</v>
      </c>
      <c r="L408" s="101">
        <v>153894</v>
      </c>
      <c r="M408" s="101"/>
      <c r="N408" s="6"/>
      <c r="O408" s="47">
        <f>38885.76+255390.24</f>
        <v>294276</v>
      </c>
    </row>
    <row r="409" spans="1:15" s="48" customFormat="1" ht="18" customHeight="1" x14ac:dyDescent="0.25">
      <c r="A409" s="926" t="s">
        <v>1388</v>
      </c>
      <c r="B409" s="146" t="s">
        <v>123</v>
      </c>
      <c r="C409" s="100" t="s">
        <v>140</v>
      </c>
      <c r="D409" s="838" t="s">
        <v>139</v>
      </c>
      <c r="E409" s="835"/>
      <c r="F409" s="835"/>
      <c r="G409" s="835"/>
      <c r="H409" s="100" t="s">
        <v>140</v>
      </c>
      <c r="I409" s="101">
        <v>192228</v>
      </c>
      <c r="J409" s="102">
        <v>240175</v>
      </c>
      <c r="K409" s="101">
        <v>201336</v>
      </c>
      <c r="L409" s="101">
        <v>263980</v>
      </c>
      <c r="M409" s="101">
        <f>SUM(L401:L409)</f>
        <v>2664167</v>
      </c>
      <c r="N409" s="6"/>
      <c r="O409" s="47">
        <f>6000+2400</f>
        <v>8400</v>
      </c>
    </row>
    <row r="410" spans="1:15" s="48" customFormat="1" ht="18" customHeight="1" x14ac:dyDescent="0.25">
      <c r="A410" s="926" t="s">
        <v>1388</v>
      </c>
      <c r="B410" s="146" t="s">
        <v>123</v>
      </c>
      <c r="C410" s="131" t="s">
        <v>329</v>
      </c>
      <c r="D410" s="838" t="s">
        <v>1370</v>
      </c>
      <c r="E410" s="835"/>
      <c r="F410" s="835"/>
      <c r="G410" s="835"/>
      <c r="H410" s="131" t="s">
        <v>329</v>
      </c>
      <c r="I410" s="101"/>
      <c r="J410" s="102"/>
      <c r="K410" s="101"/>
      <c r="L410" s="101">
        <v>1801733.3</v>
      </c>
      <c r="M410" s="101"/>
      <c r="N410" s="6"/>
      <c r="O410" s="47"/>
    </row>
    <row r="411" spans="1:15" s="48" customFormat="1" ht="18" customHeight="1" x14ac:dyDescent="0.25">
      <c r="A411" s="926" t="s">
        <v>1388</v>
      </c>
      <c r="B411" s="146" t="s">
        <v>123</v>
      </c>
      <c r="C411" s="131"/>
      <c r="D411" s="838" t="s">
        <v>1370</v>
      </c>
      <c r="E411" s="835"/>
      <c r="F411" s="835"/>
      <c r="G411" s="835"/>
      <c r="H411" s="131"/>
      <c r="I411" s="101"/>
      <c r="J411" s="102"/>
      <c r="K411" s="101"/>
      <c r="L411" s="101">
        <v>181975.71</v>
      </c>
      <c r="M411" s="101">
        <f>SUM(L410:L411)</f>
        <v>1983709.01</v>
      </c>
      <c r="N411" s="6"/>
      <c r="O411" s="47">
        <f>12984+79462.72</f>
        <v>92446.720000000001</v>
      </c>
    </row>
    <row r="412" spans="1:15" s="48" customFormat="1" ht="18" customHeight="1" x14ac:dyDescent="0.25">
      <c r="A412" s="926"/>
      <c r="B412" s="146"/>
      <c r="C412" s="100"/>
      <c r="D412" s="837"/>
      <c r="E412" s="836"/>
      <c r="F412" s="836"/>
      <c r="G412" s="834"/>
      <c r="H412" s="100"/>
      <c r="I412" s="101"/>
      <c r="J412" s="102"/>
      <c r="K412" s="101"/>
      <c r="L412" s="101"/>
      <c r="M412" s="101"/>
      <c r="N412" s="6"/>
      <c r="O412" s="47"/>
    </row>
    <row r="413" spans="1:15" s="48" customFormat="1" ht="18" customHeight="1" x14ac:dyDescent="0.25">
      <c r="A413" s="926"/>
      <c r="B413" s="146"/>
      <c r="C413" s="100"/>
      <c r="D413" s="837"/>
      <c r="E413" s="836"/>
      <c r="F413" s="836"/>
      <c r="G413" s="834"/>
      <c r="H413" s="100"/>
      <c r="I413" s="101"/>
      <c r="J413" s="102"/>
      <c r="K413" s="101"/>
      <c r="L413" s="101"/>
      <c r="M413" s="101"/>
      <c r="N413" s="6"/>
      <c r="O413" s="47"/>
    </row>
    <row r="414" spans="1:15" s="48" customFormat="1" ht="18" customHeight="1" x14ac:dyDescent="0.25">
      <c r="A414" s="926"/>
      <c r="B414" s="146"/>
      <c r="C414" s="100"/>
      <c r="D414" s="837"/>
      <c r="E414" s="836"/>
      <c r="F414" s="836"/>
      <c r="G414" s="834"/>
      <c r="H414" s="100"/>
      <c r="I414" s="101"/>
      <c r="J414" s="102"/>
      <c r="K414" s="101"/>
      <c r="L414" s="101"/>
      <c r="M414" s="101"/>
      <c r="N414" s="6"/>
      <c r="O414" s="47"/>
    </row>
    <row r="415" spans="1:15" s="48" customFormat="1" ht="18" customHeight="1" x14ac:dyDescent="0.25">
      <c r="A415" s="926" t="s">
        <v>1386</v>
      </c>
      <c r="B415" s="48" t="s">
        <v>201</v>
      </c>
      <c r="C415" s="100"/>
      <c r="D415" s="931" t="s">
        <v>1520</v>
      </c>
      <c r="E415" s="930"/>
      <c r="F415" s="930"/>
      <c r="G415" s="928"/>
      <c r="H415" s="100"/>
      <c r="I415" s="101"/>
      <c r="J415" s="102"/>
      <c r="K415" s="101"/>
      <c r="L415" s="101">
        <v>180000</v>
      </c>
      <c r="M415" s="101"/>
      <c r="N415" s="6"/>
      <c r="O415" s="47"/>
    </row>
    <row r="416" spans="1:15" s="48" customFormat="1" ht="18" customHeight="1" x14ac:dyDescent="0.25">
      <c r="A416" s="926" t="s">
        <v>1386</v>
      </c>
      <c r="B416" s="48" t="s">
        <v>201</v>
      </c>
      <c r="C416" s="100"/>
      <c r="D416" s="931" t="s">
        <v>1521</v>
      </c>
      <c r="E416" s="930"/>
      <c r="F416" s="930"/>
      <c r="G416" s="928"/>
      <c r="H416" s="100"/>
      <c r="I416" s="101"/>
      <c r="J416" s="102"/>
      <c r="K416" s="101"/>
      <c r="L416" s="101">
        <v>40000</v>
      </c>
      <c r="M416" s="101"/>
      <c r="N416" s="6"/>
      <c r="O416" s="47"/>
    </row>
    <row r="417" spans="1:15" s="48" customFormat="1" ht="18" customHeight="1" x14ac:dyDescent="0.25">
      <c r="A417" s="926" t="s">
        <v>1386</v>
      </c>
      <c r="B417" s="48" t="s">
        <v>201</v>
      </c>
      <c r="C417" s="100"/>
      <c r="D417" s="931" t="s">
        <v>363</v>
      </c>
      <c r="E417" s="930"/>
      <c r="F417" s="930"/>
      <c r="G417" s="928"/>
      <c r="H417" s="100"/>
      <c r="I417" s="101"/>
      <c r="J417" s="102"/>
      <c r="K417" s="101"/>
      <c r="L417" s="121">
        <v>240000</v>
      </c>
      <c r="M417" s="101"/>
      <c r="N417" s="6"/>
      <c r="O417" s="47"/>
    </row>
    <row r="418" spans="1:15" s="48" customFormat="1" ht="18" customHeight="1" x14ac:dyDescent="0.25">
      <c r="A418" s="926" t="s">
        <v>1386</v>
      </c>
      <c r="B418" s="48" t="s">
        <v>201</v>
      </c>
      <c r="C418" s="100"/>
      <c r="D418" s="931" t="s">
        <v>1522</v>
      </c>
      <c r="E418" s="930"/>
      <c r="F418" s="930"/>
      <c r="G418" s="928"/>
      <c r="H418" s="100"/>
      <c r="I418" s="101"/>
      <c r="J418" s="102"/>
      <c r="K418" s="101"/>
      <c r="L418" s="101">
        <v>80000</v>
      </c>
      <c r="M418" s="101"/>
      <c r="N418" s="6"/>
      <c r="O418" s="47"/>
    </row>
    <row r="419" spans="1:15" s="48" customFormat="1" ht="18" customHeight="1" x14ac:dyDescent="0.25">
      <c r="A419" s="926" t="s">
        <v>1386</v>
      </c>
      <c r="B419" s="48" t="s">
        <v>201</v>
      </c>
      <c r="C419" s="100"/>
      <c r="D419" s="931" t="s">
        <v>1523</v>
      </c>
      <c r="E419" s="930"/>
      <c r="F419" s="930"/>
      <c r="G419" s="928"/>
      <c r="H419" s="100"/>
      <c r="I419" s="101"/>
      <c r="J419" s="102"/>
      <c r="K419" s="101"/>
      <c r="L419" s="101">
        <v>25000</v>
      </c>
      <c r="M419" s="101"/>
      <c r="N419" s="6"/>
      <c r="O419" s="47"/>
    </row>
    <row r="420" spans="1:15" s="48" customFormat="1" ht="18" customHeight="1" x14ac:dyDescent="0.25">
      <c r="A420" s="926" t="s">
        <v>1386</v>
      </c>
      <c r="B420" s="48" t="s">
        <v>201</v>
      </c>
      <c r="C420" s="97"/>
      <c r="D420" s="837" t="s">
        <v>203</v>
      </c>
      <c r="E420" s="836"/>
      <c r="F420" s="836"/>
      <c r="G420" s="834"/>
      <c r="H420" s="97"/>
      <c r="I420" s="101"/>
      <c r="J420" s="102"/>
      <c r="K420" s="101"/>
      <c r="L420" s="101">
        <v>115000</v>
      </c>
      <c r="M420" s="101"/>
      <c r="N420" s="6"/>
      <c r="O420" s="47"/>
    </row>
    <row r="421" spans="1:15" s="48" customFormat="1" ht="18" customHeight="1" x14ac:dyDescent="0.25">
      <c r="A421" s="926" t="s">
        <v>1386</v>
      </c>
      <c r="B421" s="48" t="s">
        <v>201</v>
      </c>
      <c r="C421" s="97"/>
      <c r="D421" s="837" t="s">
        <v>204</v>
      </c>
      <c r="E421" s="836"/>
      <c r="F421" s="836"/>
      <c r="G421" s="836"/>
      <c r="H421" s="97"/>
      <c r="I421" s="101"/>
      <c r="J421" s="102"/>
      <c r="K421" s="101"/>
      <c r="L421" s="101">
        <v>110000</v>
      </c>
      <c r="M421" s="101"/>
      <c r="N421" s="6"/>
      <c r="O421" s="47"/>
    </row>
    <row r="422" spans="1:15" s="48" customFormat="1" ht="18" customHeight="1" x14ac:dyDescent="0.25">
      <c r="A422" s="926" t="s">
        <v>1386</v>
      </c>
      <c r="B422" s="48" t="s">
        <v>201</v>
      </c>
      <c r="C422" s="97"/>
      <c r="D422" s="837" t="s">
        <v>205</v>
      </c>
      <c r="E422" s="836"/>
      <c r="F422" s="836"/>
      <c r="G422" s="836"/>
      <c r="H422" s="97"/>
      <c r="I422" s="101"/>
      <c r="J422" s="102"/>
      <c r="K422" s="101"/>
      <c r="L422" s="101">
        <v>32000</v>
      </c>
      <c r="M422" s="101"/>
      <c r="N422" s="6"/>
      <c r="O422" s="47"/>
    </row>
    <row r="423" spans="1:15" s="48" customFormat="1" ht="18" customHeight="1" x14ac:dyDescent="0.25">
      <c r="A423" s="926" t="s">
        <v>1386</v>
      </c>
      <c r="B423" s="48" t="s">
        <v>201</v>
      </c>
      <c r="C423" s="97"/>
      <c r="D423" s="837" t="s">
        <v>206</v>
      </c>
      <c r="E423" s="836"/>
      <c r="F423" s="836"/>
      <c r="G423" s="834"/>
      <c r="H423" s="97"/>
      <c r="I423" s="101"/>
      <c r="J423" s="102"/>
      <c r="K423" s="101"/>
      <c r="L423" s="101">
        <v>40000</v>
      </c>
      <c r="M423" s="101"/>
      <c r="N423" s="6"/>
      <c r="O423" s="47"/>
    </row>
    <row r="424" spans="1:15" s="48" customFormat="1" ht="18" customHeight="1" x14ac:dyDescent="0.25">
      <c r="A424" s="926" t="s">
        <v>1386</v>
      </c>
      <c r="B424" s="48" t="s">
        <v>201</v>
      </c>
      <c r="C424" s="97"/>
      <c r="D424" s="837" t="s">
        <v>207</v>
      </c>
      <c r="E424" s="836"/>
      <c r="F424" s="836"/>
      <c r="G424" s="836"/>
      <c r="H424" s="97"/>
      <c r="I424" s="101"/>
      <c r="J424" s="102"/>
      <c r="K424" s="101"/>
      <c r="L424" s="101">
        <v>20000</v>
      </c>
      <c r="M424" s="101"/>
      <c r="N424" s="6"/>
      <c r="O424" s="47"/>
    </row>
    <row r="425" spans="1:15" s="48" customFormat="1" ht="18" customHeight="1" x14ac:dyDescent="0.25">
      <c r="A425" s="926" t="s">
        <v>1386</v>
      </c>
      <c r="B425" s="136" t="s">
        <v>201</v>
      </c>
      <c r="C425" s="97"/>
      <c r="D425" s="859" t="s">
        <v>219</v>
      </c>
      <c r="E425" s="836"/>
      <c r="F425" s="836"/>
      <c r="G425" s="836"/>
      <c r="H425" s="97"/>
      <c r="I425" s="101"/>
      <c r="J425" s="102"/>
      <c r="K425" s="101"/>
      <c r="L425" s="101">
        <v>200000</v>
      </c>
      <c r="M425" s="101"/>
      <c r="N425" s="6"/>
      <c r="O425" s="47"/>
    </row>
    <row r="426" spans="1:15" s="48" customFormat="1" ht="18" customHeight="1" x14ac:dyDescent="0.25">
      <c r="A426" s="926" t="s">
        <v>1386</v>
      </c>
      <c r="B426" s="136" t="s">
        <v>201</v>
      </c>
      <c r="C426" s="97"/>
      <c r="D426" s="859" t="s">
        <v>220</v>
      </c>
      <c r="E426" s="836"/>
      <c r="F426" s="836"/>
      <c r="G426" s="836"/>
      <c r="H426" s="97"/>
      <c r="I426" s="101"/>
      <c r="J426" s="102"/>
      <c r="K426" s="101"/>
      <c r="L426" s="101">
        <v>54000</v>
      </c>
      <c r="M426" s="101"/>
      <c r="N426" s="6"/>
      <c r="O426" s="47"/>
    </row>
    <row r="427" spans="1:15" s="48" customFormat="1" ht="18" customHeight="1" x14ac:dyDescent="0.25">
      <c r="A427" s="926" t="s">
        <v>1386</v>
      </c>
      <c r="B427" s="136" t="s">
        <v>201</v>
      </c>
      <c r="C427" s="97"/>
      <c r="D427" s="859" t="s">
        <v>221</v>
      </c>
      <c r="E427" s="836"/>
      <c r="F427" s="836"/>
      <c r="G427" s="836"/>
      <c r="H427" s="97"/>
      <c r="I427" s="101"/>
      <c r="J427" s="102"/>
      <c r="K427" s="101"/>
      <c r="L427" s="101">
        <v>120000</v>
      </c>
      <c r="M427" s="101"/>
      <c r="N427" s="6"/>
      <c r="O427" s="47"/>
    </row>
    <row r="428" spans="1:15" s="48" customFormat="1" ht="18" customHeight="1" x14ac:dyDescent="0.25">
      <c r="A428" s="926" t="s">
        <v>1386</v>
      </c>
      <c r="B428" s="136" t="s">
        <v>201</v>
      </c>
      <c r="C428" s="97"/>
      <c r="D428" s="837" t="s">
        <v>223</v>
      </c>
      <c r="E428" s="836"/>
      <c r="F428" s="836"/>
      <c r="G428" s="836"/>
      <c r="H428" s="97"/>
      <c r="I428" s="101">
        <v>0</v>
      </c>
      <c r="J428" s="102">
        <v>16000</v>
      </c>
      <c r="K428" s="101"/>
      <c r="L428" s="101">
        <v>15300</v>
      </c>
      <c r="M428" s="101"/>
      <c r="N428" s="6"/>
      <c r="O428" s="47"/>
    </row>
    <row r="429" spans="1:15" s="48" customFormat="1" ht="18" customHeight="1" x14ac:dyDescent="0.25">
      <c r="A429" s="926" t="s">
        <v>1386</v>
      </c>
      <c r="B429" s="136" t="s">
        <v>201</v>
      </c>
      <c r="C429" s="97"/>
      <c r="D429" s="859" t="s">
        <v>244</v>
      </c>
      <c r="E429" s="836"/>
      <c r="F429" s="836"/>
      <c r="G429" s="836"/>
      <c r="H429" s="97"/>
      <c r="I429" s="101"/>
      <c r="J429" s="102"/>
      <c r="K429" s="101"/>
      <c r="L429" s="101">
        <v>40000</v>
      </c>
      <c r="M429" s="101"/>
      <c r="N429" s="6"/>
      <c r="O429" s="47"/>
    </row>
    <row r="430" spans="1:15" s="48" customFormat="1" ht="18" customHeight="1" x14ac:dyDescent="0.25">
      <c r="A430" s="926" t="s">
        <v>1386</v>
      </c>
      <c r="B430" s="48" t="s">
        <v>201</v>
      </c>
      <c r="C430" s="97"/>
      <c r="D430" s="837" t="s">
        <v>251</v>
      </c>
      <c r="E430" s="836"/>
      <c r="F430" s="836"/>
      <c r="G430" s="836"/>
      <c r="H430" s="97"/>
      <c r="I430" s="101"/>
      <c r="J430" s="102"/>
      <c r="K430" s="101"/>
      <c r="L430" s="101">
        <v>16000</v>
      </c>
      <c r="M430" s="101"/>
      <c r="N430" s="6"/>
      <c r="O430" s="47"/>
    </row>
    <row r="431" spans="1:15" s="48" customFormat="1" ht="18" customHeight="1" x14ac:dyDescent="0.25">
      <c r="A431" s="926" t="s">
        <v>1386</v>
      </c>
      <c r="B431" s="48" t="s">
        <v>201</v>
      </c>
      <c r="C431" s="97"/>
      <c r="D431" s="859" t="s">
        <v>252</v>
      </c>
      <c r="E431" s="836"/>
      <c r="F431" s="836"/>
      <c r="G431" s="836"/>
      <c r="H431" s="97"/>
      <c r="I431" s="101"/>
      <c r="J431" s="102"/>
      <c r="K431" s="101"/>
      <c r="L431" s="101">
        <v>110000</v>
      </c>
      <c r="M431" s="101"/>
      <c r="N431" s="6"/>
      <c r="O431" s="47"/>
    </row>
    <row r="432" spans="1:15" s="48" customFormat="1" ht="18" customHeight="1" x14ac:dyDescent="0.25">
      <c r="A432" s="926" t="s">
        <v>1386</v>
      </c>
      <c r="B432" s="48" t="s">
        <v>201</v>
      </c>
      <c r="C432" s="97"/>
      <c r="D432" s="859" t="s">
        <v>253</v>
      </c>
      <c r="E432" s="836"/>
      <c r="F432" s="836"/>
      <c r="G432" s="836"/>
      <c r="H432" s="97"/>
      <c r="I432" s="101"/>
      <c r="J432" s="102"/>
      <c r="K432" s="101"/>
      <c r="L432" s="101">
        <v>50000</v>
      </c>
      <c r="M432" s="101"/>
      <c r="N432" s="6"/>
      <c r="O432" s="47"/>
    </row>
    <row r="433" spans="1:17" s="48" customFormat="1" ht="18" customHeight="1" x14ac:dyDescent="0.25">
      <c r="A433" s="926" t="s">
        <v>1386</v>
      </c>
      <c r="B433" s="48" t="s">
        <v>201</v>
      </c>
      <c r="C433" s="97"/>
      <c r="D433" s="859" t="s">
        <v>254</v>
      </c>
      <c r="E433" s="836"/>
      <c r="F433" s="836"/>
      <c r="G433" s="836"/>
      <c r="H433" s="97"/>
      <c r="I433" s="101"/>
      <c r="J433" s="102"/>
      <c r="K433" s="101"/>
      <c r="L433" s="101">
        <v>29200</v>
      </c>
      <c r="M433" s="101"/>
      <c r="N433" s="6"/>
      <c r="O433" s="47"/>
    </row>
    <row r="434" spans="1:17" s="48" customFormat="1" ht="18" customHeight="1" x14ac:dyDescent="0.25">
      <c r="A434" s="926" t="s">
        <v>1386</v>
      </c>
      <c r="B434" s="136" t="s">
        <v>201</v>
      </c>
      <c r="C434" s="97"/>
      <c r="D434" s="837" t="s">
        <v>257</v>
      </c>
      <c r="E434" s="837"/>
      <c r="F434" s="837"/>
      <c r="G434" s="837"/>
      <c r="H434" s="97"/>
      <c r="I434" s="105"/>
      <c r="J434" s="106"/>
      <c r="K434" s="105"/>
      <c r="L434" s="105">
        <v>51200</v>
      </c>
      <c r="M434" s="105"/>
      <c r="N434" s="6"/>
      <c r="O434" s="47"/>
    </row>
    <row r="435" spans="1:17" s="146" customFormat="1" ht="18" customHeight="1" x14ac:dyDescent="0.25">
      <c r="A435" s="926" t="s">
        <v>1386</v>
      </c>
      <c r="B435" s="136" t="s">
        <v>201</v>
      </c>
      <c r="C435" s="97"/>
      <c r="D435" s="838" t="s">
        <v>258</v>
      </c>
      <c r="E435" s="687"/>
      <c r="F435" s="687"/>
      <c r="G435" s="687"/>
      <c r="H435" s="97"/>
      <c r="I435" s="101"/>
      <c r="J435" s="102"/>
      <c r="K435" s="101"/>
      <c r="L435" s="101">
        <v>26000</v>
      </c>
      <c r="M435" s="101"/>
      <c r="N435" s="10"/>
      <c r="O435" s="10"/>
      <c r="P435"/>
      <c r="Q435"/>
    </row>
    <row r="436" spans="1:17" s="146" customFormat="1" ht="18" customHeight="1" x14ac:dyDescent="0.25">
      <c r="A436" s="926" t="s">
        <v>1386</v>
      </c>
      <c r="B436" s="136" t="s">
        <v>201</v>
      </c>
      <c r="C436" s="97"/>
      <c r="D436" s="952" t="s">
        <v>259</v>
      </c>
      <c r="E436" s="687"/>
      <c r="F436" s="687"/>
      <c r="G436" s="687"/>
      <c r="H436" s="97"/>
      <c r="I436" s="101"/>
      <c r="J436" s="102"/>
      <c r="K436" s="101"/>
      <c r="L436" s="101">
        <v>20000</v>
      </c>
      <c r="M436" s="101"/>
      <c r="N436" s="10"/>
      <c r="O436" s="10"/>
      <c r="P436"/>
      <c r="Q436"/>
    </row>
    <row r="437" spans="1:17" s="146" customFormat="1" ht="18" customHeight="1" x14ac:dyDescent="0.25">
      <c r="A437" s="926" t="s">
        <v>1386</v>
      </c>
      <c r="B437" s="136" t="s">
        <v>201</v>
      </c>
      <c r="C437" s="97"/>
      <c r="D437" s="838" t="s">
        <v>260</v>
      </c>
      <c r="E437" s="687"/>
      <c r="F437" s="687"/>
      <c r="G437" s="687"/>
      <c r="H437" s="97"/>
      <c r="I437" s="101"/>
      <c r="J437" s="102"/>
      <c r="K437" s="101"/>
      <c r="L437" s="101">
        <v>48000</v>
      </c>
      <c r="M437" s="101"/>
      <c r="N437" s="10"/>
      <c r="O437" s="10"/>
      <c r="P437"/>
      <c r="Q437"/>
    </row>
    <row r="438" spans="1:17" s="146" customFormat="1" ht="18" customHeight="1" x14ac:dyDescent="0.25">
      <c r="A438" s="926" t="s">
        <v>1386</v>
      </c>
      <c r="B438" s="136" t="s">
        <v>201</v>
      </c>
      <c r="C438" s="97"/>
      <c r="D438" s="838" t="s">
        <v>261</v>
      </c>
      <c r="E438" s="687"/>
      <c r="F438" s="687"/>
      <c r="G438" s="687"/>
      <c r="H438" s="97"/>
      <c r="I438" s="101"/>
      <c r="J438" s="102"/>
      <c r="K438" s="101"/>
      <c r="L438" s="101">
        <v>25000</v>
      </c>
      <c r="M438" s="101"/>
      <c r="N438" s="10"/>
      <c r="O438" s="10">
        <f>600000+288000</f>
        <v>888000</v>
      </c>
      <c r="P438"/>
      <c r="Q438"/>
    </row>
    <row r="439" spans="1:17" s="146" customFormat="1" ht="18" customHeight="1" x14ac:dyDescent="0.25">
      <c r="A439" s="926" t="s">
        <v>1386</v>
      </c>
      <c r="B439" s="136" t="s">
        <v>201</v>
      </c>
      <c r="C439" s="97"/>
      <c r="D439" s="838" t="s">
        <v>262</v>
      </c>
      <c r="E439" s="687"/>
      <c r="F439" s="687"/>
      <c r="G439" s="687"/>
      <c r="H439" s="97"/>
      <c r="I439" s="101"/>
      <c r="J439" s="102"/>
      <c r="K439" s="101"/>
      <c r="L439" s="101">
        <v>20000</v>
      </c>
      <c r="M439" s="101"/>
      <c r="N439" s="10"/>
      <c r="O439" s="10"/>
      <c r="P439"/>
      <c r="Q439"/>
    </row>
    <row r="440" spans="1:17" s="146" customFormat="1" ht="18" customHeight="1" x14ac:dyDescent="0.25">
      <c r="A440" s="926" t="s">
        <v>1386</v>
      </c>
      <c r="B440" s="136" t="s">
        <v>201</v>
      </c>
      <c r="C440" s="168"/>
      <c r="D440" s="860" t="s">
        <v>263</v>
      </c>
      <c r="E440" s="691"/>
      <c r="F440" s="691"/>
      <c r="G440" s="691"/>
      <c r="H440" s="168"/>
      <c r="I440" s="102"/>
      <c r="J440" s="102"/>
      <c r="K440" s="102"/>
      <c r="L440" s="102">
        <v>220000</v>
      </c>
      <c r="M440" s="101"/>
      <c r="N440" s="10"/>
      <c r="O440" s="10"/>
      <c r="P440"/>
      <c r="Q440"/>
    </row>
    <row r="441" spans="1:17" s="146" customFormat="1" ht="18" customHeight="1" x14ac:dyDescent="0.25">
      <c r="A441" s="926" t="s">
        <v>1386</v>
      </c>
      <c r="B441" s="927" t="s">
        <v>201</v>
      </c>
      <c r="C441" s="97"/>
      <c r="D441" s="838" t="s">
        <v>325</v>
      </c>
      <c r="E441" s="835"/>
      <c r="F441" s="835"/>
      <c r="G441" s="835"/>
      <c r="H441" s="97"/>
      <c r="I441" s="101"/>
      <c r="J441" s="102"/>
      <c r="K441" s="101"/>
      <c r="L441" s="102">
        <v>400000</v>
      </c>
      <c r="M441" s="101"/>
      <c r="N441" s="10"/>
      <c r="O441" s="10"/>
      <c r="P441"/>
      <c r="Q441"/>
    </row>
    <row r="442" spans="1:17" s="146" customFormat="1" ht="18" customHeight="1" x14ac:dyDescent="0.25">
      <c r="A442" s="926" t="s">
        <v>1386</v>
      </c>
      <c r="B442" s="169" t="s">
        <v>201</v>
      </c>
      <c r="C442" s="97"/>
      <c r="D442" s="860" t="s">
        <v>332</v>
      </c>
      <c r="E442" s="851"/>
      <c r="F442" s="851"/>
      <c r="G442" s="851"/>
      <c r="H442" s="97"/>
      <c r="I442" s="101"/>
      <c r="J442" s="102"/>
      <c r="K442" s="101"/>
      <c r="L442" s="101">
        <v>300000</v>
      </c>
      <c r="M442" s="101"/>
      <c r="N442" s="10"/>
      <c r="O442" s="10">
        <f>72000+150000</f>
        <v>222000</v>
      </c>
      <c r="P442"/>
      <c r="Q442"/>
    </row>
    <row r="443" spans="1:17" s="146" customFormat="1" ht="18" x14ac:dyDescent="0.25">
      <c r="A443" s="926" t="s">
        <v>1386</v>
      </c>
      <c r="B443" s="169" t="s">
        <v>201</v>
      </c>
      <c r="C443" s="168"/>
      <c r="D443" s="859" t="s">
        <v>333</v>
      </c>
      <c r="E443" s="848"/>
      <c r="F443" s="849"/>
      <c r="G443" s="849"/>
      <c r="H443" s="168"/>
      <c r="I443" s="102"/>
      <c r="J443" s="102"/>
      <c r="K443" s="102"/>
      <c r="L443" s="102">
        <v>40000</v>
      </c>
      <c r="M443" s="101"/>
      <c r="N443" s="10"/>
      <c r="O443" s="10"/>
      <c r="P443"/>
      <c r="Q443"/>
    </row>
    <row r="444" spans="1:17" s="146" customFormat="1" ht="18" customHeight="1" x14ac:dyDescent="0.25">
      <c r="A444" s="926" t="s">
        <v>1386</v>
      </c>
      <c r="B444" s="169" t="s">
        <v>201</v>
      </c>
      <c r="C444" s="168"/>
      <c r="D444" s="860" t="s">
        <v>263</v>
      </c>
      <c r="E444" s="849"/>
      <c r="F444" s="849"/>
      <c r="G444" s="849"/>
      <c r="H444" s="168"/>
      <c r="I444" s="102"/>
      <c r="J444" s="102"/>
      <c r="K444" s="102"/>
      <c r="L444" s="102">
        <v>160000</v>
      </c>
      <c r="M444" s="101"/>
      <c r="N444" s="10"/>
      <c r="O444" s="10">
        <f>980829+274628</f>
        <v>1255457</v>
      </c>
      <c r="P444"/>
      <c r="Q444"/>
    </row>
    <row r="445" spans="1:17" s="146" customFormat="1" ht="18" customHeight="1" x14ac:dyDescent="0.25">
      <c r="A445" s="926" t="s">
        <v>1386</v>
      </c>
      <c r="B445" s="927" t="s">
        <v>201</v>
      </c>
      <c r="C445" s="168"/>
      <c r="D445" s="700" t="s">
        <v>344</v>
      </c>
      <c r="E445" s="691"/>
      <c r="F445" s="691"/>
      <c r="G445" s="691"/>
      <c r="H445" s="168"/>
      <c r="I445" s="102"/>
      <c r="J445" s="102"/>
      <c r="K445" s="102"/>
      <c r="L445" s="102">
        <v>295000</v>
      </c>
      <c r="M445" s="101"/>
      <c r="N445" s="10"/>
      <c r="O445" s="10">
        <f>274628+995457</f>
        <v>1270085</v>
      </c>
      <c r="P445"/>
      <c r="Q445"/>
    </row>
    <row r="446" spans="1:17" s="146" customFormat="1" ht="18" x14ac:dyDescent="0.25">
      <c r="A446" s="926" t="s">
        <v>1386</v>
      </c>
      <c r="B446" s="927" t="s">
        <v>201</v>
      </c>
      <c r="C446" s="168"/>
      <c r="D446" s="700" t="s">
        <v>203</v>
      </c>
      <c r="E446" s="691"/>
      <c r="F446" s="691"/>
      <c r="G446" s="691"/>
      <c r="H446" s="168"/>
      <c r="I446" s="102"/>
      <c r="J446" s="102"/>
      <c r="K446" s="102"/>
      <c r="L446" s="102">
        <v>115000</v>
      </c>
      <c r="M446" s="101"/>
      <c r="N446" s="10"/>
      <c r="O446" s="10">
        <f>60000+125000</f>
        <v>185000</v>
      </c>
      <c r="P446"/>
      <c r="Q446"/>
    </row>
    <row r="447" spans="1:17" s="146" customFormat="1" ht="18" customHeight="1" x14ac:dyDescent="0.25">
      <c r="A447" s="926" t="s">
        <v>1386</v>
      </c>
      <c r="B447" s="927" t="s">
        <v>201</v>
      </c>
      <c r="C447" s="168"/>
      <c r="D447" s="700" t="s">
        <v>345</v>
      </c>
      <c r="E447" s="691"/>
      <c r="F447" s="691"/>
      <c r="G447" s="691"/>
      <c r="H447" s="168"/>
      <c r="I447" s="102"/>
      <c r="J447" s="102"/>
      <c r="K447" s="102"/>
      <c r="L447" s="102">
        <v>40000</v>
      </c>
      <c r="M447" s="101"/>
      <c r="N447" s="10"/>
      <c r="O447" s="10"/>
      <c r="P447"/>
      <c r="Q447"/>
    </row>
    <row r="448" spans="1:17" s="146" customFormat="1" ht="18" customHeight="1" x14ac:dyDescent="0.25">
      <c r="A448" s="926" t="s">
        <v>1386</v>
      </c>
      <c r="B448" s="927" t="s">
        <v>201</v>
      </c>
      <c r="C448" s="168"/>
      <c r="D448" s="841" t="s">
        <v>346</v>
      </c>
      <c r="E448" s="846"/>
      <c r="F448" s="859"/>
      <c r="G448" s="860"/>
      <c r="H448" s="168"/>
      <c r="I448" s="102"/>
      <c r="J448" s="102"/>
      <c r="K448" s="102"/>
      <c r="L448" s="102">
        <v>30000</v>
      </c>
      <c r="M448" s="101"/>
      <c r="N448" s="10"/>
      <c r="O448" s="10">
        <f>75000+36000</f>
        <v>111000</v>
      </c>
      <c r="P448"/>
      <c r="Q448"/>
    </row>
    <row r="449" spans="1:17" s="146" customFormat="1" ht="18" customHeight="1" x14ac:dyDescent="0.25">
      <c r="A449" s="926" t="s">
        <v>1386</v>
      </c>
      <c r="B449" s="48" t="s">
        <v>201</v>
      </c>
      <c r="C449" s="168"/>
      <c r="D449" s="860" t="s">
        <v>350</v>
      </c>
      <c r="E449" s="853"/>
      <c r="F449" s="853"/>
      <c r="G449" s="853"/>
      <c r="H449" s="168"/>
      <c r="I449" s="102"/>
      <c r="J449" s="102">
        <v>170000</v>
      </c>
      <c r="K449" s="102"/>
      <c r="L449" s="102">
        <v>220000</v>
      </c>
      <c r="M449" s="101"/>
      <c r="N449" s="10"/>
      <c r="O449" s="10">
        <f>1422925.92+395464.32</f>
        <v>1818390.24</v>
      </c>
      <c r="P449"/>
      <c r="Q449"/>
    </row>
    <row r="450" spans="1:17" s="146" customFormat="1" ht="18" customHeight="1" x14ac:dyDescent="0.25">
      <c r="A450" s="926" t="s">
        <v>1386</v>
      </c>
      <c r="B450" s="208" t="s">
        <v>201</v>
      </c>
      <c r="C450" s="97"/>
      <c r="D450" s="860" t="s">
        <v>358</v>
      </c>
      <c r="E450" s="687"/>
      <c r="F450" s="687"/>
      <c r="G450" s="687"/>
      <c r="H450" s="97"/>
      <c r="I450" s="101"/>
      <c r="J450" s="102"/>
      <c r="K450" s="101"/>
      <c r="L450" s="101">
        <v>71700</v>
      </c>
      <c r="M450" s="101"/>
      <c r="N450" s="10"/>
      <c r="O450" s="10">
        <f>30000+14400</f>
        <v>44400</v>
      </c>
      <c r="P450"/>
      <c r="Q450"/>
    </row>
    <row r="451" spans="1:17" s="146" customFormat="1" ht="18" customHeight="1" x14ac:dyDescent="0.25">
      <c r="A451" s="926" t="s">
        <v>1386</v>
      </c>
      <c r="B451" s="208" t="s">
        <v>201</v>
      </c>
      <c r="C451" s="97"/>
      <c r="D451" s="860" t="s">
        <v>359</v>
      </c>
      <c r="E451" s="687"/>
      <c r="F451" s="687"/>
      <c r="G451" s="687"/>
      <c r="H451" s="97"/>
      <c r="I451" s="101"/>
      <c r="J451" s="102"/>
      <c r="K451" s="101"/>
      <c r="L451" s="101">
        <v>95000</v>
      </c>
      <c r="M451" s="101"/>
      <c r="N451" s="10"/>
      <c r="O451" s="10">
        <f>460800+132012</f>
        <v>592812</v>
      </c>
      <c r="P451"/>
      <c r="Q451"/>
    </row>
    <row r="452" spans="1:17" s="146" customFormat="1" ht="18" customHeight="1" x14ac:dyDescent="0.25">
      <c r="A452" s="926" t="s">
        <v>1386</v>
      </c>
      <c r="B452" s="208" t="s">
        <v>201</v>
      </c>
      <c r="C452" s="97"/>
      <c r="D452" s="860" t="s">
        <v>360</v>
      </c>
      <c r="E452" s="687"/>
      <c r="F452" s="687"/>
      <c r="G452" s="687"/>
      <c r="H452" s="97"/>
      <c r="I452" s="105"/>
      <c r="J452" s="106"/>
      <c r="K452" s="105"/>
      <c r="L452" s="105">
        <v>41600</v>
      </c>
      <c r="M452" s="105"/>
      <c r="N452" s="10"/>
      <c r="O452" s="10">
        <f>30000+14400</f>
        <v>44400</v>
      </c>
      <c r="P452"/>
      <c r="Q452"/>
    </row>
    <row r="453" spans="1:17" s="146" customFormat="1" ht="18" customHeight="1" x14ac:dyDescent="0.25">
      <c r="A453" s="926" t="s">
        <v>1386</v>
      </c>
      <c r="B453" s="208" t="s">
        <v>201</v>
      </c>
      <c r="C453" s="97"/>
      <c r="D453" s="859" t="s">
        <v>361</v>
      </c>
      <c r="E453" s="859"/>
      <c r="F453" s="837"/>
      <c r="G453" s="838"/>
      <c r="H453" s="97"/>
      <c r="I453" s="101"/>
      <c r="J453" s="102"/>
      <c r="K453" s="101"/>
      <c r="L453" s="101">
        <v>400000</v>
      </c>
      <c r="M453" s="101"/>
      <c r="N453" s="10"/>
      <c r="O453" s="10"/>
      <c r="P453"/>
      <c r="Q453"/>
    </row>
    <row r="454" spans="1:17" s="146" customFormat="1" ht="18" x14ac:dyDescent="0.25">
      <c r="A454" s="926" t="s">
        <v>1386</v>
      </c>
      <c r="B454" s="208" t="s">
        <v>201</v>
      </c>
      <c r="C454" s="97"/>
      <c r="D454" s="859" t="s">
        <v>203</v>
      </c>
      <c r="E454" s="859"/>
      <c r="F454" s="837"/>
      <c r="G454" s="837"/>
      <c r="H454" s="97"/>
      <c r="I454" s="101"/>
      <c r="J454" s="102"/>
      <c r="K454" s="101"/>
      <c r="L454" s="101">
        <v>75000</v>
      </c>
      <c r="M454" s="101"/>
      <c r="N454" s="10"/>
      <c r="O454" s="10"/>
      <c r="P454"/>
      <c r="Q454"/>
    </row>
    <row r="455" spans="1:17" s="146" customFormat="1" ht="18" x14ac:dyDescent="0.25">
      <c r="A455" s="926" t="s">
        <v>1386</v>
      </c>
      <c r="B455" s="208" t="s">
        <v>201</v>
      </c>
      <c r="C455" s="97"/>
      <c r="D455" s="859" t="s">
        <v>362</v>
      </c>
      <c r="E455" s="837"/>
      <c r="F455" s="837"/>
      <c r="G455" s="837"/>
      <c r="H455" s="97"/>
      <c r="I455" s="101"/>
      <c r="J455" s="102"/>
      <c r="K455" s="101"/>
      <c r="L455" s="101">
        <v>35200</v>
      </c>
      <c r="M455" s="101"/>
      <c r="N455" s="10"/>
      <c r="O455" s="10"/>
      <c r="P455"/>
      <c r="Q455"/>
    </row>
    <row r="456" spans="1:17" s="146" customFormat="1" ht="18" customHeight="1" x14ac:dyDescent="0.25">
      <c r="A456" s="926" t="s">
        <v>1386</v>
      </c>
      <c r="B456" t="s">
        <v>201</v>
      </c>
      <c r="C456" s="97"/>
      <c r="D456" s="859" t="s">
        <v>402</v>
      </c>
      <c r="E456" s="836"/>
      <c r="F456" s="836"/>
      <c r="G456" s="834"/>
      <c r="H456" s="97"/>
      <c r="I456" s="101"/>
      <c r="J456" s="102"/>
      <c r="K456" s="101"/>
      <c r="L456" s="101">
        <v>280000</v>
      </c>
      <c r="M456" s="101"/>
      <c r="N456" s="10"/>
      <c r="O456" s="10"/>
      <c r="P456"/>
      <c r="Q456"/>
    </row>
    <row r="457" spans="1:17" s="146" customFormat="1" ht="18" x14ac:dyDescent="0.25">
      <c r="A457" s="926" t="s">
        <v>1386</v>
      </c>
      <c r="B457" t="s">
        <v>201</v>
      </c>
      <c r="C457" s="97"/>
      <c r="D457" s="859" t="s">
        <v>403</v>
      </c>
      <c r="E457" s="836"/>
      <c r="F457" s="836"/>
      <c r="G457" s="836"/>
      <c r="H457" s="97"/>
      <c r="I457" s="101"/>
      <c r="J457" s="102"/>
      <c r="K457" s="101"/>
      <c r="L457" s="101">
        <v>45000</v>
      </c>
      <c r="M457" s="101"/>
      <c r="N457" s="10"/>
      <c r="O457" s="10"/>
      <c r="P457"/>
      <c r="Q457"/>
    </row>
    <row r="458" spans="1:17" ht="18" x14ac:dyDescent="0.25">
      <c r="A458" s="926" t="s">
        <v>1386</v>
      </c>
      <c r="B458" t="s">
        <v>201</v>
      </c>
      <c r="C458" s="97"/>
      <c r="D458" s="859" t="s">
        <v>404</v>
      </c>
      <c r="E458" s="836"/>
      <c r="F458" s="836"/>
      <c r="G458" s="836"/>
      <c r="H458" s="97"/>
      <c r="I458" s="101"/>
      <c r="J458" s="102"/>
      <c r="K458" s="101"/>
      <c r="L458" s="101">
        <v>240000</v>
      </c>
      <c r="M458" s="101"/>
    </row>
    <row r="459" spans="1:17" ht="18" x14ac:dyDescent="0.25">
      <c r="A459" s="926" t="s">
        <v>1386</v>
      </c>
      <c r="B459" t="s">
        <v>201</v>
      </c>
      <c r="C459" s="97"/>
      <c r="D459" s="837" t="s">
        <v>414</v>
      </c>
      <c r="E459" s="836"/>
      <c r="F459" s="836"/>
      <c r="G459" s="836"/>
      <c r="H459" s="97"/>
      <c r="I459" s="101"/>
      <c r="J459" s="102"/>
      <c r="K459" s="101"/>
      <c r="L459" s="101">
        <v>330000</v>
      </c>
      <c r="M459" s="101"/>
    </row>
    <row r="460" spans="1:17" ht="18" x14ac:dyDescent="0.25">
      <c r="A460" s="926" t="s">
        <v>1386</v>
      </c>
      <c r="B460" t="s">
        <v>201</v>
      </c>
      <c r="C460" s="97"/>
      <c r="D460" s="837" t="s">
        <v>415</v>
      </c>
      <c r="E460" s="836"/>
      <c r="F460" s="836"/>
      <c r="G460" s="836"/>
      <c r="H460" s="97"/>
      <c r="I460" s="101"/>
      <c r="J460" s="102"/>
      <c r="K460" s="101"/>
      <c r="L460" s="101">
        <v>180000</v>
      </c>
      <c r="M460" s="101"/>
    </row>
    <row r="461" spans="1:17" ht="18" x14ac:dyDescent="0.25">
      <c r="A461" s="926" t="s">
        <v>1386</v>
      </c>
      <c r="B461" t="s">
        <v>201</v>
      </c>
      <c r="C461" s="97"/>
      <c r="D461" s="837" t="s">
        <v>416</v>
      </c>
      <c r="E461" s="836"/>
      <c r="F461" s="836"/>
      <c r="G461" s="836"/>
      <c r="H461" s="97"/>
      <c r="I461" s="101"/>
      <c r="J461" s="102"/>
      <c r="K461" s="101"/>
      <c r="L461" s="101">
        <v>55000</v>
      </c>
      <c r="M461" s="101"/>
    </row>
    <row r="462" spans="1:17" ht="18" x14ac:dyDescent="0.25">
      <c r="A462" s="926" t="s">
        <v>1386</v>
      </c>
      <c r="B462" t="s">
        <v>201</v>
      </c>
      <c r="C462" s="97"/>
      <c r="D462" s="837" t="s">
        <v>417</v>
      </c>
      <c r="E462" s="836"/>
      <c r="F462" s="836"/>
      <c r="G462" s="836"/>
      <c r="H462" s="97"/>
      <c r="I462" s="101"/>
      <c r="J462" s="102"/>
      <c r="K462" s="101"/>
      <c r="L462" s="101">
        <v>50000</v>
      </c>
      <c r="M462" s="101"/>
    </row>
    <row r="463" spans="1:17" ht="18" x14ac:dyDescent="0.25">
      <c r="A463" s="926" t="s">
        <v>1386</v>
      </c>
      <c r="B463" t="s">
        <v>201</v>
      </c>
      <c r="C463" s="97"/>
      <c r="D463" s="837" t="s">
        <v>418</v>
      </c>
      <c r="E463" s="836"/>
      <c r="F463" s="836"/>
      <c r="G463" s="836"/>
      <c r="H463" s="97"/>
      <c r="I463" s="101"/>
      <c r="J463" s="102"/>
      <c r="K463" s="101"/>
      <c r="L463" s="101">
        <v>25000</v>
      </c>
      <c r="M463" s="101"/>
    </row>
    <row r="464" spans="1:17" ht="18" x14ac:dyDescent="0.25">
      <c r="A464" s="926" t="s">
        <v>1386</v>
      </c>
      <c r="B464" t="s">
        <v>201</v>
      </c>
      <c r="C464" s="97"/>
      <c r="D464" s="837" t="s">
        <v>419</v>
      </c>
      <c r="E464" s="836"/>
      <c r="F464" s="836"/>
      <c r="G464" s="836"/>
      <c r="H464" s="97"/>
      <c r="I464" s="101"/>
      <c r="J464" s="102"/>
      <c r="K464" s="101"/>
      <c r="L464" s="101">
        <v>65000</v>
      </c>
      <c r="M464" s="101"/>
    </row>
    <row r="465" spans="1:17" ht="18" x14ac:dyDescent="0.25">
      <c r="A465" s="926" t="s">
        <v>1386</v>
      </c>
      <c r="B465" t="s">
        <v>201</v>
      </c>
      <c r="C465" s="97"/>
      <c r="D465" s="837" t="s">
        <v>420</v>
      </c>
      <c r="E465" s="836"/>
      <c r="F465" s="836"/>
      <c r="G465" s="836"/>
      <c r="H465" s="97"/>
      <c r="I465" s="101"/>
      <c r="J465" s="102"/>
      <c r="K465" s="101"/>
      <c r="L465" s="101">
        <v>350000</v>
      </c>
      <c r="M465" s="101"/>
    </row>
    <row r="466" spans="1:17" ht="18" x14ac:dyDescent="0.25">
      <c r="A466" s="926" t="s">
        <v>1386</v>
      </c>
      <c r="B466" t="s">
        <v>201</v>
      </c>
      <c r="C466" s="97"/>
      <c r="D466" s="859" t="s">
        <v>421</v>
      </c>
      <c r="E466" s="840"/>
      <c r="F466" s="836"/>
      <c r="G466" s="836"/>
      <c r="H466" s="97"/>
      <c r="I466" s="101"/>
      <c r="J466" s="102"/>
      <c r="K466" s="101"/>
      <c r="L466" s="101">
        <v>1000000</v>
      </c>
      <c r="M466" s="101"/>
    </row>
    <row r="467" spans="1:17" ht="18" x14ac:dyDescent="0.25">
      <c r="A467" s="926" t="s">
        <v>1386</v>
      </c>
      <c r="B467" s="927" t="s">
        <v>201</v>
      </c>
      <c r="C467" s="97"/>
      <c r="D467" s="837" t="s">
        <v>1498</v>
      </c>
      <c r="E467" s="836"/>
      <c r="F467" s="836"/>
      <c r="G467" s="836"/>
      <c r="H467" s="97"/>
      <c r="I467" s="105"/>
      <c r="J467" s="106"/>
      <c r="K467" s="105"/>
      <c r="L467" s="105">
        <v>52800</v>
      </c>
      <c r="M467" s="105"/>
    </row>
    <row r="468" spans="1:17" s="146" customFormat="1" ht="18" customHeight="1" x14ac:dyDescent="0.25">
      <c r="A468" s="926" t="s">
        <v>1386</v>
      </c>
      <c r="B468" s="927" t="s">
        <v>201</v>
      </c>
      <c r="C468" s="97"/>
      <c r="D468" s="838" t="s">
        <v>263</v>
      </c>
      <c r="E468" s="835"/>
      <c r="F468" s="835"/>
      <c r="G468" s="835"/>
      <c r="H468" s="97"/>
      <c r="I468" s="101"/>
      <c r="J468" s="102"/>
      <c r="K468" s="101"/>
      <c r="L468" s="101">
        <v>195600</v>
      </c>
      <c r="M468" s="101"/>
      <c r="N468" s="10"/>
      <c r="O468" s="10"/>
      <c r="P468"/>
      <c r="Q468"/>
    </row>
    <row r="469" spans="1:17" s="146" customFormat="1" ht="18" customHeight="1" x14ac:dyDescent="0.25">
      <c r="A469" s="926" t="s">
        <v>1386</v>
      </c>
      <c r="B469" s="927" t="s">
        <v>201</v>
      </c>
      <c r="C469" s="97"/>
      <c r="D469" s="838" t="s">
        <v>1517</v>
      </c>
      <c r="E469" s="835"/>
      <c r="F469" s="835"/>
      <c r="G469" s="835"/>
      <c r="H469" s="97"/>
      <c r="I469" s="101"/>
      <c r="J469" s="102"/>
      <c r="K469" s="101"/>
      <c r="L469" s="101">
        <v>15300</v>
      </c>
      <c r="M469" s="101"/>
      <c r="N469" s="10"/>
      <c r="O469" s="10"/>
      <c r="P469"/>
      <c r="Q469"/>
    </row>
    <row r="470" spans="1:17" s="146" customFormat="1" ht="18" customHeight="1" x14ac:dyDescent="0.25">
      <c r="A470" s="926" t="s">
        <v>1386</v>
      </c>
      <c r="B470" s="169" t="s">
        <v>201</v>
      </c>
      <c r="C470" s="97"/>
      <c r="D470" s="838" t="s">
        <v>363</v>
      </c>
      <c r="E470" s="835"/>
      <c r="F470" s="851"/>
      <c r="G470" s="851"/>
      <c r="H470" s="97"/>
      <c r="I470" s="101"/>
      <c r="J470" s="102"/>
      <c r="K470" s="101"/>
      <c r="L470" s="101">
        <v>345000</v>
      </c>
      <c r="M470" s="101"/>
      <c r="N470" s="10"/>
      <c r="O470" s="10"/>
      <c r="P470"/>
      <c r="Q470"/>
    </row>
    <row r="471" spans="1:17" s="146" customFormat="1" ht="18" customHeight="1" x14ac:dyDescent="0.25">
      <c r="A471" s="926" t="s">
        <v>1386</v>
      </c>
      <c r="B471" s="169" t="s">
        <v>201</v>
      </c>
      <c r="C471" s="97"/>
      <c r="D471" s="838" t="s">
        <v>444</v>
      </c>
      <c r="E471" s="835"/>
      <c r="F471" s="851"/>
      <c r="G471" s="851"/>
      <c r="H471" s="97"/>
      <c r="I471" s="101"/>
      <c r="J471" s="102"/>
      <c r="K471" s="101"/>
      <c r="L471" s="101">
        <v>240000</v>
      </c>
      <c r="M471" s="101"/>
      <c r="N471" s="10"/>
      <c r="O471" s="10"/>
      <c r="P471"/>
      <c r="Q471"/>
    </row>
    <row r="472" spans="1:17" s="146" customFormat="1" ht="18" customHeight="1" x14ac:dyDescent="0.25">
      <c r="A472" s="926" t="s">
        <v>1386</v>
      </c>
      <c r="B472" s="169" t="s">
        <v>201</v>
      </c>
      <c r="C472" s="97"/>
      <c r="D472" s="838" t="s">
        <v>445</v>
      </c>
      <c r="E472" s="835"/>
      <c r="F472" s="851"/>
      <c r="G472" s="851"/>
      <c r="H472" s="97"/>
      <c r="I472" s="101"/>
      <c r="J472" s="102"/>
      <c r="K472" s="101"/>
      <c r="L472" s="101">
        <v>20000</v>
      </c>
      <c r="M472" s="101"/>
      <c r="N472" s="10"/>
      <c r="O472" s="10"/>
      <c r="P472"/>
      <c r="Q472"/>
    </row>
    <row r="473" spans="1:17" s="146" customFormat="1" ht="18" customHeight="1" x14ac:dyDescent="0.25">
      <c r="A473" s="926" t="s">
        <v>1386</v>
      </c>
      <c r="B473" s="169" t="s">
        <v>201</v>
      </c>
      <c r="C473" s="97"/>
      <c r="D473" s="838" t="s">
        <v>446</v>
      </c>
      <c r="E473" s="835"/>
      <c r="F473" s="851"/>
      <c r="G473" s="851"/>
      <c r="H473" s="97"/>
      <c r="I473" s="101"/>
      <c r="J473" s="102"/>
      <c r="K473" s="101"/>
      <c r="L473" s="101">
        <v>70000</v>
      </c>
      <c r="M473" s="101"/>
      <c r="N473" s="10"/>
      <c r="O473" s="10"/>
      <c r="P473"/>
      <c r="Q473"/>
    </row>
    <row r="474" spans="1:17" s="146" customFormat="1" ht="18" x14ac:dyDescent="0.25">
      <c r="A474" s="926" t="s">
        <v>1386</v>
      </c>
      <c r="B474" s="169" t="s">
        <v>201</v>
      </c>
      <c r="C474" s="97"/>
      <c r="D474" s="838" t="s">
        <v>447</v>
      </c>
      <c r="E474" s="835"/>
      <c r="F474" s="851"/>
      <c r="G474" s="851"/>
      <c r="H474" s="97"/>
      <c r="I474" s="101"/>
      <c r="J474" s="102"/>
      <c r="K474" s="101"/>
      <c r="L474" s="101">
        <v>145600</v>
      </c>
      <c r="M474" s="101"/>
      <c r="N474" s="10"/>
      <c r="O474" s="10"/>
      <c r="P474"/>
      <c r="Q474"/>
    </row>
    <row r="475" spans="1:17" s="146" customFormat="1" ht="18" customHeight="1" x14ac:dyDescent="0.25">
      <c r="A475" s="926" t="s">
        <v>1386</v>
      </c>
      <c r="B475" s="229" t="s">
        <v>201</v>
      </c>
      <c r="C475" s="168"/>
      <c r="D475" s="860" t="s">
        <v>263</v>
      </c>
      <c r="E475" s="853"/>
      <c r="F475" s="853"/>
      <c r="G475" s="853"/>
      <c r="H475" s="168"/>
      <c r="I475" s="102"/>
      <c r="J475" s="102"/>
      <c r="K475" s="102"/>
      <c r="L475" s="102">
        <v>160000</v>
      </c>
      <c r="M475" s="101"/>
      <c r="N475" s="10"/>
      <c r="O475" s="10"/>
      <c r="P475"/>
      <c r="Q475"/>
    </row>
    <row r="476" spans="1:17" s="146" customFormat="1" ht="18" customHeight="1" x14ac:dyDescent="0.25">
      <c r="A476" s="926" t="s">
        <v>1386</v>
      </c>
      <c r="B476" s="229" t="s">
        <v>201</v>
      </c>
      <c r="C476" s="168"/>
      <c r="D476" s="860" t="s">
        <v>458</v>
      </c>
      <c r="E476" s="853"/>
      <c r="F476" s="853"/>
      <c r="G476" s="853"/>
      <c r="H476" s="168"/>
      <c r="I476" s="102"/>
      <c r="J476" s="102"/>
      <c r="K476" s="102"/>
      <c r="L476" s="102">
        <v>40000</v>
      </c>
      <c r="M476" s="101"/>
      <c r="N476" s="10"/>
      <c r="O476" s="10"/>
      <c r="P476"/>
      <c r="Q476"/>
    </row>
    <row r="477" spans="1:17" s="146" customFormat="1" ht="18" customHeight="1" x14ac:dyDescent="0.25">
      <c r="A477" s="926" t="s">
        <v>1386</v>
      </c>
      <c r="B477" s="229" t="s">
        <v>201</v>
      </c>
      <c r="C477" s="168"/>
      <c r="D477" s="860" t="s">
        <v>459</v>
      </c>
      <c r="E477" s="853"/>
      <c r="F477" s="853"/>
      <c r="G477" s="853"/>
      <c r="H477" s="168"/>
      <c r="I477" s="102"/>
      <c r="J477" s="102"/>
      <c r="K477" s="102"/>
      <c r="L477" s="102">
        <v>80000</v>
      </c>
      <c r="M477" s="101"/>
      <c r="N477" s="10"/>
      <c r="O477" s="10"/>
      <c r="P477"/>
      <c r="Q477"/>
    </row>
    <row r="478" spans="1:17" s="146" customFormat="1" ht="18" x14ac:dyDescent="0.25">
      <c r="A478" s="926" t="s">
        <v>1386</v>
      </c>
      <c r="B478" s="48" t="s">
        <v>163</v>
      </c>
      <c r="C478" s="100" t="s">
        <v>165</v>
      </c>
      <c r="D478" s="245" t="s">
        <v>164</v>
      </c>
      <c r="E478" s="116"/>
      <c r="F478" s="116"/>
      <c r="G478" s="116"/>
      <c r="H478" s="100" t="s">
        <v>165</v>
      </c>
      <c r="I478" s="101">
        <v>227196.16</v>
      </c>
      <c r="J478" s="102">
        <v>500000</v>
      </c>
      <c r="K478" s="101">
        <v>39477</v>
      </c>
      <c r="L478" s="101">
        <v>700000</v>
      </c>
      <c r="M478" s="101"/>
      <c r="N478" s="10"/>
      <c r="O478" s="10"/>
      <c r="P478"/>
      <c r="Q478"/>
    </row>
    <row r="479" spans="1:17" s="146" customFormat="1" ht="18" customHeight="1" x14ac:dyDescent="0.25">
      <c r="A479" s="926" t="s">
        <v>1386</v>
      </c>
      <c r="B479" s="48" t="s">
        <v>163</v>
      </c>
      <c r="C479" s="100" t="s">
        <v>165</v>
      </c>
      <c r="D479" s="245" t="s">
        <v>164</v>
      </c>
      <c r="E479" s="116"/>
      <c r="F479" s="116"/>
      <c r="G479" s="116"/>
      <c r="H479" s="100" t="s">
        <v>165</v>
      </c>
      <c r="I479" s="101">
        <v>0</v>
      </c>
      <c r="J479" s="102">
        <v>15000</v>
      </c>
      <c r="K479" s="101"/>
      <c r="L479" s="101">
        <v>15000</v>
      </c>
      <c r="M479" s="101"/>
      <c r="N479" s="10"/>
      <c r="O479" s="10"/>
      <c r="P479"/>
      <c r="Q479"/>
    </row>
    <row r="480" spans="1:17" s="146" customFormat="1" ht="18" x14ac:dyDescent="0.25">
      <c r="A480" s="926" t="s">
        <v>1386</v>
      </c>
      <c r="B480" s="48" t="s">
        <v>163</v>
      </c>
      <c r="C480" s="100" t="s">
        <v>165</v>
      </c>
      <c r="D480" s="44" t="s">
        <v>164</v>
      </c>
      <c r="E480" s="113"/>
      <c r="F480" s="113"/>
      <c r="G480" s="114"/>
      <c r="H480" s="100" t="s">
        <v>165</v>
      </c>
      <c r="I480" s="101">
        <v>0</v>
      </c>
      <c r="J480" s="102">
        <v>15000</v>
      </c>
      <c r="K480" s="101">
        <v>0</v>
      </c>
      <c r="L480" s="101">
        <v>15000</v>
      </c>
      <c r="M480" s="101"/>
      <c r="N480" s="10"/>
      <c r="O480" s="10"/>
      <c r="P480"/>
      <c r="Q480"/>
    </row>
    <row r="481" spans="1:17" s="146" customFormat="1" ht="18" x14ac:dyDescent="0.25">
      <c r="A481" s="926" t="s">
        <v>1386</v>
      </c>
      <c r="B481" s="48" t="s">
        <v>163</v>
      </c>
      <c r="C481" s="131" t="s">
        <v>165</v>
      </c>
      <c r="D481" s="44" t="s">
        <v>164</v>
      </c>
      <c r="E481" s="113"/>
      <c r="F481" s="113"/>
      <c r="G481" s="114"/>
      <c r="H481" s="131" t="s">
        <v>165</v>
      </c>
      <c r="I481" s="101"/>
      <c r="J481" s="102">
        <v>20000</v>
      </c>
      <c r="K481" s="101"/>
      <c r="L481" s="101">
        <v>20000</v>
      </c>
      <c r="M481" s="102"/>
      <c r="N481" s="10"/>
      <c r="O481" s="10"/>
    </row>
    <row r="482" spans="1:17" s="146" customFormat="1" ht="18" customHeight="1" x14ac:dyDescent="0.25">
      <c r="A482" s="926" t="s">
        <v>1386</v>
      </c>
      <c r="B482" s="48" t="s">
        <v>163</v>
      </c>
      <c r="C482" s="131" t="s">
        <v>165</v>
      </c>
      <c r="D482" s="245" t="s">
        <v>164</v>
      </c>
      <c r="E482" s="116"/>
      <c r="F482" s="116"/>
      <c r="G482" s="116"/>
      <c r="H482" s="131" t="s">
        <v>165</v>
      </c>
      <c r="I482" s="101"/>
      <c r="J482" s="102">
        <v>15000</v>
      </c>
      <c r="K482" s="101"/>
      <c r="L482" s="101">
        <v>15000</v>
      </c>
      <c r="M482" s="101"/>
      <c r="N482" s="10"/>
      <c r="O482" s="10"/>
      <c r="P482"/>
      <c r="Q482"/>
    </row>
    <row r="483" spans="1:17" s="146" customFormat="1" ht="18" customHeight="1" x14ac:dyDescent="0.25">
      <c r="A483" s="926" t="s">
        <v>1386</v>
      </c>
      <c r="B483" s="48" t="s">
        <v>163</v>
      </c>
      <c r="C483" s="131" t="s">
        <v>165</v>
      </c>
      <c r="D483" s="245" t="s">
        <v>164</v>
      </c>
      <c r="E483" s="116"/>
      <c r="F483" s="116"/>
      <c r="G483" s="116"/>
      <c r="H483" s="131" t="s">
        <v>165</v>
      </c>
      <c r="I483" s="101">
        <v>112087</v>
      </c>
      <c r="J483" s="102">
        <v>1200000</v>
      </c>
      <c r="K483" s="101"/>
      <c r="L483" s="101">
        <v>1200000</v>
      </c>
      <c r="M483" s="101"/>
      <c r="N483" s="10"/>
      <c r="O483" s="10"/>
      <c r="P483"/>
      <c r="Q483"/>
    </row>
    <row r="484" spans="1:17" s="146" customFormat="1" ht="18" customHeight="1" x14ac:dyDescent="0.25">
      <c r="A484" s="926" t="s">
        <v>1386</v>
      </c>
      <c r="B484" s="48" t="s">
        <v>163</v>
      </c>
      <c r="C484" s="131" t="s">
        <v>165</v>
      </c>
      <c r="D484" s="245" t="s">
        <v>164</v>
      </c>
      <c r="E484" s="116"/>
      <c r="F484" s="116"/>
      <c r="G484" s="116"/>
      <c r="H484" s="131" t="s">
        <v>165</v>
      </c>
      <c r="I484" s="101"/>
      <c r="J484" s="102">
        <v>300000</v>
      </c>
      <c r="K484" s="101"/>
      <c r="L484" s="101">
        <v>300000</v>
      </c>
      <c r="M484" s="101"/>
      <c r="N484" s="10"/>
      <c r="O484" s="10"/>
      <c r="P484"/>
      <c r="Q484"/>
    </row>
    <row r="485" spans="1:17" s="146" customFormat="1" ht="18" customHeight="1" x14ac:dyDescent="0.25">
      <c r="A485" s="926" t="s">
        <v>1386</v>
      </c>
      <c r="B485" s="48" t="s">
        <v>163</v>
      </c>
      <c r="C485" s="100" t="s">
        <v>165</v>
      </c>
      <c r="D485" s="245" t="s">
        <v>164</v>
      </c>
      <c r="E485" s="116"/>
      <c r="F485" s="116"/>
      <c r="G485" s="116"/>
      <c r="H485" s="100" t="s">
        <v>165</v>
      </c>
      <c r="I485" s="105">
        <v>5060</v>
      </c>
      <c r="J485" s="106">
        <v>25000</v>
      </c>
      <c r="K485" s="105"/>
      <c r="L485" s="105">
        <v>25000</v>
      </c>
      <c r="M485" s="105"/>
      <c r="N485" s="10"/>
      <c r="O485" s="10"/>
      <c r="P485"/>
      <c r="Q485"/>
    </row>
    <row r="486" spans="1:17" s="146" customFormat="1" ht="18" customHeight="1" x14ac:dyDescent="0.25">
      <c r="A486" s="926" t="s">
        <v>1386</v>
      </c>
      <c r="B486" s="48" t="s">
        <v>163</v>
      </c>
      <c r="C486" s="100" t="s">
        <v>165</v>
      </c>
      <c r="D486" s="44" t="s">
        <v>164</v>
      </c>
      <c r="E486" s="113"/>
      <c r="F486" s="113"/>
      <c r="G486" s="114"/>
      <c r="H486" s="100" t="s">
        <v>165</v>
      </c>
      <c r="I486" s="101">
        <v>8615</v>
      </c>
      <c r="J486" s="102">
        <v>60000</v>
      </c>
      <c r="K486" s="101"/>
      <c r="L486" s="101">
        <v>60000</v>
      </c>
      <c r="M486" s="101"/>
      <c r="N486" s="10"/>
      <c r="O486" s="10"/>
      <c r="P486"/>
      <c r="Q486"/>
    </row>
    <row r="487" spans="1:17" s="146" customFormat="1" ht="18" x14ac:dyDescent="0.25">
      <c r="A487" s="926" t="s">
        <v>1386</v>
      </c>
      <c r="B487" s="48" t="s">
        <v>163</v>
      </c>
      <c r="C487" s="100" t="s">
        <v>165</v>
      </c>
      <c r="D487" s="44" t="s">
        <v>164</v>
      </c>
      <c r="E487" s="113"/>
      <c r="F487" s="113"/>
      <c r="G487" s="113"/>
      <c r="H487" s="100" t="s">
        <v>165</v>
      </c>
      <c r="I487" s="101">
        <v>2250</v>
      </c>
      <c r="J487" s="102">
        <v>50000</v>
      </c>
      <c r="K487" s="101"/>
      <c r="L487" s="101">
        <v>50000</v>
      </c>
      <c r="M487" s="101"/>
      <c r="N487" s="10"/>
      <c r="O487" s="10"/>
      <c r="P487"/>
      <c r="Q487"/>
    </row>
    <row r="488" spans="1:17" s="146" customFormat="1" ht="18" x14ac:dyDescent="0.25">
      <c r="A488" s="926" t="s">
        <v>1386</v>
      </c>
      <c r="B488" s="48" t="s">
        <v>163</v>
      </c>
      <c r="C488" s="131" t="s">
        <v>165</v>
      </c>
      <c r="D488" s="44" t="s">
        <v>353</v>
      </c>
      <c r="E488" s="113"/>
      <c r="F488" s="113"/>
      <c r="G488" s="113"/>
      <c r="H488" s="131" t="s">
        <v>165</v>
      </c>
      <c r="I488" s="101">
        <v>11256</v>
      </c>
      <c r="J488" s="102">
        <v>60000</v>
      </c>
      <c r="K488" s="101"/>
      <c r="L488" s="101">
        <v>60000</v>
      </c>
      <c r="M488" s="101"/>
      <c r="N488" s="10"/>
      <c r="O488" s="10"/>
      <c r="P488"/>
      <c r="Q488"/>
    </row>
    <row r="489" spans="1:17" ht="18" x14ac:dyDescent="0.25">
      <c r="A489" s="926" t="s">
        <v>1386</v>
      </c>
      <c r="B489" s="48" t="s">
        <v>163</v>
      </c>
      <c r="C489" s="131" t="s">
        <v>165</v>
      </c>
      <c r="D489" s="44" t="s">
        <v>353</v>
      </c>
      <c r="E489" s="125"/>
      <c r="F489" s="125"/>
      <c r="G489" s="125"/>
      <c r="H489" s="131" t="s">
        <v>165</v>
      </c>
      <c r="I489" s="101">
        <v>10094</v>
      </c>
      <c r="J489" s="102">
        <v>80000</v>
      </c>
      <c r="K489" s="101">
        <v>7750</v>
      </c>
      <c r="L489" s="101">
        <v>80000</v>
      </c>
      <c r="M489" s="101"/>
    </row>
    <row r="490" spans="1:17" ht="18" x14ac:dyDescent="0.25">
      <c r="A490" s="926" t="s">
        <v>1386</v>
      </c>
      <c r="B490" s="48" t="s">
        <v>163</v>
      </c>
      <c r="C490" s="131" t="s">
        <v>165</v>
      </c>
      <c r="D490" s="44" t="s">
        <v>353</v>
      </c>
      <c r="E490" s="125"/>
      <c r="F490" s="125"/>
      <c r="G490" s="125"/>
      <c r="H490" s="131" t="s">
        <v>165</v>
      </c>
      <c r="I490" s="101">
        <v>29917</v>
      </c>
      <c r="J490" s="102">
        <v>58500</v>
      </c>
      <c r="K490" s="101">
        <v>5300</v>
      </c>
      <c r="L490" s="101">
        <v>58500</v>
      </c>
      <c r="M490" s="101"/>
    </row>
    <row r="491" spans="1:17" ht="18" x14ac:dyDescent="0.25">
      <c r="A491" s="926" t="s">
        <v>1386</v>
      </c>
      <c r="B491" s="229" t="s">
        <v>163</v>
      </c>
      <c r="C491" s="131" t="s">
        <v>292</v>
      </c>
      <c r="D491" s="44" t="s">
        <v>164</v>
      </c>
      <c r="E491" s="113"/>
      <c r="F491" s="113"/>
      <c r="G491" s="114"/>
      <c r="H491" s="131" t="s">
        <v>292</v>
      </c>
      <c r="I491" s="101"/>
      <c r="J491" s="102">
        <v>350000</v>
      </c>
      <c r="K491" s="101"/>
      <c r="L491" s="101">
        <v>350000</v>
      </c>
      <c r="M491" s="101"/>
      <c r="N491" s="188"/>
      <c r="O491" s="188"/>
    </row>
    <row r="492" spans="1:17" ht="18" x14ac:dyDescent="0.25">
      <c r="A492" s="926" t="s">
        <v>1386</v>
      </c>
      <c r="B492" s="48" t="s">
        <v>163</v>
      </c>
      <c r="C492" s="131" t="s">
        <v>165</v>
      </c>
      <c r="D492" s="44" t="s">
        <v>353</v>
      </c>
      <c r="E492" s="125"/>
      <c r="F492" s="125"/>
      <c r="G492" s="125"/>
      <c r="H492" s="131" t="s">
        <v>165</v>
      </c>
      <c r="I492" s="101"/>
      <c r="J492" s="102">
        <v>100000</v>
      </c>
      <c r="K492" s="101"/>
      <c r="L492" s="101">
        <v>100000</v>
      </c>
      <c r="M492" s="101"/>
    </row>
    <row r="493" spans="1:17" ht="18" x14ac:dyDescent="0.25">
      <c r="A493" s="926" t="s">
        <v>1386</v>
      </c>
      <c r="B493" s="48" t="s">
        <v>163</v>
      </c>
      <c r="C493" s="131" t="s">
        <v>165</v>
      </c>
      <c r="D493" s="44" t="s">
        <v>353</v>
      </c>
      <c r="E493" s="125"/>
      <c r="F493" s="125"/>
      <c r="G493" s="125"/>
      <c r="H493" s="131" t="s">
        <v>165</v>
      </c>
      <c r="I493" s="101">
        <v>750</v>
      </c>
      <c r="J493" s="102">
        <v>20000</v>
      </c>
      <c r="K493" s="101"/>
      <c r="L493" s="101">
        <v>15000</v>
      </c>
      <c r="M493" s="101">
        <f>SUM(L478:L493)</f>
        <v>3063500</v>
      </c>
    </row>
    <row r="494" spans="1:17" ht="18" x14ac:dyDescent="0.25">
      <c r="A494" s="926" t="s">
        <v>1386</v>
      </c>
      <c r="B494" s="48" t="s">
        <v>163</v>
      </c>
      <c r="C494" s="100" t="s">
        <v>167</v>
      </c>
      <c r="D494" s="44" t="s">
        <v>166</v>
      </c>
      <c r="E494" s="113"/>
      <c r="F494" s="113"/>
      <c r="G494" s="113"/>
      <c r="H494" s="100" t="s">
        <v>167</v>
      </c>
      <c r="I494" s="101">
        <v>0</v>
      </c>
      <c r="J494" s="102">
        <v>300000</v>
      </c>
      <c r="K494" s="101"/>
      <c r="L494" s="101">
        <v>300000</v>
      </c>
      <c r="M494" s="101"/>
    </row>
    <row r="495" spans="1:17" ht="18" x14ac:dyDescent="0.25">
      <c r="A495" s="926" t="s">
        <v>1386</v>
      </c>
      <c r="B495" s="48" t="s">
        <v>163</v>
      </c>
      <c r="C495" s="131" t="s">
        <v>293</v>
      </c>
      <c r="D495" s="206" t="s">
        <v>166</v>
      </c>
      <c r="E495" s="184"/>
      <c r="F495" s="184"/>
      <c r="G495" s="184"/>
      <c r="H495" s="131" t="s">
        <v>293</v>
      </c>
      <c r="I495" s="101">
        <v>0</v>
      </c>
      <c r="J495" s="102">
        <v>750000</v>
      </c>
      <c r="K495" s="101"/>
      <c r="L495" s="101">
        <v>750000</v>
      </c>
      <c r="M495" s="101"/>
    </row>
    <row r="496" spans="1:17" ht="18" x14ac:dyDescent="0.25">
      <c r="A496" s="926" t="s">
        <v>1386</v>
      </c>
      <c r="B496" s="48" t="s">
        <v>163</v>
      </c>
      <c r="C496" s="131" t="s">
        <v>293</v>
      </c>
      <c r="D496" s="206" t="s">
        <v>166</v>
      </c>
      <c r="E496" s="184"/>
      <c r="F496" s="184"/>
      <c r="G496" s="184"/>
      <c r="H496" s="131" t="s">
        <v>293</v>
      </c>
      <c r="I496" s="101">
        <v>309500</v>
      </c>
      <c r="J496" s="102">
        <v>1000000</v>
      </c>
      <c r="K496" s="101"/>
      <c r="L496" s="101">
        <v>1000000</v>
      </c>
      <c r="M496" s="101"/>
    </row>
    <row r="497" spans="1:17" ht="18" x14ac:dyDescent="0.25">
      <c r="A497" s="926" t="s">
        <v>1386</v>
      </c>
      <c r="B497" s="48" t="s">
        <v>163</v>
      </c>
      <c r="C497" s="131" t="s">
        <v>293</v>
      </c>
      <c r="D497" s="206" t="s">
        <v>312</v>
      </c>
      <c r="E497" s="184"/>
      <c r="F497" s="184"/>
      <c r="G497" s="184"/>
      <c r="H497" s="131" t="s">
        <v>293</v>
      </c>
      <c r="I497" s="101"/>
      <c r="J497" s="102">
        <v>200000</v>
      </c>
      <c r="K497" s="101"/>
      <c r="L497" s="101">
        <v>200000</v>
      </c>
      <c r="M497" s="101">
        <f>SUM(L494:L497)</f>
        <v>2250000</v>
      </c>
    </row>
    <row r="498" spans="1:17" ht="18" x14ac:dyDescent="0.25">
      <c r="A498" s="926" t="s">
        <v>1386</v>
      </c>
      <c r="B498" s="48" t="s">
        <v>163</v>
      </c>
      <c r="C498" s="100" t="s">
        <v>169</v>
      </c>
      <c r="D498" s="44" t="s">
        <v>168</v>
      </c>
      <c r="E498" s="113"/>
      <c r="F498" s="113"/>
      <c r="G498" s="113"/>
      <c r="H498" s="100" t="s">
        <v>169</v>
      </c>
      <c r="I498" s="105">
        <v>2056630.5</v>
      </c>
      <c r="J498" s="106">
        <v>2950000</v>
      </c>
      <c r="K498" s="105">
        <v>1274568.25</v>
      </c>
      <c r="L498" s="105">
        <v>3355695</v>
      </c>
      <c r="M498" s="105"/>
    </row>
    <row r="499" spans="1:17" s="146" customFormat="1" ht="18" customHeight="1" x14ac:dyDescent="0.25">
      <c r="A499" s="926" t="s">
        <v>1386</v>
      </c>
      <c r="B499" s="48" t="s">
        <v>163</v>
      </c>
      <c r="C499" s="131" t="s">
        <v>169</v>
      </c>
      <c r="D499" s="245" t="s">
        <v>168</v>
      </c>
      <c r="E499" s="97"/>
      <c r="F499" s="97"/>
      <c r="G499" s="97"/>
      <c r="H499" s="131" t="s">
        <v>169</v>
      </c>
      <c r="I499" s="101">
        <v>14115.5</v>
      </c>
      <c r="J499" s="102">
        <v>53305.5</v>
      </c>
      <c r="K499" s="101">
        <v>33543</v>
      </c>
      <c r="L499" s="101">
        <v>64245</v>
      </c>
      <c r="M499" s="101"/>
      <c r="N499" s="10"/>
      <c r="O499" s="10"/>
      <c r="P499"/>
      <c r="Q499"/>
    </row>
    <row r="500" spans="1:17" s="146" customFormat="1" ht="18" customHeight="1" x14ac:dyDescent="0.25">
      <c r="A500" s="926" t="s">
        <v>1386</v>
      </c>
      <c r="B500" s="48" t="s">
        <v>163</v>
      </c>
      <c r="C500" s="100" t="s">
        <v>169</v>
      </c>
      <c r="D500" s="245" t="s">
        <v>168</v>
      </c>
      <c r="E500" s="116"/>
      <c r="F500" s="116"/>
      <c r="G500" s="116"/>
      <c r="H500" s="100" t="s">
        <v>169</v>
      </c>
      <c r="I500" s="101">
        <v>102559</v>
      </c>
      <c r="J500" s="102">
        <v>92000</v>
      </c>
      <c r="K500" s="101">
        <v>22037</v>
      </c>
      <c r="L500" s="101">
        <v>92714</v>
      </c>
      <c r="M500" s="101"/>
      <c r="N500" s="10"/>
      <c r="O500" s="10"/>
      <c r="P500"/>
      <c r="Q500"/>
    </row>
    <row r="501" spans="1:17" s="146" customFormat="1" ht="18" customHeight="1" x14ac:dyDescent="0.25">
      <c r="A501" s="926" t="s">
        <v>1386</v>
      </c>
      <c r="B501" s="48" t="s">
        <v>163</v>
      </c>
      <c r="C501" s="100" t="s">
        <v>169</v>
      </c>
      <c r="D501" s="245" t="s">
        <v>168</v>
      </c>
      <c r="E501" s="116"/>
      <c r="F501" s="116"/>
      <c r="G501" s="116"/>
      <c r="H501" s="100" t="s">
        <v>169</v>
      </c>
      <c r="I501" s="101">
        <v>218362.2</v>
      </c>
      <c r="J501" s="102">
        <v>217261.75</v>
      </c>
      <c r="K501" s="101">
        <v>122881</v>
      </c>
      <c r="L501" s="101">
        <v>234235</v>
      </c>
      <c r="M501" s="101"/>
      <c r="N501" s="10"/>
      <c r="O501" s="10"/>
      <c r="P501"/>
      <c r="Q501"/>
    </row>
    <row r="502" spans="1:17" s="146" customFormat="1" ht="18" customHeight="1" x14ac:dyDescent="0.25">
      <c r="A502" s="926" t="s">
        <v>1386</v>
      </c>
      <c r="B502" s="48" t="s">
        <v>163</v>
      </c>
      <c r="C502" s="131" t="s">
        <v>169</v>
      </c>
      <c r="D502" s="245" t="s">
        <v>168</v>
      </c>
      <c r="E502" s="116"/>
      <c r="F502" s="116"/>
      <c r="G502" s="116"/>
      <c r="H502" s="131" t="s">
        <v>169</v>
      </c>
      <c r="I502" s="101">
        <v>74511</v>
      </c>
      <c r="J502" s="102">
        <v>381751.5</v>
      </c>
      <c r="K502" s="101">
        <v>304584</v>
      </c>
      <c r="L502" s="101">
        <v>543095.1</v>
      </c>
      <c r="M502" s="101"/>
      <c r="N502" s="10"/>
      <c r="O502" s="10"/>
      <c r="P502"/>
      <c r="Q502"/>
    </row>
    <row r="503" spans="1:17" s="146" customFormat="1" ht="18" customHeight="1" x14ac:dyDescent="0.25">
      <c r="A503" s="926" t="s">
        <v>1386</v>
      </c>
      <c r="B503" s="48" t="s">
        <v>163</v>
      </c>
      <c r="C503" s="131" t="s">
        <v>169</v>
      </c>
      <c r="D503" s="245" t="s">
        <v>168</v>
      </c>
      <c r="E503" s="116"/>
      <c r="F503" s="116"/>
      <c r="G503" s="116"/>
      <c r="H503" s="131" t="s">
        <v>169</v>
      </c>
      <c r="I503" s="101">
        <v>86104</v>
      </c>
      <c r="J503" s="102">
        <v>108208</v>
      </c>
      <c r="K503" s="101">
        <v>91397</v>
      </c>
      <c r="L503" s="101">
        <v>129613</v>
      </c>
      <c r="M503" s="101"/>
      <c r="N503" s="10"/>
      <c r="O503" s="10"/>
      <c r="P503"/>
      <c r="Q503"/>
    </row>
    <row r="504" spans="1:17" s="146" customFormat="1" ht="18" x14ac:dyDescent="0.25">
      <c r="A504" s="926" t="s">
        <v>1386</v>
      </c>
      <c r="B504" s="48" t="s">
        <v>163</v>
      </c>
      <c r="C504" s="131" t="s">
        <v>169</v>
      </c>
      <c r="D504" s="700" t="s">
        <v>294</v>
      </c>
      <c r="E504" s="688"/>
      <c r="F504" s="688"/>
      <c r="G504" s="688"/>
      <c r="H504" s="131" t="s">
        <v>169</v>
      </c>
      <c r="I504" s="101">
        <v>183121.55</v>
      </c>
      <c r="J504" s="102">
        <v>300000</v>
      </c>
      <c r="K504" s="101">
        <v>141068</v>
      </c>
      <c r="L504" s="101">
        <v>350000</v>
      </c>
      <c r="M504" s="101"/>
      <c r="N504" s="10"/>
      <c r="O504" s="10"/>
      <c r="P504"/>
      <c r="Q504"/>
    </row>
    <row r="505" spans="1:17" s="146" customFormat="1" ht="18" customHeight="1" x14ac:dyDescent="0.25">
      <c r="A505" s="926" t="s">
        <v>1386</v>
      </c>
      <c r="B505" s="48" t="s">
        <v>163</v>
      </c>
      <c r="C505" s="131" t="s">
        <v>169</v>
      </c>
      <c r="D505" s="700" t="s">
        <v>294</v>
      </c>
      <c r="E505" s="688"/>
      <c r="F505" s="688"/>
      <c r="G505" s="688"/>
      <c r="H505" s="131" t="s">
        <v>169</v>
      </c>
      <c r="I505" s="101">
        <v>1714287.2</v>
      </c>
      <c r="J505" s="102">
        <v>2400000</v>
      </c>
      <c r="K505" s="101">
        <v>1496205</v>
      </c>
      <c r="L505" s="101">
        <v>2640000</v>
      </c>
      <c r="M505" s="101"/>
      <c r="N505" s="10"/>
      <c r="O505" s="10"/>
      <c r="P505"/>
      <c r="Q505"/>
    </row>
    <row r="506" spans="1:17" s="146" customFormat="1" ht="18" x14ac:dyDescent="0.25">
      <c r="A506" s="926" t="s">
        <v>1386</v>
      </c>
      <c r="B506" s="48" t="s">
        <v>163</v>
      </c>
      <c r="C506" s="131" t="s">
        <v>169</v>
      </c>
      <c r="D506" s="206" t="s">
        <v>294</v>
      </c>
      <c r="E506" s="184"/>
      <c r="F506" s="184"/>
      <c r="G506" s="185"/>
      <c r="H506" s="131" t="s">
        <v>169</v>
      </c>
      <c r="I506" s="101">
        <v>1343354.5</v>
      </c>
      <c r="J506" s="102">
        <v>1800000</v>
      </c>
      <c r="K506" s="101">
        <v>353966</v>
      </c>
      <c r="L506" s="101">
        <v>2000000</v>
      </c>
      <c r="M506" s="101"/>
      <c r="N506" s="10"/>
      <c r="O506" s="10"/>
      <c r="P506"/>
      <c r="Q506"/>
    </row>
    <row r="507" spans="1:17" s="146" customFormat="1" ht="18" customHeight="1" x14ac:dyDescent="0.25">
      <c r="A507" s="926" t="s">
        <v>1386</v>
      </c>
      <c r="B507" s="48" t="s">
        <v>163</v>
      </c>
      <c r="C507" s="131" t="s">
        <v>169</v>
      </c>
      <c r="D507" s="700" t="s">
        <v>294</v>
      </c>
      <c r="E507" s="688"/>
      <c r="F507" s="688"/>
      <c r="G507" s="688"/>
      <c r="H507" s="131" t="s">
        <v>169</v>
      </c>
      <c r="I507" s="101">
        <v>0</v>
      </c>
      <c r="J507" s="102">
        <v>10000</v>
      </c>
      <c r="K507" s="101"/>
      <c r="L507" s="102">
        <v>68000</v>
      </c>
      <c r="M507" s="101"/>
      <c r="N507" s="10"/>
      <c r="O507" s="10"/>
      <c r="P507"/>
      <c r="Q507"/>
    </row>
    <row r="508" spans="1:17" s="146" customFormat="1" ht="18" customHeight="1" x14ac:dyDescent="0.25">
      <c r="A508" s="926" t="s">
        <v>1386</v>
      </c>
      <c r="B508" s="48" t="s">
        <v>163</v>
      </c>
      <c r="C508" s="100" t="s">
        <v>169</v>
      </c>
      <c r="D508" s="700" t="s">
        <v>294</v>
      </c>
      <c r="E508" s="688"/>
      <c r="F508" s="688"/>
      <c r="G508" s="688"/>
      <c r="H508" s="100" t="s">
        <v>169</v>
      </c>
      <c r="I508" s="101">
        <v>0</v>
      </c>
      <c r="J508" s="102">
        <v>10000</v>
      </c>
      <c r="K508" s="101"/>
      <c r="L508" s="102">
        <v>10000</v>
      </c>
      <c r="M508" s="101"/>
      <c r="N508" s="10"/>
      <c r="O508" s="10"/>
      <c r="P508"/>
      <c r="Q508"/>
    </row>
    <row r="509" spans="1:17" s="146" customFormat="1" ht="18" customHeight="1" x14ac:dyDescent="0.25">
      <c r="A509" s="926" t="s">
        <v>1386</v>
      </c>
      <c r="B509" s="48" t="s">
        <v>163</v>
      </c>
      <c r="C509" s="100" t="s">
        <v>169</v>
      </c>
      <c r="D509" s="700" t="s">
        <v>294</v>
      </c>
      <c r="E509" s="688"/>
      <c r="F509" s="688"/>
      <c r="G509" s="688"/>
      <c r="H509" s="100" t="s">
        <v>169</v>
      </c>
      <c r="I509" s="101">
        <v>94208.12</v>
      </c>
      <c r="J509" s="102">
        <v>154335.5</v>
      </c>
      <c r="K509" s="101">
        <v>69023</v>
      </c>
      <c r="L509" s="101">
        <v>168481</v>
      </c>
      <c r="M509" s="101"/>
      <c r="N509" s="10"/>
      <c r="O509" s="10"/>
      <c r="P509"/>
      <c r="Q509"/>
    </row>
    <row r="510" spans="1:17" s="146" customFormat="1" ht="18" customHeight="1" x14ac:dyDescent="0.25">
      <c r="A510" s="926" t="s">
        <v>1386</v>
      </c>
      <c r="B510" s="48" t="s">
        <v>163</v>
      </c>
      <c r="C510" s="100" t="s">
        <v>169</v>
      </c>
      <c r="D510" s="700" t="s">
        <v>294</v>
      </c>
      <c r="E510" s="688"/>
      <c r="F510" s="688"/>
      <c r="G510" s="688"/>
      <c r="H510" s="100" t="s">
        <v>169</v>
      </c>
      <c r="I510" s="105">
        <v>144027.5</v>
      </c>
      <c r="J510" s="106">
        <v>262402.5</v>
      </c>
      <c r="K510" s="105">
        <v>62658.5</v>
      </c>
      <c r="L510" s="105">
        <v>641000</v>
      </c>
      <c r="M510" s="105"/>
      <c r="N510" s="10"/>
      <c r="O510" s="10"/>
      <c r="P510"/>
      <c r="Q510"/>
    </row>
    <row r="511" spans="1:17" ht="18" customHeight="1" x14ac:dyDescent="0.25">
      <c r="A511" s="926" t="s">
        <v>1386</v>
      </c>
      <c r="B511" s="48" t="s">
        <v>163</v>
      </c>
      <c r="C511" s="100" t="s">
        <v>169</v>
      </c>
      <c r="D511" s="44" t="s">
        <v>168</v>
      </c>
      <c r="E511" s="113"/>
      <c r="F511" s="113"/>
      <c r="G511" s="114"/>
      <c r="H511" s="100" t="s">
        <v>169</v>
      </c>
      <c r="I511" s="101">
        <v>193656.3</v>
      </c>
      <c r="J511" s="102">
        <v>221512.5</v>
      </c>
      <c r="K511" s="101">
        <v>159943</v>
      </c>
      <c r="L511" s="101">
        <v>239599</v>
      </c>
      <c r="M511" s="101"/>
    </row>
    <row r="512" spans="1:17" ht="18" x14ac:dyDescent="0.25">
      <c r="A512" s="926" t="s">
        <v>1386</v>
      </c>
      <c r="B512" s="48" t="s">
        <v>163</v>
      </c>
      <c r="C512" s="131" t="s">
        <v>169</v>
      </c>
      <c r="D512" s="44" t="s">
        <v>168</v>
      </c>
      <c r="E512" s="113"/>
      <c r="F512" s="113"/>
      <c r="G512" s="113"/>
      <c r="H512" s="131" t="s">
        <v>169</v>
      </c>
      <c r="I512" s="101">
        <v>366645.25</v>
      </c>
      <c r="J512" s="102">
        <v>320000</v>
      </c>
      <c r="K512" s="101">
        <v>189722.5</v>
      </c>
      <c r="L512" s="101">
        <v>378061</v>
      </c>
      <c r="M512" s="101"/>
    </row>
    <row r="513" spans="1:17" ht="18" x14ac:dyDescent="0.25">
      <c r="A513" s="926" t="s">
        <v>1386</v>
      </c>
      <c r="B513" s="48" t="s">
        <v>163</v>
      </c>
      <c r="C513" s="131" t="s">
        <v>169</v>
      </c>
      <c r="D513" s="44" t="s">
        <v>168</v>
      </c>
      <c r="E513" s="125"/>
      <c r="F513" s="125"/>
      <c r="G513" s="125"/>
      <c r="H513" s="131" t="s">
        <v>169</v>
      </c>
      <c r="I513" s="101">
        <v>465620.04</v>
      </c>
      <c r="J513" s="102">
        <v>500000</v>
      </c>
      <c r="K513" s="101">
        <v>322354.5</v>
      </c>
      <c r="L513" s="101">
        <v>372200</v>
      </c>
      <c r="M513" s="101"/>
      <c r="P513" s="191"/>
      <c r="Q513" s="191"/>
    </row>
    <row r="514" spans="1:17" s="191" customFormat="1" ht="18" x14ac:dyDescent="0.25">
      <c r="A514" s="926" t="s">
        <v>1386</v>
      </c>
      <c r="B514" s="48" t="s">
        <v>163</v>
      </c>
      <c r="C514" s="131" t="s">
        <v>169</v>
      </c>
      <c r="D514" s="44" t="s">
        <v>168</v>
      </c>
      <c r="E514" s="125"/>
      <c r="F514" s="125"/>
      <c r="G514" s="125"/>
      <c r="H514" s="131" t="s">
        <v>169</v>
      </c>
      <c r="I514" s="101">
        <v>369935</v>
      </c>
      <c r="J514" s="102">
        <v>343605</v>
      </c>
      <c r="K514" s="101">
        <v>161285</v>
      </c>
      <c r="L514" s="101">
        <v>332049</v>
      </c>
      <c r="M514" s="101"/>
      <c r="N514" s="10"/>
      <c r="O514" s="10"/>
    </row>
    <row r="515" spans="1:17" s="191" customFormat="1" ht="18" x14ac:dyDescent="0.25">
      <c r="A515" s="926" t="s">
        <v>1386</v>
      </c>
      <c r="B515" s="48" t="s">
        <v>163</v>
      </c>
      <c r="C515" s="131" t="s">
        <v>169</v>
      </c>
      <c r="D515" s="44" t="s">
        <v>168</v>
      </c>
      <c r="E515" s="125"/>
      <c r="F515" s="125"/>
      <c r="G515" s="125"/>
      <c r="H515" s="131" t="s">
        <v>169</v>
      </c>
      <c r="I515" s="101">
        <v>174513.4</v>
      </c>
      <c r="J515" s="102">
        <v>614979</v>
      </c>
      <c r="K515" s="101">
        <v>271088</v>
      </c>
      <c r="L515" s="101">
        <v>698338</v>
      </c>
      <c r="M515" s="101"/>
      <c r="N515" s="10"/>
      <c r="O515" s="10"/>
      <c r="P515"/>
      <c r="Q515"/>
    </row>
    <row r="516" spans="1:17" ht="18" x14ac:dyDescent="0.25">
      <c r="A516" s="926" t="s">
        <v>1386</v>
      </c>
      <c r="B516" s="48" t="s">
        <v>163</v>
      </c>
      <c r="C516" s="131" t="s">
        <v>169</v>
      </c>
      <c r="D516" s="44" t="s">
        <v>168</v>
      </c>
      <c r="E516" s="125"/>
      <c r="F516" s="125"/>
      <c r="G516" s="125"/>
      <c r="H516" s="131" t="s">
        <v>169</v>
      </c>
      <c r="I516" s="101">
        <v>123140</v>
      </c>
      <c r="J516" s="102">
        <v>143239</v>
      </c>
      <c r="K516" s="101">
        <v>113528</v>
      </c>
      <c r="L516" s="101">
        <v>199035</v>
      </c>
      <c r="M516" s="101">
        <f>SUM(L498:L516)</f>
        <v>12516360.1</v>
      </c>
    </row>
    <row r="517" spans="1:17" ht="18" x14ac:dyDescent="0.25">
      <c r="A517" s="926" t="s">
        <v>1386</v>
      </c>
      <c r="B517" s="48" t="s">
        <v>163</v>
      </c>
      <c r="C517" s="131" t="s">
        <v>427</v>
      </c>
      <c r="D517" s="44" t="s">
        <v>426</v>
      </c>
      <c r="E517" s="125"/>
      <c r="F517" s="125"/>
      <c r="G517" s="125"/>
      <c r="H517" s="131" t="s">
        <v>427</v>
      </c>
      <c r="I517" s="105">
        <v>694725</v>
      </c>
      <c r="J517" s="106">
        <v>1634825</v>
      </c>
      <c r="K517" s="105">
        <v>30000</v>
      </c>
      <c r="L517" s="105">
        <v>1432325</v>
      </c>
      <c r="M517" s="105"/>
    </row>
    <row r="518" spans="1:17" s="146" customFormat="1" ht="18" customHeight="1" x14ac:dyDescent="0.25">
      <c r="A518" s="926" t="s">
        <v>1386</v>
      </c>
      <c r="B518" s="48" t="s">
        <v>163</v>
      </c>
      <c r="C518" s="100" t="s">
        <v>173</v>
      </c>
      <c r="D518" s="245" t="s">
        <v>172</v>
      </c>
      <c r="E518" s="116"/>
      <c r="F518" s="116"/>
      <c r="G518" s="116"/>
      <c r="H518" s="100" t="s">
        <v>173</v>
      </c>
      <c r="I518" s="101">
        <v>514482.52</v>
      </c>
      <c r="J518" s="102">
        <v>1200000</v>
      </c>
      <c r="K518" s="101">
        <v>257974.41</v>
      </c>
      <c r="L518" s="101">
        <v>1500000</v>
      </c>
      <c r="M518" s="101"/>
      <c r="N518" s="10"/>
      <c r="O518" s="10"/>
      <c r="P518"/>
      <c r="Q518"/>
    </row>
    <row r="519" spans="1:17" s="146" customFormat="1" ht="18" customHeight="1" x14ac:dyDescent="0.25">
      <c r="A519" s="926" t="s">
        <v>1386</v>
      </c>
      <c r="B519" s="48" t="s">
        <v>163</v>
      </c>
      <c r="C519" s="131" t="s">
        <v>173</v>
      </c>
      <c r="D519" s="700" t="s">
        <v>295</v>
      </c>
      <c r="E519" s="688"/>
      <c r="F519" s="688"/>
      <c r="G519" s="688"/>
      <c r="H519" s="131" t="s">
        <v>173</v>
      </c>
      <c r="I519" s="101">
        <v>94311.4</v>
      </c>
      <c r="J519" s="102">
        <v>250000</v>
      </c>
      <c r="K519" s="101">
        <v>69180.5</v>
      </c>
      <c r="L519" s="101">
        <v>250000</v>
      </c>
      <c r="M519" s="101"/>
      <c r="N519" s="10"/>
      <c r="O519" s="10"/>
      <c r="P519"/>
      <c r="Q519"/>
    </row>
    <row r="520" spans="1:17" s="146" customFormat="1" ht="18" customHeight="1" x14ac:dyDescent="0.25">
      <c r="A520" s="926" t="s">
        <v>1386</v>
      </c>
      <c r="B520" s="48" t="s">
        <v>163</v>
      </c>
      <c r="C520" s="131" t="s">
        <v>173</v>
      </c>
      <c r="D520" s="700" t="s">
        <v>295</v>
      </c>
      <c r="E520" s="688"/>
      <c r="F520" s="688"/>
      <c r="G520" s="688"/>
      <c r="H520" s="131" t="s">
        <v>173</v>
      </c>
      <c r="I520" s="101">
        <v>41609.61</v>
      </c>
      <c r="J520" s="102">
        <v>200000</v>
      </c>
      <c r="K520" s="101">
        <v>22232.85</v>
      </c>
      <c r="L520" s="101">
        <v>200000</v>
      </c>
      <c r="M520" s="101"/>
      <c r="N520" s="10"/>
      <c r="O520" s="10"/>
      <c r="P520"/>
      <c r="Q520"/>
    </row>
    <row r="521" spans="1:17" s="146" customFormat="1" ht="18" customHeight="1" x14ac:dyDescent="0.25">
      <c r="A521" s="926" t="s">
        <v>1386</v>
      </c>
      <c r="B521" s="48" t="s">
        <v>163</v>
      </c>
      <c r="C521" s="131" t="s">
        <v>173</v>
      </c>
      <c r="D521" s="700" t="s">
        <v>295</v>
      </c>
      <c r="E521" s="688"/>
      <c r="F521" s="688"/>
      <c r="G521" s="688"/>
      <c r="H521" s="131" t="s">
        <v>173</v>
      </c>
      <c r="I521" s="101">
        <v>32944.839999999997</v>
      </c>
      <c r="J521" s="102">
        <v>100000</v>
      </c>
      <c r="K521" s="101"/>
      <c r="L521" s="101">
        <v>100000</v>
      </c>
      <c r="M521" s="101">
        <f>SUM(L518:L521)</f>
        <v>2050000</v>
      </c>
      <c r="N521" s="10"/>
      <c r="O521" s="10"/>
      <c r="P521"/>
      <c r="Q521"/>
    </row>
    <row r="522" spans="1:17" s="146" customFormat="1" ht="18" customHeight="1" x14ac:dyDescent="0.25">
      <c r="A522" s="926" t="s">
        <v>1386</v>
      </c>
      <c r="B522" s="48" t="s">
        <v>163</v>
      </c>
      <c r="C522" s="131" t="s">
        <v>173</v>
      </c>
      <c r="D522" s="245" t="s">
        <v>369</v>
      </c>
      <c r="E522" s="97"/>
      <c r="F522" s="97"/>
      <c r="G522" s="97"/>
      <c r="H522" s="131" t="s">
        <v>173</v>
      </c>
      <c r="I522" s="101">
        <v>1675752.84</v>
      </c>
      <c r="J522" s="102">
        <v>2449000</v>
      </c>
      <c r="K522" s="101">
        <v>717072.08</v>
      </c>
      <c r="L522" s="101">
        <f>3995000+200000</f>
        <v>4195000</v>
      </c>
      <c r="M522" s="101"/>
      <c r="N522" s="10"/>
      <c r="O522" s="10"/>
      <c r="P522"/>
      <c r="Q522"/>
    </row>
    <row r="523" spans="1:17" s="146" customFormat="1" ht="18" customHeight="1" x14ac:dyDescent="0.25">
      <c r="A523" s="926" t="s">
        <v>1386</v>
      </c>
      <c r="B523" s="48" t="s">
        <v>163</v>
      </c>
      <c r="C523" s="131" t="s">
        <v>173</v>
      </c>
      <c r="D523" s="245" t="s">
        <v>371</v>
      </c>
      <c r="E523" s="97"/>
      <c r="F523" s="97"/>
      <c r="G523" s="97"/>
      <c r="H523" s="131" t="s">
        <v>173</v>
      </c>
      <c r="I523" s="101">
        <v>261256</v>
      </c>
      <c r="J523" s="102">
        <v>600000</v>
      </c>
      <c r="K523" s="101">
        <v>60955.199999999997</v>
      </c>
      <c r="L523" s="101">
        <v>600000</v>
      </c>
      <c r="M523" s="101"/>
      <c r="N523" s="10"/>
      <c r="O523" s="10"/>
      <c r="P523"/>
      <c r="Q523"/>
    </row>
    <row r="524" spans="1:17" s="146" customFormat="1" ht="18" customHeight="1" x14ac:dyDescent="0.25">
      <c r="A524" s="926" t="s">
        <v>1386</v>
      </c>
      <c r="B524" s="48" t="s">
        <v>163</v>
      </c>
      <c r="C524" s="131" t="s">
        <v>173</v>
      </c>
      <c r="D524" s="245" t="s">
        <v>372</v>
      </c>
      <c r="E524" s="97"/>
      <c r="F524" s="97"/>
      <c r="G524" s="97"/>
      <c r="H524" s="131" t="s">
        <v>173</v>
      </c>
      <c r="I524" s="101">
        <v>43007.1</v>
      </c>
      <c r="J524" s="102">
        <v>150000</v>
      </c>
      <c r="K524" s="101">
        <v>22236.95</v>
      </c>
      <c r="L524" s="101">
        <v>150000</v>
      </c>
      <c r="M524" s="101"/>
      <c r="N524" s="10"/>
      <c r="O524" s="10"/>
      <c r="P524"/>
      <c r="Q524"/>
    </row>
    <row r="525" spans="1:17" s="146" customFormat="1" ht="18" customHeight="1" x14ac:dyDescent="0.25">
      <c r="A525" s="926" t="s">
        <v>1386</v>
      </c>
      <c r="B525" s="48" t="s">
        <v>163</v>
      </c>
      <c r="C525" s="100" t="s">
        <v>171</v>
      </c>
      <c r="D525" s="245" t="s">
        <v>170</v>
      </c>
      <c r="E525" s="116"/>
      <c r="F525" s="116"/>
      <c r="G525" s="116"/>
      <c r="H525" s="100" t="s">
        <v>171</v>
      </c>
      <c r="I525" s="101"/>
      <c r="J525" s="102"/>
      <c r="K525" s="101"/>
      <c r="L525" s="102">
        <v>2039927</v>
      </c>
      <c r="M525" s="101"/>
      <c r="N525" s="10"/>
      <c r="O525" s="10"/>
      <c r="P525"/>
      <c r="Q525"/>
    </row>
    <row r="526" spans="1:17" s="146" customFormat="1" ht="18" x14ac:dyDescent="0.25">
      <c r="A526" s="926" t="s">
        <v>1386</v>
      </c>
      <c r="B526" s="48" t="s">
        <v>163</v>
      </c>
      <c r="C526" s="131" t="s">
        <v>171</v>
      </c>
      <c r="D526" s="245" t="s">
        <v>213</v>
      </c>
      <c r="E526" s="97"/>
      <c r="F526" s="97"/>
      <c r="G526" s="97"/>
      <c r="H526" s="131" t="s">
        <v>171</v>
      </c>
      <c r="I526" s="101"/>
      <c r="J526" s="102"/>
      <c r="K526" s="101"/>
      <c r="L526" s="101">
        <v>669129</v>
      </c>
      <c r="M526" s="101"/>
      <c r="N526" s="10"/>
      <c r="O526" s="10"/>
      <c r="P526"/>
      <c r="Q526"/>
    </row>
    <row r="527" spans="1:17" s="146" customFormat="1" ht="18" customHeight="1" x14ac:dyDescent="0.25">
      <c r="A527" s="926" t="s">
        <v>1386</v>
      </c>
      <c r="B527" s="48" t="s">
        <v>163</v>
      </c>
      <c r="C527" s="100" t="s">
        <v>171</v>
      </c>
      <c r="D527" s="245" t="s">
        <v>213</v>
      </c>
      <c r="E527" s="116"/>
      <c r="F527" s="116"/>
      <c r="G527" s="116"/>
      <c r="H527" s="100" t="s">
        <v>171</v>
      </c>
      <c r="I527" s="101"/>
      <c r="J527" s="102"/>
      <c r="K527" s="101"/>
      <c r="L527" s="101">
        <v>31200</v>
      </c>
      <c r="M527" s="101"/>
      <c r="N527" s="10"/>
      <c r="O527" s="10"/>
      <c r="P527"/>
      <c r="Q527"/>
    </row>
    <row r="528" spans="1:17" s="146" customFormat="1" ht="18" customHeight="1" x14ac:dyDescent="0.25">
      <c r="A528" s="926" t="s">
        <v>1386</v>
      </c>
      <c r="B528" s="48" t="s">
        <v>163</v>
      </c>
      <c r="C528" s="100" t="s">
        <v>171</v>
      </c>
      <c r="D528" s="936" t="s">
        <v>248</v>
      </c>
      <c r="E528" s="928"/>
      <c r="F528" s="929"/>
      <c r="G528" s="929"/>
      <c r="H528" s="100" t="s">
        <v>171</v>
      </c>
      <c r="I528" s="101"/>
      <c r="J528" s="102"/>
      <c r="K528" s="101"/>
      <c r="L528" s="101">
        <v>56070</v>
      </c>
      <c r="M528" s="101"/>
      <c r="N528" s="10"/>
      <c r="O528" s="10"/>
      <c r="P528"/>
      <c r="Q528"/>
    </row>
    <row r="529" spans="1:17" s="146" customFormat="1" ht="18" customHeight="1" x14ac:dyDescent="0.25">
      <c r="A529" s="926" t="s">
        <v>1386</v>
      </c>
      <c r="B529" s="48" t="s">
        <v>163</v>
      </c>
      <c r="C529" s="131" t="s">
        <v>171</v>
      </c>
      <c r="D529" s="245" t="s">
        <v>213</v>
      </c>
      <c r="E529" s="116"/>
      <c r="F529" s="116"/>
      <c r="G529" s="116"/>
      <c r="H529" s="131" t="s">
        <v>171</v>
      </c>
      <c r="I529" s="101"/>
      <c r="J529" s="102"/>
      <c r="K529" s="101"/>
      <c r="L529" s="101">
        <f>10380+12000</f>
        <v>22380</v>
      </c>
      <c r="M529" s="101"/>
      <c r="N529" s="10"/>
      <c r="O529" s="10"/>
      <c r="P529"/>
      <c r="Q529"/>
    </row>
    <row r="530" spans="1:17" s="146" customFormat="1" ht="18" customHeight="1" x14ac:dyDescent="0.25">
      <c r="A530" s="926" t="s">
        <v>1386</v>
      </c>
      <c r="B530" s="48" t="s">
        <v>163</v>
      </c>
      <c r="C530" s="131" t="s">
        <v>171</v>
      </c>
      <c r="D530" s="245" t="s">
        <v>170</v>
      </c>
      <c r="E530" s="116"/>
      <c r="F530" s="116"/>
      <c r="G530" s="116"/>
      <c r="H530" s="131" t="s">
        <v>171</v>
      </c>
      <c r="I530" s="101"/>
      <c r="J530" s="102"/>
      <c r="K530" s="101"/>
      <c r="L530" s="101">
        <v>160974</v>
      </c>
      <c r="M530" s="101"/>
      <c r="N530" s="10"/>
      <c r="O530" s="10"/>
      <c r="P530"/>
      <c r="Q530"/>
    </row>
    <row r="531" spans="1:17" s="146" customFormat="1" ht="18" customHeight="1" x14ac:dyDescent="0.25">
      <c r="A531" s="926" t="s">
        <v>1386</v>
      </c>
      <c r="B531" s="48" t="s">
        <v>163</v>
      </c>
      <c r="C531" s="131" t="s">
        <v>171</v>
      </c>
      <c r="D531" s="700" t="s">
        <v>213</v>
      </c>
      <c r="E531" s="688"/>
      <c r="F531" s="688"/>
      <c r="G531" s="688"/>
      <c r="H531" s="131" t="s">
        <v>171</v>
      </c>
      <c r="I531" s="101">
        <v>203550</v>
      </c>
      <c r="J531" s="102">
        <v>300000</v>
      </c>
      <c r="K531" s="101"/>
      <c r="L531" s="101">
        <v>80000</v>
      </c>
      <c r="M531" s="101"/>
      <c r="N531" s="10"/>
      <c r="O531" s="10"/>
      <c r="P531"/>
      <c r="Q531"/>
    </row>
    <row r="532" spans="1:17" s="146" customFormat="1" ht="18" customHeight="1" x14ac:dyDescent="0.25">
      <c r="A532" s="926" t="s">
        <v>1386</v>
      </c>
      <c r="B532" s="48" t="s">
        <v>163</v>
      </c>
      <c r="C532" s="133" t="s">
        <v>171</v>
      </c>
      <c r="D532" s="700" t="s">
        <v>213</v>
      </c>
      <c r="E532" s="688"/>
      <c r="F532" s="688"/>
      <c r="G532" s="688"/>
      <c r="H532" s="133" t="s">
        <v>171</v>
      </c>
      <c r="I532" s="105">
        <v>192050</v>
      </c>
      <c r="J532" s="106">
        <v>250000</v>
      </c>
      <c r="K532" s="105"/>
      <c r="L532" s="105">
        <v>180000</v>
      </c>
      <c r="M532" s="105"/>
      <c r="N532" s="10"/>
      <c r="O532" s="10"/>
      <c r="P532"/>
      <c r="Q532"/>
    </row>
    <row r="533" spans="1:17" s="146" customFormat="1" ht="18" x14ac:dyDescent="0.25">
      <c r="A533" s="926" t="s">
        <v>1386</v>
      </c>
      <c r="B533" s="48" t="s">
        <v>163</v>
      </c>
      <c r="C533" s="131" t="s">
        <v>171</v>
      </c>
      <c r="D533" s="206" t="s">
        <v>213</v>
      </c>
      <c r="E533" s="184"/>
      <c r="F533" s="184"/>
      <c r="G533" s="184"/>
      <c r="H533" s="131" t="s">
        <v>171</v>
      </c>
      <c r="I533" s="101"/>
      <c r="J533" s="102"/>
      <c r="K533" s="101"/>
      <c r="L533" s="101">
        <v>120000</v>
      </c>
      <c r="M533" s="101"/>
      <c r="N533" s="10"/>
      <c r="O533" s="10"/>
      <c r="P533"/>
      <c r="Q533"/>
    </row>
    <row r="534" spans="1:17" s="146" customFormat="1" ht="18" x14ac:dyDescent="0.25">
      <c r="A534" s="926" t="s">
        <v>1386</v>
      </c>
      <c r="B534" s="48" t="s">
        <v>163</v>
      </c>
      <c r="C534" s="131" t="s">
        <v>171</v>
      </c>
      <c r="D534" s="206" t="s">
        <v>213</v>
      </c>
      <c r="E534" s="184"/>
      <c r="F534" s="184"/>
      <c r="G534" s="184"/>
      <c r="H534" s="131"/>
      <c r="I534" s="101"/>
      <c r="J534" s="102"/>
      <c r="K534" s="101"/>
      <c r="L534" s="102">
        <v>8000</v>
      </c>
      <c r="M534" s="101"/>
      <c r="N534" s="10"/>
      <c r="O534" s="10"/>
      <c r="P534"/>
      <c r="Q534"/>
    </row>
    <row r="535" spans="1:17" s="146" customFormat="1" ht="18" x14ac:dyDescent="0.25">
      <c r="A535" s="926" t="s">
        <v>1386</v>
      </c>
      <c r="B535" s="48" t="s">
        <v>163</v>
      </c>
      <c r="C535" s="100" t="s">
        <v>171</v>
      </c>
      <c r="D535" s="206" t="s">
        <v>170</v>
      </c>
      <c r="E535" s="184"/>
      <c r="F535" s="184"/>
      <c r="G535" s="184"/>
      <c r="H535" s="100" t="s">
        <v>171</v>
      </c>
      <c r="I535" s="101"/>
      <c r="J535" s="102"/>
      <c r="K535" s="101"/>
      <c r="L535" s="101">
        <v>323314</v>
      </c>
      <c r="M535" s="101"/>
      <c r="N535" s="10"/>
      <c r="O535" s="10"/>
      <c r="P535"/>
      <c r="Q535"/>
    </row>
    <row r="536" spans="1:17" s="146" customFormat="1" ht="18" x14ac:dyDescent="0.25">
      <c r="A536" s="926" t="s">
        <v>1386</v>
      </c>
      <c r="B536" s="48" t="s">
        <v>163</v>
      </c>
      <c r="C536" s="100" t="s">
        <v>171</v>
      </c>
      <c r="D536" s="206" t="s">
        <v>213</v>
      </c>
      <c r="E536" s="184"/>
      <c r="F536" s="184"/>
      <c r="G536" s="184"/>
      <c r="H536" s="100" t="s">
        <v>171</v>
      </c>
      <c r="I536" s="101"/>
      <c r="J536" s="102"/>
      <c r="K536" s="101"/>
      <c r="L536" s="101">
        <f>27000+2500</f>
        <v>29500</v>
      </c>
      <c r="M536" s="101"/>
      <c r="N536" s="10"/>
      <c r="O536" s="10"/>
      <c r="P536"/>
      <c r="Q536"/>
    </row>
    <row r="537" spans="1:17" s="146" customFormat="1" ht="18" x14ac:dyDescent="0.25">
      <c r="A537" s="926" t="s">
        <v>1386</v>
      </c>
      <c r="B537" s="48" t="s">
        <v>163</v>
      </c>
      <c r="C537" s="100" t="s">
        <v>171</v>
      </c>
      <c r="D537" s="44" t="s">
        <v>170</v>
      </c>
      <c r="E537" s="113"/>
      <c r="F537" s="113"/>
      <c r="G537" s="113"/>
      <c r="H537" s="100" t="s">
        <v>171</v>
      </c>
      <c r="I537" s="101"/>
      <c r="J537" s="102"/>
      <c r="K537" s="101"/>
      <c r="L537" s="101">
        <v>26245</v>
      </c>
      <c r="M537" s="101"/>
      <c r="N537" s="10"/>
      <c r="O537" s="10"/>
      <c r="P537"/>
      <c r="Q537"/>
    </row>
    <row r="538" spans="1:17" s="146" customFormat="1" ht="18" x14ac:dyDescent="0.25">
      <c r="A538" s="926" t="s">
        <v>1386</v>
      </c>
      <c r="B538" s="48" t="s">
        <v>163</v>
      </c>
      <c r="C538" s="131" t="s">
        <v>171</v>
      </c>
      <c r="D538" s="44" t="s">
        <v>213</v>
      </c>
      <c r="E538" s="113"/>
      <c r="F538" s="113"/>
      <c r="G538" s="113"/>
      <c r="H538" s="131" t="s">
        <v>171</v>
      </c>
      <c r="I538" s="101"/>
      <c r="J538" s="102"/>
      <c r="K538" s="101"/>
      <c r="L538" s="101">
        <v>94793</v>
      </c>
      <c r="M538" s="101"/>
      <c r="N538" s="10"/>
      <c r="O538" s="10"/>
      <c r="P538"/>
      <c r="Q538"/>
    </row>
    <row r="539" spans="1:17" s="194" customFormat="1" ht="18" x14ac:dyDescent="0.25">
      <c r="A539" s="926" t="s">
        <v>1386</v>
      </c>
      <c r="B539" s="48" t="s">
        <v>163</v>
      </c>
      <c r="C539" s="131" t="s">
        <v>171</v>
      </c>
      <c r="D539" s="44" t="s">
        <v>288</v>
      </c>
      <c r="E539" s="125"/>
      <c r="F539" s="125"/>
      <c r="G539" s="134"/>
      <c r="H539" s="131" t="s">
        <v>171</v>
      </c>
      <c r="I539" s="101"/>
      <c r="J539" s="102"/>
      <c r="K539" s="101"/>
      <c r="L539" s="101">
        <v>6910600</v>
      </c>
      <c r="M539" s="101"/>
      <c r="N539" s="10"/>
      <c r="O539" s="10"/>
      <c r="P539" s="191"/>
      <c r="Q539" s="191"/>
    </row>
    <row r="540" spans="1:17" s="146" customFormat="1" ht="18" customHeight="1" x14ac:dyDescent="0.25">
      <c r="A540" s="926" t="s">
        <v>1386</v>
      </c>
      <c r="B540" s="169" t="s">
        <v>163</v>
      </c>
      <c r="C540" s="131" t="s">
        <v>171</v>
      </c>
      <c r="D540" s="245" t="s">
        <v>288</v>
      </c>
      <c r="E540" s="97"/>
      <c r="F540" s="97"/>
      <c r="G540" s="97"/>
      <c r="H540" s="131" t="s">
        <v>171</v>
      </c>
      <c r="I540" s="101"/>
      <c r="J540" s="102"/>
      <c r="K540" s="101"/>
      <c r="L540" s="101">
        <v>73552</v>
      </c>
      <c r="M540" s="101"/>
      <c r="N540" s="10"/>
      <c r="O540" s="10"/>
      <c r="P540"/>
      <c r="Q540"/>
    </row>
    <row r="541" spans="1:17" s="146" customFormat="1" ht="18" customHeight="1" x14ac:dyDescent="0.25">
      <c r="A541" s="926" t="s">
        <v>1386</v>
      </c>
      <c r="B541" s="169" t="s">
        <v>163</v>
      </c>
      <c r="C541" s="131" t="s">
        <v>171</v>
      </c>
      <c r="D541" s="245" t="s">
        <v>288</v>
      </c>
      <c r="E541" s="97"/>
      <c r="F541" s="97"/>
      <c r="G541" s="97"/>
      <c r="H541" s="131" t="s">
        <v>171</v>
      </c>
      <c r="I541" s="101"/>
      <c r="J541" s="102"/>
      <c r="K541" s="101"/>
      <c r="L541" s="101">
        <v>121650</v>
      </c>
      <c r="M541" s="101"/>
      <c r="N541" s="10"/>
      <c r="O541" s="10"/>
      <c r="P541"/>
      <c r="Q541"/>
    </row>
    <row r="542" spans="1:17" s="146" customFormat="1" ht="18" customHeight="1" x14ac:dyDescent="0.25">
      <c r="A542" s="926" t="s">
        <v>1386</v>
      </c>
      <c r="B542" s="169" t="s">
        <v>163</v>
      </c>
      <c r="C542" s="131" t="s">
        <v>171</v>
      </c>
      <c r="D542" s="245" t="s">
        <v>213</v>
      </c>
      <c r="E542" s="97"/>
      <c r="F542" s="97"/>
      <c r="G542" s="97"/>
      <c r="H542" s="131" t="s">
        <v>171</v>
      </c>
      <c r="I542" s="101"/>
      <c r="J542" s="102">
        <v>12000</v>
      </c>
      <c r="K542" s="101"/>
      <c r="L542" s="101">
        <v>110974</v>
      </c>
      <c r="M542" s="101">
        <f>SUM(L525:L542)</f>
        <v>11058308</v>
      </c>
      <c r="N542" s="10"/>
      <c r="O542" s="10"/>
      <c r="P542"/>
      <c r="Q542"/>
    </row>
    <row r="543" spans="1:17" s="146" customFormat="1" ht="18" customHeight="1" x14ac:dyDescent="0.25">
      <c r="A543" s="926" t="s">
        <v>1386</v>
      </c>
      <c r="B543" s="169" t="s">
        <v>163</v>
      </c>
      <c r="C543" s="131" t="s">
        <v>383</v>
      </c>
      <c r="D543" s="245" t="s">
        <v>382</v>
      </c>
      <c r="E543" s="97"/>
      <c r="F543" s="97"/>
      <c r="G543" s="97"/>
      <c r="H543" s="131" t="s">
        <v>383</v>
      </c>
      <c r="I543" s="101">
        <v>17360.68</v>
      </c>
      <c r="J543" s="102">
        <v>20000</v>
      </c>
      <c r="K543" s="101">
        <v>1512</v>
      </c>
      <c r="L543" s="101">
        <v>20000</v>
      </c>
      <c r="M543" s="101"/>
      <c r="N543" s="10"/>
      <c r="O543" s="10"/>
      <c r="P543"/>
      <c r="Q543"/>
    </row>
    <row r="544" spans="1:17" s="146" customFormat="1" ht="18" customHeight="1" x14ac:dyDescent="0.25">
      <c r="A544" s="926" t="s">
        <v>1386</v>
      </c>
      <c r="B544" s="169" t="s">
        <v>163</v>
      </c>
      <c r="C544" s="166" t="s">
        <v>385</v>
      </c>
      <c r="D544" s="245" t="s">
        <v>384</v>
      </c>
      <c r="E544" s="97"/>
      <c r="F544" s="97"/>
      <c r="G544" s="97"/>
      <c r="H544" s="166" t="s">
        <v>385</v>
      </c>
      <c r="I544" s="101">
        <v>5437756.3799999999</v>
      </c>
      <c r="J544" s="102">
        <v>6000000</v>
      </c>
      <c r="K544" s="101">
        <v>2768213.53</v>
      </c>
      <c r="L544" s="101">
        <v>6000000</v>
      </c>
      <c r="M544" s="101"/>
      <c r="N544" s="10"/>
      <c r="O544" s="10"/>
      <c r="P544"/>
      <c r="Q544"/>
    </row>
    <row r="545" spans="1:17" s="146" customFormat="1" ht="18" customHeight="1" x14ac:dyDescent="0.25">
      <c r="A545" s="926" t="s">
        <v>1386</v>
      </c>
      <c r="B545" s="169" t="s">
        <v>163</v>
      </c>
      <c r="C545" s="100" t="s">
        <v>177</v>
      </c>
      <c r="D545" s="245" t="s">
        <v>176</v>
      </c>
      <c r="E545" s="116"/>
      <c r="F545" s="116"/>
      <c r="G545" s="116"/>
      <c r="H545" s="100" t="s">
        <v>177</v>
      </c>
      <c r="I545" s="101">
        <v>5000</v>
      </c>
      <c r="J545" s="102">
        <v>5000</v>
      </c>
      <c r="K545" s="101"/>
      <c r="L545" s="101">
        <v>5000</v>
      </c>
      <c r="M545" s="101"/>
      <c r="N545" s="10"/>
      <c r="O545" s="10"/>
      <c r="P545"/>
      <c r="Q545"/>
    </row>
    <row r="546" spans="1:17" s="146" customFormat="1" ht="18" customHeight="1" x14ac:dyDescent="0.25">
      <c r="A546" s="926" t="s">
        <v>1386</v>
      </c>
      <c r="B546" s="169" t="s">
        <v>163</v>
      </c>
      <c r="C546" s="131" t="s">
        <v>177</v>
      </c>
      <c r="D546" s="700" t="s">
        <v>296</v>
      </c>
      <c r="E546" s="688"/>
      <c r="F546" s="688"/>
      <c r="G546" s="688"/>
      <c r="H546" s="131" t="s">
        <v>177</v>
      </c>
      <c r="I546" s="101">
        <v>0</v>
      </c>
      <c r="J546" s="102">
        <v>15000</v>
      </c>
      <c r="K546" s="101"/>
      <c r="L546" s="101">
        <v>15000</v>
      </c>
      <c r="M546" s="101"/>
      <c r="N546" s="10"/>
      <c r="O546" s="10"/>
      <c r="P546"/>
      <c r="Q546"/>
    </row>
    <row r="547" spans="1:17" s="146" customFormat="1" ht="18" x14ac:dyDescent="0.25">
      <c r="A547" s="926" t="s">
        <v>1386</v>
      </c>
      <c r="B547" s="169" t="s">
        <v>163</v>
      </c>
      <c r="C547" s="131" t="s">
        <v>177</v>
      </c>
      <c r="D547" s="700" t="s">
        <v>296</v>
      </c>
      <c r="E547" s="688"/>
      <c r="F547" s="688"/>
      <c r="G547" s="688"/>
      <c r="H547" s="131" t="s">
        <v>177</v>
      </c>
      <c r="I547" s="101">
        <v>0</v>
      </c>
      <c r="J547" s="102">
        <v>15000</v>
      </c>
      <c r="K547" s="101"/>
      <c r="L547" s="101">
        <v>15000</v>
      </c>
      <c r="M547" s="101"/>
      <c r="N547" s="10"/>
      <c r="O547" s="10"/>
      <c r="P547"/>
      <c r="Q547"/>
    </row>
    <row r="548" spans="1:17" s="146" customFormat="1" ht="18" customHeight="1" x14ac:dyDescent="0.25">
      <c r="A548" s="926" t="s">
        <v>1386</v>
      </c>
      <c r="B548" s="169" t="s">
        <v>163</v>
      </c>
      <c r="C548" s="131" t="s">
        <v>177</v>
      </c>
      <c r="D548" s="700" t="s">
        <v>296</v>
      </c>
      <c r="E548" s="688"/>
      <c r="F548" s="688"/>
      <c r="G548" s="688"/>
      <c r="H548" s="131" t="s">
        <v>177</v>
      </c>
      <c r="I548" s="101"/>
      <c r="J548" s="102">
        <v>15000</v>
      </c>
      <c r="K548" s="101"/>
      <c r="L548" s="101">
        <v>15000</v>
      </c>
      <c r="M548" s="101"/>
      <c r="N548" s="10"/>
      <c r="O548" s="10"/>
      <c r="P548"/>
      <c r="Q548"/>
    </row>
    <row r="549" spans="1:17" s="146" customFormat="1" ht="18" x14ac:dyDescent="0.25">
      <c r="A549" s="926" t="s">
        <v>1386</v>
      </c>
      <c r="B549" s="169" t="s">
        <v>163</v>
      </c>
      <c r="C549" s="131" t="s">
        <v>177</v>
      </c>
      <c r="D549" s="206" t="s">
        <v>296</v>
      </c>
      <c r="E549" s="184"/>
      <c r="F549" s="184"/>
      <c r="G549" s="185"/>
      <c r="H549" s="131" t="s">
        <v>177</v>
      </c>
      <c r="I549" s="101">
        <v>0</v>
      </c>
      <c r="J549" s="102">
        <v>10000</v>
      </c>
      <c r="K549" s="101"/>
      <c r="L549" s="102">
        <v>10000</v>
      </c>
      <c r="M549" s="101"/>
      <c r="N549" s="10"/>
      <c r="O549" s="10"/>
      <c r="P549"/>
      <c r="Q549"/>
    </row>
    <row r="550" spans="1:17" s="146" customFormat="1" ht="18" customHeight="1" x14ac:dyDescent="0.25">
      <c r="A550" s="926" t="s">
        <v>1386</v>
      </c>
      <c r="B550" s="169" t="s">
        <v>163</v>
      </c>
      <c r="C550" s="100" t="s">
        <v>177</v>
      </c>
      <c r="D550" s="700" t="s">
        <v>296</v>
      </c>
      <c r="E550" s="688"/>
      <c r="F550" s="688"/>
      <c r="G550" s="688"/>
      <c r="H550" s="100" t="s">
        <v>177</v>
      </c>
      <c r="I550" s="101">
        <v>0</v>
      </c>
      <c r="J550" s="102">
        <v>1000</v>
      </c>
      <c r="K550" s="101"/>
      <c r="L550" s="101">
        <v>1000</v>
      </c>
      <c r="M550" s="101"/>
      <c r="N550" s="10"/>
      <c r="O550" s="10"/>
      <c r="P550"/>
      <c r="Q550"/>
    </row>
    <row r="551" spans="1:17" s="146" customFormat="1" ht="18" customHeight="1" x14ac:dyDescent="0.25">
      <c r="A551" s="926" t="s">
        <v>1386</v>
      </c>
      <c r="B551" s="169" t="s">
        <v>163</v>
      </c>
      <c r="C551" s="100" t="s">
        <v>177</v>
      </c>
      <c r="D551" s="245" t="s">
        <v>176</v>
      </c>
      <c r="E551" s="116"/>
      <c r="F551" s="116"/>
      <c r="G551" s="116"/>
      <c r="H551" s="100" t="s">
        <v>177</v>
      </c>
      <c r="I551" s="101">
        <v>0</v>
      </c>
      <c r="J551" s="102">
        <v>1000</v>
      </c>
      <c r="K551" s="101"/>
      <c r="L551" s="101">
        <v>1000</v>
      </c>
      <c r="M551" s="101"/>
      <c r="N551" s="10"/>
      <c r="O551" s="10"/>
      <c r="P551"/>
      <c r="Q551"/>
    </row>
    <row r="552" spans="1:17" s="146" customFormat="1" ht="18" customHeight="1" x14ac:dyDescent="0.25">
      <c r="A552" s="926" t="s">
        <v>1386</v>
      </c>
      <c r="B552" s="169" t="s">
        <v>163</v>
      </c>
      <c r="C552" s="131" t="s">
        <v>177</v>
      </c>
      <c r="D552" s="245" t="s">
        <v>176</v>
      </c>
      <c r="E552" s="97"/>
      <c r="F552" s="97"/>
      <c r="G552" s="97"/>
      <c r="H552" s="131" t="s">
        <v>177</v>
      </c>
      <c r="I552" s="101">
        <v>1475</v>
      </c>
      <c r="J552" s="102">
        <v>15000</v>
      </c>
      <c r="K552" s="101"/>
      <c r="L552" s="101">
        <v>15000</v>
      </c>
      <c r="M552" s="101"/>
      <c r="N552" s="10"/>
      <c r="O552" s="10"/>
      <c r="P552"/>
      <c r="Q552"/>
    </row>
    <row r="553" spans="1:17" s="146" customFormat="1" ht="18" customHeight="1" x14ac:dyDescent="0.25">
      <c r="A553" s="926" t="s">
        <v>1386</v>
      </c>
      <c r="B553" s="169" t="s">
        <v>163</v>
      </c>
      <c r="C553" s="131" t="s">
        <v>177</v>
      </c>
      <c r="D553" s="245" t="s">
        <v>176</v>
      </c>
      <c r="E553" s="97"/>
      <c r="F553" s="97"/>
      <c r="G553" s="97"/>
      <c r="H553" s="131" t="s">
        <v>177</v>
      </c>
      <c r="I553" s="101"/>
      <c r="J553" s="102">
        <v>5000</v>
      </c>
      <c r="K553" s="101">
        <v>660</v>
      </c>
      <c r="L553" s="101">
        <v>5000</v>
      </c>
      <c r="M553" s="101"/>
      <c r="N553" s="10"/>
      <c r="O553" s="10"/>
      <c r="P553"/>
      <c r="Q553"/>
    </row>
    <row r="554" spans="1:17" s="146" customFormat="1" ht="18" x14ac:dyDescent="0.25">
      <c r="A554" s="926" t="s">
        <v>1386</v>
      </c>
      <c r="B554" s="169" t="s">
        <v>163</v>
      </c>
      <c r="C554" s="131" t="s">
        <v>177</v>
      </c>
      <c r="D554" s="44" t="s">
        <v>176</v>
      </c>
      <c r="E554" s="125"/>
      <c r="F554" s="125"/>
      <c r="G554" s="125"/>
      <c r="H554" s="131" t="s">
        <v>177</v>
      </c>
      <c r="I554" s="101"/>
      <c r="J554" s="102">
        <v>10000</v>
      </c>
      <c r="K554" s="101"/>
      <c r="L554" s="101">
        <v>10000</v>
      </c>
      <c r="M554" s="101">
        <f>SUM(L545:L554)</f>
        <v>92000</v>
      </c>
      <c r="N554" s="10"/>
      <c r="O554" s="10"/>
      <c r="P554"/>
      <c r="Q554"/>
    </row>
    <row r="555" spans="1:17" s="146" customFormat="1" ht="18" x14ac:dyDescent="0.25">
      <c r="A555" s="926" t="s">
        <v>1386</v>
      </c>
      <c r="B555" s="169" t="s">
        <v>163</v>
      </c>
      <c r="C555" s="100" t="s">
        <v>179</v>
      </c>
      <c r="D555" s="44" t="s">
        <v>178</v>
      </c>
      <c r="E555" s="113"/>
      <c r="F555" s="113"/>
      <c r="G555" s="113"/>
      <c r="H555" s="100" t="s">
        <v>179</v>
      </c>
      <c r="I555" s="101"/>
      <c r="J555" s="102"/>
      <c r="K555" s="101"/>
      <c r="L555" s="101">
        <f>480000+550000</f>
        <v>1030000</v>
      </c>
      <c r="M555" s="101"/>
      <c r="N555" s="10"/>
      <c r="O555" s="10"/>
      <c r="P555"/>
      <c r="Q555"/>
    </row>
    <row r="556" spans="1:17" s="146" customFormat="1" ht="18" x14ac:dyDescent="0.25">
      <c r="A556" s="926" t="s">
        <v>1386</v>
      </c>
      <c r="B556" s="169" t="s">
        <v>163</v>
      </c>
      <c r="C556" s="131" t="s">
        <v>179</v>
      </c>
      <c r="D556" s="936" t="s">
        <v>178</v>
      </c>
      <c r="E556" s="930"/>
      <c r="F556" s="930"/>
      <c r="G556" s="961"/>
      <c r="H556" s="131" t="s">
        <v>179</v>
      </c>
      <c r="I556" s="101"/>
      <c r="J556" s="102"/>
      <c r="K556" s="101"/>
      <c r="L556" s="101">
        <v>55680</v>
      </c>
      <c r="M556" s="101"/>
      <c r="N556" s="10"/>
      <c r="O556" s="10"/>
      <c r="P556"/>
      <c r="Q556"/>
    </row>
    <row r="557" spans="1:17" s="146" customFormat="1" ht="18" x14ac:dyDescent="0.25">
      <c r="A557" s="926" t="s">
        <v>1386</v>
      </c>
      <c r="B557" s="169" t="s">
        <v>163</v>
      </c>
      <c r="C557" s="100" t="s">
        <v>179</v>
      </c>
      <c r="D557" s="44" t="s">
        <v>178</v>
      </c>
      <c r="E557" s="303"/>
      <c r="F557" s="113"/>
      <c r="G557" s="113"/>
      <c r="H557" s="100" t="s">
        <v>179</v>
      </c>
      <c r="I557" s="105"/>
      <c r="J557" s="106"/>
      <c r="K557" s="105"/>
      <c r="L557" s="106">
        <v>7200</v>
      </c>
      <c r="M557" s="105"/>
      <c r="N557" s="10"/>
      <c r="O557" s="10"/>
      <c r="P557"/>
      <c r="Q557"/>
    </row>
    <row r="558" spans="1:17" s="146" customFormat="1" ht="18" customHeight="1" x14ac:dyDescent="0.25">
      <c r="A558" s="926" t="s">
        <v>1386</v>
      </c>
      <c r="B558" s="169" t="s">
        <v>163</v>
      </c>
      <c r="C558" s="100" t="s">
        <v>179</v>
      </c>
      <c r="D558" s="245" t="s">
        <v>178</v>
      </c>
      <c r="E558" s="116"/>
      <c r="F558" s="116"/>
      <c r="G558" s="116"/>
      <c r="H558" s="100" t="s">
        <v>179</v>
      </c>
      <c r="I558" s="101"/>
      <c r="J558" s="102"/>
      <c r="K558" s="101"/>
      <c r="L558" s="101">
        <v>39000</v>
      </c>
      <c r="M558" s="101"/>
      <c r="N558" s="10"/>
      <c r="O558" s="10"/>
      <c r="P558"/>
      <c r="Q558"/>
    </row>
    <row r="559" spans="1:17" s="146" customFormat="1" ht="18" customHeight="1" x14ac:dyDescent="0.25">
      <c r="A559" s="926" t="s">
        <v>1386</v>
      </c>
      <c r="B559" s="169" t="s">
        <v>163</v>
      </c>
      <c r="C559" s="131" t="s">
        <v>179</v>
      </c>
      <c r="D559" s="245" t="s">
        <v>178</v>
      </c>
      <c r="E559" s="116"/>
      <c r="F559" s="116"/>
      <c r="G559" s="116"/>
      <c r="H559" s="131" t="s">
        <v>179</v>
      </c>
      <c r="I559" s="101"/>
      <c r="J559" s="102"/>
      <c r="K559" s="101"/>
      <c r="L559" s="102">
        <v>18000</v>
      </c>
      <c r="M559" s="101"/>
      <c r="N559" s="10"/>
      <c r="O559" s="10"/>
      <c r="P559"/>
      <c r="Q559"/>
    </row>
    <row r="560" spans="1:17" s="146" customFormat="1" ht="18" customHeight="1" x14ac:dyDescent="0.25">
      <c r="A560" s="926" t="s">
        <v>1386</v>
      </c>
      <c r="B560" s="169" t="s">
        <v>163</v>
      </c>
      <c r="C560" s="172" t="s">
        <v>179</v>
      </c>
      <c r="D560" s="245" t="s">
        <v>178</v>
      </c>
      <c r="E560" s="690"/>
      <c r="F560" s="690"/>
      <c r="G560" s="690"/>
      <c r="H560" s="172"/>
      <c r="I560" s="102"/>
      <c r="J560" s="102"/>
      <c r="K560" s="102"/>
      <c r="L560" s="102">
        <v>18000</v>
      </c>
      <c r="M560" s="101"/>
      <c r="N560" s="10"/>
      <c r="O560" s="10"/>
      <c r="P560"/>
      <c r="Q560"/>
    </row>
    <row r="561" spans="1:17" s="146" customFormat="1" ht="18" customHeight="1" x14ac:dyDescent="0.25">
      <c r="A561" s="926" t="s">
        <v>1386</v>
      </c>
      <c r="B561" s="169" t="s">
        <v>163</v>
      </c>
      <c r="C561" s="131" t="s">
        <v>179</v>
      </c>
      <c r="D561" s="700" t="s">
        <v>178</v>
      </c>
      <c r="E561" s="688"/>
      <c r="F561" s="688"/>
      <c r="G561" s="688"/>
      <c r="H561" s="131" t="s">
        <v>179</v>
      </c>
      <c r="I561" s="101"/>
      <c r="J561" s="102"/>
      <c r="K561" s="101"/>
      <c r="L561" s="101">
        <v>88800</v>
      </c>
      <c r="M561" s="101"/>
      <c r="N561" s="10"/>
      <c r="O561" s="10"/>
      <c r="P561"/>
      <c r="Q561"/>
    </row>
    <row r="562" spans="1:17" s="146" customFormat="1" ht="18" customHeight="1" x14ac:dyDescent="0.25">
      <c r="A562" s="926" t="s">
        <v>1386</v>
      </c>
      <c r="B562" s="169" t="s">
        <v>163</v>
      </c>
      <c r="C562" s="131" t="s">
        <v>179</v>
      </c>
      <c r="D562" s="700" t="s">
        <v>178</v>
      </c>
      <c r="E562" s="688"/>
      <c r="F562" s="688"/>
      <c r="G562" s="688"/>
      <c r="H562" s="131" t="s">
        <v>179</v>
      </c>
      <c r="I562" s="101"/>
      <c r="J562" s="102"/>
      <c r="K562" s="101"/>
      <c r="L562" s="101">
        <v>748800</v>
      </c>
      <c r="M562" s="101"/>
      <c r="N562" s="10"/>
      <c r="O562" s="10"/>
      <c r="P562"/>
      <c r="Q562"/>
    </row>
    <row r="563" spans="1:17" s="146" customFormat="1" ht="18" x14ac:dyDescent="0.25">
      <c r="A563" s="926" t="s">
        <v>1386</v>
      </c>
      <c r="B563" s="169" t="s">
        <v>163</v>
      </c>
      <c r="C563" s="131" t="s">
        <v>179</v>
      </c>
      <c r="D563" s="685" t="s">
        <v>178</v>
      </c>
      <c r="E563" s="688"/>
      <c r="F563" s="688"/>
      <c r="G563" s="688"/>
      <c r="H563" s="131" t="s">
        <v>179</v>
      </c>
      <c r="I563" s="101"/>
      <c r="J563" s="102"/>
      <c r="K563" s="101"/>
      <c r="L563" s="101">
        <v>88800</v>
      </c>
      <c r="M563" s="101"/>
      <c r="N563" s="10"/>
      <c r="O563" s="10"/>
      <c r="P563"/>
      <c r="Q563"/>
    </row>
    <row r="564" spans="1:17" s="146" customFormat="1" ht="18" customHeight="1" x14ac:dyDescent="0.25">
      <c r="A564" s="926" t="s">
        <v>1386</v>
      </c>
      <c r="B564" s="169" t="s">
        <v>163</v>
      </c>
      <c r="C564" s="131" t="s">
        <v>179</v>
      </c>
      <c r="D564" s="700" t="s">
        <v>178</v>
      </c>
      <c r="E564" s="688"/>
      <c r="F564" s="688"/>
      <c r="G564" s="688"/>
      <c r="H564" s="131" t="s">
        <v>179</v>
      </c>
      <c r="I564" s="101"/>
      <c r="J564" s="102"/>
      <c r="K564" s="101"/>
      <c r="L564" s="102">
        <v>54000</v>
      </c>
      <c r="M564" s="101"/>
      <c r="N564" s="10"/>
      <c r="O564" s="10"/>
      <c r="P564"/>
      <c r="Q564"/>
    </row>
    <row r="565" spans="1:17" s="146" customFormat="1" ht="18" customHeight="1" x14ac:dyDescent="0.25">
      <c r="A565" s="926" t="s">
        <v>1386</v>
      </c>
      <c r="B565" s="169" t="s">
        <v>163</v>
      </c>
      <c r="C565" s="100" t="s">
        <v>179</v>
      </c>
      <c r="D565" s="700" t="s">
        <v>178</v>
      </c>
      <c r="E565" s="688"/>
      <c r="F565" s="688"/>
      <c r="G565" s="688"/>
      <c r="H565" s="100" t="s">
        <v>179</v>
      </c>
      <c r="I565" s="101"/>
      <c r="J565" s="102"/>
      <c r="K565" s="101"/>
      <c r="L565" s="102">
        <v>42000</v>
      </c>
      <c r="M565" s="1616"/>
      <c r="N565" s="10"/>
      <c r="O565" s="10">
        <v>181975.71</v>
      </c>
      <c r="P565"/>
      <c r="Q565"/>
    </row>
    <row r="566" spans="1:17" s="146" customFormat="1" ht="18" customHeight="1" x14ac:dyDescent="0.25">
      <c r="A566" s="926" t="s">
        <v>1386</v>
      </c>
      <c r="B566" s="169" t="s">
        <v>163</v>
      </c>
      <c r="C566" s="100" t="s">
        <v>179</v>
      </c>
      <c r="D566" s="700" t="s">
        <v>178</v>
      </c>
      <c r="E566" s="688"/>
      <c r="F566" s="688"/>
      <c r="G566" s="688"/>
      <c r="H566" s="100" t="s">
        <v>179</v>
      </c>
      <c r="I566" s="101"/>
      <c r="J566" s="102"/>
      <c r="K566" s="101"/>
      <c r="L566" s="101">
        <v>54000</v>
      </c>
      <c r="M566" s="1616"/>
      <c r="N566" s="10"/>
      <c r="O566" s="10">
        <v>704334.78</v>
      </c>
      <c r="P566"/>
      <c r="Q566"/>
    </row>
    <row r="567" spans="1:17" s="146" customFormat="1" ht="18" x14ac:dyDescent="0.25">
      <c r="A567" s="926" t="s">
        <v>1386</v>
      </c>
      <c r="B567" s="169" t="s">
        <v>163</v>
      </c>
      <c r="C567" s="100" t="s">
        <v>179</v>
      </c>
      <c r="D567" s="700" t="s">
        <v>178</v>
      </c>
      <c r="E567" s="688"/>
      <c r="F567" s="688"/>
      <c r="G567" s="688"/>
      <c r="H567" s="100" t="s">
        <v>179</v>
      </c>
      <c r="I567" s="101"/>
      <c r="J567" s="102"/>
      <c r="K567" s="101"/>
      <c r="L567" s="101">
        <v>70800</v>
      </c>
      <c r="M567" s="101"/>
      <c r="N567" s="10"/>
      <c r="O567" s="10">
        <v>346576.64000000001</v>
      </c>
      <c r="P567"/>
      <c r="Q567"/>
    </row>
    <row r="568" spans="1:17" s="146" customFormat="1" ht="18" customHeight="1" x14ac:dyDescent="0.25">
      <c r="A568" s="926" t="s">
        <v>1386</v>
      </c>
      <c r="B568" s="169" t="s">
        <v>163</v>
      </c>
      <c r="C568" s="100" t="s">
        <v>179</v>
      </c>
      <c r="D568" s="245" t="s">
        <v>178</v>
      </c>
      <c r="E568" s="116"/>
      <c r="F568" s="116"/>
      <c r="G568" s="971"/>
      <c r="H568" s="100" t="s">
        <v>179</v>
      </c>
      <c r="I568" s="101"/>
      <c r="J568" s="102"/>
      <c r="K568" s="101"/>
      <c r="L568" s="101">
        <f>12000+42000</f>
        <v>54000</v>
      </c>
      <c r="M568" s="101"/>
      <c r="N568" s="10"/>
      <c r="O568" s="10">
        <v>1085872.56</v>
      </c>
      <c r="P568"/>
      <c r="Q568"/>
    </row>
    <row r="569" spans="1:17" s="146" customFormat="1" ht="18" x14ac:dyDescent="0.25">
      <c r="A569" s="926" t="s">
        <v>1386</v>
      </c>
      <c r="B569" s="169" t="s">
        <v>163</v>
      </c>
      <c r="C569" s="131" t="s">
        <v>179</v>
      </c>
      <c r="D569" s="44" t="s">
        <v>178</v>
      </c>
      <c r="E569" s="113"/>
      <c r="F569" s="113"/>
      <c r="G569" s="113"/>
      <c r="H569" s="131" t="s">
        <v>179</v>
      </c>
      <c r="I569" s="101"/>
      <c r="J569" s="102"/>
      <c r="K569" s="101"/>
      <c r="L569" s="101">
        <v>60000</v>
      </c>
      <c r="M569" s="101"/>
      <c r="N569" s="10"/>
      <c r="O569" s="10">
        <v>1216270.04</v>
      </c>
      <c r="P569"/>
      <c r="Q569"/>
    </row>
    <row r="570" spans="1:17" s="146" customFormat="1" ht="18" customHeight="1" x14ac:dyDescent="0.25">
      <c r="A570" s="926" t="s">
        <v>1386</v>
      </c>
      <c r="B570" s="169" t="s">
        <v>163</v>
      </c>
      <c r="C570" s="131" t="s">
        <v>179</v>
      </c>
      <c r="D570" s="245" t="s">
        <v>178</v>
      </c>
      <c r="E570" s="97"/>
      <c r="F570" s="97"/>
      <c r="G570" s="97"/>
      <c r="H570" s="131" t="s">
        <v>179</v>
      </c>
      <c r="I570" s="101"/>
      <c r="J570" s="102">
        <v>0</v>
      </c>
      <c r="K570" s="101"/>
      <c r="L570" s="101">
        <v>50000</v>
      </c>
      <c r="M570" s="101"/>
      <c r="N570" s="10"/>
      <c r="O570" s="10"/>
      <c r="P570"/>
      <c r="Q570"/>
    </row>
    <row r="571" spans="1:17" s="146" customFormat="1" ht="18" customHeight="1" x14ac:dyDescent="0.25">
      <c r="A571" s="926" t="s">
        <v>1386</v>
      </c>
      <c r="B571" s="169" t="s">
        <v>163</v>
      </c>
      <c r="C571" s="131" t="s">
        <v>179</v>
      </c>
      <c r="D571" s="245" t="s">
        <v>181</v>
      </c>
      <c r="E571" s="97"/>
      <c r="F571" s="97"/>
      <c r="G571" s="97"/>
      <c r="H571" s="131" t="s">
        <v>179</v>
      </c>
      <c r="I571" s="101">
        <v>42000</v>
      </c>
      <c r="J571" s="102">
        <v>50000</v>
      </c>
      <c r="K571" s="101">
        <v>21000</v>
      </c>
      <c r="L571" s="101"/>
      <c r="M571" s="101"/>
      <c r="N571" s="10"/>
      <c r="O571" s="10"/>
      <c r="P571"/>
      <c r="Q571"/>
    </row>
    <row r="572" spans="1:17" s="146" customFormat="1" ht="18" customHeight="1" x14ac:dyDescent="0.25">
      <c r="A572" s="926" t="s">
        <v>1386</v>
      </c>
      <c r="B572" s="169" t="s">
        <v>163</v>
      </c>
      <c r="C572" s="131" t="s">
        <v>179</v>
      </c>
      <c r="D572" s="245" t="s">
        <v>178</v>
      </c>
      <c r="E572" s="97"/>
      <c r="F572" s="97"/>
      <c r="G572" s="97"/>
      <c r="H572" s="131" t="s">
        <v>179</v>
      </c>
      <c r="I572" s="101"/>
      <c r="J572" s="102"/>
      <c r="K572" s="101"/>
      <c r="L572" s="101">
        <v>100800</v>
      </c>
      <c r="M572" s="101"/>
      <c r="N572" s="10"/>
      <c r="O572" s="10"/>
      <c r="P572"/>
      <c r="Q572"/>
    </row>
    <row r="573" spans="1:17" s="146" customFormat="1" ht="18" customHeight="1" x14ac:dyDescent="0.25">
      <c r="A573" s="926" t="s">
        <v>1386</v>
      </c>
      <c r="B573" s="169" t="s">
        <v>163</v>
      </c>
      <c r="C573" s="131" t="s">
        <v>179</v>
      </c>
      <c r="D573" s="245" t="s">
        <v>178</v>
      </c>
      <c r="E573" s="97"/>
      <c r="F573" s="97"/>
      <c r="G573" s="97"/>
      <c r="H573" s="131" t="s">
        <v>179</v>
      </c>
      <c r="I573" s="101"/>
      <c r="J573" s="102"/>
      <c r="K573" s="101"/>
      <c r="L573" s="101">
        <v>49200</v>
      </c>
      <c r="M573" s="101"/>
      <c r="N573" s="10"/>
      <c r="O573" s="10"/>
      <c r="P573"/>
      <c r="Q573"/>
    </row>
    <row r="574" spans="1:17" s="146" customFormat="1" ht="18" customHeight="1" x14ac:dyDescent="0.25">
      <c r="A574" s="926" t="s">
        <v>1386</v>
      </c>
      <c r="B574" s="169" t="s">
        <v>163</v>
      </c>
      <c r="C574" s="131" t="s">
        <v>179</v>
      </c>
      <c r="D574" s="44" t="s">
        <v>178</v>
      </c>
      <c r="E574" s="125"/>
      <c r="F574" s="125"/>
      <c r="G574" s="134"/>
      <c r="H574" s="131" t="s">
        <v>179</v>
      </c>
      <c r="I574" s="101"/>
      <c r="J574" s="102"/>
      <c r="K574" s="101"/>
      <c r="L574" s="101">
        <v>42000</v>
      </c>
      <c r="M574" s="101">
        <f>SUM(L555:L574)</f>
        <v>2671080</v>
      </c>
      <c r="N574" s="10"/>
      <c r="O574" s="10"/>
      <c r="P574"/>
      <c r="Q574"/>
    </row>
    <row r="575" spans="1:17" s="146" customFormat="1" ht="18" x14ac:dyDescent="0.25">
      <c r="A575" s="926" t="s">
        <v>1386</v>
      </c>
      <c r="B575" s="169" t="s">
        <v>163</v>
      </c>
      <c r="C575" s="100" t="s">
        <v>183</v>
      </c>
      <c r="D575" s="44" t="s">
        <v>182</v>
      </c>
      <c r="E575" s="113"/>
      <c r="F575" s="113"/>
      <c r="G575" s="113"/>
      <c r="H575" s="100" t="s">
        <v>183</v>
      </c>
      <c r="I575" s="101"/>
      <c r="J575" s="102">
        <v>30000</v>
      </c>
      <c r="K575" s="101">
        <v>19808.71</v>
      </c>
      <c r="L575" s="101">
        <v>48000</v>
      </c>
      <c r="M575" s="101"/>
      <c r="N575" s="10"/>
      <c r="O575" s="10"/>
      <c r="P575"/>
      <c r="Q575"/>
    </row>
    <row r="576" spans="1:17" s="146" customFormat="1" ht="18" x14ac:dyDescent="0.25">
      <c r="A576" s="926" t="s">
        <v>1386</v>
      </c>
      <c r="B576" s="169" t="s">
        <v>163</v>
      </c>
      <c r="C576" s="131" t="s">
        <v>183</v>
      </c>
      <c r="D576" s="44" t="s">
        <v>182</v>
      </c>
      <c r="E576" s="113"/>
      <c r="F576" s="113"/>
      <c r="G576" s="113"/>
      <c r="H576" s="131" t="s">
        <v>183</v>
      </c>
      <c r="I576" s="101">
        <v>0</v>
      </c>
      <c r="J576" s="102">
        <v>42000</v>
      </c>
      <c r="K576" s="101"/>
      <c r="L576" s="102">
        <v>42000</v>
      </c>
      <c r="M576" s="101"/>
      <c r="N576" s="10"/>
      <c r="O576" s="10"/>
      <c r="P576"/>
      <c r="Q576"/>
    </row>
    <row r="577" spans="1:17" s="146" customFormat="1" ht="18" x14ac:dyDescent="0.25">
      <c r="A577" s="926" t="s">
        <v>1386</v>
      </c>
      <c r="B577" s="169" t="s">
        <v>163</v>
      </c>
      <c r="C577" s="172" t="s">
        <v>183</v>
      </c>
      <c r="D577" s="44" t="s">
        <v>182</v>
      </c>
      <c r="E577" s="170"/>
      <c r="F577" s="170"/>
      <c r="G577" s="170"/>
      <c r="H577" s="172" t="s">
        <v>183</v>
      </c>
      <c r="I577" s="102">
        <v>26388</v>
      </c>
      <c r="J577" s="102">
        <v>30000</v>
      </c>
      <c r="K577" s="102">
        <v>15393</v>
      </c>
      <c r="L577" s="102">
        <v>30000</v>
      </c>
      <c r="M577" s="101"/>
      <c r="N577" s="10"/>
      <c r="O577" s="10"/>
      <c r="P577"/>
      <c r="Q577"/>
    </row>
    <row r="578" spans="1:17" s="146" customFormat="1" ht="18" x14ac:dyDescent="0.25">
      <c r="A578" s="926" t="s">
        <v>1386</v>
      </c>
      <c r="B578" s="169" t="s">
        <v>163</v>
      </c>
      <c r="C578" s="131" t="s">
        <v>183</v>
      </c>
      <c r="D578" s="44" t="s">
        <v>182</v>
      </c>
      <c r="E578" s="113"/>
      <c r="F578" s="113"/>
      <c r="G578" s="113"/>
      <c r="H578" s="131" t="s">
        <v>183</v>
      </c>
      <c r="I578" s="101">
        <v>38401.5</v>
      </c>
      <c r="J578" s="102">
        <v>72000</v>
      </c>
      <c r="K578" s="101">
        <v>33172.68</v>
      </c>
      <c r="L578" s="101">
        <v>72000</v>
      </c>
      <c r="M578" s="101"/>
      <c r="N578" s="10"/>
      <c r="O578" s="10"/>
      <c r="P578"/>
      <c r="Q578"/>
    </row>
    <row r="579" spans="1:17" s="146" customFormat="1" ht="18" x14ac:dyDescent="0.25">
      <c r="A579" s="926" t="s">
        <v>1386</v>
      </c>
      <c r="B579" s="169" t="s">
        <v>163</v>
      </c>
      <c r="C579" s="131" t="s">
        <v>183</v>
      </c>
      <c r="D579" s="44" t="s">
        <v>182</v>
      </c>
      <c r="E579" s="113"/>
      <c r="F579" s="113"/>
      <c r="G579" s="113"/>
      <c r="H579" s="131" t="s">
        <v>183</v>
      </c>
      <c r="I579" s="101">
        <v>7944.43</v>
      </c>
      <c r="J579" s="102">
        <v>72000</v>
      </c>
      <c r="K579" s="101"/>
      <c r="L579" s="101">
        <v>72000</v>
      </c>
      <c r="M579" s="101"/>
      <c r="N579" s="10"/>
      <c r="O579" s="10"/>
      <c r="P579"/>
      <c r="Q579"/>
    </row>
    <row r="580" spans="1:17" s="146" customFormat="1" ht="18" x14ac:dyDescent="0.25">
      <c r="A580" s="926" t="s">
        <v>1386</v>
      </c>
      <c r="B580" s="169" t="s">
        <v>163</v>
      </c>
      <c r="C580" s="131" t="s">
        <v>183</v>
      </c>
      <c r="D580" s="206" t="s">
        <v>314</v>
      </c>
      <c r="E580" s="184"/>
      <c r="F580" s="184"/>
      <c r="G580" s="184"/>
      <c r="H580" s="131" t="s">
        <v>183</v>
      </c>
      <c r="I580" s="101">
        <v>29058.16</v>
      </c>
      <c r="J580" s="102">
        <v>72000</v>
      </c>
      <c r="K580" s="101">
        <v>16793</v>
      </c>
      <c r="L580" s="101">
        <v>72000</v>
      </c>
      <c r="M580" s="101"/>
      <c r="N580" s="10"/>
      <c r="O580" s="10"/>
      <c r="P580"/>
      <c r="Q580"/>
    </row>
    <row r="581" spans="1:17" s="146" customFormat="1" ht="18" x14ac:dyDescent="0.25">
      <c r="A581" s="926" t="s">
        <v>1386</v>
      </c>
      <c r="B581" s="169" t="s">
        <v>163</v>
      </c>
      <c r="C581" s="100" t="s">
        <v>183</v>
      </c>
      <c r="D581" s="206" t="s">
        <v>182</v>
      </c>
      <c r="E581" s="184"/>
      <c r="F581" s="184"/>
      <c r="G581" s="184"/>
      <c r="H581" s="100" t="s">
        <v>183</v>
      </c>
      <c r="I581" s="105"/>
      <c r="J581" s="106"/>
      <c r="K581" s="105"/>
      <c r="L581" s="105">
        <v>42000</v>
      </c>
      <c r="M581" s="105"/>
      <c r="N581" s="10"/>
      <c r="O581" s="10"/>
      <c r="P581"/>
      <c r="Q581"/>
    </row>
    <row r="582" spans="1:17" s="146" customFormat="1" ht="18" customHeight="1" x14ac:dyDescent="0.25">
      <c r="A582" s="926" t="s">
        <v>1386</v>
      </c>
      <c r="B582" s="169" t="s">
        <v>163</v>
      </c>
      <c r="C582" s="100" t="s">
        <v>183</v>
      </c>
      <c r="D582" s="686" t="s">
        <v>182</v>
      </c>
      <c r="E582" s="938"/>
      <c r="F582" s="113"/>
      <c r="G582" s="113"/>
      <c r="H582" s="100" t="s">
        <v>183</v>
      </c>
      <c r="I582" s="101"/>
      <c r="J582" s="102"/>
      <c r="K582" s="101"/>
      <c r="L582" s="121">
        <v>42000</v>
      </c>
      <c r="M582" s="101"/>
      <c r="N582" s="10"/>
      <c r="O582" s="10"/>
      <c r="P582"/>
      <c r="Q582"/>
    </row>
    <row r="583" spans="1:17" s="146" customFormat="1" ht="18" customHeight="1" x14ac:dyDescent="0.25">
      <c r="A583" s="926" t="s">
        <v>1386</v>
      </c>
      <c r="B583" s="169" t="s">
        <v>163</v>
      </c>
      <c r="C583" s="131" t="s">
        <v>183</v>
      </c>
      <c r="D583" s="44" t="s">
        <v>182</v>
      </c>
      <c r="E583" s="113"/>
      <c r="F583" s="113"/>
      <c r="G583" s="113"/>
      <c r="H583" s="131" t="s">
        <v>183</v>
      </c>
      <c r="I583" s="101">
        <v>4995</v>
      </c>
      <c r="J583" s="102">
        <v>20400</v>
      </c>
      <c r="K583" s="101"/>
      <c r="L583" s="101">
        <v>36000</v>
      </c>
      <c r="M583" s="102"/>
      <c r="N583" s="10"/>
      <c r="O583" s="10"/>
      <c r="P583"/>
      <c r="Q583"/>
    </row>
    <row r="584" spans="1:17" s="146" customFormat="1" ht="18" customHeight="1" x14ac:dyDescent="0.25">
      <c r="A584" s="926" t="s">
        <v>1386</v>
      </c>
      <c r="B584" s="169" t="s">
        <v>163</v>
      </c>
      <c r="C584" s="131" t="s">
        <v>183</v>
      </c>
      <c r="D584" s="44" t="s">
        <v>182</v>
      </c>
      <c r="E584" s="125"/>
      <c r="F584" s="125"/>
      <c r="G584" s="125"/>
      <c r="H584" s="131" t="s">
        <v>183</v>
      </c>
      <c r="I584" s="101">
        <v>36525.360000000001</v>
      </c>
      <c r="J584" s="102">
        <v>42000</v>
      </c>
      <c r="K584" s="101">
        <v>21306.46</v>
      </c>
      <c r="L584" s="101">
        <v>42000</v>
      </c>
      <c r="M584" s="102"/>
      <c r="N584" s="10"/>
      <c r="O584" s="10"/>
      <c r="P584"/>
      <c r="Q584"/>
    </row>
    <row r="585" spans="1:17" s="146" customFormat="1" ht="17.45" customHeight="1" x14ac:dyDescent="0.25">
      <c r="A585" s="926" t="s">
        <v>1386</v>
      </c>
      <c r="B585" s="169" t="s">
        <v>163</v>
      </c>
      <c r="C585" s="131" t="s">
        <v>183</v>
      </c>
      <c r="D585" s="245" t="s">
        <v>182</v>
      </c>
      <c r="E585" s="97"/>
      <c r="F585" s="97"/>
      <c r="G585" s="97"/>
      <c r="H585" s="131" t="s">
        <v>183</v>
      </c>
      <c r="I585" s="101">
        <v>24189</v>
      </c>
      <c r="J585" s="102">
        <v>27000</v>
      </c>
      <c r="K585" s="101">
        <v>15239.07</v>
      </c>
      <c r="L585" s="102">
        <v>54000</v>
      </c>
      <c r="M585" s="101">
        <f>SUM(L575:L585)</f>
        <v>552000</v>
      </c>
      <c r="N585" s="10"/>
      <c r="O585" s="10"/>
      <c r="P585"/>
      <c r="Q585"/>
    </row>
    <row r="586" spans="1:17" s="146" customFormat="1" ht="17.45" customHeight="1" x14ac:dyDescent="0.25">
      <c r="A586" s="926" t="s">
        <v>1386</v>
      </c>
      <c r="B586" s="169" t="s">
        <v>163</v>
      </c>
      <c r="C586" s="131" t="s">
        <v>218</v>
      </c>
      <c r="D586" s="245" t="s">
        <v>217</v>
      </c>
      <c r="E586" s="97"/>
      <c r="F586" s="97"/>
      <c r="G586" s="97"/>
      <c r="H586" s="131" t="s">
        <v>218</v>
      </c>
      <c r="I586" s="101"/>
      <c r="J586" s="102">
        <v>7200</v>
      </c>
      <c r="K586" s="101"/>
      <c r="L586" s="101">
        <v>7200</v>
      </c>
      <c r="M586" s="101"/>
      <c r="N586" s="10"/>
      <c r="O586" s="10"/>
      <c r="P586"/>
      <c r="Q586"/>
    </row>
    <row r="587" spans="1:17" s="146" customFormat="1" ht="17.45" customHeight="1" x14ac:dyDescent="0.25">
      <c r="A587" s="926" t="s">
        <v>1386</v>
      </c>
      <c r="B587" s="169" t="s">
        <v>163</v>
      </c>
      <c r="C587" s="131" t="s">
        <v>218</v>
      </c>
      <c r="D587" s="245" t="s">
        <v>217</v>
      </c>
      <c r="E587" s="97"/>
      <c r="F587" s="97"/>
      <c r="G587" s="97"/>
      <c r="H587" s="131" t="s">
        <v>218</v>
      </c>
      <c r="I587" s="101">
        <v>5700</v>
      </c>
      <c r="J587" s="102">
        <v>5700</v>
      </c>
      <c r="K587" s="101">
        <v>3325</v>
      </c>
      <c r="L587" s="101">
        <v>5700</v>
      </c>
      <c r="M587" s="101">
        <f>SUM(L586:L587)</f>
        <v>12900</v>
      </c>
      <c r="N587" s="10"/>
      <c r="O587" s="10"/>
      <c r="P587"/>
      <c r="Q587"/>
    </row>
    <row r="588" spans="1:17" s="146" customFormat="1" ht="17.45" customHeight="1" x14ac:dyDescent="0.25">
      <c r="A588" s="926" t="s">
        <v>1386</v>
      </c>
      <c r="B588" s="169" t="s">
        <v>163</v>
      </c>
      <c r="C588" s="100" t="s">
        <v>185</v>
      </c>
      <c r="D588" s="245" t="s">
        <v>184</v>
      </c>
      <c r="E588" s="116"/>
      <c r="F588" s="116"/>
      <c r="G588" s="116"/>
      <c r="H588" s="100" t="s">
        <v>185</v>
      </c>
      <c r="I588" s="101">
        <v>0</v>
      </c>
      <c r="J588" s="102">
        <v>221605.21</v>
      </c>
      <c r="K588" s="101"/>
      <c r="L588" s="101">
        <v>232912.19</v>
      </c>
      <c r="M588" s="101"/>
      <c r="N588" s="10"/>
      <c r="O588" s="10"/>
      <c r="P588"/>
      <c r="Q588"/>
    </row>
    <row r="589" spans="1:17" s="146" customFormat="1" ht="17.45" customHeight="1" x14ac:dyDescent="0.25">
      <c r="A589" s="926" t="s">
        <v>1386</v>
      </c>
      <c r="B589" s="169" t="s">
        <v>163</v>
      </c>
      <c r="C589" s="131" t="s">
        <v>308</v>
      </c>
      <c r="D589" s="700" t="s">
        <v>307</v>
      </c>
      <c r="E589" s="688"/>
      <c r="F589" s="688"/>
      <c r="G589" s="688"/>
      <c r="H589" s="131" t="s">
        <v>308</v>
      </c>
      <c r="I589" s="101"/>
      <c r="J589" s="102">
        <v>350000</v>
      </c>
      <c r="K589" s="101"/>
      <c r="L589" s="101">
        <v>350000</v>
      </c>
      <c r="M589" s="101"/>
      <c r="N589" s="10"/>
      <c r="O589" s="10"/>
      <c r="P589"/>
      <c r="Q589"/>
    </row>
    <row r="590" spans="1:17" s="146" customFormat="1" ht="17.45" customHeight="1" x14ac:dyDescent="0.25">
      <c r="A590" s="926" t="s">
        <v>1386</v>
      </c>
      <c r="B590" s="169" t="s">
        <v>163</v>
      </c>
      <c r="C590" s="100" t="s">
        <v>187</v>
      </c>
      <c r="D590" s="245" t="s">
        <v>186</v>
      </c>
      <c r="E590" s="116"/>
      <c r="F590" s="116"/>
      <c r="G590" s="116"/>
      <c r="H590" s="100" t="s">
        <v>187</v>
      </c>
      <c r="I590" s="101"/>
      <c r="J590" s="102">
        <v>150000</v>
      </c>
      <c r="K590" s="101">
        <v>22308.16</v>
      </c>
      <c r="L590" s="101">
        <v>200000</v>
      </c>
      <c r="M590" s="101"/>
      <c r="N590" s="10"/>
      <c r="O590" s="10"/>
      <c r="P590"/>
      <c r="Q590"/>
    </row>
    <row r="591" spans="1:17" s="146" customFormat="1" ht="17.45" customHeight="1" x14ac:dyDescent="0.25">
      <c r="A591" s="926" t="s">
        <v>1386</v>
      </c>
      <c r="B591" s="169" t="s">
        <v>163</v>
      </c>
      <c r="C591" s="100" t="s">
        <v>187</v>
      </c>
      <c r="D591" s="245" t="s">
        <v>186</v>
      </c>
      <c r="E591" s="116"/>
      <c r="F591" s="116"/>
      <c r="G591" s="116"/>
      <c r="H591" s="100" t="s">
        <v>187</v>
      </c>
      <c r="I591" s="101">
        <v>0</v>
      </c>
      <c r="J591" s="102">
        <v>10000</v>
      </c>
      <c r="K591" s="101"/>
      <c r="L591" s="101">
        <v>10000</v>
      </c>
      <c r="M591" s="101"/>
      <c r="N591" s="10"/>
      <c r="O591" s="10"/>
      <c r="P591"/>
      <c r="Q591"/>
    </row>
    <row r="592" spans="1:17" s="146" customFormat="1" ht="17.45" customHeight="1" x14ac:dyDescent="0.25">
      <c r="A592" s="926" t="s">
        <v>1386</v>
      </c>
      <c r="B592" s="169" t="s">
        <v>163</v>
      </c>
      <c r="C592" s="100" t="s">
        <v>187</v>
      </c>
      <c r="D592" s="245" t="s">
        <v>186</v>
      </c>
      <c r="E592" s="116"/>
      <c r="F592" s="116"/>
      <c r="G592" s="116"/>
      <c r="H592" s="100" t="s">
        <v>187</v>
      </c>
      <c r="I592" s="101">
        <v>0</v>
      </c>
      <c r="J592" s="102">
        <v>15000</v>
      </c>
      <c r="K592" s="101"/>
      <c r="L592" s="101">
        <v>15000</v>
      </c>
      <c r="M592" s="101"/>
      <c r="N592" s="10"/>
      <c r="O592" s="10"/>
      <c r="P592"/>
      <c r="Q592"/>
    </row>
    <row r="593" spans="1:17" s="146" customFormat="1" ht="17.45" customHeight="1" x14ac:dyDescent="0.25">
      <c r="A593" s="926" t="s">
        <v>1386</v>
      </c>
      <c r="B593" s="169" t="s">
        <v>163</v>
      </c>
      <c r="C593" s="131" t="s">
        <v>187</v>
      </c>
      <c r="D593" s="245" t="s">
        <v>186</v>
      </c>
      <c r="E593" s="116"/>
      <c r="F593" s="116"/>
      <c r="G593" s="116"/>
      <c r="H593" s="131" t="s">
        <v>187</v>
      </c>
      <c r="I593" s="101">
        <v>0</v>
      </c>
      <c r="J593" s="102">
        <v>30000</v>
      </c>
      <c r="K593" s="101"/>
      <c r="L593" s="101">
        <v>110000</v>
      </c>
      <c r="M593" s="101"/>
      <c r="N593" s="10"/>
      <c r="O593" s="10"/>
      <c r="P593"/>
      <c r="Q593"/>
    </row>
    <row r="594" spans="1:17" s="146" customFormat="1" ht="17.45" customHeight="1" x14ac:dyDescent="0.25">
      <c r="A594" s="926" t="s">
        <v>1386</v>
      </c>
      <c r="B594" s="169" t="s">
        <v>163</v>
      </c>
      <c r="C594" s="131" t="s">
        <v>187</v>
      </c>
      <c r="D594" s="700" t="s">
        <v>297</v>
      </c>
      <c r="E594" s="688"/>
      <c r="F594" s="688"/>
      <c r="G594" s="688"/>
      <c r="H594" s="131" t="s">
        <v>187</v>
      </c>
      <c r="I594" s="101"/>
      <c r="J594" s="102">
        <v>100000</v>
      </c>
      <c r="K594" s="101"/>
      <c r="L594" s="101">
        <v>100000</v>
      </c>
      <c r="M594" s="101"/>
      <c r="N594" s="10"/>
      <c r="O594" s="10"/>
      <c r="P594"/>
      <c r="Q594"/>
    </row>
    <row r="595" spans="1:17" s="146" customFormat="1" ht="17.45" customHeight="1" x14ac:dyDescent="0.25">
      <c r="A595" s="926" t="s">
        <v>1386</v>
      </c>
      <c r="B595" s="48" t="s">
        <v>163</v>
      </c>
      <c r="C595" s="131" t="s">
        <v>187</v>
      </c>
      <c r="D595" s="700" t="s">
        <v>297</v>
      </c>
      <c r="E595" s="688"/>
      <c r="F595" s="688"/>
      <c r="G595" s="688"/>
      <c r="H595" s="131" t="s">
        <v>187</v>
      </c>
      <c r="I595" s="101">
        <v>0</v>
      </c>
      <c r="J595" s="102">
        <v>200000</v>
      </c>
      <c r="K595" s="101">
        <v>770</v>
      </c>
      <c r="L595" s="101">
        <v>200000</v>
      </c>
      <c r="M595" s="101"/>
      <c r="N595" s="10"/>
      <c r="O595" s="10"/>
      <c r="P595"/>
      <c r="Q595"/>
    </row>
    <row r="596" spans="1:17" s="146" customFormat="1" ht="17.45" customHeight="1" x14ac:dyDescent="0.25">
      <c r="A596" s="926" t="s">
        <v>1386</v>
      </c>
      <c r="B596" s="48" t="s">
        <v>163</v>
      </c>
      <c r="C596" s="131" t="s">
        <v>187</v>
      </c>
      <c r="D596" s="700" t="s">
        <v>297</v>
      </c>
      <c r="E596" s="688"/>
      <c r="F596" s="688"/>
      <c r="G596" s="688"/>
      <c r="H596" s="131" t="s">
        <v>187</v>
      </c>
      <c r="I596" s="101"/>
      <c r="J596" s="102">
        <v>250000</v>
      </c>
      <c r="K596" s="101"/>
      <c r="L596" s="101">
        <v>250000</v>
      </c>
      <c r="M596" s="101"/>
      <c r="N596" s="10"/>
      <c r="O596" s="10"/>
      <c r="P596"/>
      <c r="Q596"/>
    </row>
    <row r="597" spans="1:17" s="146" customFormat="1" ht="17.45" customHeight="1" x14ac:dyDescent="0.25">
      <c r="A597" s="926" t="s">
        <v>1386</v>
      </c>
      <c r="B597" s="48" t="s">
        <v>163</v>
      </c>
      <c r="C597" s="131" t="s">
        <v>187</v>
      </c>
      <c r="D597" s="206" t="s">
        <v>297</v>
      </c>
      <c r="E597" s="184"/>
      <c r="F597" s="184"/>
      <c r="G597" s="185"/>
      <c r="H597" s="131" t="s">
        <v>187</v>
      </c>
      <c r="I597" s="101">
        <v>0</v>
      </c>
      <c r="J597" s="102">
        <v>10000</v>
      </c>
      <c r="K597" s="101"/>
      <c r="L597" s="102">
        <v>10000</v>
      </c>
      <c r="M597" s="101"/>
      <c r="N597" s="10"/>
      <c r="O597" s="10"/>
      <c r="P597"/>
      <c r="Q597"/>
    </row>
    <row r="598" spans="1:17" s="146" customFormat="1" ht="17.45" customHeight="1" x14ac:dyDescent="0.25">
      <c r="A598" s="926" t="s">
        <v>1386</v>
      </c>
      <c r="B598" s="48" t="s">
        <v>163</v>
      </c>
      <c r="C598" s="100" t="s">
        <v>187</v>
      </c>
      <c r="D598" s="700" t="s">
        <v>297</v>
      </c>
      <c r="E598" s="688"/>
      <c r="F598" s="688"/>
      <c r="G598" s="688"/>
      <c r="H598" s="100" t="s">
        <v>187</v>
      </c>
      <c r="I598" s="101">
        <v>784</v>
      </c>
      <c r="J598" s="102">
        <v>25000</v>
      </c>
      <c r="K598" s="101"/>
      <c r="L598" s="101">
        <v>25000</v>
      </c>
      <c r="M598" s="101"/>
      <c r="N598" s="10"/>
      <c r="O598" s="10"/>
      <c r="P598"/>
      <c r="Q598"/>
    </row>
    <row r="599" spans="1:17" s="146" customFormat="1" ht="17.45" customHeight="1" x14ac:dyDescent="0.25">
      <c r="A599" s="926" t="s">
        <v>1386</v>
      </c>
      <c r="B599" s="48" t="s">
        <v>163</v>
      </c>
      <c r="C599" s="205" t="s">
        <v>187</v>
      </c>
      <c r="D599" s="700" t="s">
        <v>297</v>
      </c>
      <c r="E599" s="694"/>
      <c r="F599" s="694"/>
      <c r="G599" s="694"/>
      <c r="H599" s="205" t="s">
        <v>187</v>
      </c>
      <c r="I599" s="102"/>
      <c r="J599" s="102">
        <v>60000</v>
      </c>
      <c r="K599" s="102">
        <v>24258</v>
      </c>
      <c r="L599" s="102">
        <v>80000</v>
      </c>
      <c r="M599" s="101"/>
      <c r="N599" s="10"/>
      <c r="O599" s="10"/>
      <c r="P599"/>
      <c r="Q599"/>
    </row>
    <row r="600" spans="1:17" s="146" customFormat="1" ht="17.45" customHeight="1" x14ac:dyDescent="0.25">
      <c r="A600" s="926" t="s">
        <v>1386</v>
      </c>
      <c r="B600" s="48" t="s">
        <v>163</v>
      </c>
      <c r="C600" s="100" t="s">
        <v>187</v>
      </c>
      <c r="D600" s="245" t="s">
        <v>186</v>
      </c>
      <c r="E600" s="116"/>
      <c r="F600" s="116"/>
      <c r="G600" s="116"/>
      <c r="H600" s="100" t="s">
        <v>187</v>
      </c>
      <c r="I600" s="101">
        <v>9061.92</v>
      </c>
      <c r="J600" s="102">
        <v>50000</v>
      </c>
      <c r="K600" s="101">
        <v>11044.12</v>
      </c>
      <c r="L600" s="101">
        <v>50000</v>
      </c>
      <c r="M600" s="101"/>
      <c r="N600" s="10"/>
      <c r="O600" s="10"/>
      <c r="P600"/>
      <c r="Q600"/>
    </row>
    <row r="601" spans="1:17" s="146" customFormat="1" ht="17.45" customHeight="1" x14ac:dyDescent="0.25">
      <c r="A601" s="926" t="s">
        <v>1386</v>
      </c>
      <c r="B601" s="48" t="s">
        <v>163</v>
      </c>
      <c r="C601" s="131" t="s">
        <v>187</v>
      </c>
      <c r="D601" s="245" t="s">
        <v>186</v>
      </c>
      <c r="E601" s="116"/>
      <c r="F601" s="116"/>
      <c r="G601" s="116"/>
      <c r="H601" s="131"/>
      <c r="I601" s="105"/>
      <c r="J601" s="106"/>
      <c r="K601" s="105"/>
      <c r="L601" s="105">
        <v>30000</v>
      </c>
      <c r="M601" s="105"/>
      <c r="N601" s="10"/>
      <c r="O601" s="10"/>
      <c r="P601"/>
      <c r="Q601"/>
    </row>
    <row r="602" spans="1:17" s="146" customFormat="1" ht="17.45" customHeight="1" x14ac:dyDescent="0.25">
      <c r="A602" s="926" t="s">
        <v>1386</v>
      </c>
      <c r="B602" s="48" t="s">
        <v>163</v>
      </c>
      <c r="C602" s="131" t="s">
        <v>187</v>
      </c>
      <c r="D602" s="44" t="s">
        <v>386</v>
      </c>
      <c r="E602" s="125"/>
      <c r="F602" s="125"/>
      <c r="G602" s="134"/>
      <c r="H602" s="131" t="s">
        <v>187</v>
      </c>
      <c r="I602" s="101">
        <v>0</v>
      </c>
      <c r="J602" s="102">
        <v>190000</v>
      </c>
      <c r="K602" s="101"/>
      <c r="L602" s="102">
        <v>700000</v>
      </c>
      <c r="M602" s="101"/>
      <c r="N602" s="10"/>
      <c r="O602" s="10"/>
      <c r="P602"/>
      <c r="Q602"/>
    </row>
    <row r="603" spans="1:17" s="146" customFormat="1" ht="17.45" customHeight="1" x14ac:dyDescent="0.25">
      <c r="A603" s="926" t="s">
        <v>1386</v>
      </c>
      <c r="B603" s="48" t="s">
        <v>163</v>
      </c>
      <c r="C603" s="131" t="s">
        <v>187</v>
      </c>
      <c r="D603" s="44" t="s">
        <v>186</v>
      </c>
      <c r="E603" s="125"/>
      <c r="F603" s="125"/>
      <c r="G603" s="125"/>
      <c r="H603" s="131"/>
      <c r="I603" s="101"/>
      <c r="J603" s="102"/>
      <c r="K603" s="101"/>
      <c r="L603" s="101">
        <v>50000</v>
      </c>
      <c r="M603" s="101"/>
      <c r="N603" s="10"/>
      <c r="O603" s="10"/>
      <c r="P603"/>
      <c r="Q603"/>
    </row>
    <row r="604" spans="1:17" s="146" customFormat="1" ht="17.45" customHeight="1" x14ac:dyDescent="0.25">
      <c r="A604" s="926" t="s">
        <v>1386</v>
      </c>
      <c r="B604" s="48" t="s">
        <v>163</v>
      </c>
      <c r="C604" s="131" t="s">
        <v>187</v>
      </c>
      <c r="D604" s="44" t="s">
        <v>186</v>
      </c>
      <c r="E604" s="125"/>
      <c r="F604" s="125"/>
      <c r="G604" s="125"/>
      <c r="H604" s="131" t="s">
        <v>187</v>
      </c>
      <c r="I604" s="101"/>
      <c r="J604" s="102">
        <v>50000</v>
      </c>
      <c r="K604" s="101"/>
      <c r="L604" s="101">
        <v>50000</v>
      </c>
      <c r="M604" s="101"/>
      <c r="N604" s="10"/>
      <c r="O604" s="10"/>
      <c r="P604"/>
      <c r="Q604"/>
    </row>
    <row r="605" spans="1:17" s="146" customFormat="1" ht="17.45" customHeight="1" x14ac:dyDescent="0.25">
      <c r="A605" s="926" t="s">
        <v>1386</v>
      </c>
      <c r="B605" s="48" t="s">
        <v>163</v>
      </c>
      <c r="C605" s="131" t="s">
        <v>187</v>
      </c>
      <c r="D605" s="44" t="s">
        <v>186</v>
      </c>
      <c r="E605" s="125"/>
      <c r="F605" s="125"/>
      <c r="G605" s="125"/>
      <c r="H605" s="131" t="s">
        <v>187</v>
      </c>
      <c r="I605" s="101"/>
      <c r="J605" s="102">
        <v>10000</v>
      </c>
      <c r="K605" s="101"/>
      <c r="L605" s="101">
        <v>10000</v>
      </c>
      <c r="M605" s="101">
        <f>SUM(L590:L605)</f>
        <v>1890000</v>
      </c>
      <c r="N605" s="10"/>
      <c r="O605" s="10"/>
      <c r="P605"/>
      <c r="Q605"/>
    </row>
    <row r="606" spans="1:17" s="146" customFormat="1" ht="17.45" customHeight="1" x14ac:dyDescent="0.25">
      <c r="A606" s="926" t="s">
        <v>1386</v>
      </c>
      <c r="B606" s="48" t="s">
        <v>163</v>
      </c>
      <c r="C606" s="131" t="s">
        <v>388</v>
      </c>
      <c r="D606" s="44" t="s">
        <v>387</v>
      </c>
      <c r="E606" s="125"/>
      <c r="F606" s="125"/>
      <c r="G606" s="125"/>
      <c r="H606" s="131" t="s">
        <v>388</v>
      </c>
      <c r="I606" s="101"/>
      <c r="J606" s="102">
        <v>300000</v>
      </c>
      <c r="K606" s="101"/>
      <c r="L606" s="102">
        <v>300000</v>
      </c>
      <c r="M606" s="101"/>
      <c r="N606" s="10"/>
      <c r="O606" s="10">
        <f>42000+28800</f>
        <v>70800</v>
      </c>
      <c r="P606"/>
      <c r="Q606"/>
    </row>
    <row r="607" spans="1:17" s="146" customFormat="1" ht="17.45" customHeight="1" x14ac:dyDescent="0.25">
      <c r="A607" s="926" t="s">
        <v>1386</v>
      </c>
      <c r="B607" s="48" t="s">
        <v>163</v>
      </c>
      <c r="C607" s="131" t="s">
        <v>388</v>
      </c>
      <c r="D607" s="44" t="s">
        <v>389</v>
      </c>
      <c r="E607" s="125"/>
      <c r="F607" s="125"/>
      <c r="G607" s="125"/>
      <c r="H607" s="131" t="s">
        <v>388</v>
      </c>
      <c r="I607" s="101"/>
      <c r="J607" s="102">
        <v>200000</v>
      </c>
      <c r="K607" s="101"/>
      <c r="L607" s="102">
        <v>200000</v>
      </c>
      <c r="M607" s="101"/>
      <c r="N607" s="10"/>
      <c r="O607" s="10"/>
      <c r="P607"/>
      <c r="Q607"/>
    </row>
    <row r="608" spans="1:17" s="146" customFormat="1" ht="17.45" customHeight="1" x14ac:dyDescent="0.25">
      <c r="A608" s="926" t="s">
        <v>1386</v>
      </c>
      <c r="B608" s="48" t="s">
        <v>163</v>
      </c>
      <c r="C608" s="131" t="s">
        <v>391</v>
      </c>
      <c r="D608" s="44" t="s">
        <v>390</v>
      </c>
      <c r="E608" s="125"/>
      <c r="F608" s="125"/>
      <c r="G608" s="125"/>
      <c r="H608" s="131" t="s">
        <v>391</v>
      </c>
      <c r="I608" s="101">
        <v>148597</v>
      </c>
      <c r="J608" s="102">
        <v>500000</v>
      </c>
      <c r="K608" s="101"/>
      <c r="L608" s="102">
        <v>500000</v>
      </c>
      <c r="M608" s="102"/>
      <c r="N608" s="10"/>
      <c r="O608" s="10"/>
      <c r="P608"/>
      <c r="Q608"/>
    </row>
    <row r="609" spans="1:17" s="146" customFormat="1" ht="17.45" customHeight="1" x14ac:dyDescent="0.25">
      <c r="A609" s="926" t="s">
        <v>1386</v>
      </c>
      <c r="B609" s="48" t="s">
        <v>163</v>
      </c>
      <c r="C609" s="100" t="s">
        <v>189</v>
      </c>
      <c r="D609" s="44" t="s">
        <v>188</v>
      </c>
      <c r="E609" s="113"/>
      <c r="F609" s="113"/>
      <c r="G609" s="113"/>
      <c r="H609" s="100" t="s">
        <v>189</v>
      </c>
      <c r="I609" s="101">
        <v>178931</v>
      </c>
      <c r="J609" s="102">
        <v>1000000</v>
      </c>
      <c r="K609" s="101">
        <v>64181.86</v>
      </c>
      <c r="L609" s="101">
        <v>800000</v>
      </c>
      <c r="M609" s="102"/>
      <c r="N609" s="10"/>
      <c r="O609" s="10"/>
      <c r="P609"/>
      <c r="Q609"/>
    </row>
    <row r="610" spans="1:17" ht="17.45" customHeight="1" x14ac:dyDescent="0.25">
      <c r="A610" s="926" t="s">
        <v>1386</v>
      </c>
      <c r="B610" s="48" t="s">
        <v>163</v>
      </c>
      <c r="C610" s="131" t="s">
        <v>189</v>
      </c>
      <c r="D610" s="206" t="s">
        <v>298</v>
      </c>
      <c r="E610" s="184"/>
      <c r="F610" s="184"/>
      <c r="G610" s="184"/>
      <c r="H610" s="131" t="s">
        <v>189</v>
      </c>
      <c r="I610" s="101">
        <v>180668.74</v>
      </c>
      <c r="J610" s="102">
        <v>350000</v>
      </c>
      <c r="K610" s="101">
        <v>5775</v>
      </c>
      <c r="L610" s="101">
        <v>350000</v>
      </c>
      <c r="M610" s="101"/>
    </row>
    <row r="611" spans="1:17" ht="17.45" customHeight="1" x14ac:dyDescent="0.25">
      <c r="A611" s="926" t="s">
        <v>1386</v>
      </c>
      <c r="B611" s="48" t="s">
        <v>163</v>
      </c>
      <c r="C611" s="131" t="s">
        <v>189</v>
      </c>
      <c r="D611" s="206" t="s">
        <v>298</v>
      </c>
      <c r="E611" s="184"/>
      <c r="F611" s="184"/>
      <c r="G611" s="184"/>
      <c r="H611" s="131" t="s">
        <v>189</v>
      </c>
      <c r="I611" s="105"/>
      <c r="J611" s="106">
        <v>200000</v>
      </c>
      <c r="K611" s="105"/>
      <c r="L611" s="105">
        <v>200000</v>
      </c>
      <c r="M611" s="105"/>
    </row>
    <row r="612" spans="1:17" s="208" customFormat="1" ht="17.45" customHeight="1" x14ac:dyDescent="0.25">
      <c r="A612" s="926" t="s">
        <v>1386</v>
      </c>
      <c r="B612" s="48" t="s">
        <v>163</v>
      </c>
      <c r="C612" s="131" t="s">
        <v>189</v>
      </c>
      <c r="D612" s="206" t="s">
        <v>298</v>
      </c>
      <c r="E612" s="184"/>
      <c r="F612" s="184"/>
      <c r="G612" s="184"/>
      <c r="H612" s="131" t="s">
        <v>189</v>
      </c>
      <c r="I612" s="101">
        <v>0</v>
      </c>
      <c r="J612" s="102">
        <v>100000</v>
      </c>
      <c r="K612" s="101"/>
      <c r="L612" s="101">
        <v>100000</v>
      </c>
      <c r="M612" s="102"/>
      <c r="N612" s="207"/>
      <c r="O612" s="207">
        <f>160000+135000</f>
        <v>295000</v>
      </c>
    </row>
    <row r="613" spans="1:17" s="208" customFormat="1" ht="17.45" customHeight="1" x14ac:dyDescent="0.25">
      <c r="A613" s="926" t="s">
        <v>1386</v>
      </c>
      <c r="B613" s="48" t="s">
        <v>163</v>
      </c>
      <c r="C613" s="131" t="s">
        <v>189</v>
      </c>
      <c r="D613" s="44" t="s">
        <v>392</v>
      </c>
      <c r="E613" s="125"/>
      <c r="F613" s="125"/>
      <c r="G613" s="125"/>
      <c r="H613" s="131" t="s">
        <v>189</v>
      </c>
      <c r="I613" s="101">
        <v>0</v>
      </c>
      <c r="J613" s="102">
        <v>3730000</v>
      </c>
      <c r="K613" s="101">
        <v>22871.4</v>
      </c>
      <c r="L613" s="102">
        <v>6753266</v>
      </c>
      <c r="M613" s="102">
        <f>SUM(L609:L613)</f>
        <v>8203266</v>
      </c>
      <c r="N613" s="207"/>
      <c r="O613" s="207"/>
    </row>
    <row r="614" spans="1:17" s="208" customFormat="1" ht="17.45" customHeight="1" x14ac:dyDescent="0.25">
      <c r="A614" s="926" t="s">
        <v>1386</v>
      </c>
      <c r="B614" s="48" t="s">
        <v>163</v>
      </c>
      <c r="C614" s="131" t="s">
        <v>431</v>
      </c>
      <c r="D614" s="44" t="s">
        <v>430</v>
      </c>
      <c r="E614" s="125"/>
      <c r="F614" s="125"/>
      <c r="G614" s="125"/>
      <c r="H614" s="131" t="s">
        <v>431</v>
      </c>
      <c r="I614" s="101">
        <v>274275</v>
      </c>
      <c r="J614" s="102">
        <v>350000</v>
      </c>
      <c r="K614" s="101">
        <v>29250</v>
      </c>
      <c r="L614" s="101">
        <v>400000</v>
      </c>
      <c r="M614" s="102"/>
      <c r="N614" s="207"/>
      <c r="O614" s="207"/>
    </row>
    <row r="615" spans="1:17" s="208" customFormat="1" ht="36" customHeight="1" x14ac:dyDescent="0.25">
      <c r="A615" s="926" t="s">
        <v>1386</v>
      </c>
      <c r="B615" s="48" t="s">
        <v>163</v>
      </c>
      <c r="C615" s="176" t="s">
        <v>395</v>
      </c>
      <c r="D615" s="180" t="s">
        <v>396</v>
      </c>
      <c r="E615" s="225"/>
      <c r="F615" s="225"/>
      <c r="G615" s="225"/>
      <c r="H615" s="176" t="s">
        <v>395</v>
      </c>
      <c r="I615" s="101">
        <v>159551.29999999999</v>
      </c>
      <c r="J615" s="102">
        <v>304000</v>
      </c>
      <c r="K615" s="101">
        <v>65712.539999999994</v>
      </c>
      <c r="L615" s="101">
        <v>304000</v>
      </c>
      <c r="M615" s="102"/>
      <c r="N615" s="207"/>
      <c r="O615" s="207"/>
    </row>
    <row r="616" spans="1:17" s="48" customFormat="1" ht="18" customHeight="1" x14ac:dyDescent="0.25">
      <c r="A616" s="926" t="s">
        <v>1386</v>
      </c>
      <c r="B616" s="48" t="s">
        <v>163</v>
      </c>
      <c r="C616" s="176" t="s">
        <v>395</v>
      </c>
      <c r="D616" s="685" t="s">
        <v>397</v>
      </c>
      <c r="E616" s="333"/>
      <c r="F616" s="333"/>
      <c r="G616" s="333"/>
      <c r="H616" s="176" t="s">
        <v>395</v>
      </c>
      <c r="I616" s="101">
        <v>442353.9</v>
      </c>
      <c r="J616" s="102">
        <v>1470000</v>
      </c>
      <c r="K616" s="101">
        <v>216394.47</v>
      </c>
      <c r="L616" s="101">
        <v>1465000</v>
      </c>
      <c r="M616" s="101"/>
      <c r="N616" s="6"/>
      <c r="O616" s="6"/>
    </row>
    <row r="617" spans="1:17" s="48" customFormat="1" ht="18" customHeight="1" x14ac:dyDescent="0.25">
      <c r="A617" s="926" t="s">
        <v>1386</v>
      </c>
      <c r="B617" s="48" t="s">
        <v>163</v>
      </c>
      <c r="C617" s="176" t="s">
        <v>395</v>
      </c>
      <c r="D617" s="685" t="s">
        <v>398</v>
      </c>
      <c r="E617" s="333"/>
      <c r="F617" s="333"/>
      <c r="G617" s="333"/>
      <c r="H617" s="176" t="s">
        <v>395</v>
      </c>
      <c r="I617" s="101">
        <v>45400</v>
      </c>
      <c r="J617" s="102">
        <v>39700</v>
      </c>
      <c r="K617" s="101">
        <v>17536</v>
      </c>
      <c r="L617" s="101">
        <v>52400</v>
      </c>
      <c r="M617" s="101"/>
      <c r="N617" s="6"/>
      <c r="O617" s="6">
        <f>40*1250</f>
        <v>50000</v>
      </c>
    </row>
    <row r="618" spans="1:17" s="48" customFormat="1" ht="18" customHeight="1" x14ac:dyDescent="0.25">
      <c r="A618" s="926" t="s">
        <v>1386</v>
      </c>
      <c r="B618" s="48" t="s">
        <v>163</v>
      </c>
      <c r="C618" s="131" t="s">
        <v>395</v>
      </c>
      <c r="D618" s="245" t="s">
        <v>399</v>
      </c>
      <c r="E618" s="97"/>
      <c r="F618" s="97"/>
      <c r="G618" s="97"/>
      <c r="H618" s="131" t="s">
        <v>395</v>
      </c>
      <c r="I618" s="101">
        <v>502096</v>
      </c>
      <c r="J618" s="102">
        <v>760000</v>
      </c>
      <c r="K618" s="101">
        <v>361222.40000000002</v>
      </c>
      <c r="L618" s="101">
        <v>760000</v>
      </c>
      <c r="M618" s="101"/>
      <c r="N618" s="6"/>
      <c r="O618" s="6"/>
    </row>
    <row r="619" spans="1:17" s="48" customFormat="1" ht="18" customHeight="1" x14ac:dyDescent="0.25">
      <c r="A619" s="926" t="s">
        <v>1386</v>
      </c>
      <c r="B619" s="48" t="s">
        <v>163</v>
      </c>
      <c r="C619" s="100" t="s">
        <v>191</v>
      </c>
      <c r="D619" s="245" t="s">
        <v>190</v>
      </c>
      <c r="E619" s="116"/>
      <c r="F619" s="116"/>
      <c r="G619" s="116"/>
      <c r="H619" s="100" t="s">
        <v>191</v>
      </c>
      <c r="I619" s="101"/>
      <c r="J619" s="102">
        <v>120000</v>
      </c>
      <c r="K619" s="101"/>
      <c r="L619" s="101">
        <v>120000</v>
      </c>
      <c r="M619" s="101"/>
      <c r="N619" s="6"/>
      <c r="O619" s="6"/>
    </row>
    <row r="620" spans="1:17" s="48" customFormat="1" ht="18" customHeight="1" x14ac:dyDescent="0.25">
      <c r="A620" s="926" t="s">
        <v>1386</v>
      </c>
      <c r="B620" s="48" t="s">
        <v>163</v>
      </c>
      <c r="C620" s="131" t="s">
        <v>191</v>
      </c>
      <c r="D620" s="700" t="s">
        <v>190</v>
      </c>
      <c r="E620" s="688"/>
      <c r="F620" s="688"/>
      <c r="G620" s="688"/>
      <c r="H620" s="131" t="s">
        <v>191</v>
      </c>
      <c r="I620" s="101">
        <v>5000</v>
      </c>
      <c r="J620" s="102">
        <v>150000</v>
      </c>
      <c r="K620" s="101"/>
      <c r="L620" s="101">
        <v>150000</v>
      </c>
      <c r="M620" s="101"/>
      <c r="N620" s="6"/>
      <c r="O620" s="6"/>
    </row>
    <row r="621" spans="1:17" s="48" customFormat="1" ht="18" customHeight="1" x14ac:dyDescent="0.25">
      <c r="A621" s="926" t="s">
        <v>1386</v>
      </c>
      <c r="B621" s="48" t="s">
        <v>163</v>
      </c>
      <c r="C621" s="131" t="s">
        <v>191</v>
      </c>
      <c r="D621" s="700" t="s">
        <v>190</v>
      </c>
      <c r="E621" s="688"/>
      <c r="F621" s="688"/>
      <c r="G621" s="688"/>
      <c r="H621" s="131" t="s">
        <v>191</v>
      </c>
      <c r="I621" s="101"/>
      <c r="J621" s="102"/>
      <c r="K621" s="101"/>
      <c r="L621" s="101">
        <v>125000</v>
      </c>
      <c r="M621" s="101">
        <f>SUM(L619:L621)</f>
        <v>395000</v>
      </c>
      <c r="N621" s="6"/>
      <c r="O621" s="6"/>
    </row>
    <row r="622" spans="1:17" s="48" customFormat="1" ht="18" customHeight="1" x14ac:dyDescent="0.25">
      <c r="A622" s="926" t="s">
        <v>1386</v>
      </c>
      <c r="B622" s="48" t="s">
        <v>163</v>
      </c>
      <c r="C622" s="100" t="s">
        <v>282</v>
      </c>
      <c r="D622" s="700" t="s">
        <v>331</v>
      </c>
      <c r="E622" s="688"/>
      <c r="F622" s="688"/>
      <c r="G622" s="688"/>
      <c r="H622" s="100" t="s">
        <v>282</v>
      </c>
      <c r="I622" s="101">
        <v>0</v>
      </c>
      <c r="J622" s="102">
        <v>100000</v>
      </c>
      <c r="K622" s="101"/>
      <c r="L622" s="101">
        <v>100000</v>
      </c>
      <c r="M622" s="101"/>
      <c r="N622" s="6"/>
      <c r="O622" s="6"/>
    </row>
    <row r="623" spans="1:17" s="48" customFormat="1" ht="18" customHeight="1" x14ac:dyDescent="0.25">
      <c r="A623" s="926" t="s">
        <v>1386</v>
      </c>
      <c r="B623" s="48" t="s">
        <v>163</v>
      </c>
      <c r="C623" s="100" t="s">
        <v>193</v>
      </c>
      <c r="D623" s="245" t="s">
        <v>192</v>
      </c>
      <c r="E623" s="116"/>
      <c r="F623" s="116"/>
      <c r="G623" s="116"/>
      <c r="H623" s="100" t="s">
        <v>193</v>
      </c>
      <c r="I623" s="101">
        <v>817830</v>
      </c>
      <c r="J623" s="102">
        <v>2400000</v>
      </c>
      <c r="K623" s="101">
        <v>56665</v>
      </c>
      <c r="L623" s="101">
        <v>2900000</v>
      </c>
      <c r="M623" s="101"/>
      <c r="N623" s="6"/>
      <c r="O623" s="6"/>
    </row>
    <row r="624" spans="1:17" s="48" customFormat="1" ht="18" customHeight="1" x14ac:dyDescent="0.25">
      <c r="A624" s="926" t="s">
        <v>1386</v>
      </c>
      <c r="B624" s="48" t="s">
        <v>163</v>
      </c>
      <c r="C624" s="131" t="s">
        <v>193</v>
      </c>
      <c r="D624" s="700" t="s">
        <v>192</v>
      </c>
      <c r="E624" s="688"/>
      <c r="F624" s="688"/>
      <c r="G624" s="688"/>
      <c r="H624" s="131" t="s">
        <v>193</v>
      </c>
      <c r="I624" s="101">
        <v>30600</v>
      </c>
      <c r="J624" s="102">
        <v>300000</v>
      </c>
      <c r="K624" s="101"/>
      <c r="L624" s="101">
        <v>300000</v>
      </c>
      <c r="M624" s="101"/>
      <c r="N624" s="6"/>
      <c r="O624" s="6"/>
    </row>
    <row r="625" spans="1:15" s="48" customFormat="1" ht="18" customHeight="1" x14ac:dyDescent="0.25">
      <c r="A625" s="926" t="s">
        <v>1386</v>
      </c>
      <c r="B625" s="48" t="s">
        <v>163</v>
      </c>
      <c r="C625" s="131" t="s">
        <v>193</v>
      </c>
      <c r="D625" s="700" t="s">
        <v>192</v>
      </c>
      <c r="E625" s="688"/>
      <c r="F625" s="688"/>
      <c r="G625" s="688"/>
      <c r="H625" s="131" t="s">
        <v>193</v>
      </c>
      <c r="I625" s="101">
        <v>0</v>
      </c>
      <c r="J625" s="102">
        <v>500000</v>
      </c>
      <c r="K625" s="101">
        <v>6000</v>
      </c>
      <c r="L625" s="101">
        <v>500000</v>
      </c>
      <c r="M625" s="101">
        <f>SUM(L623:L625)</f>
        <v>3700000</v>
      </c>
      <c r="N625" s="6"/>
      <c r="O625" s="6"/>
    </row>
    <row r="626" spans="1:15" s="48" customFormat="1" ht="18" customHeight="1" x14ac:dyDescent="0.25">
      <c r="A626" s="926" t="s">
        <v>1386</v>
      </c>
      <c r="B626" s="48" t="s">
        <v>163</v>
      </c>
      <c r="C626" s="131" t="s">
        <v>237</v>
      </c>
      <c r="D626" s="700" t="s">
        <v>299</v>
      </c>
      <c r="E626" s="688"/>
      <c r="F626" s="688"/>
      <c r="G626" s="688"/>
      <c r="H626" s="131" t="s">
        <v>237</v>
      </c>
      <c r="I626" s="101">
        <v>0</v>
      </c>
      <c r="J626" s="102">
        <v>20000</v>
      </c>
      <c r="K626" s="101"/>
      <c r="L626" s="101">
        <v>20000</v>
      </c>
      <c r="M626" s="101"/>
      <c r="N626" s="6"/>
      <c r="O626" s="6"/>
    </row>
    <row r="627" spans="1:15" s="48" customFormat="1" ht="18" customHeight="1" x14ac:dyDescent="0.25">
      <c r="A627" s="926" t="s">
        <v>1386</v>
      </c>
      <c r="B627" s="48" t="s">
        <v>163</v>
      </c>
      <c r="C627" s="131" t="s">
        <v>237</v>
      </c>
      <c r="D627" s="700" t="s">
        <v>299</v>
      </c>
      <c r="E627" s="688"/>
      <c r="F627" s="688"/>
      <c r="G627" s="688"/>
      <c r="H627" s="131" t="s">
        <v>237</v>
      </c>
      <c r="I627" s="101">
        <v>15000</v>
      </c>
      <c r="J627" s="102">
        <v>125000</v>
      </c>
      <c r="K627" s="101"/>
      <c r="L627" s="101">
        <v>500000</v>
      </c>
      <c r="M627" s="101"/>
      <c r="N627" s="6"/>
      <c r="O627" s="6"/>
    </row>
    <row r="628" spans="1:15" s="48" customFormat="1" ht="18" customHeight="1" x14ac:dyDescent="0.25">
      <c r="A628" s="926" t="s">
        <v>1386</v>
      </c>
      <c r="B628" s="48" t="s">
        <v>163</v>
      </c>
      <c r="C628" s="100" t="s">
        <v>237</v>
      </c>
      <c r="D628" s="206" t="s">
        <v>327</v>
      </c>
      <c r="E628" s="184"/>
      <c r="F628" s="184"/>
      <c r="G628" s="185"/>
      <c r="H628" s="100" t="s">
        <v>237</v>
      </c>
      <c r="I628" s="101">
        <v>0</v>
      </c>
      <c r="J628" s="102">
        <v>6000</v>
      </c>
      <c r="K628" s="101"/>
      <c r="L628" s="102">
        <v>6000</v>
      </c>
      <c r="M628" s="101"/>
      <c r="N628" s="6"/>
      <c r="O628" s="6"/>
    </row>
    <row r="629" spans="1:15" s="48" customFormat="1" ht="18" customHeight="1" x14ac:dyDescent="0.25">
      <c r="A629" s="926" t="s">
        <v>1386</v>
      </c>
      <c r="B629" s="48" t="s">
        <v>163</v>
      </c>
      <c r="C629" s="100" t="s">
        <v>237</v>
      </c>
      <c r="D629" s="206" t="s">
        <v>299</v>
      </c>
      <c r="E629" s="184"/>
      <c r="F629" s="184"/>
      <c r="G629" s="185"/>
      <c r="H629" s="100" t="s">
        <v>237</v>
      </c>
      <c r="I629" s="101">
        <v>0</v>
      </c>
      <c r="J629" s="102">
        <v>8000</v>
      </c>
      <c r="K629" s="101"/>
      <c r="L629" s="101">
        <v>8000</v>
      </c>
      <c r="M629" s="101"/>
      <c r="N629" s="6"/>
      <c r="O629" s="6"/>
    </row>
    <row r="630" spans="1:15" s="48" customFormat="1" ht="18" customHeight="1" x14ac:dyDescent="0.25">
      <c r="A630" s="926" t="s">
        <v>1386</v>
      </c>
      <c r="B630" s="48" t="s">
        <v>163</v>
      </c>
      <c r="C630" s="100" t="s">
        <v>237</v>
      </c>
      <c r="D630" s="700" t="s">
        <v>299</v>
      </c>
      <c r="E630" s="688"/>
      <c r="F630" s="688"/>
      <c r="G630" s="688"/>
      <c r="H630" s="100" t="s">
        <v>237</v>
      </c>
      <c r="I630" s="101">
        <v>5000</v>
      </c>
      <c r="J630" s="102">
        <v>12000</v>
      </c>
      <c r="K630" s="101"/>
      <c r="L630" s="101">
        <v>12000</v>
      </c>
      <c r="M630" s="101"/>
      <c r="N630" s="6"/>
      <c r="O630" s="6"/>
    </row>
    <row r="631" spans="1:15" s="48" customFormat="1" ht="18" customHeight="1" x14ac:dyDescent="0.25">
      <c r="A631" s="926" t="s">
        <v>1386</v>
      </c>
      <c r="B631" s="48" t="s">
        <v>163</v>
      </c>
      <c r="C631" s="100" t="s">
        <v>237</v>
      </c>
      <c r="D631" s="245" t="s">
        <v>236</v>
      </c>
      <c r="E631" s="116"/>
      <c r="F631" s="116"/>
      <c r="G631" s="116"/>
      <c r="H631" s="100" t="s">
        <v>237</v>
      </c>
      <c r="I631" s="101">
        <v>0</v>
      </c>
      <c r="J631" s="102">
        <v>6000</v>
      </c>
      <c r="K631" s="101"/>
      <c r="L631" s="101">
        <v>6000</v>
      </c>
      <c r="M631" s="101"/>
      <c r="N631" s="6"/>
      <c r="O631" s="6"/>
    </row>
    <row r="632" spans="1:15" s="48" customFormat="1" ht="18" customHeight="1" x14ac:dyDescent="0.25">
      <c r="A632" s="926" t="s">
        <v>1386</v>
      </c>
      <c r="B632" s="48" t="s">
        <v>163</v>
      </c>
      <c r="C632" s="131" t="s">
        <v>237</v>
      </c>
      <c r="D632" s="245" t="s">
        <v>357</v>
      </c>
      <c r="E632" s="116"/>
      <c r="F632" s="116"/>
      <c r="G632" s="116"/>
      <c r="H632" s="131" t="s">
        <v>237</v>
      </c>
      <c r="I632" s="101">
        <v>300</v>
      </c>
      <c r="J632" s="102">
        <v>10000</v>
      </c>
      <c r="K632" s="101"/>
      <c r="L632" s="101">
        <v>10000</v>
      </c>
      <c r="M632" s="101"/>
      <c r="N632" s="6"/>
      <c r="O632" s="6"/>
    </row>
    <row r="633" spans="1:15" s="48" customFormat="1" ht="18" customHeight="1" x14ac:dyDescent="0.25">
      <c r="A633" s="926" t="s">
        <v>1386</v>
      </c>
      <c r="B633" s="48" t="s">
        <v>163</v>
      </c>
      <c r="C633" s="133" t="s">
        <v>237</v>
      </c>
      <c r="D633" s="245" t="s">
        <v>400</v>
      </c>
      <c r="E633" s="97"/>
      <c r="F633" s="97"/>
      <c r="G633" s="97"/>
      <c r="H633" s="133" t="s">
        <v>237</v>
      </c>
      <c r="I633" s="105"/>
      <c r="J633" s="106">
        <v>6000</v>
      </c>
      <c r="K633" s="105"/>
      <c r="L633" s="105">
        <v>6000</v>
      </c>
      <c r="M633" s="105"/>
      <c r="N633" s="6"/>
      <c r="O633" s="6"/>
    </row>
    <row r="634" spans="1:15" s="48" customFormat="1" ht="18" customHeight="1" x14ac:dyDescent="0.25">
      <c r="A634" s="926" t="s">
        <v>1386</v>
      </c>
      <c r="B634" s="169" t="s">
        <v>163</v>
      </c>
      <c r="C634" s="131" t="s">
        <v>237</v>
      </c>
      <c r="D634" s="44" t="s">
        <v>432</v>
      </c>
      <c r="E634" s="125"/>
      <c r="F634" s="125"/>
      <c r="G634" s="134"/>
      <c r="H634" s="131" t="s">
        <v>237</v>
      </c>
      <c r="I634" s="101">
        <v>0</v>
      </c>
      <c r="J634" s="102">
        <v>12000</v>
      </c>
      <c r="K634" s="101"/>
      <c r="L634" s="101">
        <v>12000</v>
      </c>
      <c r="M634" s="101"/>
      <c r="N634" s="6"/>
      <c r="O634" s="6"/>
    </row>
    <row r="635" spans="1:15" s="48" customFormat="1" ht="18" customHeight="1" x14ac:dyDescent="0.25">
      <c r="A635" s="926" t="s">
        <v>1386</v>
      </c>
      <c r="B635" s="169" t="s">
        <v>163</v>
      </c>
      <c r="C635" s="131" t="s">
        <v>237</v>
      </c>
      <c r="D635" s="44" t="s">
        <v>439</v>
      </c>
      <c r="E635" s="125"/>
      <c r="F635" s="125"/>
      <c r="G635" s="134"/>
      <c r="H635" s="131" t="s">
        <v>237</v>
      </c>
      <c r="I635" s="101">
        <v>0</v>
      </c>
      <c r="J635" s="102">
        <v>6000</v>
      </c>
      <c r="K635" s="101"/>
      <c r="L635" s="101">
        <v>6000</v>
      </c>
      <c r="M635" s="101"/>
      <c r="N635" s="6"/>
      <c r="O635" s="6"/>
    </row>
    <row r="636" spans="1:15" s="48" customFormat="1" ht="18" customHeight="1" x14ac:dyDescent="0.25">
      <c r="A636" s="926" t="s">
        <v>1386</v>
      </c>
      <c r="B636" s="169" t="s">
        <v>163</v>
      </c>
      <c r="C636" s="100" t="s">
        <v>197</v>
      </c>
      <c r="D636" s="44" t="s">
        <v>196</v>
      </c>
      <c r="E636" s="113"/>
      <c r="F636" s="113"/>
      <c r="G636" s="114"/>
      <c r="H636" s="100" t="s">
        <v>197</v>
      </c>
      <c r="I636" s="101">
        <v>180000</v>
      </c>
      <c r="J636" s="102">
        <v>250000</v>
      </c>
      <c r="K636" s="101">
        <v>180000</v>
      </c>
      <c r="L636" s="101">
        <v>300000</v>
      </c>
      <c r="M636" s="101">
        <f>SUM(L626:L636)</f>
        <v>886000</v>
      </c>
      <c r="N636" s="6"/>
      <c r="O636" s="6"/>
    </row>
    <row r="637" spans="1:15" s="48" customFormat="1" ht="18" customHeight="1" x14ac:dyDescent="0.25">
      <c r="A637" s="926" t="s">
        <v>1386</v>
      </c>
      <c r="B637" s="169" t="s">
        <v>163</v>
      </c>
      <c r="C637" s="100" t="s">
        <v>195</v>
      </c>
      <c r="D637" s="44" t="s">
        <v>194</v>
      </c>
      <c r="E637" s="113"/>
      <c r="F637" s="113"/>
      <c r="G637" s="114"/>
      <c r="H637" s="100" t="s">
        <v>195</v>
      </c>
      <c r="I637" s="101">
        <v>0</v>
      </c>
      <c r="J637" s="102">
        <v>120000</v>
      </c>
      <c r="K637" s="101"/>
      <c r="L637" s="101">
        <v>120000</v>
      </c>
      <c r="M637" s="101"/>
      <c r="N637" s="6"/>
      <c r="O637" s="6"/>
    </row>
    <row r="638" spans="1:15" s="48" customFormat="1" ht="18" customHeight="1" x14ac:dyDescent="0.25">
      <c r="A638" s="926" t="s">
        <v>1386</v>
      </c>
      <c r="B638" s="169" t="s">
        <v>163</v>
      </c>
      <c r="C638" s="100" t="s">
        <v>199</v>
      </c>
      <c r="D638" s="44" t="s">
        <v>198</v>
      </c>
      <c r="E638" s="113"/>
      <c r="F638" s="113"/>
      <c r="G638" s="114"/>
      <c r="H638" s="100" t="s">
        <v>199</v>
      </c>
      <c r="I638" s="101">
        <v>929000.65</v>
      </c>
      <c r="J638" s="102">
        <v>3000000</v>
      </c>
      <c r="K638" s="101">
        <v>444340.9</v>
      </c>
      <c r="L638" s="101">
        <v>3000000</v>
      </c>
      <c r="M638" s="101"/>
      <c r="N638" s="6"/>
      <c r="O638" s="6"/>
    </row>
    <row r="639" spans="1:15" s="48" customFormat="1" ht="18" customHeight="1" x14ac:dyDescent="0.25">
      <c r="A639" s="926" t="s">
        <v>1386</v>
      </c>
      <c r="B639" s="169" t="s">
        <v>163</v>
      </c>
      <c r="C639" s="131" t="s">
        <v>199</v>
      </c>
      <c r="D639" s="44" t="s">
        <v>198</v>
      </c>
      <c r="E639" s="125"/>
      <c r="F639" s="125"/>
      <c r="G639" s="134"/>
      <c r="H639" s="131" t="s">
        <v>199</v>
      </c>
      <c r="I639" s="101">
        <v>1192217.23</v>
      </c>
      <c r="J639" s="102">
        <v>2926687.92</v>
      </c>
      <c r="K639" s="101">
        <v>552261.06999999995</v>
      </c>
      <c r="L639" s="101">
        <v>3055235.04</v>
      </c>
      <c r="M639" s="101"/>
      <c r="N639" s="6"/>
      <c r="O639" s="6"/>
    </row>
    <row r="640" spans="1:15" s="48" customFormat="1" ht="18" customHeight="1" x14ac:dyDescent="0.25">
      <c r="A640" s="926" t="s">
        <v>1386</v>
      </c>
      <c r="B640" s="169" t="s">
        <v>163</v>
      </c>
      <c r="C640" s="100" t="s">
        <v>199</v>
      </c>
      <c r="D640" s="44" t="s">
        <v>198</v>
      </c>
      <c r="E640" s="113"/>
      <c r="F640" s="113"/>
      <c r="G640" s="114"/>
      <c r="H640" s="100" t="s">
        <v>199</v>
      </c>
      <c r="I640" s="101">
        <v>0</v>
      </c>
      <c r="J640" s="102">
        <v>5000</v>
      </c>
      <c r="K640" s="101"/>
      <c r="L640" s="101">
        <v>5000</v>
      </c>
      <c r="M640" s="101"/>
      <c r="N640" s="6"/>
      <c r="O640" s="6"/>
    </row>
    <row r="641" spans="1:15" s="48" customFormat="1" ht="18" customHeight="1" x14ac:dyDescent="0.25">
      <c r="A641" s="926" t="s">
        <v>1386</v>
      </c>
      <c r="B641" s="169" t="s">
        <v>163</v>
      </c>
      <c r="C641" s="100" t="s">
        <v>199</v>
      </c>
      <c r="D641" s="44" t="s">
        <v>198</v>
      </c>
      <c r="E641" s="113"/>
      <c r="F641" s="113"/>
      <c r="G641" s="114"/>
      <c r="H641" s="100" t="s">
        <v>199</v>
      </c>
      <c r="I641" s="101">
        <v>250723.37</v>
      </c>
      <c r="J641" s="102">
        <v>470953.44</v>
      </c>
      <c r="K641" s="101">
        <v>135125.38</v>
      </c>
      <c r="L641" s="101">
        <v>470953.44</v>
      </c>
      <c r="M641" s="101"/>
      <c r="N641" s="6"/>
      <c r="O641" s="6"/>
    </row>
    <row r="642" spans="1:15" s="48" customFormat="1" ht="18" customHeight="1" x14ac:dyDescent="0.25">
      <c r="A642" s="926" t="s">
        <v>1386</v>
      </c>
      <c r="B642" s="169" t="s">
        <v>163</v>
      </c>
      <c r="C642" s="133" t="s">
        <v>199</v>
      </c>
      <c r="D642" s="44" t="s">
        <v>198</v>
      </c>
      <c r="E642" s="113"/>
      <c r="F642" s="113"/>
      <c r="G642" s="114"/>
      <c r="H642" s="133" t="s">
        <v>199</v>
      </c>
      <c r="I642" s="105">
        <v>212843.66</v>
      </c>
      <c r="J642" s="106">
        <v>470953.44</v>
      </c>
      <c r="K642" s="105">
        <v>118466.51</v>
      </c>
      <c r="L642" s="105">
        <v>615600</v>
      </c>
      <c r="M642" s="105"/>
      <c r="N642" s="6"/>
      <c r="O642" s="6"/>
    </row>
    <row r="643" spans="1:15" s="48" customFormat="1" ht="18" customHeight="1" x14ac:dyDescent="0.25">
      <c r="A643" s="926" t="s">
        <v>1386</v>
      </c>
      <c r="B643" s="169" t="s">
        <v>163</v>
      </c>
      <c r="C643" s="131" t="s">
        <v>199</v>
      </c>
      <c r="D643" s="245" t="s">
        <v>198</v>
      </c>
      <c r="E643" s="116"/>
      <c r="F643" s="116"/>
      <c r="G643" s="116"/>
      <c r="H643" s="131" t="s">
        <v>199</v>
      </c>
      <c r="I643" s="101">
        <v>276338.58</v>
      </c>
      <c r="J643" s="102">
        <v>1360194.72</v>
      </c>
      <c r="K643" s="101">
        <v>178921.72</v>
      </c>
      <c r="L643" s="101">
        <v>1360194.72</v>
      </c>
      <c r="M643" s="102"/>
      <c r="N643" s="6"/>
      <c r="O643" s="6"/>
    </row>
    <row r="644" spans="1:15" ht="18" customHeight="1" x14ac:dyDescent="0.25">
      <c r="A644" s="926" t="s">
        <v>1386</v>
      </c>
      <c r="B644" s="169" t="s">
        <v>163</v>
      </c>
      <c r="C644" s="131" t="s">
        <v>199</v>
      </c>
      <c r="D644" s="700" t="s">
        <v>300</v>
      </c>
      <c r="E644" s="688"/>
      <c r="F644" s="688"/>
      <c r="G644" s="688"/>
      <c r="H644" s="131" t="s">
        <v>199</v>
      </c>
      <c r="I644" s="101"/>
      <c r="J644" s="102">
        <v>1000000</v>
      </c>
      <c r="K644" s="101"/>
      <c r="L644" s="101">
        <v>1000000</v>
      </c>
      <c r="M644" s="101"/>
      <c r="N644" s="188"/>
      <c r="O644" s="188"/>
    </row>
    <row r="645" spans="1:15" ht="18" customHeight="1" x14ac:dyDescent="0.25">
      <c r="A645" s="926" t="s">
        <v>1386</v>
      </c>
      <c r="B645" s="169" t="s">
        <v>163</v>
      </c>
      <c r="C645" s="131" t="s">
        <v>199</v>
      </c>
      <c r="D645" s="700" t="s">
        <v>300</v>
      </c>
      <c r="E645" s="688"/>
      <c r="F645" s="688"/>
      <c r="G645" s="688"/>
      <c r="H645" s="131" t="s">
        <v>199</v>
      </c>
      <c r="I645" s="101"/>
      <c r="J645" s="102">
        <v>200000</v>
      </c>
      <c r="K645" s="101"/>
      <c r="L645" s="101">
        <v>200000</v>
      </c>
      <c r="M645" s="101"/>
      <c r="N645" s="188"/>
      <c r="O645" s="188"/>
    </row>
    <row r="646" spans="1:15" ht="18" customHeight="1" x14ac:dyDescent="0.25">
      <c r="A646" s="926" t="s">
        <v>1386</v>
      </c>
      <c r="B646" s="169" t="s">
        <v>163</v>
      </c>
      <c r="C646" s="131" t="s">
        <v>199</v>
      </c>
      <c r="D646" s="700" t="s">
        <v>300</v>
      </c>
      <c r="E646" s="688"/>
      <c r="F646" s="688"/>
      <c r="G646" s="688"/>
      <c r="H646" s="131" t="s">
        <v>199</v>
      </c>
      <c r="I646" s="101">
        <v>0</v>
      </c>
      <c r="J646" s="102">
        <v>150000</v>
      </c>
      <c r="K646" s="101"/>
      <c r="L646" s="102">
        <v>150000</v>
      </c>
      <c r="M646" s="101"/>
      <c r="N646" s="188"/>
      <c r="O646" s="188"/>
    </row>
    <row r="647" spans="1:15" ht="18" customHeight="1" x14ac:dyDescent="0.25">
      <c r="A647" s="926" t="s">
        <v>1386</v>
      </c>
      <c r="B647" s="169" t="s">
        <v>163</v>
      </c>
      <c r="C647" s="100" t="s">
        <v>199</v>
      </c>
      <c r="D647" s="700" t="s">
        <v>300</v>
      </c>
      <c r="E647" s="688"/>
      <c r="F647" s="688"/>
      <c r="G647" s="688"/>
      <c r="H647" s="100" t="s">
        <v>199</v>
      </c>
      <c r="I647" s="101">
        <v>0</v>
      </c>
      <c r="J647" s="102">
        <v>46600</v>
      </c>
      <c r="K647" s="101"/>
      <c r="L647" s="102">
        <v>46600</v>
      </c>
      <c r="M647" s="101"/>
      <c r="N647" s="188"/>
      <c r="O647" s="188"/>
    </row>
    <row r="648" spans="1:15" ht="18" customHeight="1" x14ac:dyDescent="0.25">
      <c r="A648" s="926" t="s">
        <v>1386</v>
      </c>
      <c r="B648" s="169" t="s">
        <v>163</v>
      </c>
      <c r="C648" s="100" t="s">
        <v>199</v>
      </c>
      <c r="D648" s="700" t="s">
        <v>300</v>
      </c>
      <c r="E648" s="688"/>
      <c r="F648" s="688"/>
      <c r="G648" s="688"/>
      <c r="H648" s="100" t="s">
        <v>199</v>
      </c>
      <c r="I648" s="101">
        <v>48000</v>
      </c>
      <c r="J648" s="102">
        <v>140000</v>
      </c>
      <c r="K648" s="101"/>
      <c r="L648" s="101">
        <v>145000</v>
      </c>
      <c r="M648" s="101"/>
      <c r="N648" s="188"/>
      <c r="O648" s="188"/>
    </row>
    <row r="649" spans="1:15" ht="18" x14ac:dyDescent="0.25">
      <c r="A649" s="926" t="s">
        <v>1386</v>
      </c>
      <c r="B649" s="169" t="s">
        <v>163</v>
      </c>
      <c r="C649" s="100" t="s">
        <v>199</v>
      </c>
      <c r="D649" s="700" t="s">
        <v>300</v>
      </c>
      <c r="E649" s="688"/>
      <c r="F649" s="688"/>
      <c r="G649" s="688"/>
      <c r="H649" s="100" t="s">
        <v>199</v>
      </c>
      <c r="I649" s="101"/>
      <c r="J649" s="102">
        <v>186796.08</v>
      </c>
      <c r="K649" s="101"/>
      <c r="L649" s="101">
        <v>375310.76</v>
      </c>
      <c r="M649" s="101"/>
      <c r="N649" s="188"/>
      <c r="O649" s="188"/>
    </row>
    <row r="650" spans="1:15" ht="18" customHeight="1" x14ac:dyDescent="0.25">
      <c r="A650" s="926" t="s">
        <v>1386</v>
      </c>
      <c r="B650" s="169" t="s">
        <v>163</v>
      </c>
      <c r="C650" s="100" t="s">
        <v>199</v>
      </c>
      <c r="D650" s="245" t="s">
        <v>198</v>
      </c>
      <c r="E650" s="116"/>
      <c r="F650" s="116"/>
      <c r="G650" s="116"/>
      <c r="H650" s="100" t="s">
        <v>199</v>
      </c>
      <c r="I650" s="101">
        <v>130911.65</v>
      </c>
      <c r="J650" s="102">
        <v>257704</v>
      </c>
      <c r="K650" s="101">
        <v>35268.300000000003</v>
      </c>
      <c r="L650" s="101">
        <v>282000</v>
      </c>
      <c r="M650" s="101"/>
      <c r="N650" s="188"/>
      <c r="O650" s="188"/>
    </row>
    <row r="651" spans="1:15" ht="18" x14ac:dyDescent="0.25">
      <c r="A651" s="926" t="s">
        <v>1386</v>
      </c>
      <c r="B651" s="169" t="s">
        <v>163</v>
      </c>
      <c r="C651" s="131" t="s">
        <v>199</v>
      </c>
      <c r="D651" s="44" t="s">
        <v>198</v>
      </c>
      <c r="E651" s="114"/>
      <c r="F651" s="116"/>
      <c r="G651" s="116"/>
      <c r="H651" s="131" t="s">
        <v>199</v>
      </c>
      <c r="I651" s="101">
        <v>379521.71</v>
      </c>
      <c r="J651" s="102">
        <v>552764.80000000005</v>
      </c>
      <c r="K651" s="101">
        <v>163277.51999999999</v>
      </c>
      <c r="L651" s="101">
        <v>550790.64</v>
      </c>
      <c r="M651" s="101"/>
      <c r="N651" s="188"/>
      <c r="O651" s="188">
        <f>346576.64+1085872.56</f>
        <v>1432449.2000000002</v>
      </c>
    </row>
    <row r="652" spans="1:15" ht="18" customHeight="1" x14ac:dyDescent="0.25">
      <c r="A652" s="926" t="s">
        <v>1386</v>
      </c>
      <c r="B652" s="169" t="s">
        <v>163</v>
      </c>
      <c r="C652" s="131" t="s">
        <v>199</v>
      </c>
      <c r="D652" s="245" t="s">
        <v>198</v>
      </c>
      <c r="E652" s="97"/>
      <c r="F652" s="97"/>
      <c r="G652" s="97"/>
      <c r="H652" s="131" t="s">
        <v>199</v>
      </c>
      <c r="I652" s="101">
        <v>1846475.78</v>
      </c>
      <c r="J652" s="102">
        <v>4250364.6399999997</v>
      </c>
      <c r="K652" s="101">
        <v>890407.89</v>
      </c>
      <c r="L652" s="101">
        <v>4375332</v>
      </c>
      <c r="M652" s="101"/>
      <c r="N652" s="188"/>
      <c r="O652" s="188"/>
    </row>
    <row r="653" spans="1:15" ht="18" customHeight="1" x14ac:dyDescent="0.25">
      <c r="A653" s="926" t="s">
        <v>1386</v>
      </c>
      <c r="B653" s="169" t="s">
        <v>163</v>
      </c>
      <c r="C653" s="131" t="s">
        <v>199</v>
      </c>
      <c r="D653" s="245" t="s">
        <v>198</v>
      </c>
      <c r="E653" s="97"/>
      <c r="F653" s="97"/>
      <c r="G653" s="97"/>
      <c r="H653" s="131" t="s">
        <v>199</v>
      </c>
      <c r="I653" s="101">
        <v>119631.61</v>
      </c>
      <c r="J653" s="102">
        <v>156984.48000000001</v>
      </c>
      <c r="K653" s="101">
        <v>7574.4</v>
      </c>
      <c r="L653" s="101">
        <v>156984.48000000001</v>
      </c>
      <c r="M653" s="101"/>
      <c r="N653" s="188"/>
      <c r="O653" s="188"/>
    </row>
    <row r="654" spans="1:15" ht="18" x14ac:dyDescent="0.25">
      <c r="A654" s="926" t="s">
        <v>1386</v>
      </c>
      <c r="B654" s="169" t="s">
        <v>163</v>
      </c>
      <c r="C654" s="131" t="s">
        <v>199</v>
      </c>
      <c r="D654" s="245" t="s">
        <v>198</v>
      </c>
      <c r="E654" s="97"/>
      <c r="F654" s="97"/>
      <c r="G654" s="97"/>
      <c r="H654" s="131" t="s">
        <v>199</v>
      </c>
      <c r="I654" s="101">
        <v>795170.9</v>
      </c>
      <c r="J654" s="102">
        <v>470953.44</v>
      </c>
      <c r="K654" s="101">
        <v>164400.6</v>
      </c>
      <c r="L654" s="101">
        <v>470953.44</v>
      </c>
      <c r="M654" s="101"/>
      <c r="N654" s="188"/>
      <c r="O654" s="188"/>
    </row>
    <row r="655" spans="1:15" ht="18" customHeight="1" x14ac:dyDescent="0.25">
      <c r="A655" s="926" t="s">
        <v>1386</v>
      </c>
      <c r="B655" s="229" t="s">
        <v>163</v>
      </c>
      <c r="C655" s="131" t="s">
        <v>199</v>
      </c>
      <c r="D655" s="245" t="s">
        <v>198</v>
      </c>
      <c r="E655" s="97"/>
      <c r="F655" s="97"/>
      <c r="G655" s="97"/>
      <c r="H655" s="131" t="s">
        <v>199</v>
      </c>
      <c r="I655" s="101">
        <v>125475.13</v>
      </c>
      <c r="J655" s="102">
        <v>313968.96000000002</v>
      </c>
      <c r="K655" s="101">
        <v>62236.942999999999</v>
      </c>
      <c r="L655" s="101">
        <v>319968.96000000002</v>
      </c>
      <c r="M655" s="101">
        <f>SUM(L638:L655)</f>
        <v>16579923.480000002</v>
      </c>
      <c r="N655" s="188"/>
      <c r="O655" s="188"/>
    </row>
    <row r="656" spans="1:15" ht="18" x14ac:dyDescent="0.25">
      <c r="A656" s="926" t="s">
        <v>1386</v>
      </c>
      <c r="B656" s="229" t="s">
        <v>163</v>
      </c>
      <c r="C656" s="131"/>
      <c r="D656" s="206" t="s">
        <v>301</v>
      </c>
      <c r="E656" s="184"/>
      <c r="F656" s="184"/>
      <c r="G656" s="185"/>
      <c r="H656" s="131"/>
      <c r="I656" s="101">
        <v>0</v>
      </c>
      <c r="J656" s="102">
        <v>750000</v>
      </c>
      <c r="K656" s="101"/>
      <c r="L656" s="101">
        <v>750000</v>
      </c>
      <c r="M656" s="101"/>
      <c r="N656" s="188"/>
      <c r="O656" s="188"/>
    </row>
    <row r="657" spans="1:15" ht="18" customHeight="1" x14ac:dyDescent="0.25">
      <c r="A657" s="926" t="s">
        <v>1386</v>
      </c>
      <c r="B657" s="229" t="s">
        <v>163</v>
      </c>
      <c r="C657" s="131"/>
      <c r="D657" s="700" t="s">
        <v>301</v>
      </c>
      <c r="E657" s="688"/>
      <c r="F657" s="688"/>
      <c r="G657" s="688"/>
      <c r="H657" s="131"/>
      <c r="I657" s="101">
        <v>0</v>
      </c>
      <c r="J657" s="102">
        <v>1000000</v>
      </c>
      <c r="K657" s="101"/>
      <c r="L657" s="101">
        <v>1000000</v>
      </c>
      <c r="M657" s="101"/>
      <c r="N657" s="188"/>
      <c r="O657" s="188"/>
    </row>
    <row r="658" spans="1:15" ht="18" customHeight="1" x14ac:dyDescent="0.25">
      <c r="A658" s="926" t="s">
        <v>1386</v>
      </c>
      <c r="B658" s="229" t="s">
        <v>163</v>
      </c>
      <c r="C658" s="131"/>
      <c r="D658" s="700" t="s">
        <v>315</v>
      </c>
      <c r="E658" s="688"/>
      <c r="F658" s="688"/>
      <c r="G658" s="688"/>
      <c r="H658" s="131"/>
      <c r="I658" s="101"/>
      <c r="J658" s="102">
        <v>150000</v>
      </c>
      <c r="K658" s="101"/>
      <c r="L658" s="101">
        <v>150000</v>
      </c>
      <c r="M658" s="101"/>
    </row>
    <row r="659" spans="1:15" ht="18" customHeight="1" x14ac:dyDescent="0.25">
      <c r="A659" s="926" t="s">
        <v>1386</v>
      </c>
      <c r="B659" s="229" t="s">
        <v>163</v>
      </c>
      <c r="C659" s="205"/>
      <c r="D659" s="700" t="s">
        <v>331</v>
      </c>
      <c r="E659" s="694"/>
      <c r="F659" s="694"/>
      <c r="G659" s="694"/>
      <c r="H659" s="205"/>
      <c r="I659" s="102"/>
      <c r="J659" s="102"/>
      <c r="K659" s="102"/>
      <c r="L659" s="102">
        <v>50000</v>
      </c>
      <c r="M659" s="101"/>
    </row>
    <row r="660" spans="1:15" ht="18" customHeight="1" x14ac:dyDescent="0.25">
      <c r="A660" s="926" t="s">
        <v>1386</v>
      </c>
      <c r="B660" s="229" t="s">
        <v>163</v>
      </c>
      <c r="C660" s="131"/>
      <c r="D660" s="932" t="s">
        <v>441</v>
      </c>
      <c r="E660" s="929"/>
      <c r="F660" s="929"/>
      <c r="G660" s="929"/>
      <c r="H660" s="131"/>
      <c r="I660" s="105">
        <v>0</v>
      </c>
      <c r="J660" s="106">
        <v>50000</v>
      </c>
      <c r="K660" s="105"/>
      <c r="L660" s="105">
        <v>50000</v>
      </c>
      <c r="M660" s="105"/>
    </row>
    <row r="661" spans="1:15" ht="18" customHeight="1" x14ac:dyDescent="0.25">
      <c r="A661" s="926" t="s">
        <v>1386</v>
      </c>
      <c r="B661" s="229" t="s">
        <v>163</v>
      </c>
      <c r="C661" s="131"/>
      <c r="D661" s="931" t="s">
        <v>443</v>
      </c>
      <c r="E661" s="930"/>
      <c r="F661" s="930"/>
      <c r="G661" s="928"/>
      <c r="H661" s="131"/>
      <c r="I661" s="101">
        <v>362232.12</v>
      </c>
      <c r="J661" s="102">
        <v>1000000</v>
      </c>
      <c r="K661" s="101">
        <v>62550.92</v>
      </c>
      <c r="L661" s="101">
        <v>1000000</v>
      </c>
      <c r="M661" s="101"/>
    </row>
    <row r="662" spans="1:15" ht="18" customHeight="1" x14ac:dyDescent="0.25">
      <c r="A662" s="926"/>
      <c r="B662" s="229"/>
      <c r="C662" s="131"/>
      <c r="D662" s="931"/>
      <c r="E662" s="930"/>
      <c r="F662" s="930"/>
      <c r="G662" s="928"/>
      <c r="H662" s="131"/>
      <c r="I662" s="101"/>
      <c r="J662" s="102"/>
      <c r="K662" s="101"/>
      <c r="L662" s="101"/>
      <c r="M662" s="101"/>
    </row>
    <row r="663" spans="1:15" ht="18" customHeight="1" x14ac:dyDescent="0.25">
      <c r="A663" s="926" t="s">
        <v>1386</v>
      </c>
      <c r="B663" s="48" t="s">
        <v>123</v>
      </c>
      <c r="C663" s="100" t="s">
        <v>125</v>
      </c>
      <c r="D663" s="837" t="s">
        <v>124</v>
      </c>
      <c r="E663" s="836"/>
      <c r="F663" s="836"/>
      <c r="G663" s="834"/>
      <c r="H663" s="100" t="s">
        <v>125</v>
      </c>
      <c r="I663" s="101">
        <v>3147218.82</v>
      </c>
      <c r="J663" s="102">
        <v>3501828</v>
      </c>
      <c r="K663" s="101">
        <v>1888265.32</v>
      </c>
      <c r="L663" s="101">
        <v>3709416</v>
      </c>
      <c r="M663" s="101"/>
    </row>
    <row r="664" spans="1:15" ht="18" customHeight="1" x14ac:dyDescent="0.25">
      <c r="A664" s="926" t="s">
        <v>1386</v>
      </c>
      <c r="B664" s="48" t="s">
        <v>123</v>
      </c>
      <c r="C664" s="100" t="s">
        <v>125</v>
      </c>
      <c r="D664" s="837" t="s">
        <v>124</v>
      </c>
      <c r="E664" s="836"/>
      <c r="F664" s="836"/>
      <c r="G664" s="834"/>
      <c r="H664" s="131" t="s">
        <v>125</v>
      </c>
      <c r="I664" s="101">
        <v>94995.56</v>
      </c>
      <c r="J664" s="102">
        <v>1818504</v>
      </c>
      <c r="K664" s="101">
        <v>114765.45</v>
      </c>
      <c r="L664" s="101">
        <v>2081280</v>
      </c>
      <c r="M664" s="101"/>
    </row>
    <row r="665" spans="1:15" ht="18" customHeight="1" x14ac:dyDescent="0.25">
      <c r="A665" s="926" t="s">
        <v>1386</v>
      </c>
      <c r="B665" s="48" t="s">
        <v>123</v>
      </c>
      <c r="C665" s="131" t="s">
        <v>125</v>
      </c>
      <c r="D665" s="931" t="s">
        <v>124</v>
      </c>
      <c r="E665" s="930"/>
      <c r="F665" s="930"/>
      <c r="G665" s="928"/>
      <c r="H665" s="100" t="s">
        <v>125</v>
      </c>
      <c r="I665" s="101">
        <v>648024</v>
      </c>
      <c r="J665" s="102">
        <v>648024</v>
      </c>
      <c r="K665" s="101">
        <v>396419.55</v>
      </c>
      <c r="L665" s="101">
        <v>712428</v>
      </c>
      <c r="M665" s="101"/>
    </row>
    <row r="666" spans="1:15" ht="18" customHeight="1" x14ac:dyDescent="0.25">
      <c r="A666" s="926" t="s">
        <v>1386</v>
      </c>
      <c r="B666" s="48" t="s">
        <v>123</v>
      </c>
      <c r="C666" s="100" t="s">
        <v>125</v>
      </c>
      <c r="D666" s="837" t="s">
        <v>124</v>
      </c>
      <c r="E666" s="836"/>
      <c r="F666" s="836"/>
      <c r="G666" s="834"/>
      <c r="H666" s="100" t="s">
        <v>125</v>
      </c>
      <c r="I666" s="101">
        <v>303132</v>
      </c>
      <c r="J666" s="102">
        <v>825072</v>
      </c>
      <c r="K666" s="101">
        <v>204255.55</v>
      </c>
      <c r="L666" s="101">
        <v>908568</v>
      </c>
      <c r="M666" s="101"/>
    </row>
    <row r="667" spans="1:15" ht="18" customHeight="1" x14ac:dyDescent="0.25">
      <c r="A667" s="926" t="s">
        <v>1386</v>
      </c>
      <c r="B667" s="48" t="s">
        <v>123</v>
      </c>
      <c r="C667" s="100" t="s">
        <v>125</v>
      </c>
      <c r="D667" s="837" t="s">
        <v>124</v>
      </c>
      <c r="E667" s="836"/>
      <c r="F667" s="836"/>
      <c r="G667" s="928"/>
      <c r="H667" s="131" t="s">
        <v>125</v>
      </c>
      <c r="I667" s="101">
        <v>346788</v>
      </c>
      <c r="J667" s="102">
        <v>654492</v>
      </c>
      <c r="K667" s="101">
        <v>249702.59</v>
      </c>
      <c r="L667" s="101">
        <v>726192</v>
      </c>
      <c r="M667" s="101"/>
    </row>
    <row r="668" spans="1:15" ht="18" customHeight="1" x14ac:dyDescent="0.25">
      <c r="A668" s="926" t="s">
        <v>1386</v>
      </c>
      <c r="B668" s="48" t="s">
        <v>123</v>
      </c>
      <c r="C668" s="100" t="s">
        <v>125</v>
      </c>
      <c r="D668" s="837" t="s">
        <v>124</v>
      </c>
      <c r="E668" s="836"/>
      <c r="F668" s="836"/>
      <c r="G668" s="928"/>
      <c r="H668" s="131" t="s">
        <v>125</v>
      </c>
      <c r="I668" s="101">
        <v>989760</v>
      </c>
      <c r="J668" s="102">
        <v>1157808</v>
      </c>
      <c r="K668" s="101">
        <v>644216.14</v>
      </c>
      <c r="L668" s="101">
        <v>1230660</v>
      </c>
      <c r="M668" s="101"/>
    </row>
    <row r="669" spans="1:15" ht="18" customHeight="1" x14ac:dyDescent="0.25">
      <c r="A669" s="926" t="s">
        <v>1386</v>
      </c>
      <c r="B669" s="48" t="s">
        <v>123</v>
      </c>
      <c r="C669" s="100" t="s">
        <v>125</v>
      </c>
      <c r="D669" s="837" t="s">
        <v>124</v>
      </c>
      <c r="E669" s="930"/>
      <c r="F669" s="836"/>
      <c r="G669" s="928"/>
      <c r="H669" s="131" t="s">
        <v>125</v>
      </c>
      <c r="I669" s="105">
        <v>1421340</v>
      </c>
      <c r="J669" s="106">
        <v>1992948</v>
      </c>
      <c r="K669" s="105">
        <v>849681</v>
      </c>
      <c r="L669" s="105">
        <v>2117868</v>
      </c>
      <c r="M669" s="105"/>
    </row>
    <row r="670" spans="1:15" s="208" customFormat="1" ht="17.45" customHeight="1" x14ac:dyDescent="0.25">
      <c r="A670" s="926" t="s">
        <v>1386</v>
      </c>
      <c r="B670" s="48" t="s">
        <v>123</v>
      </c>
      <c r="C670" s="950" t="s">
        <v>125</v>
      </c>
      <c r="D670" s="837" t="s">
        <v>124</v>
      </c>
      <c r="E670" s="930"/>
      <c r="F670" s="930"/>
      <c r="G670" s="930"/>
      <c r="H670" s="950" t="s">
        <v>125</v>
      </c>
      <c r="I670" s="101">
        <v>11279299.199999999</v>
      </c>
      <c r="J670" s="145">
        <v>11325852</v>
      </c>
      <c r="K670" s="121">
        <v>6736268</v>
      </c>
      <c r="L670" s="121">
        <v>11801532</v>
      </c>
      <c r="M670" s="121"/>
      <c r="N670" s="207"/>
      <c r="O670" s="207"/>
    </row>
    <row r="671" spans="1:15" s="208" customFormat="1" ht="17.45" customHeight="1" x14ac:dyDescent="0.25">
      <c r="A671" s="926" t="s">
        <v>1386</v>
      </c>
      <c r="B671" s="48" t="s">
        <v>123</v>
      </c>
      <c r="C671" s="131" t="s">
        <v>125</v>
      </c>
      <c r="D671" s="931" t="s">
        <v>124</v>
      </c>
      <c r="E671" s="930"/>
      <c r="F671" s="930"/>
      <c r="G671" s="930"/>
      <c r="H671" s="131" t="s">
        <v>125</v>
      </c>
      <c r="I671" s="101">
        <v>2334932</v>
      </c>
      <c r="J671" s="102">
        <v>3681852</v>
      </c>
      <c r="K671" s="101">
        <v>1413803</v>
      </c>
      <c r="L671" s="101">
        <v>3990060</v>
      </c>
      <c r="M671" s="101"/>
      <c r="N671" s="207"/>
      <c r="O671" s="207"/>
    </row>
    <row r="672" spans="1:15" s="208" customFormat="1" ht="17.45" customHeight="1" x14ac:dyDescent="0.25">
      <c r="A672" s="926" t="s">
        <v>1386</v>
      </c>
      <c r="B672" s="48" t="s">
        <v>123</v>
      </c>
      <c r="C672" s="131" t="s">
        <v>125</v>
      </c>
      <c r="D672" s="931" t="s">
        <v>124</v>
      </c>
      <c r="E672" s="930"/>
      <c r="F672" s="930"/>
      <c r="G672" s="930"/>
      <c r="H672" s="131" t="s">
        <v>125</v>
      </c>
      <c r="I672" s="101"/>
      <c r="J672" s="102">
        <v>1080084</v>
      </c>
      <c r="K672" s="101"/>
      <c r="L672" s="101">
        <v>1129584</v>
      </c>
      <c r="M672" s="101"/>
      <c r="N672" s="207"/>
      <c r="O672" s="207"/>
    </row>
    <row r="673" spans="1:17" s="208" customFormat="1" ht="17.45" customHeight="1" x14ac:dyDescent="0.25">
      <c r="A673" s="926" t="s">
        <v>1386</v>
      </c>
      <c r="B673" s="48" t="s">
        <v>123</v>
      </c>
      <c r="C673" s="131" t="s">
        <v>125</v>
      </c>
      <c r="D673" s="931" t="s">
        <v>124</v>
      </c>
      <c r="E673" s="930"/>
      <c r="F673" s="930"/>
      <c r="G673" s="930"/>
      <c r="H673" s="100" t="s">
        <v>125</v>
      </c>
      <c r="I673" s="101">
        <v>0</v>
      </c>
      <c r="J673" s="102">
        <v>1063608</v>
      </c>
      <c r="K673" s="101"/>
      <c r="L673" s="101">
        <v>1111488</v>
      </c>
      <c r="M673" s="101"/>
      <c r="N673" s="207"/>
      <c r="O673" s="207"/>
    </row>
    <row r="674" spans="1:17" s="208" customFormat="1" ht="17.45" customHeight="1" x14ac:dyDescent="0.25">
      <c r="A674" s="926" t="s">
        <v>1386</v>
      </c>
      <c r="B674" s="48" t="s">
        <v>123</v>
      </c>
      <c r="C674" s="131" t="s">
        <v>125</v>
      </c>
      <c r="D674" s="931" t="s">
        <v>124</v>
      </c>
      <c r="E674" s="930"/>
      <c r="F674" s="930"/>
      <c r="G674" s="930"/>
      <c r="H674" s="100" t="s">
        <v>125</v>
      </c>
      <c r="I674" s="101">
        <v>1525368</v>
      </c>
      <c r="J674" s="102">
        <v>1833072</v>
      </c>
      <c r="K674" s="101">
        <v>944784.36</v>
      </c>
      <c r="L674" s="101">
        <v>1957500</v>
      </c>
      <c r="M674" s="101"/>
      <c r="N674" s="207"/>
      <c r="O674" s="207"/>
    </row>
    <row r="675" spans="1:17" s="208" customFormat="1" ht="17.45" customHeight="1" x14ac:dyDescent="0.25">
      <c r="A675" s="926" t="s">
        <v>1386</v>
      </c>
      <c r="B675" s="48" t="s">
        <v>123</v>
      </c>
      <c r="C675" s="131" t="s">
        <v>125</v>
      </c>
      <c r="D675" s="931" t="s">
        <v>124</v>
      </c>
      <c r="E675" s="930"/>
      <c r="F675" s="930"/>
      <c r="G675" s="930"/>
      <c r="H675" s="100" t="s">
        <v>125</v>
      </c>
      <c r="I675" s="101">
        <v>2495148.87</v>
      </c>
      <c r="J675" s="102">
        <v>3863268</v>
      </c>
      <c r="K675" s="101">
        <v>1539327.49</v>
      </c>
      <c r="L675" s="101">
        <v>4183836</v>
      </c>
      <c r="M675" s="101"/>
      <c r="N675" s="207"/>
      <c r="O675" s="207"/>
    </row>
    <row r="676" spans="1:17" s="48" customFormat="1" ht="18" customHeight="1" x14ac:dyDescent="0.25">
      <c r="A676" s="926" t="s">
        <v>1386</v>
      </c>
      <c r="B676" s="48" t="s">
        <v>123</v>
      </c>
      <c r="C676" s="131" t="s">
        <v>125</v>
      </c>
      <c r="D676" s="932" t="s">
        <v>124</v>
      </c>
      <c r="E676" s="929"/>
      <c r="F676" s="929"/>
      <c r="G676" s="929"/>
      <c r="H676" s="100" t="s">
        <v>125</v>
      </c>
      <c r="I676" s="101">
        <v>1641384</v>
      </c>
      <c r="J676" s="102">
        <v>1800708</v>
      </c>
      <c r="K676" s="101">
        <v>1049520.79</v>
      </c>
      <c r="L676" s="101">
        <v>1928580</v>
      </c>
      <c r="M676" s="101"/>
      <c r="N676" s="6"/>
      <c r="O676" s="6"/>
    </row>
    <row r="677" spans="1:17" s="48" customFormat="1" ht="18" customHeight="1" x14ac:dyDescent="0.25">
      <c r="A677" s="926" t="s">
        <v>1386</v>
      </c>
      <c r="B677" s="48" t="s">
        <v>123</v>
      </c>
      <c r="C677" s="131" t="s">
        <v>125</v>
      </c>
      <c r="D677" s="838" t="s">
        <v>124</v>
      </c>
      <c r="E677" s="835"/>
      <c r="F677" s="835"/>
      <c r="G677" s="835"/>
      <c r="H677" s="131" t="s">
        <v>125</v>
      </c>
      <c r="I677" s="101">
        <v>2672016</v>
      </c>
      <c r="J677" s="102">
        <v>3489036</v>
      </c>
      <c r="K677" s="101">
        <v>1796430.88</v>
      </c>
      <c r="L677" s="101">
        <v>3771696</v>
      </c>
      <c r="M677" s="101"/>
      <c r="N677" s="6"/>
      <c r="O677" s="6"/>
    </row>
    <row r="678" spans="1:17" s="48" customFormat="1" ht="18" customHeight="1" x14ac:dyDescent="0.25">
      <c r="A678" s="926" t="s">
        <v>1386</v>
      </c>
      <c r="B678" s="48" t="s">
        <v>123</v>
      </c>
      <c r="C678" s="100" t="s">
        <v>125</v>
      </c>
      <c r="D678" s="838" t="s">
        <v>124</v>
      </c>
      <c r="E678" s="835"/>
      <c r="F678" s="835"/>
      <c r="G678" s="835"/>
      <c r="H678" s="131" t="s">
        <v>125</v>
      </c>
      <c r="I678" s="101">
        <v>5231866.72</v>
      </c>
      <c r="J678" s="102">
        <v>6175824</v>
      </c>
      <c r="K678" s="101">
        <v>3191880.4</v>
      </c>
      <c r="L678" s="101">
        <v>6696612</v>
      </c>
      <c r="M678" s="101"/>
      <c r="N678" s="6"/>
      <c r="O678" s="6"/>
    </row>
    <row r="679" spans="1:17" s="48" customFormat="1" ht="18" customHeight="1" x14ac:dyDescent="0.25">
      <c r="A679" s="926" t="s">
        <v>1386</v>
      </c>
      <c r="B679" s="48" t="s">
        <v>123</v>
      </c>
      <c r="C679" s="100" t="s">
        <v>125</v>
      </c>
      <c r="D679" s="838" t="s">
        <v>124</v>
      </c>
      <c r="E679" s="835"/>
      <c r="F679" s="835"/>
      <c r="G679" s="835"/>
      <c r="H679" s="131" t="s">
        <v>125</v>
      </c>
      <c r="I679" s="101">
        <v>4246299.0599999996</v>
      </c>
      <c r="J679" s="102">
        <v>4687776</v>
      </c>
      <c r="K679" s="101">
        <v>2067893.54</v>
      </c>
      <c r="L679" s="101">
        <v>5074056</v>
      </c>
      <c r="M679" s="101"/>
      <c r="N679" s="6"/>
      <c r="O679" s="6"/>
    </row>
    <row r="680" spans="1:17" s="48" customFormat="1" ht="18" customHeight="1" x14ac:dyDescent="0.25">
      <c r="A680" s="926" t="s">
        <v>1386</v>
      </c>
      <c r="B680" s="48" t="s">
        <v>123</v>
      </c>
      <c r="C680" s="100" t="s">
        <v>125</v>
      </c>
      <c r="D680" s="838" t="s">
        <v>124</v>
      </c>
      <c r="E680" s="835"/>
      <c r="F680" s="835"/>
      <c r="G680" s="835"/>
      <c r="H680" s="131" t="s">
        <v>125</v>
      </c>
      <c r="I680" s="101">
        <v>2384640</v>
      </c>
      <c r="J680" s="102">
        <v>3827988</v>
      </c>
      <c r="K680" s="101">
        <v>1369901.56</v>
      </c>
      <c r="L680" s="101">
        <v>4120764</v>
      </c>
      <c r="M680" s="101"/>
      <c r="N680" s="6"/>
      <c r="O680" s="6"/>
    </row>
    <row r="681" spans="1:17" s="48" customFormat="1" ht="18" customHeight="1" x14ac:dyDescent="0.25">
      <c r="A681" s="926" t="s">
        <v>1386</v>
      </c>
      <c r="B681" s="48" t="s">
        <v>123</v>
      </c>
      <c r="C681" s="100" t="s">
        <v>125</v>
      </c>
      <c r="D681" s="932" t="s">
        <v>124</v>
      </c>
      <c r="E681" s="929"/>
      <c r="F681" s="929"/>
      <c r="G681" s="929"/>
      <c r="H681" s="131" t="s">
        <v>125</v>
      </c>
      <c r="I681" s="101">
        <v>1476000</v>
      </c>
      <c r="J681" s="102">
        <v>1476000</v>
      </c>
      <c r="K681" s="101">
        <v>886277.55</v>
      </c>
      <c r="L681" s="101">
        <v>1561524</v>
      </c>
      <c r="M681" s="101">
        <f>SUM(L663:L681)</f>
        <v>58813644</v>
      </c>
      <c r="N681" s="6"/>
      <c r="O681" s="6"/>
    </row>
    <row r="682" spans="1:17" s="48" customFormat="1" ht="18" customHeight="1" x14ac:dyDescent="0.25">
      <c r="A682" s="926" t="s">
        <v>1386</v>
      </c>
      <c r="B682" s="48" t="s">
        <v>123</v>
      </c>
      <c r="C682" s="100" t="s">
        <v>125</v>
      </c>
      <c r="D682" s="932" t="s">
        <v>128</v>
      </c>
      <c r="E682" s="929"/>
      <c r="F682" s="929"/>
      <c r="G682" s="929"/>
      <c r="H682" s="100" t="s">
        <v>125</v>
      </c>
      <c r="I682" s="101">
        <v>0</v>
      </c>
      <c r="J682" s="102">
        <v>0</v>
      </c>
      <c r="K682" s="101"/>
      <c r="L682" s="101">
        <v>18936.91</v>
      </c>
      <c r="M682" s="101"/>
      <c r="N682" s="6"/>
      <c r="O682" s="6"/>
    </row>
    <row r="683" spans="1:17" s="146" customFormat="1" ht="18" x14ac:dyDescent="0.25">
      <c r="A683" s="926" t="s">
        <v>1386</v>
      </c>
      <c r="B683" s="48" t="s">
        <v>123</v>
      </c>
      <c r="C683" s="131"/>
      <c r="D683" s="931" t="s">
        <v>128</v>
      </c>
      <c r="E683" s="931"/>
      <c r="F683" s="930"/>
      <c r="G683" s="928"/>
      <c r="H683" s="131"/>
      <c r="I683" s="101"/>
      <c r="J683" s="102"/>
      <c r="K683" s="101"/>
      <c r="L683" s="101">
        <v>10384</v>
      </c>
      <c r="M683" s="101"/>
      <c r="N683" s="10"/>
      <c r="O683" s="10"/>
      <c r="P683"/>
      <c r="Q683"/>
    </row>
    <row r="684" spans="1:17" s="146" customFormat="1" ht="18" customHeight="1" x14ac:dyDescent="0.25">
      <c r="A684" s="926" t="s">
        <v>1386</v>
      </c>
      <c r="B684" s="48" t="s">
        <v>123</v>
      </c>
      <c r="C684" s="131"/>
      <c r="D684" s="931" t="s">
        <v>128</v>
      </c>
      <c r="E684" s="930"/>
      <c r="F684" s="836"/>
      <c r="G684" s="834"/>
      <c r="H684" s="131"/>
      <c r="I684" s="101"/>
      <c r="J684" s="102"/>
      <c r="K684" s="101"/>
      <c r="L684" s="101">
        <v>71976</v>
      </c>
      <c r="M684" s="101"/>
      <c r="N684" s="10"/>
      <c r="O684" s="10"/>
      <c r="P684"/>
      <c r="Q684"/>
    </row>
    <row r="685" spans="1:17" s="146" customFormat="1" ht="18" x14ac:dyDescent="0.25">
      <c r="A685" s="926" t="s">
        <v>1386</v>
      </c>
      <c r="B685" s="48" t="s">
        <v>123</v>
      </c>
      <c r="C685" s="131"/>
      <c r="D685" s="931" t="s">
        <v>128</v>
      </c>
      <c r="E685" s="836"/>
      <c r="F685" s="836"/>
      <c r="G685" s="834"/>
      <c r="H685" s="100"/>
      <c r="I685" s="101"/>
      <c r="J685" s="102">
        <v>10572</v>
      </c>
      <c r="K685" s="101">
        <v>12493.6</v>
      </c>
      <c r="L685" s="101">
        <v>8197.3700000000008</v>
      </c>
      <c r="M685" s="101"/>
      <c r="N685" s="10"/>
      <c r="O685" s="10"/>
      <c r="P685"/>
      <c r="Q685"/>
    </row>
    <row r="686" spans="1:17" s="48" customFormat="1" ht="18" customHeight="1" x14ac:dyDescent="0.25">
      <c r="A686" s="926" t="s">
        <v>1386</v>
      </c>
      <c r="B686" s="48" t="s">
        <v>123</v>
      </c>
      <c r="C686" s="100" t="s">
        <v>125</v>
      </c>
      <c r="D686" s="932" t="s">
        <v>128</v>
      </c>
      <c r="E686" s="929"/>
      <c r="F686" s="929"/>
      <c r="G686" s="929"/>
      <c r="H686" s="100" t="s">
        <v>125</v>
      </c>
      <c r="I686" s="101"/>
      <c r="J686" s="102">
        <v>810</v>
      </c>
      <c r="K686" s="101"/>
      <c r="L686" s="101">
        <v>3477.64</v>
      </c>
      <c r="M686" s="101"/>
      <c r="N686" s="6"/>
      <c r="O686" s="6"/>
    </row>
    <row r="687" spans="1:17" s="48" customFormat="1" ht="18" customHeight="1" x14ac:dyDescent="0.25">
      <c r="A687" s="926" t="s">
        <v>1386</v>
      </c>
      <c r="B687" s="48" t="s">
        <v>123</v>
      </c>
      <c r="C687" s="131" t="s">
        <v>125</v>
      </c>
      <c r="D687" s="932" t="s">
        <v>128</v>
      </c>
      <c r="E687" s="687"/>
      <c r="F687" s="929"/>
      <c r="G687" s="929"/>
      <c r="H687" s="100" t="s">
        <v>125</v>
      </c>
      <c r="I687" s="101"/>
      <c r="J687" s="102"/>
      <c r="K687" s="101"/>
      <c r="L687" s="101">
        <v>878.18</v>
      </c>
      <c r="M687" s="101"/>
      <c r="N687" s="6"/>
      <c r="O687" s="6"/>
    </row>
    <row r="688" spans="1:17" s="48" customFormat="1" ht="18" customHeight="1" x14ac:dyDescent="0.25">
      <c r="A688" s="926" t="s">
        <v>1386</v>
      </c>
      <c r="B688" s="48" t="s">
        <v>123</v>
      </c>
      <c r="C688" s="131" t="s">
        <v>125</v>
      </c>
      <c r="D688" s="932" t="s">
        <v>128</v>
      </c>
      <c r="E688" s="929"/>
      <c r="F688" s="929"/>
      <c r="G688" s="929"/>
      <c r="H688" s="131" t="s">
        <v>125</v>
      </c>
      <c r="I688" s="101">
        <v>0</v>
      </c>
      <c r="J688" s="102">
        <v>0</v>
      </c>
      <c r="K688" s="101"/>
      <c r="L688" s="101">
        <v>9443.59</v>
      </c>
      <c r="M688" s="101"/>
      <c r="N688" s="6"/>
      <c r="O688" s="6"/>
    </row>
    <row r="689" spans="1:15" s="48" customFormat="1" ht="18" customHeight="1" x14ac:dyDescent="0.25">
      <c r="A689" s="926" t="s">
        <v>1386</v>
      </c>
      <c r="B689" s="48" t="s">
        <v>123</v>
      </c>
      <c r="C689" s="131" t="s">
        <v>125</v>
      </c>
      <c r="D689" s="838" t="s">
        <v>128</v>
      </c>
      <c r="E689" s="835"/>
      <c r="F689" s="835"/>
      <c r="G689" s="835"/>
      <c r="H689" s="131" t="s">
        <v>125</v>
      </c>
      <c r="I689" s="101">
        <v>0</v>
      </c>
      <c r="J689" s="102"/>
      <c r="K689" s="101"/>
      <c r="L689" s="101">
        <v>9037</v>
      </c>
      <c r="M689" s="101"/>
      <c r="N689" s="6"/>
      <c r="O689" s="6"/>
    </row>
    <row r="690" spans="1:15" s="48" customFormat="1" ht="18" customHeight="1" x14ac:dyDescent="0.25">
      <c r="A690" s="926" t="s">
        <v>1386</v>
      </c>
      <c r="B690" s="48" t="s">
        <v>123</v>
      </c>
      <c r="C690" s="132" t="s">
        <v>125</v>
      </c>
      <c r="D690" s="932" t="s">
        <v>128</v>
      </c>
      <c r="E690" s="929"/>
      <c r="F690" s="929"/>
      <c r="G690" s="929"/>
      <c r="H690" s="100" t="s">
        <v>125</v>
      </c>
      <c r="I690" s="101"/>
      <c r="J690" s="102">
        <v>2574</v>
      </c>
      <c r="K690" s="101">
        <v>6000</v>
      </c>
      <c r="L690" s="101">
        <v>3078.55</v>
      </c>
      <c r="M690" s="101"/>
      <c r="N690" s="6"/>
      <c r="O690" s="6"/>
    </row>
    <row r="691" spans="1:15" s="48" customFormat="1" ht="18" customHeight="1" x14ac:dyDescent="0.25">
      <c r="A691" s="926" t="s">
        <v>1386</v>
      </c>
      <c r="B691" s="48" t="s">
        <v>123</v>
      </c>
      <c r="C691" s="131" t="s">
        <v>125</v>
      </c>
      <c r="D691" s="932" t="s">
        <v>128</v>
      </c>
      <c r="E691" s="929"/>
      <c r="F691" s="929"/>
      <c r="G691" s="929"/>
      <c r="H691" s="100" t="s">
        <v>125</v>
      </c>
      <c r="I691" s="101">
        <v>0</v>
      </c>
      <c r="J691" s="102">
        <v>3636</v>
      </c>
      <c r="K691" s="101"/>
      <c r="L691" s="101">
        <v>3764.09</v>
      </c>
      <c r="M691" s="101"/>
      <c r="N691" s="6"/>
      <c r="O691" s="6"/>
    </row>
    <row r="692" spans="1:15" s="48" customFormat="1" ht="18" customHeight="1" x14ac:dyDescent="0.25">
      <c r="A692" s="926" t="s">
        <v>1386</v>
      </c>
      <c r="B692" s="48" t="s">
        <v>123</v>
      </c>
      <c r="C692" s="131" t="s">
        <v>125</v>
      </c>
      <c r="D692" s="931" t="s">
        <v>128</v>
      </c>
      <c r="E692" s="930"/>
      <c r="F692" s="930"/>
      <c r="G692" s="928"/>
      <c r="H692" s="131" t="s">
        <v>125</v>
      </c>
      <c r="I692" s="101"/>
      <c r="J692" s="102">
        <v>9816</v>
      </c>
      <c r="K692" s="101"/>
      <c r="L692" s="101">
        <v>9022</v>
      </c>
      <c r="M692" s="101"/>
      <c r="N692" s="6"/>
      <c r="O692" s="6"/>
    </row>
    <row r="693" spans="1:15" s="48" customFormat="1" ht="18" customHeight="1" x14ac:dyDescent="0.25">
      <c r="A693" s="926" t="s">
        <v>1386</v>
      </c>
      <c r="B693" s="48" t="s">
        <v>123</v>
      </c>
      <c r="C693" s="131" t="s">
        <v>125</v>
      </c>
      <c r="D693" s="932" t="s">
        <v>128</v>
      </c>
      <c r="E693" s="929"/>
      <c r="F693" s="929"/>
      <c r="G693" s="929"/>
      <c r="H693" s="132" t="s">
        <v>125</v>
      </c>
      <c r="I693" s="101">
        <v>0</v>
      </c>
      <c r="J693" s="102">
        <v>5141</v>
      </c>
      <c r="K693" s="101"/>
      <c r="L693" s="101">
        <v>19583.43</v>
      </c>
      <c r="M693" s="101"/>
      <c r="N693" s="6"/>
      <c r="O693" s="6"/>
    </row>
    <row r="694" spans="1:15" s="48" customFormat="1" ht="18" customHeight="1" x14ac:dyDescent="0.25">
      <c r="A694" s="926" t="s">
        <v>1386</v>
      </c>
      <c r="B694" s="48" t="s">
        <v>123</v>
      </c>
      <c r="C694" s="131" t="s">
        <v>125</v>
      </c>
      <c r="D694" s="932" t="s">
        <v>128</v>
      </c>
      <c r="E694" s="929"/>
      <c r="F694" s="929"/>
      <c r="G694" s="929"/>
      <c r="H694" s="131" t="s">
        <v>125</v>
      </c>
      <c r="I694" s="101"/>
      <c r="J694" s="102">
        <v>16612</v>
      </c>
      <c r="K694" s="101"/>
      <c r="L694" s="101">
        <v>6644.59</v>
      </c>
      <c r="M694" s="101"/>
      <c r="N694" s="6"/>
      <c r="O694" s="6"/>
    </row>
    <row r="695" spans="1:15" s="48" customFormat="1" ht="18" customHeight="1" x14ac:dyDescent="0.25">
      <c r="A695" s="926" t="s">
        <v>1386</v>
      </c>
      <c r="B695" s="48" t="s">
        <v>123</v>
      </c>
      <c r="C695" s="131" t="s">
        <v>125</v>
      </c>
      <c r="D695" s="932" t="s">
        <v>128</v>
      </c>
      <c r="E695" s="929"/>
      <c r="F695" s="929"/>
      <c r="G695" s="929"/>
      <c r="H695" s="131" t="s">
        <v>125</v>
      </c>
      <c r="I695" s="101">
        <v>0</v>
      </c>
      <c r="J695" s="102">
        <v>12048</v>
      </c>
      <c r="K695" s="101"/>
      <c r="L695" s="101">
        <v>5807</v>
      </c>
      <c r="M695" s="101"/>
      <c r="N695" s="6"/>
      <c r="O695" s="6"/>
    </row>
    <row r="696" spans="1:15" s="48" customFormat="1" ht="18" customHeight="1" thickBot="1" x14ac:dyDescent="0.3">
      <c r="A696" s="926" t="s">
        <v>1386</v>
      </c>
      <c r="B696" s="48" t="s">
        <v>123</v>
      </c>
      <c r="C696" s="218" t="s">
        <v>127</v>
      </c>
      <c r="D696" s="960" t="s">
        <v>128</v>
      </c>
      <c r="E696" s="413"/>
      <c r="F696" s="413"/>
      <c r="G696" s="431"/>
      <c r="H696" s="218" t="s">
        <v>127</v>
      </c>
      <c r="I696" s="219">
        <v>0</v>
      </c>
      <c r="J696" s="220">
        <v>1140</v>
      </c>
      <c r="K696" s="219"/>
      <c r="L696" s="219">
        <v>7193.13</v>
      </c>
      <c r="M696" s="219">
        <f>SUM(L682:L696)</f>
        <v>187423.47999999998</v>
      </c>
      <c r="N696" s="6"/>
      <c r="O696" s="6"/>
    </row>
    <row r="697" spans="1:15" s="48" customFormat="1" ht="18" customHeight="1" x14ac:dyDescent="0.25">
      <c r="A697" s="926" t="s">
        <v>1386</v>
      </c>
      <c r="B697" s="48" t="s">
        <v>123</v>
      </c>
      <c r="C697" s="100" t="s">
        <v>127</v>
      </c>
      <c r="D697" s="932" t="s">
        <v>126</v>
      </c>
      <c r="E697" s="929"/>
      <c r="F697" s="929"/>
      <c r="G697" s="929"/>
      <c r="H697" s="100" t="s">
        <v>127</v>
      </c>
      <c r="I697" s="105">
        <v>1033913.74</v>
      </c>
      <c r="J697" s="106">
        <v>382512</v>
      </c>
      <c r="K697" s="105">
        <v>205139.85</v>
      </c>
      <c r="L697" s="105">
        <v>415128</v>
      </c>
      <c r="M697" s="105"/>
      <c r="N697" s="6"/>
      <c r="O697" s="6"/>
    </row>
    <row r="698" spans="1:15" s="48" customFormat="1" ht="18" customHeight="1" x14ac:dyDescent="0.25">
      <c r="A698" s="926" t="s">
        <v>1386</v>
      </c>
      <c r="B698" s="48" t="s">
        <v>123</v>
      </c>
      <c r="C698" s="131" t="s">
        <v>127</v>
      </c>
      <c r="D698" s="931" t="s">
        <v>126</v>
      </c>
      <c r="E698" s="930"/>
      <c r="F698" s="930"/>
      <c r="G698" s="928"/>
      <c r="H698" s="131" t="s">
        <v>127</v>
      </c>
      <c r="I698" s="101">
        <v>1249579.1200000001</v>
      </c>
      <c r="J698" s="102">
        <v>2310216</v>
      </c>
      <c r="K698" s="101">
        <v>827059.91</v>
      </c>
      <c r="L698" s="101">
        <v>2507424</v>
      </c>
      <c r="M698" s="101"/>
      <c r="N698" s="6"/>
      <c r="O698" s="6"/>
    </row>
    <row r="699" spans="1:15" s="48" customFormat="1" ht="18" customHeight="1" x14ac:dyDescent="0.25">
      <c r="A699" s="926" t="s">
        <v>1386</v>
      </c>
      <c r="B699" s="48" t="s">
        <v>123</v>
      </c>
      <c r="C699" s="100" t="s">
        <v>127</v>
      </c>
      <c r="D699" s="837" t="s">
        <v>126</v>
      </c>
      <c r="E699" s="836"/>
      <c r="F699" s="836"/>
      <c r="G699" s="834"/>
      <c r="H699" s="100" t="s">
        <v>127</v>
      </c>
      <c r="I699" s="101">
        <v>147691.04999999999</v>
      </c>
      <c r="J699" s="102">
        <v>132552</v>
      </c>
      <c r="K699" s="101">
        <v>70776.45</v>
      </c>
      <c r="L699" s="101">
        <v>143928</v>
      </c>
      <c r="M699" s="101"/>
      <c r="N699" s="6"/>
      <c r="O699" s="6"/>
    </row>
    <row r="700" spans="1:15" s="48" customFormat="1" ht="18" customHeight="1" x14ac:dyDescent="0.25">
      <c r="A700" s="926" t="s">
        <v>1386</v>
      </c>
      <c r="B700" s="48" t="s">
        <v>123</v>
      </c>
      <c r="C700" s="131" t="s">
        <v>127</v>
      </c>
      <c r="D700" s="837" t="s">
        <v>126</v>
      </c>
      <c r="E700" s="836"/>
      <c r="F700" s="836"/>
      <c r="G700" s="834"/>
      <c r="H700" s="131" t="s">
        <v>127</v>
      </c>
      <c r="I700" s="101">
        <v>324211.21000000002</v>
      </c>
      <c r="J700" s="102">
        <v>298056</v>
      </c>
      <c r="K700" s="101">
        <v>159251.1</v>
      </c>
      <c r="L700" s="101">
        <v>324048</v>
      </c>
      <c r="M700" s="101"/>
      <c r="N700" s="6"/>
      <c r="O700" s="6"/>
    </row>
    <row r="701" spans="1:15" s="48" customFormat="1" ht="18" customHeight="1" x14ac:dyDescent="0.25">
      <c r="A701" s="926" t="s">
        <v>1386</v>
      </c>
      <c r="B701" s="48" t="s">
        <v>123</v>
      </c>
      <c r="C701" s="131" t="s">
        <v>127</v>
      </c>
      <c r="D701" s="931" t="s">
        <v>126</v>
      </c>
      <c r="E701" s="930"/>
      <c r="F701" s="930"/>
      <c r="G701" s="928"/>
      <c r="H701" s="131" t="s">
        <v>127</v>
      </c>
      <c r="I701" s="101">
        <v>3235998.63</v>
      </c>
      <c r="J701" s="102">
        <v>3031836</v>
      </c>
      <c r="K701" s="101">
        <v>1540600.2</v>
      </c>
      <c r="L701" s="101">
        <v>3295536</v>
      </c>
      <c r="M701" s="101"/>
      <c r="N701" s="6"/>
      <c r="O701" s="6"/>
    </row>
    <row r="702" spans="1:15" s="48" customFormat="1" ht="18" customHeight="1" x14ac:dyDescent="0.25">
      <c r="A702" s="926" t="s">
        <v>1386</v>
      </c>
      <c r="B702" s="48" t="s">
        <v>123</v>
      </c>
      <c r="C702" s="131" t="s">
        <v>127</v>
      </c>
      <c r="D702" s="837" t="s">
        <v>126</v>
      </c>
      <c r="E702" s="836"/>
      <c r="F702" s="836"/>
      <c r="G702" s="928"/>
      <c r="H702" s="131" t="s">
        <v>127</v>
      </c>
      <c r="I702" s="101">
        <v>329001.84999999998</v>
      </c>
      <c r="J702" s="102">
        <v>298056</v>
      </c>
      <c r="K702" s="101">
        <v>159251.1</v>
      </c>
      <c r="L702" s="101">
        <v>324048</v>
      </c>
      <c r="M702" s="101"/>
      <c r="N702" s="6"/>
      <c r="O702" s="6"/>
    </row>
    <row r="703" spans="1:15" s="48" customFormat="1" ht="18" customHeight="1" x14ac:dyDescent="0.25">
      <c r="A703" s="926" t="s">
        <v>1386</v>
      </c>
      <c r="B703" s="48" t="s">
        <v>123</v>
      </c>
      <c r="C703" s="131" t="s">
        <v>127</v>
      </c>
      <c r="D703" s="837" t="s">
        <v>126</v>
      </c>
      <c r="E703" s="836"/>
      <c r="F703" s="836"/>
      <c r="G703" s="834"/>
      <c r="H703" s="131" t="s">
        <v>127</v>
      </c>
      <c r="I703" s="101"/>
      <c r="J703" s="102">
        <v>132552</v>
      </c>
      <c r="K703" s="101"/>
      <c r="L703" s="101">
        <v>143928</v>
      </c>
      <c r="M703" s="101"/>
      <c r="N703" s="6"/>
      <c r="O703" s="6"/>
    </row>
    <row r="704" spans="1:15" s="48" customFormat="1" ht="18" customHeight="1" x14ac:dyDescent="0.25">
      <c r="A704" s="926" t="s">
        <v>1386</v>
      </c>
      <c r="B704" s="48" t="s">
        <v>123</v>
      </c>
      <c r="C704" s="100" t="s">
        <v>127</v>
      </c>
      <c r="D704" s="931" t="s">
        <v>126</v>
      </c>
      <c r="E704" s="836"/>
      <c r="F704" s="836"/>
      <c r="G704" s="834"/>
      <c r="H704" s="100" t="s">
        <v>127</v>
      </c>
      <c r="I704" s="101">
        <v>175541.43</v>
      </c>
      <c r="J704" s="102">
        <v>157992</v>
      </c>
      <c r="K704" s="101">
        <v>71943</v>
      </c>
      <c r="L704" s="101">
        <v>171828</v>
      </c>
      <c r="M704" s="101"/>
      <c r="N704" s="6"/>
      <c r="O704" s="6"/>
    </row>
    <row r="705" spans="1:17" s="48" customFormat="1" ht="18" customHeight="1" x14ac:dyDescent="0.25">
      <c r="A705" s="926" t="s">
        <v>1386</v>
      </c>
      <c r="B705" s="48" t="s">
        <v>123</v>
      </c>
      <c r="C705" s="100" t="s">
        <v>127</v>
      </c>
      <c r="D705" s="931" t="s">
        <v>126</v>
      </c>
      <c r="E705" s="930"/>
      <c r="F705" s="930"/>
      <c r="G705" s="928"/>
      <c r="H705" s="100" t="s">
        <v>127</v>
      </c>
      <c r="I705" s="101">
        <v>147691.04999999999</v>
      </c>
      <c r="J705" s="102">
        <v>132552</v>
      </c>
      <c r="K705" s="101">
        <v>54543.92</v>
      </c>
      <c r="L705" s="101">
        <v>143928</v>
      </c>
      <c r="M705" s="101"/>
      <c r="N705" s="6"/>
      <c r="O705" s="6"/>
    </row>
    <row r="706" spans="1:17" s="48" customFormat="1" ht="18" customHeight="1" x14ac:dyDescent="0.25">
      <c r="A706" s="926" t="s">
        <v>1386</v>
      </c>
      <c r="B706" s="48" t="s">
        <v>123</v>
      </c>
      <c r="C706" s="131" t="s">
        <v>127</v>
      </c>
      <c r="D706" s="837" t="s">
        <v>126</v>
      </c>
      <c r="E706" s="836"/>
      <c r="F706" s="836"/>
      <c r="G706" s="834"/>
      <c r="H706" s="131" t="s">
        <v>127</v>
      </c>
      <c r="I706" s="101">
        <v>979409.38</v>
      </c>
      <c r="J706" s="102">
        <v>999840</v>
      </c>
      <c r="K706" s="101">
        <v>434656.46</v>
      </c>
      <c r="L706" s="101">
        <v>1084800</v>
      </c>
      <c r="M706" s="101">
        <f>SUM(L697:L706)</f>
        <v>8554596</v>
      </c>
      <c r="N706" s="6"/>
      <c r="O706" s="6"/>
    </row>
    <row r="707" spans="1:17" s="48" customFormat="1" ht="18" customHeight="1" x14ac:dyDescent="0.25">
      <c r="A707" s="926" t="s">
        <v>1386</v>
      </c>
      <c r="B707" s="48" t="s">
        <v>123</v>
      </c>
      <c r="C707" s="103" t="s">
        <v>130</v>
      </c>
      <c r="D707" s="837" t="s">
        <v>129</v>
      </c>
      <c r="E707" s="836"/>
      <c r="F707" s="836"/>
      <c r="G707" s="834"/>
      <c r="H707" s="103" t="s">
        <v>130</v>
      </c>
      <c r="I707" s="101">
        <v>246908.67</v>
      </c>
      <c r="J707" s="102">
        <v>264000</v>
      </c>
      <c r="K707" s="101">
        <v>120636.34</v>
      </c>
      <c r="L707" s="101">
        <v>264000</v>
      </c>
      <c r="M707" s="101"/>
      <c r="N707" s="6"/>
      <c r="O707" s="6"/>
    </row>
    <row r="708" spans="1:17" s="48" customFormat="1" ht="18" customHeight="1" x14ac:dyDescent="0.25">
      <c r="A708" s="926" t="s">
        <v>1386</v>
      </c>
      <c r="B708" s="48" t="s">
        <v>123</v>
      </c>
      <c r="C708" s="132" t="s">
        <v>130</v>
      </c>
      <c r="D708" s="931" t="s">
        <v>129</v>
      </c>
      <c r="E708" s="930"/>
      <c r="F708" s="930"/>
      <c r="G708" s="928"/>
      <c r="H708" s="132" t="s">
        <v>130</v>
      </c>
      <c r="I708" s="101">
        <v>135000</v>
      </c>
      <c r="J708" s="102">
        <v>720000</v>
      </c>
      <c r="K708" s="101">
        <v>155909.01</v>
      </c>
      <c r="L708" s="101">
        <v>720000</v>
      </c>
      <c r="M708" s="101"/>
      <c r="N708" s="6"/>
      <c r="O708" s="6"/>
    </row>
    <row r="709" spans="1:17" s="48" customFormat="1" ht="18" customHeight="1" x14ac:dyDescent="0.25">
      <c r="A709" s="926" t="s">
        <v>1386</v>
      </c>
      <c r="B709" s="48" t="s">
        <v>123</v>
      </c>
      <c r="C709" s="103" t="s">
        <v>130</v>
      </c>
      <c r="D709" s="931" t="s">
        <v>129</v>
      </c>
      <c r="E709" s="836"/>
      <c r="F709" s="836"/>
      <c r="G709" s="834"/>
      <c r="H709" s="103" t="s">
        <v>130</v>
      </c>
      <c r="I709" s="101">
        <v>86181.56</v>
      </c>
      <c r="J709" s="102">
        <v>96000</v>
      </c>
      <c r="K709" s="101">
        <v>54181.81</v>
      </c>
      <c r="L709" s="101">
        <v>96000</v>
      </c>
      <c r="M709" s="101"/>
      <c r="N709" s="207"/>
      <c r="O709" s="207"/>
      <c r="P709" s="212"/>
      <c r="Q709" s="212"/>
    </row>
    <row r="710" spans="1:17" s="48" customFormat="1" ht="18" customHeight="1" x14ac:dyDescent="0.25">
      <c r="A710" s="926" t="s">
        <v>1386</v>
      </c>
      <c r="B710" s="48" t="s">
        <v>123</v>
      </c>
      <c r="C710" s="103" t="s">
        <v>130</v>
      </c>
      <c r="D710" s="837" t="s">
        <v>129</v>
      </c>
      <c r="E710" s="836"/>
      <c r="F710" s="836"/>
      <c r="G710" s="834"/>
      <c r="H710" s="103" t="s">
        <v>130</v>
      </c>
      <c r="I710" s="101">
        <v>48000</v>
      </c>
      <c r="J710" s="102">
        <v>96000</v>
      </c>
      <c r="K710" s="101">
        <v>28000</v>
      </c>
      <c r="L710" s="101">
        <v>96000</v>
      </c>
      <c r="M710" s="101"/>
      <c r="N710" s="207"/>
      <c r="O710" s="207"/>
      <c r="P710" s="212"/>
      <c r="Q710" s="212"/>
    </row>
    <row r="711" spans="1:17" s="48" customFormat="1" ht="18" customHeight="1" x14ac:dyDescent="0.25">
      <c r="A711" s="926" t="s">
        <v>1386</v>
      </c>
      <c r="B711" s="48" t="s">
        <v>123</v>
      </c>
      <c r="C711" s="132" t="s">
        <v>130</v>
      </c>
      <c r="D711" s="837" t="s">
        <v>129</v>
      </c>
      <c r="E711" s="930"/>
      <c r="F711" s="930"/>
      <c r="G711" s="928"/>
      <c r="H711" s="132" t="s">
        <v>130</v>
      </c>
      <c r="I711" s="101">
        <v>48000</v>
      </c>
      <c r="J711" s="102">
        <v>72000</v>
      </c>
      <c r="K711" s="101">
        <v>28000</v>
      </c>
      <c r="L711" s="101">
        <v>72000</v>
      </c>
      <c r="M711" s="101"/>
      <c r="N711" s="222"/>
      <c r="O711" s="222"/>
      <c r="P711" s="212"/>
      <c r="Q711" s="212"/>
    </row>
    <row r="712" spans="1:17" s="48" customFormat="1" ht="18" customHeight="1" x14ac:dyDescent="0.25">
      <c r="A712" s="926" t="s">
        <v>1386</v>
      </c>
      <c r="B712" s="48" t="s">
        <v>123</v>
      </c>
      <c r="C712" s="132" t="s">
        <v>130</v>
      </c>
      <c r="D712" s="837" t="s">
        <v>129</v>
      </c>
      <c r="E712" s="836"/>
      <c r="F712" s="836"/>
      <c r="G712" s="834"/>
      <c r="H712" s="132" t="s">
        <v>130</v>
      </c>
      <c r="I712" s="101">
        <v>72000</v>
      </c>
      <c r="J712" s="102">
        <v>96000</v>
      </c>
      <c r="K712" s="101">
        <v>48818.18</v>
      </c>
      <c r="L712" s="101">
        <v>96000</v>
      </c>
      <c r="M712" s="101"/>
      <c r="N712" s="6"/>
      <c r="O712" s="6"/>
    </row>
    <row r="713" spans="1:17" s="179" customFormat="1" ht="18" customHeight="1" x14ac:dyDescent="0.25">
      <c r="A713" s="926" t="s">
        <v>1386</v>
      </c>
      <c r="B713" s="48" t="s">
        <v>123</v>
      </c>
      <c r="C713" s="132" t="s">
        <v>130</v>
      </c>
      <c r="D713" s="837" t="s">
        <v>129</v>
      </c>
      <c r="E713" s="836"/>
      <c r="F713" s="836"/>
      <c r="G713" s="928"/>
      <c r="H713" s="132" t="s">
        <v>130</v>
      </c>
      <c r="I713" s="101">
        <v>76363.28</v>
      </c>
      <c r="J713" s="102">
        <v>168000</v>
      </c>
      <c r="K713" s="101">
        <v>52363.62</v>
      </c>
      <c r="L713" s="101">
        <v>168000</v>
      </c>
      <c r="M713" s="101"/>
      <c r="N713" s="177"/>
      <c r="O713" s="177"/>
    </row>
    <row r="714" spans="1:17" s="179" customFormat="1" ht="18" customHeight="1" x14ac:dyDescent="0.25">
      <c r="A714" s="926" t="s">
        <v>1386</v>
      </c>
      <c r="B714" s="48" t="s">
        <v>123</v>
      </c>
      <c r="C714" s="132" t="s">
        <v>130</v>
      </c>
      <c r="D714" s="931" t="s">
        <v>129</v>
      </c>
      <c r="E714" s="930"/>
      <c r="F714" s="930"/>
      <c r="G714" s="928"/>
      <c r="H714" s="132" t="s">
        <v>130</v>
      </c>
      <c r="I714" s="101">
        <v>620131.31000000006</v>
      </c>
      <c r="J714" s="102">
        <v>888000</v>
      </c>
      <c r="K714" s="101">
        <v>457636.19</v>
      </c>
      <c r="L714" s="101">
        <v>888000</v>
      </c>
      <c r="M714" s="101"/>
      <c r="N714" s="177"/>
      <c r="O714" s="177"/>
    </row>
    <row r="715" spans="1:17" s="179" customFormat="1" ht="18" customHeight="1" x14ac:dyDescent="0.25">
      <c r="A715" s="926" t="s">
        <v>1386</v>
      </c>
      <c r="B715" s="48" t="s">
        <v>123</v>
      </c>
      <c r="C715" s="132" t="s">
        <v>130</v>
      </c>
      <c r="D715" s="931" t="s">
        <v>129</v>
      </c>
      <c r="E715" s="930"/>
      <c r="F715" s="930"/>
      <c r="G715" s="928"/>
      <c r="H715" s="132" t="s">
        <v>130</v>
      </c>
      <c r="I715" s="101">
        <v>244363.28</v>
      </c>
      <c r="J715" s="102">
        <v>432000</v>
      </c>
      <c r="K715" s="101">
        <v>150363.62</v>
      </c>
      <c r="L715" s="101">
        <v>432000</v>
      </c>
      <c r="M715" s="101"/>
      <c r="N715" s="177"/>
      <c r="O715" s="177"/>
    </row>
    <row r="716" spans="1:17" s="212" customFormat="1" ht="18" customHeight="1" x14ac:dyDescent="0.25">
      <c r="A716" s="926" t="s">
        <v>1386</v>
      </c>
      <c r="B716" s="48" t="s">
        <v>123</v>
      </c>
      <c r="C716" s="132" t="s">
        <v>130</v>
      </c>
      <c r="D716" s="837" t="s">
        <v>129</v>
      </c>
      <c r="E716" s="836"/>
      <c r="F716" s="836"/>
      <c r="G716" s="834"/>
      <c r="H716" s="132" t="s">
        <v>130</v>
      </c>
      <c r="I716" s="101"/>
      <c r="J716" s="102">
        <v>72000</v>
      </c>
      <c r="K716" s="101"/>
      <c r="L716" s="101">
        <v>72000</v>
      </c>
      <c r="M716" s="101"/>
      <c r="N716" s="6"/>
      <c r="O716" s="6"/>
      <c r="P716" s="48"/>
      <c r="Q716" s="48"/>
    </row>
    <row r="717" spans="1:17" s="212" customFormat="1" ht="18" customHeight="1" x14ac:dyDescent="0.25">
      <c r="A717" s="926" t="s">
        <v>1386</v>
      </c>
      <c r="B717" s="48" t="s">
        <v>123</v>
      </c>
      <c r="C717" s="103" t="s">
        <v>130</v>
      </c>
      <c r="D717" s="931" t="s">
        <v>129</v>
      </c>
      <c r="E717" s="930"/>
      <c r="F717" s="930"/>
      <c r="G717" s="928"/>
      <c r="H717" s="103" t="s">
        <v>130</v>
      </c>
      <c r="I717" s="101">
        <v>0</v>
      </c>
      <c r="J717" s="102">
        <v>48000</v>
      </c>
      <c r="K717" s="101"/>
      <c r="L717" s="101">
        <v>48000</v>
      </c>
      <c r="M717" s="101"/>
      <c r="N717" s="207"/>
      <c r="O717" s="207"/>
    </row>
    <row r="718" spans="1:17" s="212" customFormat="1" ht="18" customHeight="1" x14ac:dyDescent="0.25">
      <c r="A718" s="926" t="s">
        <v>1386</v>
      </c>
      <c r="B718" s="48" t="s">
        <v>123</v>
      </c>
      <c r="C718" s="103" t="s">
        <v>130</v>
      </c>
      <c r="D718" s="931" t="s">
        <v>129</v>
      </c>
      <c r="E718" s="930"/>
      <c r="F718" s="930"/>
      <c r="G718" s="928"/>
      <c r="H718" s="103" t="s">
        <v>130</v>
      </c>
      <c r="I718" s="105">
        <v>72000</v>
      </c>
      <c r="J718" s="106">
        <v>96000</v>
      </c>
      <c r="K718" s="105">
        <v>42000</v>
      </c>
      <c r="L718" s="105">
        <v>96000</v>
      </c>
      <c r="M718" s="105"/>
      <c r="N718" s="207"/>
      <c r="O718" s="207"/>
    </row>
    <row r="719" spans="1:17" ht="18" customHeight="1" x14ac:dyDescent="0.25">
      <c r="A719" s="926" t="s">
        <v>1386</v>
      </c>
      <c r="B719" s="48" t="s">
        <v>123</v>
      </c>
      <c r="C719" s="103" t="s">
        <v>130</v>
      </c>
      <c r="D719" s="837" t="s">
        <v>129</v>
      </c>
      <c r="E719" s="836"/>
      <c r="F719" s="836"/>
      <c r="G719" s="834"/>
      <c r="H719" s="103" t="s">
        <v>130</v>
      </c>
      <c r="I719" s="101">
        <v>205908.83</v>
      </c>
      <c r="J719" s="102">
        <v>336000</v>
      </c>
      <c r="K719" s="101">
        <v>123727.26</v>
      </c>
      <c r="L719" s="101">
        <v>336000</v>
      </c>
      <c r="M719" s="101"/>
    </row>
    <row r="720" spans="1:17" ht="18" customHeight="1" x14ac:dyDescent="0.25">
      <c r="A720" s="926" t="s">
        <v>1386</v>
      </c>
      <c r="B720" s="48" t="s">
        <v>123</v>
      </c>
      <c r="C720" s="103" t="s">
        <v>130</v>
      </c>
      <c r="D720" s="931" t="s">
        <v>129</v>
      </c>
      <c r="E720" s="930"/>
      <c r="F720" s="930"/>
      <c r="G720" s="928"/>
      <c r="H720" s="103" t="s">
        <v>130</v>
      </c>
      <c r="I720" s="101">
        <v>110181.56</v>
      </c>
      <c r="J720" s="102">
        <v>144000</v>
      </c>
      <c r="K720" s="101">
        <v>74000.02</v>
      </c>
      <c r="L720" s="101">
        <v>144000</v>
      </c>
      <c r="M720" s="101"/>
    </row>
    <row r="721" spans="1:17" ht="18" customHeight="1" x14ac:dyDescent="0.25">
      <c r="A721" s="926" t="s">
        <v>1386</v>
      </c>
      <c r="B721" s="48" t="s">
        <v>123</v>
      </c>
      <c r="C721" s="131" t="s">
        <v>130</v>
      </c>
      <c r="D721" s="837" t="s">
        <v>129</v>
      </c>
      <c r="E721" s="836"/>
      <c r="F721" s="836"/>
      <c r="G721" s="834"/>
      <c r="H721" s="131" t="s">
        <v>130</v>
      </c>
      <c r="I721" s="101">
        <v>192000</v>
      </c>
      <c r="J721" s="102">
        <v>312000</v>
      </c>
      <c r="K721" s="101">
        <v>137090.91</v>
      </c>
      <c r="L721" s="101">
        <v>312000</v>
      </c>
      <c r="M721" s="101"/>
    </row>
    <row r="722" spans="1:17" s="146" customFormat="1" ht="18" customHeight="1" x14ac:dyDescent="0.25">
      <c r="A722" s="926" t="s">
        <v>1386</v>
      </c>
      <c r="B722" s="48" t="s">
        <v>123</v>
      </c>
      <c r="C722" s="132" t="s">
        <v>130</v>
      </c>
      <c r="D722" s="931" t="s">
        <v>129</v>
      </c>
      <c r="E722" s="928"/>
      <c r="F722" s="835"/>
      <c r="G722" s="835"/>
      <c r="H722" s="132" t="s">
        <v>130</v>
      </c>
      <c r="I722" s="101">
        <v>821362.72</v>
      </c>
      <c r="J722" s="102">
        <v>1080000</v>
      </c>
      <c r="K722" s="101">
        <v>499454.53</v>
      </c>
      <c r="L722" s="101">
        <v>1080000</v>
      </c>
      <c r="M722" s="101"/>
      <c r="N722" s="10"/>
      <c r="O722" s="10"/>
      <c r="P722"/>
      <c r="Q722"/>
    </row>
    <row r="723" spans="1:17" s="146" customFormat="1" ht="18" customHeight="1" x14ac:dyDescent="0.25">
      <c r="A723" s="926" t="s">
        <v>1386</v>
      </c>
      <c r="B723" s="48" t="s">
        <v>123</v>
      </c>
      <c r="C723" s="131" t="s">
        <v>130</v>
      </c>
      <c r="D723" s="931" t="s">
        <v>129</v>
      </c>
      <c r="E723" s="928"/>
      <c r="F723" s="929"/>
      <c r="G723" s="929"/>
      <c r="H723" s="131" t="s">
        <v>130</v>
      </c>
      <c r="I723" s="101">
        <v>378272.75</v>
      </c>
      <c r="J723" s="102">
        <v>432000</v>
      </c>
      <c r="K723" s="101">
        <v>196000</v>
      </c>
      <c r="L723" s="101">
        <v>432000</v>
      </c>
      <c r="M723" s="101"/>
      <c r="N723" s="10"/>
      <c r="O723" s="10"/>
      <c r="P723"/>
      <c r="Q723"/>
    </row>
    <row r="724" spans="1:17" s="146" customFormat="1" ht="18" customHeight="1" x14ac:dyDescent="0.25">
      <c r="A724" s="926" t="s">
        <v>1386</v>
      </c>
      <c r="B724" s="48" t="s">
        <v>123</v>
      </c>
      <c r="C724" s="132" t="s">
        <v>130</v>
      </c>
      <c r="D724" s="931" t="s">
        <v>129</v>
      </c>
      <c r="E724" s="928"/>
      <c r="F724" s="835"/>
      <c r="G724" s="835"/>
      <c r="H724" s="132" t="s">
        <v>130</v>
      </c>
      <c r="I724" s="101">
        <v>192000</v>
      </c>
      <c r="J724" s="102">
        <v>288000</v>
      </c>
      <c r="K724" s="101">
        <v>100000</v>
      </c>
      <c r="L724" s="101">
        <v>288000</v>
      </c>
      <c r="M724" s="101"/>
      <c r="N724" s="10"/>
      <c r="O724" s="10"/>
      <c r="P724"/>
      <c r="Q724"/>
    </row>
    <row r="725" spans="1:17" s="146" customFormat="1" ht="18" customHeight="1" x14ac:dyDescent="0.25">
      <c r="A725" s="926" t="s">
        <v>1386</v>
      </c>
      <c r="B725" s="48" t="s">
        <v>123</v>
      </c>
      <c r="C725" s="132" t="s">
        <v>130</v>
      </c>
      <c r="D725" s="837" t="s">
        <v>129</v>
      </c>
      <c r="E725" s="928"/>
      <c r="F725" s="929"/>
      <c r="G725" s="929"/>
      <c r="H725" s="132" t="s">
        <v>130</v>
      </c>
      <c r="I725" s="101">
        <v>96000</v>
      </c>
      <c r="J725" s="102">
        <v>96000</v>
      </c>
      <c r="K725" s="101">
        <v>56000</v>
      </c>
      <c r="L725" s="101">
        <v>96000</v>
      </c>
      <c r="M725" s="101">
        <f>SUM(L707:L725)</f>
        <v>5736000</v>
      </c>
      <c r="N725" s="10"/>
      <c r="O725" s="10"/>
      <c r="P725"/>
      <c r="Q725"/>
    </row>
    <row r="726" spans="1:17" s="146" customFormat="1" ht="18" customHeight="1" x14ac:dyDescent="0.25">
      <c r="A726" s="926" t="s">
        <v>1386</v>
      </c>
      <c r="B726" s="48" t="s">
        <v>123</v>
      </c>
      <c r="C726" s="100" t="s">
        <v>132</v>
      </c>
      <c r="D726" s="837" t="s">
        <v>131</v>
      </c>
      <c r="E726" s="928"/>
      <c r="F726" s="929"/>
      <c r="G726" s="929"/>
      <c r="H726" s="100" t="s">
        <v>132</v>
      </c>
      <c r="I726" s="101">
        <v>96000</v>
      </c>
      <c r="J726" s="102">
        <v>96000</v>
      </c>
      <c r="K726" s="101">
        <v>56000</v>
      </c>
      <c r="L726" s="101">
        <v>96000</v>
      </c>
      <c r="M726" s="101"/>
      <c r="N726" s="10"/>
      <c r="O726" s="10"/>
      <c r="P726"/>
      <c r="Q726"/>
    </row>
    <row r="727" spans="1:17" s="146" customFormat="1" ht="18" customHeight="1" x14ac:dyDescent="0.25">
      <c r="A727" s="926" t="s">
        <v>1386</v>
      </c>
      <c r="B727" s="48" t="s">
        <v>123</v>
      </c>
      <c r="C727" s="131" t="s">
        <v>132</v>
      </c>
      <c r="D727" s="837" t="s">
        <v>131</v>
      </c>
      <c r="E727" s="928"/>
      <c r="F727" s="929"/>
      <c r="G727" s="929"/>
      <c r="H727" s="131" t="s">
        <v>132</v>
      </c>
      <c r="I727" s="101">
        <v>86400</v>
      </c>
      <c r="J727" s="102">
        <v>86400</v>
      </c>
      <c r="K727" s="101">
        <v>50400</v>
      </c>
      <c r="L727" s="101">
        <v>86400</v>
      </c>
      <c r="M727" s="101"/>
      <c r="N727" s="10"/>
      <c r="O727" s="10"/>
      <c r="P727"/>
      <c r="Q727"/>
    </row>
    <row r="728" spans="1:17" s="146" customFormat="1" ht="18" customHeight="1" x14ac:dyDescent="0.25">
      <c r="A728" s="926" t="s">
        <v>1386</v>
      </c>
      <c r="B728" s="48" t="s">
        <v>123</v>
      </c>
      <c r="C728" s="131" t="s">
        <v>132</v>
      </c>
      <c r="D728" s="931" t="s">
        <v>131</v>
      </c>
      <c r="E728" s="928"/>
      <c r="F728" s="835"/>
      <c r="G728" s="835"/>
      <c r="H728" s="131" t="s">
        <v>132</v>
      </c>
      <c r="I728" s="101">
        <v>853500</v>
      </c>
      <c r="J728" s="102">
        <v>864000</v>
      </c>
      <c r="K728" s="101">
        <v>492000</v>
      </c>
      <c r="L728" s="101">
        <v>864000</v>
      </c>
      <c r="M728" s="101"/>
      <c r="N728" s="10"/>
      <c r="O728" s="10"/>
      <c r="P728"/>
      <c r="Q728"/>
    </row>
    <row r="729" spans="1:17" s="146" customFormat="1" ht="18" x14ac:dyDescent="0.25">
      <c r="A729" s="926" t="s">
        <v>1386</v>
      </c>
      <c r="B729" s="48" t="s">
        <v>123</v>
      </c>
      <c r="C729" s="131" t="s">
        <v>132</v>
      </c>
      <c r="D729" s="931" t="s">
        <v>131</v>
      </c>
      <c r="E729" s="928"/>
      <c r="F729" s="835"/>
      <c r="G729" s="835"/>
      <c r="H729" s="131" t="s">
        <v>132</v>
      </c>
      <c r="I729" s="101">
        <v>73500</v>
      </c>
      <c r="J729" s="102">
        <v>72000</v>
      </c>
      <c r="K729" s="101">
        <v>43500</v>
      </c>
      <c r="L729" s="101">
        <v>72000</v>
      </c>
      <c r="M729" s="101"/>
      <c r="N729" s="10"/>
      <c r="O729" s="10"/>
      <c r="P729"/>
      <c r="Q729"/>
    </row>
    <row r="730" spans="1:17" s="146" customFormat="1" ht="18" customHeight="1" x14ac:dyDescent="0.25">
      <c r="A730" s="926" t="s">
        <v>1386</v>
      </c>
      <c r="B730" s="48" t="s">
        <v>123</v>
      </c>
      <c r="C730" s="131" t="s">
        <v>132</v>
      </c>
      <c r="D730" s="932" t="s">
        <v>131</v>
      </c>
      <c r="E730" s="929"/>
      <c r="F730" s="929"/>
      <c r="G730" s="929"/>
      <c r="H730" s="131" t="s">
        <v>132</v>
      </c>
      <c r="I730" s="101"/>
      <c r="J730" s="102">
        <v>72000</v>
      </c>
      <c r="K730" s="101"/>
      <c r="L730" s="101">
        <v>72000</v>
      </c>
      <c r="M730" s="101"/>
      <c r="N730" s="10"/>
      <c r="O730" s="10"/>
      <c r="P730"/>
      <c r="Q730"/>
    </row>
    <row r="731" spans="1:17" s="146" customFormat="1" ht="18" customHeight="1" x14ac:dyDescent="0.25">
      <c r="A731" s="926" t="s">
        <v>1386</v>
      </c>
      <c r="B731" s="48" t="s">
        <v>123</v>
      </c>
      <c r="C731" s="100" t="s">
        <v>132</v>
      </c>
      <c r="D731" s="838" t="s">
        <v>131</v>
      </c>
      <c r="E731" s="835"/>
      <c r="F731" s="835"/>
      <c r="G731" s="835"/>
      <c r="H731" s="100" t="s">
        <v>132</v>
      </c>
      <c r="I731" s="101">
        <v>0</v>
      </c>
      <c r="J731" s="102">
        <v>72000</v>
      </c>
      <c r="K731" s="101"/>
      <c r="L731" s="101">
        <v>72000</v>
      </c>
      <c r="M731" s="101"/>
      <c r="N731" s="10"/>
      <c r="O731" s="10"/>
      <c r="P731"/>
      <c r="Q731"/>
    </row>
    <row r="732" spans="1:17" s="146" customFormat="1" ht="18" customHeight="1" x14ac:dyDescent="0.25">
      <c r="A732" s="926" t="s">
        <v>1386</v>
      </c>
      <c r="B732" s="48" t="s">
        <v>123</v>
      </c>
      <c r="C732" s="100" t="s">
        <v>132</v>
      </c>
      <c r="D732" s="838" t="s">
        <v>131</v>
      </c>
      <c r="E732" s="835"/>
      <c r="F732" s="835"/>
      <c r="G732" s="835"/>
      <c r="H732" s="100" t="s">
        <v>132</v>
      </c>
      <c r="I732" s="101">
        <v>72000</v>
      </c>
      <c r="J732" s="102">
        <v>72000</v>
      </c>
      <c r="K732" s="101">
        <v>42000</v>
      </c>
      <c r="L732" s="101">
        <v>72000</v>
      </c>
      <c r="M732" s="101"/>
      <c r="N732" s="10"/>
      <c r="O732" s="10"/>
      <c r="P732"/>
      <c r="Q732"/>
    </row>
    <row r="733" spans="1:17" s="146" customFormat="1" ht="18" customHeight="1" x14ac:dyDescent="0.25">
      <c r="A733" s="926" t="s">
        <v>1386</v>
      </c>
      <c r="B733" s="48" t="s">
        <v>123</v>
      </c>
      <c r="C733" s="100" t="s">
        <v>132</v>
      </c>
      <c r="D733" s="932" t="s">
        <v>131</v>
      </c>
      <c r="E733" s="929"/>
      <c r="F733" s="929"/>
      <c r="G733" s="929"/>
      <c r="H733" s="100" t="s">
        <v>132</v>
      </c>
      <c r="I733" s="101">
        <v>72000</v>
      </c>
      <c r="J733" s="102">
        <v>72000</v>
      </c>
      <c r="K733" s="101">
        <v>42000</v>
      </c>
      <c r="L733" s="101">
        <v>72000</v>
      </c>
      <c r="M733" s="101"/>
      <c r="N733" s="10"/>
      <c r="O733" s="10"/>
      <c r="P733"/>
      <c r="Q733"/>
    </row>
    <row r="734" spans="1:17" s="146" customFormat="1" ht="18" customHeight="1" x14ac:dyDescent="0.25">
      <c r="A734" s="926" t="s">
        <v>1386</v>
      </c>
      <c r="B734" s="48" t="s">
        <v>123</v>
      </c>
      <c r="C734" s="100" t="s">
        <v>132</v>
      </c>
      <c r="D734" s="838" t="s">
        <v>131</v>
      </c>
      <c r="E734" s="835"/>
      <c r="F734" s="835"/>
      <c r="G734" s="835"/>
      <c r="H734" s="100" t="s">
        <v>132</v>
      </c>
      <c r="I734" s="101">
        <v>72000</v>
      </c>
      <c r="J734" s="102">
        <v>72000</v>
      </c>
      <c r="K734" s="101">
        <v>42000</v>
      </c>
      <c r="L734" s="101">
        <v>72000</v>
      </c>
      <c r="M734" s="101"/>
      <c r="N734" s="10"/>
      <c r="O734" s="10"/>
      <c r="P734"/>
      <c r="Q734"/>
    </row>
    <row r="735" spans="1:17" s="146" customFormat="1" ht="18" x14ac:dyDescent="0.25">
      <c r="A735" s="926" t="s">
        <v>1386</v>
      </c>
      <c r="B735" s="48" t="s">
        <v>123</v>
      </c>
      <c r="C735" s="131" t="s">
        <v>132</v>
      </c>
      <c r="D735" s="932" t="s">
        <v>131</v>
      </c>
      <c r="E735" s="929"/>
      <c r="F735" s="929"/>
      <c r="G735" s="929"/>
      <c r="H735" s="131" t="s">
        <v>132</v>
      </c>
      <c r="I735" s="101">
        <v>72000</v>
      </c>
      <c r="J735" s="102">
        <v>72000</v>
      </c>
      <c r="K735" s="101">
        <v>40500</v>
      </c>
      <c r="L735" s="101">
        <v>72000</v>
      </c>
      <c r="M735" s="101"/>
      <c r="N735" s="10"/>
      <c r="O735" s="10"/>
      <c r="P735"/>
      <c r="Q735"/>
    </row>
    <row r="736" spans="1:17" s="146" customFormat="1" ht="18" customHeight="1" x14ac:dyDescent="0.25">
      <c r="A736" s="926" t="s">
        <v>1386</v>
      </c>
      <c r="B736" s="48" t="s">
        <v>123</v>
      </c>
      <c r="C736" s="131" t="s">
        <v>132</v>
      </c>
      <c r="D736" s="932" t="s">
        <v>131</v>
      </c>
      <c r="E736" s="835"/>
      <c r="F736" s="835"/>
      <c r="G736" s="835"/>
      <c r="H736" s="131" t="s">
        <v>132</v>
      </c>
      <c r="I736" s="101">
        <v>70500</v>
      </c>
      <c r="J736" s="102">
        <v>72000</v>
      </c>
      <c r="K736" s="101">
        <v>40500</v>
      </c>
      <c r="L736" s="101">
        <v>72000</v>
      </c>
      <c r="M736" s="101"/>
      <c r="N736" s="10"/>
      <c r="O736" s="10"/>
      <c r="P736"/>
      <c r="Q736"/>
    </row>
    <row r="737" spans="1:17" s="146" customFormat="1" ht="18" x14ac:dyDescent="0.25">
      <c r="A737" s="926" t="s">
        <v>1386</v>
      </c>
      <c r="B737" s="48" t="s">
        <v>123</v>
      </c>
      <c r="C737" s="131" t="s">
        <v>132</v>
      </c>
      <c r="D737" s="837" t="s">
        <v>131</v>
      </c>
      <c r="E737" s="928"/>
      <c r="F737" s="929"/>
      <c r="G737" s="929"/>
      <c r="H737" s="131" t="s">
        <v>132</v>
      </c>
      <c r="I737" s="101">
        <v>112000</v>
      </c>
      <c r="J737" s="102">
        <v>120000</v>
      </c>
      <c r="K737" s="101">
        <v>40500</v>
      </c>
      <c r="L737" s="101">
        <v>120000</v>
      </c>
      <c r="M737" s="101"/>
      <c r="N737" s="10"/>
      <c r="O737" s="10"/>
      <c r="P737"/>
      <c r="Q737"/>
    </row>
    <row r="738" spans="1:17" s="146" customFormat="1" ht="18" customHeight="1" x14ac:dyDescent="0.25">
      <c r="A738" s="926" t="s">
        <v>1386</v>
      </c>
      <c r="B738" s="48" t="s">
        <v>123</v>
      </c>
      <c r="C738" s="131" t="s">
        <v>132</v>
      </c>
      <c r="D738" s="838" t="s">
        <v>131</v>
      </c>
      <c r="E738" s="835"/>
      <c r="F738" s="835"/>
      <c r="G738" s="835"/>
      <c r="H738" s="131" t="s">
        <v>132</v>
      </c>
      <c r="I738" s="101">
        <v>70500</v>
      </c>
      <c r="J738" s="102">
        <v>120000</v>
      </c>
      <c r="K738" s="101">
        <v>40500</v>
      </c>
      <c r="L738" s="101">
        <v>120000</v>
      </c>
      <c r="M738" s="101"/>
      <c r="N738" s="10"/>
      <c r="O738" s="10"/>
      <c r="P738"/>
      <c r="Q738"/>
    </row>
    <row r="739" spans="1:17" s="146" customFormat="1" ht="18" customHeight="1" x14ac:dyDescent="0.25">
      <c r="A739" s="926" t="s">
        <v>1386</v>
      </c>
      <c r="B739" s="48" t="s">
        <v>123</v>
      </c>
      <c r="C739" s="131" t="s">
        <v>132</v>
      </c>
      <c r="D739" s="932" t="s">
        <v>131</v>
      </c>
      <c r="E739" s="929"/>
      <c r="F739" s="929"/>
      <c r="G739" s="929"/>
      <c r="H739" s="131" t="s">
        <v>132</v>
      </c>
      <c r="I739" s="101">
        <v>72000</v>
      </c>
      <c r="J739" s="102">
        <v>72000</v>
      </c>
      <c r="K739" s="101">
        <v>42000</v>
      </c>
      <c r="L739" s="101">
        <v>72000</v>
      </c>
      <c r="M739" s="101">
        <f>SUM(L726:L739)</f>
        <v>1934400</v>
      </c>
      <c r="N739" s="10"/>
      <c r="O739" s="10"/>
      <c r="P739"/>
      <c r="Q739"/>
    </row>
    <row r="740" spans="1:17" s="146" customFormat="1" ht="18" x14ac:dyDescent="0.25">
      <c r="A740" s="926" t="s">
        <v>1386</v>
      </c>
      <c r="B740" s="48" t="s">
        <v>123</v>
      </c>
      <c r="C740" s="131" t="s">
        <v>134</v>
      </c>
      <c r="D740" s="838" t="s">
        <v>133</v>
      </c>
      <c r="E740" s="835"/>
      <c r="F740" s="835"/>
      <c r="G740" s="835"/>
      <c r="H740" s="131" t="s">
        <v>134</v>
      </c>
      <c r="I740" s="101">
        <v>853500</v>
      </c>
      <c r="J740" s="102">
        <v>864000</v>
      </c>
      <c r="K740" s="101">
        <v>492000</v>
      </c>
      <c r="L740" s="101">
        <v>864000</v>
      </c>
      <c r="M740" s="101"/>
      <c r="N740" s="10"/>
      <c r="O740" s="10"/>
      <c r="P740"/>
      <c r="Q740"/>
    </row>
    <row r="741" spans="1:17" s="146" customFormat="1" ht="18" customHeight="1" x14ac:dyDescent="0.25">
      <c r="A741" s="926" t="s">
        <v>1386</v>
      </c>
      <c r="B741" s="48" t="s">
        <v>123</v>
      </c>
      <c r="C741" s="131" t="s">
        <v>134</v>
      </c>
      <c r="D741" s="838" t="s">
        <v>133</v>
      </c>
      <c r="E741" s="835"/>
      <c r="F741" s="835"/>
      <c r="G741" s="835"/>
      <c r="H741" s="131" t="s">
        <v>134</v>
      </c>
      <c r="I741" s="101">
        <v>73500</v>
      </c>
      <c r="J741" s="102">
        <v>72000</v>
      </c>
      <c r="K741" s="101">
        <v>43500</v>
      </c>
      <c r="L741" s="101">
        <v>72000</v>
      </c>
      <c r="M741" s="101"/>
      <c r="N741" s="10"/>
      <c r="O741" s="10"/>
      <c r="P741"/>
      <c r="Q741"/>
    </row>
    <row r="742" spans="1:17" s="146" customFormat="1" ht="18" x14ac:dyDescent="0.25">
      <c r="A742" s="926" t="s">
        <v>1386</v>
      </c>
      <c r="B742" s="48" t="s">
        <v>123</v>
      </c>
      <c r="C742" s="131" t="s">
        <v>134</v>
      </c>
      <c r="D742" s="932" t="s">
        <v>133</v>
      </c>
      <c r="E742" s="929"/>
      <c r="F742" s="929"/>
      <c r="G742" s="929"/>
      <c r="H742" s="131" t="s">
        <v>134</v>
      </c>
      <c r="I742" s="101"/>
      <c r="J742" s="102">
        <v>72000</v>
      </c>
      <c r="K742" s="101"/>
      <c r="L742" s="101">
        <v>72000</v>
      </c>
      <c r="M742" s="101"/>
      <c r="N742" s="10"/>
      <c r="O742" s="10"/>
      <c r="P742"/>
      <c r="Q742"/>
    </row>
    <row r="743" spans="1:17" s="146" customFormat="1" ht="18" x14ac:dyDescent="0.25">
      <c r="A743" s="926" t="s">
        <v>1386</v>
      </c>
      <c r="B743" s="48" t="s">
        <v>123</v>
      </c>
      <c r="C743" s="100" t="s">
        <v>134</v>
      </c>
      <c r="D743" s="931" t="s">
        <v>133</v>
      </c>
      <c r="E743" s="930"/>
      <c r="F743" s="930"/>
      <c r="G743" s="928"/>
      <c r="H743" s="100" t="s">
        <v>134</v>
      </c>
      <c r="I743" s="101">
        <v>0</v>
      </c>
      <c r="J743" s="102">
        <v>72000</v>
      </c>
      <c r="K743" s="101"/>
      <c r="L743" s="101">
        <v>72000</v>
      </c>
      <c r="M743" s="101"/>
      <c r="N743" s="10"/>
      <c r="O743" s="10"/>
      <c r="P743"/>
      <c r="Q743"/>
    </row>
    <row r="744" spans="1:17" s="146" customFormat="1" ht="18" customHeight="1" x14ac:dyDescent="0.25">
      <c r="A744" s="926" t="s">
        <v>1386</v>
      </c>
      <c r="B744" s="48" t="s">
        <v>123</v>
      </c>
      <c r="C744" s="100" t="s">
        <v>134</v>
      </c>
      <c r="D744" s="932" t="s">
        <v>133</v>
      </c>
      <c r="E744" s="929"/>
      <c r="F744" s="929"/>
      <c r="G744" s="929"/>
      <c r="H744" s="100" t="s">
        <v>134</v>
      </c>
      <c r="I744" s="101">
        <v>72000</v>
      </c>
      <c r="J744" s="102">
        <v>72000</v>
      </c>
      <c r="K744" s="101">
        <v>36000</v>
      </c>
      <c r="L744" s="101">
        <v>72000</v>
      </c>
      <c r="M744" s="101"/>
      <c r="N744" s="10"/>
      <c r="O744" s="10"/>
      <c r="P744"/>
      <c r="Q744"/>
    </row>
    <row r="745" spans="1:17" s="146" customFormat="1" ht="18" customHeight="1" x14ac:dyDescent="0.25">
      <c r="A745" s="926" t="s">
        <v>1386</v>
      </c>
      <c r="B745" s="48" t="s">
        <v>123</v>
      </c>
      <c r="C745" s="100" t="s">
        <v>134</v>
      </c>
      <c r="D745" s="932" t="s">
        <v>133</v>
      </c>
      <c r="E745" s="929"/>
      <c r="F745" s="929"/>
      <c r="G745" s="929"/>
      <c r="H745" s="100" t="s">
        <v>134</v>
      </c>
      <c r="I745" s="101">
        <v>72000</v>
      </c>
      <c r="J745" s="102">
        <v>72000</v>
      </c>
      <c r="K745" s="101">
        <v>42000</v>
      </c>
      <c r="L745" s="101">
        <v>72000</v>
      </c>
      <c r="M745" s="101"/>
      <c r="N745" s="10"/>
      <c r="O745" s="10"/>
      <c r="P745"/>
      <c r="Q745"/>
    </row>
    <row r="746" spans="1:17" s="146" customFormat="1" ht="18" customHeight="1" x14ac:dyDescent="0.25">
      <c r="A746" s="926" t="s">
        <v>1386</v>
      </c>
      <c r="B746" s="48" t="s">
        <v>123</v>
      </c>
      <c r="C746" s="100" t="s">
        <v>134</v>
      </c>
      <c r="D746" s="838" t="s">
        <v>133</v>
      </c>
      <c r="E746" s="835"/>
      <c r="F746" s="835"/>
      <c r="G746" s="835"/>
      <c r="H746" s="100" t="s">
        <v>134</v>
      </c>
      <c r="I746" s="101">
        <v>72000</v>
      </c>
      <c r="J746" s="102">
        <v>72000</v>
      </c>
      <c r="K746" s="101">
        <v>42000</v>
      </c>
      <c r="L746" s="101">
        <v>72000</v>
      </c>
      <c r="M746" s="101"/>
      <c r="N746" s="10"/>
      <c r="O746" s="10"/>
      <c r="P746"/>
      <c r="Q746"/>
    </row>
    <row r="747" spans="1:17" s="146" customFormat="1" ht="18" customHeight="1" x14ac:dyDescent="0.25">
      <c r="A747" s="926" t="s">
        <v>1386</v>
      </c>
      <c r="B747" s="48" t="s">
        <v>123</v>
      </c>
      <c r="C747" s="131" t="s">
        <v>134</v>
      </c>
      <c r="D747" s="838" t="s">
        <v>133</v>
      </c>
      <c r="E747" s="835"/>
      <c r="F747" s="835"/>
      <c r="G747" s="835"/>
      <c r="H747" s="131" t="s">
        <v>134</v>
      </c>
      <c r="I747" s="105">
        <v>72000</v>
      </c>
      <c r="J747" s="106">
        <v>72000</v>
      </c>
      <c r="K747" s="105">
        <v>40500</v>
      </c>
      <c r="L747" s="105">
        <v>72000</v>
      </c>
      <c r="M747" s="105"/>
      <c r="N747" s="10"/>
      <c r="O747" s="10"/>
      <c r="P747"/>
      <c r="Q747"/>
    </row>
    <row r="748" spans="1:17" s="229" customFormat="1" ht="18" customHeight="1" x14ac:dyDescent="0.25">
      <c r="A748" s="926" t="s">
        <v>1386</v>
      </c>
      <c r="B748" s="48" t="s">
        <v>123</v>
      </c>
      <c r="C748" s="131" t="s">
        <v>134</v>
      </c>
      <c r="D748" s="931" t="s">
        <v>133</v>
      </c>
      <c r="E748" s="930"/>
      <c r="F748" s="930"/>
      <c r="G748" s="928"/>
      <c r="H748" s="131" t="s">
        <v>134</v>
      </c>
      <c r="I748" s="101">
        <v>70500</v>
      </c>
      <c r="J748" s="102">
        <v>72000</v>
      </c>
      <c r="K748" s="101">
        <v>40500</v>
      </c>
      <c r="L748" s="101">
        <v>72000</v>
      </c>
      <c r="M748" s="101"/>
      <c r="N748" s="207"/>
      <c r="O748" s="207"/>
      <c r="P748" s="212"/>
      <c r="Q748" s="212"/>
    </row>
    <row r="749" spans="1:17" s="229" customFormat="1" ht="18" customHeight="1" x14ac:dyDescent="0.25">
      <c r="A749" s="926" t="s">
        <v>1386</v>
      </c>
      <c r="B749" s="48" t="s">
        <v>123</v>
      </c>
      <c r="C749" s="131" t="s">
        <v>134</v>
      </c>
      <c r="D749" s="837" t="s">
        <v>133</v>
      </c>
      <c r="E749" s="836"/>
      <c r="F749" s="836"/>
      <c r="G749" s="928"/>
      <c r="H749" s="131" t="s">
        <v>134</v>
      </c>
      <c r="I749" s="101">
        <v>112000</v>
      </c>
      <c r="J749" s="102">
        <v>120000</v>
      </c>
      <c r="K749" s="101">
        <v>40500</v>
      </c>
      <c r="L749" s="101">
        <v>120000</v>
      </c>
      <c r="M749" s="101"/>
      <c r="N749" s="207"/>
      <c r="O749" s="207"/>
      <c r="P749" s="212"/>
      <c r="Q749" s="212"/>
    </row>
    <row r="750" spans="1:17" s="229" customFormat="1" ht="18" customHeight="1" x14ac:dyDescent="0.25">
      <c r="A750" s="926" t="s">
        <v>1386</v>
      </c>
      <c r="B750" s="48" t="s">
        <v>123</v>
      </c>
      <c r="C750" s="131" t="s">
        <v>134</v>
      </c>
      <c r="D750" s="931" t="s">
        <v>133</v>
      </c>
      <c r="E750" s="930"/>
      <c r="F750" s="930"/>
      <c r="G750" s="928"/>
      <c r="H750" s="131" t="s">
        <v>134</v>
      </c>
      <c r="I750" s="101">
        <v>70500</v>
      </c>
      <c r="J750" s="102">
        <v>120000</v>
      </c>
      <c r="K750" s="101">
        <v>40500</v>
      </c>
      <c r="L750" s="101">
        <v>120000</v>
      </c>
      <c r="M750" s="101"/>
      <c r="N750" s="207"/>
      <c r="O750" s="207">
        <f>1432325</f>
        <v>1432325</v>
      </c>
      <c r="P750" s="212"/>
      <c r="Q750" s="212"/>
    </row>
    <row r="751" spans="1:17" s="229" customFormat="1" ht="18" x14ac:dyDescent="0.25">
      <c r="A751" s="926" t="s">
        <v>1386</v>
      </c>
      <c r="B751" s="48" t="s">
        <v>123</v>
      </c>
      <c r="C751" s="131" t="s">
        <v>134</v>
      </c>
      <c r="D751" s="931" t="s">
        <v>133</v>
      </c>
      <c r="E751" s="928"/>
      <c r="F751" s="929"/>
      <c r="G751" s="929"/>
      <c r="H751" s="131" t="s">
        <v>134</v>
      </c>
      <c r="I751" s="101">
        <v>72000</v>
      </c>
      <c r="J751" s="102">
        <v>72000</v>
      </c>
      <c r="K751" s="101">
        <v>42000</v>
      </c>
      <c r="L751" s="101">
        <v>72000</v>
      </c>
      <c r="M751" s="101">
        <f>SUM(L740:L751)</f>
        <v>1752000</v>
      </c>
      <c r="N751" s="207"/>
      <c r="O751" s="207"/>
      <c r="P751" s="212"/>
      <c r="Q751" s="212"/>
    </row>
    <row r="752" spans="1:17" s="229" customFormat="1" ht="18" customHeight="1" x14ac:dyDescent="0.25">
      <c r="A752" s="926" t="s">
        <v>1386</v>
      </c>
      <c r="B752" s="48" t="s">
        <v>123</v>
      </c>
      <c r="C752" s="100" t="s">
        <v>138</v>
      </c>
      <c r="D752" s="837" t="s">
        <v>137</v>
      </c>
      <c r="E752" s="836"/>
      <c r="F752" s="836"/>
      <c r="G752" s="834"/>
      <c r="H752" s="100" t="s">
        <v>138</v>
      </c>
      <c r="I752" s="101">
        <v>36000</v>
      </c>
      <c r="J752" s="102">
        <v>66000</v>
      </c>
      <c r="K752" s="101">
        <v>54000</v>
      </c>
      <c r="L752" s="101">
        <v>66000</v>
      </c>
      <c r="M752" s="101"/>
      <c r="N752" s="207"/>
      <c r="O752" s="207"/>
      <c r="P752" s="212"/>
      <c r="Q752" s="212"/>
    </row>
    <row r="753" spans="1:17" s="229" customFormat="1" ht="18" customHeight="1" x14ac:dyDescent="0.25">
      <c r="A753" s="926" t="s">
        <v>1386</v>
      </c>
      <c r="B753" s="48" t="s">
        <v>123</v>
      </c>
      <c r="C753" s="131" t="s">
        <v>138</v>
      </c>
      <c r="D753" s="931" t="s">
        <v>137</v>
      </c>
      <c r="E753" s="930"/>
      <c r="F753" s="930"/>
      <c r="G753" s="928"/>
      <c r="H753" s="131" t="s">
        <v>138</v>
      </c>
      <c r="I753" s="101">
        <v>0</v>
      </c>
      <c r="J753" s="102">
        <v>180000</v>
      </c>
      <c r="K753" s="101">
        <v>72000</v>
      </c>
      <c r="L753" s="101">
        <v>180000</v>
      </c>
      <c r="M753" s="101"/>
      <c r="N753" s="207"/>
      <c r="O753" s="207"/>
      <c r="P753" s="212"/>
      <c r="Q753" s="212"/>
    </row>
    <row r="754" spans="1:17" s="229" customFormat="1" ht="18" customHeight="1" x14ac:dyDescent="0.25">
      <c r="A754" s="926" t="s">
        <v>1386</v>
      </c>
      <c r="B754" s="48" t="s">
        <v>123</v>
      </c>
      <c r="C754" s="100" t="s">
        <v>138</v>
      </c>
      <c r="D754" s="837" t="s">
        <v>137</v>
      </c>
      <c r="E754" s="836"/>
      <c r="F754" s="836"/>
      <c r="G754" s="834"/>
      <c r="H754" s="100" t="s">
        <v>138</v>
      </c>
      <c r="I754" s="101">
        <v>18000</v>
      </c>
      <c r="J754" s="102">
        <v>24000</v>
      </c>
      <c r="K754" s="101">
        <v>24000</v>
      </c>
      <c r="L754" s="101">
        <v>24000</v>
      </c>
      <c r="M754" s="101"/>
      <c r="N754" s="207"/>
      <c r="O754" s="207"/>
      <c r="P754" s="212"/>
      <c r="Q754" s="212"/>
    </row>
    <row r="755" spans="1:17" s="229" customFormat="1" ht="18" customHeight="1" x14ac:dyDescent="0.25">
      <c r="A755" s="926" t="s">
        <v>1386</v>
      </c>
      <c r="B755" s="48" t="s">
        <v>123</v>
      </c>
      <c r="C755" s="100" t="s">
        <v>138</v>
      </c>
      <c r="D755" s="837" t="s">
        <v>137</v>
      </c>
      <c r="E755" s="836"/>
      <c r="F755" s="836"/>
      <c r="G755" s="834"/>
      <c r="H755" s="100" t="s">
        <v>138</v>
      </c>
      <c r="I755" s="101">
        <v>12000</v>
      </c>
      <c r="J755" s="102">
        <v>24000</v>
      </c>
      <c r="K755" s="101">
        <v>12000</v>
      </c>
      <c r="L755" s="101">
        <v>24000</v>
      </c>
      <c r="M755" s="101"/>
      <c r="N755" s="207"/>
      <c r="O755" s="207"/>
      <c r="P755" s="212"/>
      <c r="Q755" s="212"/>
    </row>
    <row r="756" spans="1:17" s="229" customFormat="1" ht="18" customHeight="1" x14ac:dyDescent="0.25">
      <c r="A756" s="926" t="s">
        <v>1386</v>
      </c>
      <c r="B756" s="48" t="s">
        <v>123</v>
      </c>
      <c r="C756" s="131" t="s">
        <v>138</v>
      </c>
      <c r="D756" s="931" t="s">
        <v>137</v>
      </c>
      <c r="E756" s="930"/>
      <c r="F756" s="930"/>
      <c r="G756" s="928"/>
      <c r="H756" s="131" t="s">
        <v>138</v>
      </c>
      <c r="I756" s="101">
        <v>12000</v>
      </c>
      <c r="J756" s="102">
        <v>18000</v>
      </c>
      <c r="K756" s="101">
        <v>12000</v>
      </c>
      <c r="L756" s="101">
        <v>18000</v>
      </c>
      <c r="M756" s="101"/>
      <c r="N756" s="207"/>
      <c r="O756" s="207"/>
      <c r="P756" s="212"/>
      <c r="Q756" s="212"/>
    </row>
    <row r="757" spans="1:17" s="229" customFormat="1" ht="18" customHeight="1" x14ac:dyDescent="0.25">
      <c r="A757" s="926" t="s">
        <v>1386</v>
      </c>
      <c r="B757" s="48" t="s">
        <v>123</v>
      </c>
      <c r="C757" s="131" t="s">
        <v>138</v>
      </c>
      <c r="D757" s="931" t="s">
        <v>137</v>
      </c>
      <c r="E757" s="930"/>
      <c r="F757" s="930"/>
      <c r="G757" s="928"/>
      <c r="H757" s="131" t="s">
        <v>138</v>
      </c>
      <c r="I757" s="101">
        <v>18000</v>
      </c>
      <c r="J757" s="102">
        <v>24000</v>
      </c>
      <c r="K757" s="101">
        <v>18000</v>
      </c>
      <c r="L757" s="101">
        <v>24000</v>
      </c>
      <c r="M757" s="101"/>
      <c r="N757" s="207"/>
      <c r="O757" s="207"/>
      <c r="P757" s="212"/>
      <c r="Q757" s="212"/>
    </row>
    <row r="758" spans="1:17" s="229" customFormat="1" ht="18" customHeight="1" x14ac:dyDescent="0.25">
      <c r="A758" s="926" t="s">
        <v>1386</v>
      </c>
      <c r="B758" s="48" t="s">
        <v>123</v>
      </c>
      <c r="C758" s="131" t="s">
        <v>138</v>
      </c>
      <c r="D758" s="931" t="s">
        <v>137</v>
      </c>
      <c r="E758" s="930"/>
      <c r="F758" s="930"/>
      <c r="G758" s="928"/>
      <c r="H758" s="131" t="s">
        <v>138</v>
      </c>
      <c r="I758" s="105">
        <v>6000</v>
      </c>
      <c r="J758" s="106">
        <v>42000</v>
      </c>
      <c r="K758" s="105">
        <v>24000</v>
      </c>
      <c r="L758" s="105">
        <v>42000</v>
      </c>
      <c r="M758" s="105"/>
      <c r="N758" s="207"/>
      <c r="O758" s="207"/>
      <c r="P758" s="212"/>
      <c r="Q758" s="212"/>
    </row>
    <row r="759" spans="1:17" s="194" customFormat="1" ht="18" customHeight="1" x14ac:dyDescent="0.25">
      <c r="A759" s="926" t="s">
        <v>1386</v>
      </c>
      <c r="B759" s="48" t="s">
        <v>123</v>
      </c>
      <c r="C759" s="131" t="s">
        <v>138</v>
      </c>
      <c r="D759" s="837" t="s">
        <v>137</v>
      </c>
      <c r="E759" s="836"/>
      <c r="F759" s="836"/>
      <c r="G759" s="930"/>
      <c r="H759" s="131" t="s">
        <v>138</v>
      </c>
      <c r="I759" s="101">
        <v>72000</v>
      </c>
      <c r="J759" s="102">
        <v>222000</v>
      </c>
      <c r="K759" s="101">
        <v>198000</v>
      </c>
      <c r="L759" s="121">
        <v>222000</v>
      </c>
      <c r="M759" s="101"/>
      <c r="N759" s="10"/>
      <c r="O759" s="10"/>
      <c r="P759" s="191"/>
      <c r="Q759" s="191"/>
    </row>
    <row r="760" spans="1:17" s="194" customFormat="1" ht="18" customHeight="1" x14ac:dyDescent="0.25">
      <c r="A760" s="926" t="s">
        <v>1386</v>
      </c>
      <c r="B760" s="48" t="s">
        <v>123</v>
      </c>
      <c r="C760" s="131" t="s">
        <v>138</v>
      </c>
      <c r="D760" s="931" t="s">
        <v>137</v>
      </c>
      <c r="E760" s="930"/>
      <c r="F760" s="930"/>
      <c r="G760" s="930"/>
      <c r="H760" s="131" t="s">
        <v>138</v>
      </c>
      <c r="I760" s="101">
        <v>54000</v>
      </c>
      <c r="J760" s="102">
        <v>108000</v>
      </c>
      <c r="K760" s="101">
        <v>66000</v>
      </c>
      <c r="L760" s="101">
        <v>108000</v>
      </c>
      <c r="M760" s="101"/>
      <c r="N760" s="10"/>
      <c r="O760" s="10"/>
      <c r="P760" s="191"/>
      <c r="Q760" s="191"/>
    </row>
    <row r="761" spans="1:17" s="194" customFormat="1" ht="18" customHeight="1" x14ac:dyDescent="0.25">
      <c r="A761" s="926" t="s">
        <v>1386</v>
      </c>
      <c r="B761" s="48" t="s">
        <v>123</v>
      </c>
      <c r="C761" s="131" t="s">
        <v>138</v>
      </c>
      <c r="D761" s="837" t="s">
        <v>137</v>
      </c>
      <c r="E761" s="836"/>
      <c r="F761" s="836"/>
      <c r="G761" s="836"/>
      <c r="H761" s="131" t="s">
        <v>138</v>
      </c>
      <c r="I761" s="101"/>
      <c r="J761" s="102">
        <v>18000</v>
      </c>
      <c r="K761" s="101"/>
      <c r="L761" s="101">
        <v>18000</v>
      </c>
      <c r="M761" s="101"/>
      <c r="N761" s="10"/>
      <c r="O761" s="10"/>
      <c r="P761" s="191"/>
      <c r="Q761" s="191"/>
    </row>
    <row r="762" spans="1:17" ht="17.45" customHeight="1" x14ac:dyDescent="0.25">
      <c r="A762" s="926" t="s">
        <v>1386</v>
      </c>
      <c r="B762" s="48" t="s">
        <v>123</v>
      </c>
      <c r="C762" s="100" t="s">
        <v>138</v>
      </c>
      <c r="D762" s="838" t="s">
        <v>137</v>
      </c>
      <c r="E762" s="835"/>
      <c r="F762" s="835"/>
      <c r="G762" s="835"/>
      <c r="H762" s="100" t="s">
        <v>138</v>
      </c>
      <c r="I762" s="101">
        <v>0</v>
      </c>
      <c r="J762" s="102">
        <v>12000</v>
      </c>
      <c r="K762" s="101"/>
      <c r="L762" s="101">
        <v>12000</v>
      </c>
      <c r="M762" s="101"/>
    </row>
    <row r="763" spans="1:17" ht="17.45" customHeight="1" x14ac:dyDescent="0.25">
      <c r="A763" s="926" t="s">
        <v>1386</v>
      </c>
      <c r="B763" s="48" t="s">
        <v>123</v>
      </c>
      <c r="C763" s="100" t="s">
        <v>138</v>
      </c>
      <c r="D763" s="932" t="s">
        <v>137</v>
      </c>
      <c r="E763" s="929"/>
      <c r="F763" s="929"/>
      <c r="G763" s="929"/>
      <c r="H763" s="100" t="s">
        <v>138</v>
      </c>
      <c r="I763" s="101">
        <v>18000</v>
      </c>
      <c r="J763" s="102">
        <v>24000</v>
      </c>
      <c r="K763" s="101">
        <v>18000</v>
      </c>
      <c r="L763" s="101">
        <v>24000</v>
      </c>
      <c r="M763" s="101"/>
    </row>
    <row r="764" spans="1:17" ht="17.45" customHeight="1" x14ac:dyDescent="0.25">
      <c r="A764" s="926" t="s">
        <v>1386</v>
      </c>
      <c r="B764" s="48" t="s">
        <v>123</v>
      </c>
      <c r="C764" s="100" t="s">
        <v>138</v>
      </c>
      <c r="D764" s="932" t="s">
        <v>137</v>
      </c>
      <c r="E764" s="929"/>
      <c r="F764" s="929"/>
      <c r="G764" s="929"/>
      <c r="H764" s="100" t="s">
        <v>138</v>
      </c>
      <c r="I764" s="101">
        <v>48000</v>
      </c>
      <c r="J764" s="102">
        <v>84000</v>
      </c>
      <c r="K764" s="101">
        <v>54000</v>
      </c>
      <c r="L764" s="101">
        <v>84000</v>
      </c>
      <c r="M764" s="101"/>
    </row>
    <row r="765" spans="1:17" ht="17.45" customHeight="1" x14ac:dyDescent="0.25">
      <c r="A765" s="926" t="s">
        <v>1386</v>
      </c>
      <c r="B765" s="48" t="s">
        <v>123</v>
      </c>
      <c r="C765" s="100" t="s">
        <v>138</v>
      </c>
      <c r="D765" s="838" t="s">
        <v>137</v>
      </c>
      <c r="E765" s="835"/>
      <c r="F765" s="835"/>
      <c r="G765" s="835"/>
      <c r="H765" s="100" t="s">
        <v>138</v>
      </c>
      <c r="I765" s="101">
        <v>24000</v>
      </c>
      <c r="J765" s="102">
        <v>36000</v>
      </c>
      <c r="K765" s="101">
        <v>30000</v>
      </c>
      <c r="L765" s="101">
        <v>36000</v>
      </c>
      <c r="M765" s="101"/>
    </row>
    <row r="766" spans="1:17" ht="17.45" customHeight="1" x14ac:dyDescent="0.25">
      <c r="A766" s="926" t="s">
        <v>1386</v>
      </c>
      <c r="B766" s="48" t="s">
        <v>123</v>
      </c>
      <c r="C766" s="131" t="s">
        <v>138</v>
      </c>
      <c r="D766" s="932" t="s">
        <v>137</v>
      </c>
      <c r="E766" s="929"/>
      <c r="F766" s="929"/>
      <c r="G766" s="929"/>
      <c r="H766" s="131" t="s">
        <v>138</v>
      </c>
      <c r="I766" s="101">
        <v>48000</v>
      </c>
      <c r="J766" s="102">
        <v>78000</v>
      </c>
      <c r="K766" s="101">
        <v>48000</v>
      </c>
      <c r="L766" s="101">
        <v>78000</v>
      </c>
      <c r="M766" s="101"/>
    </row>
    <row r="767" spans="1:17" s="146" customFormat="1" ht="17.45" customHeight="1" x14ac:dyDescent="0.25">
      <c r="A767" s="926" t="s">
        <v>1386</v>
      </c>
      <c r="B767" s="48" t="s">
        <v>123</v>
      </c>
      <c r="C767" s="131" t="s">
        <v>138</v>
      </c>
      <c r="D767" s="931" t="s">
        <v>137</v>
      </c>
      <c r="E767" s="836"/>
      <c r="F767" s="836"/>
      <c r="G767" s="834"/>
      <c r="H767" s="131" t="s">
        <v>138</v>
      </c>
      <c r="I767" s="101">
        <v>180000</v>
      </c>
      <c r="J767" s="102">
        <v>270000</v>
      </c>
      <c r="K767" s="101">
        <v>222000</v>
      </c>
      <c r="L767" s="101">
        <v>270000</v>
      </c>
      <c r="M767" s="101"/>
      <c r="N767" s="10"/>
      <c r="O767" s="10"/>
      <c r="P767"/>
      <c r="Q767"/>
    </row>
    <row r="768" spans="1:17" s="146" customFormat="1" ht="17.45" customHeight="1" x14ac:dyDescent="0.25">
      <c r="A768" s="926" t="s">
        <v>1386</v>
      </c>
      <c r="B768" s="48" t="s">
        <v>123</v>
      </c>
      <c r="C768" s="131" t="s">
        <v>138</v>
      </c>
      <c r="D768" s="838" t="s">
        <v>137</v>
      </c>
      <c r="E768" s="835"/>
      <c r="F768" s="835"/>
      <c r="G768" s="835"/>
      <c r="H768" s="131" t="s">
        <v>138</v>
      </c>
      <c r="I768" s="101">
        <v>102000</v>
      </c>
      <c r="J768" s="102">
        <v>108000</v>
      </c>
      <c r="K768" s="101">
        <v>84000</v>
      </c>
      <c r="L768" s="101">
        <v>108000</v>
      </c>
      <c r="M768" s="101"/>
      <c r="N768" s="10"/>
      <c r="O768" s="10"/>
      <c r="P768"/>
      <c r="Q768"/>
    </row>
    <row r="769" spans="1:17" s="146" customFormat="1" ht="17.45" customHeight="1" x14ac:dyDescent="0.25">
      <c r="A769" s="926" t="s">
        <v>1386</v>
      </c>
      <c r="B769" s="48" t="s">
        <v>123</v>
      </c>
      <c r="C769" s="131" t="s">
        <v>138</v>
      </c>
      <c r="D769" s="932" t="s">
        <v>137</v>
      </c>
      <c r="E769" s="929"/>
      <c r="F769" s="929"/>
      <c r="G769" s="929"/>
      <c r="H769" s="131" t="s">
        <v>138</v>
      </c>
      <c r="I769" s="101">
        <v>48000</v>
      </c>
      <c r="J769" s="102">
        <v>72000</v>
      </c>
      <c r="K769" s="101">
        <v>42000</v>
      </c>
      <c r="L769" s="101">
        <v>72000</v>
      </c>
      <c r="M769" s="101"/>
      <c r="N769" s="10"/>
      <c r="O769" s="10"/>
      <c r="P769"/>
      <c r="Q769"/>
    </row>
    <row r="770" spans="1:17" s="146" customFormat="1" ht="17.45" customHeight="1" x14ac:dyDescent="0.25">
      <c r="A770" s="926" t="s">
        <v>1386</v>
      </c>
      <c r="B770" s="48" t="s">
        <v>123</v>
      </c>
      <c r="C770" s="131" t="s">
        <v>138</v>
      </c>
      <c r="D770" s="932" t="s">
        <v>137</v>
      </c>
      <c r="E770" s="929"/>
      <c r="F770" s="929"/>
      <c r="G770" s="929"/>
      <c r="H770" s="131" t="s">
        <v>138</v>
      </c>
      <c r="I770" s="101">
        <v>24000</v>
      </c>
      <c r="J770" s="102">
        <v>24000</v>
      </c>
      <c r="K770" s="101">
        <v>24000</v>
      </c>
      <c r="L770" s="101">
        <v>24000</v>
      </c>
      <c r="M770" s="101">
        <f>SUM(L752:L770)</f>
        <v>1434000</v>
      </c>
      <c r="N770" s="10"/>
      <c r="O770" s="10"/>
      <c r="P770"/>
      <c r="Q770"/>
    </row>
    <row r="771" spans="1:17" s="146" customFormat="1" ht="17.45" customHeight="1" x14ac:dyDescent="0.25">
      <c r="A771" s="926" t="s">
        <v>1386</v>
      </c>
      <c r="B771" s="48" t="s">
        <v>123</v>
      </c>
      <c r="C771" s="131" t="s">
        <v>212</v>
      </c>
      <c r="D771" s="937" t="s">
        <v>211</v>
      </c>
      <c r="E771" s="835"/>
      <c r="F771" s="835"/>
      <c r="G771" s="835"/>
      <c r="H771" s="131" t="s">
        <v>212</v>
      </c>
      <c r="I771" s="101"/>
      <c r="J771" s="102"/>
      <c r="K771" s="101"/>
      <c r="L771" s="101">
        <v>1800</v>
      </c>
      <c r="M771" s="101"/>
      <c r="N771" s="10"/>
      <c r="O771" s="10"/>
      <c r="P771"/>
      <c r="Q771"/>
    </row>
    <row r="772" spans="1:17" s="146" customFormat="1" ht="17.45" customHeight="1" x14ac:dyDescent="0.25">
      <c r="A772" s="926" t="s">
        <v>1386</v>
      </c>
      <c r="B772" s="48" t="s">
        <v>123</v>
      </c>
      <c r="C772" s="100" t="s">
        <v>146</v>
      </c>
      <c r="D772" s="932" t="s">
        <v>145</v>
      </c>
      <c r="E772" s="929"/>
      <c r="F772" s="929"/>
      <c r="G772" s="929"/>
      <c r="H772" s="100" t="s">
        <v>146</v>
      </c>
      <c r="I772" s="101">
        <v>65000</v>
      </c>
      <c r="J772" s="102">
        <v>55000</v>
      </c>
      <c r="K772" s="101"/>
      <c r="L772" s="101">
        <v>55000</v>
      </c>
      <c r="M772" s="101"/>
      <c r="N772" s="10"/>
      <c r="O772" s="10"/>
      <c r="P772"/>
      <c r="Q772"/>
    </row>
    <row r="773" spans="1:17" s="146" customFormat="1" ht="17.45" customHeight="1" x14ac:dyDescent="0.25">
      <c r="A773" s="926" t="s">
        <v>1386</v>
      </c>
      <c r="B773" s="48" t="s">
        <v>123</v>
      </c>
      <c r="C773" s="131" t="s">
        <v>146</v>
      </c>
      <c r="D773" s="931" t="s">
        <v>145</v>
      </c>
      <c r="E773" s="930"/>
      <c r="F773" s="930"/>
      <c r="G773" s="928"/>
      <c r="H773" s="131" t="s">
        <v>146</v>
      </c>
      <c r="I773" s="101">
        <v>45000</v>
      </c>
      <c r="J773" s="102">
        <v>150000</v>
      </c>
      <c r="K773" s="101"/>
      <c r="L773" s="101">
        <v>150000</v>
      </c>
      <c r="M773" s="101"/>
      <c r="N773" s="10"/>
      <c r="O773" s="10"/>
      <c r="P773"/>
      <c r="Q773"/>
    </row>
    <row r="774" spans="1:17" s="146" customFormat="1" ht="17.45" customHeight="1" x14ac:dyDescent="0.25">
      <c r="A774" s="926" t="s">
        <v>1386</v>
      </c>
      <c r="B774" s="48" t="s">
        <v>123</v>
      </c>
      <c r="C774" s="100" t="s">
        <v>146</v>
      </c>
      <c r="D774" s="932" t="s">
        <v>145</v>
      </c>
      <c r="E774" s="929"/>
      <c r="F774" s="929"/>
      <c r="G774" s="929"/>
      <c r="H774" s="100" t="s">
        <v>146</v>
      </c>
      <c r="I774" s="101">
        <v>20000</v>
      </c>
      <c r="J774" s="102">
        <v>20000</v>
      </c>
      <c r="K774" s="101"/>
      <c r="L774" s="101">
        <v>20000</v>
      </c>
      <c r="M774" s="101"/>
      <c r="N774" s="10"/>
      <c r="O774" s="10"/>
      <c r="P774"/>
      <c r="Q774"/>
    </row>
    <row r="775" spans="1:17" s="146" customFormat="1" ht="17.45" customHeight="1" x14ac:dyDescent="0.25">
      <c r="A775" s="926" t="s">
        <v>1386</v>
      </c>
      <c r="B775" s="48" t="s">
        <v>123</v>
      </c>
      <c r="C775" s="100" t="s">
        <v>146</v>
      </c>
      <c r="D775" s="932" t="s">
        <v>145</v>
      </c>
      <c r="E775" s="929"/>
      <c r="F775" s="835"/>
      <c r="G775" s="835"/>
      <c r="H775" s="100" t="s">
        <v>146</v>
      </c>
      <c r="I775" s="101">
        <v>10000</v>
      </c>
      <c r="J775" s="102">
        <v>20000</v>
      </c>
      <c r="K775" s="101"/>
      <c r="L775" s="101">
        <v>20000</v>
      </c>
      <c r="M775" s="101"/>
      <c r="N775" s="10"/>
      <c r="O775" s="10"/>
      <c r="P775"/>
      <c r="Q775"/>
    </row>
    <row r="776" spans="1:17" s="146" customFormat="1" ht="17.45" customHeight="1" x14ac:dyDescent="0.25">
      <c r="A776" s="926" t="s">
        <v>1386</v>
      </c>
      <c r="B776" s="48" t="s">
        <v>123</v>
      </c>
      <c r="C776" s="131" t="s">
        <v>146</v>
      </c>
      <c r="D776" s="838" t="s">
        <v>145</v>
      </c>
      <c r="E776" s="835"/>
      <c r="F776" s="835"/>
      <c r="G776" s="835"/>
      <c r="H776" s="131" t="s">
        <v>146</v>
      </c>
      <c r="I776" s="101">
        <v>10000</v>
      </c>
      <c r="J776" s="102">
        <v>15000</v>
      </c>
      <c r="K776" s="101"/>
      <c r="L776" s="101">
        <v>15000</v>
      </c>
      <c r="M776" s="101"/>
      <c r="N776" s="10"/>
      <c r="O776" s="10"/>
      <c r="P776"/>
      <c r="Q776"/>
    </row>
    <row r="777" spans="1:17" s="146" customFormat="1" ht="17.45" customHeight="1" x14ac:dyDescent="0.25">
      <c r="A777" s="926" t="s">
        <v>1386</v>
      </c>
      <c r="B777" s="48" t="s">
        <v>123</v>
      </c>
      <c r="C777" s="131" t="s">
        <v>146</v>
      </c>
      <c r="D777" s="932" t="s">
        <v>145</v>
      </c>
      <c r="E777" s="929"/>
      <c r="F777" s="929"/>
      <c r="G777" s="929"/>
      <c r="H777" s="131" t="s">
        <v>146</v>
      </c>
      <c r="I777" s="105">
        <v>15000</v>
      </c>
      <c r="J777" s="106">
        <v>20000</v>
      </c>
      <c r="K777" s="105"/>
      <c r="L777" s="105">
        <v>20000</v>
      </c>
      <c r="M777" s="105"/>
      <c r="N777" s="10"/>
      <c r="O777" s="10"/>
      <c r="P777"/>
      <c r="Q777"/>
    </row>
    <row r="778" spans="1:17" s="229" customFormat="1" ht="17.45" customHeight="1" x14ac:dyDescent="0.25">
      <c r="A778" s="926" t="s">
        <v>1386</v>
      </c>
      <c r="B778" s="48" t="s">
        <v>123</v>
      </c>
      <c r="C778" s="131" t="s">
        <v>146</v>
      </c>
      <c r="D778" s="931" t="s">
        <v>145</v>
      </c>
      <c r="E778" s="930"/>
      <c r="F778" s="930"/>
      <c r="G778" s="928"/>
      <c r="H778" s="131" t="s">
        <v>146</v>
      </c>
      <c r="I778" s="101">
        <v>20000</v>
      </c>
      <c r="J778" s="102">
        <v>35000</v>
      </c>
      <c r="K778" s="101"/>
      <c r="L778" s="101">
        <v>35000</v>
      </c>
      <c r="M778" s="101"/>
      <c r="N778" s="207"/>
      <c r="O778" s="207"/>
      <c r="P778" s="212"/>
      <c r="Q778" s="212"/>
    </row>
    <row r="779" spans="1:17" s="229" customFormat="1" ht="17.45" customHeight="1" x14ac:dyDescent="0.25">
      <c r="A779" s="926" t="s">
        <v>1386</v>
      </c>
      <c r="B779" s="48" t="s">
        <v>123</v>
      </c>
      <c r="C779" s="131" t="s">
        <v>146</v>
      </c>
      <c r="D779" s="837" t="s">
        <v>145</v>
      </c>
      <c r="E779" s="836"/>
      <c r="F779" s="836"/>
      <c r="G779" s="834"/>
      <c r="H779" s="131" t="s">
        <v>146</v>
      </c>
      <c r="I779" s="101">
        <v>176500</v>
      </c>
      <c r="J779" s="102">
        <v>185000</v>
      </c>
      <c r="K779" s="101"/>
      <c r="L779" s="101">
        <v>185000</v>
      </c>
      <c r="M779" s="101"/>
      <c r="N779" s="207"/>
      <c r="O779" s="207"/>
      <c r="P779" s="212"/>
      <c r="Q779" s="212"/>
    </row>
    <row r="780" spans="1:17" s="229" customFormat="1" ht="17.45" customHeight="1" x14ac:dyDescent="0.25">
      <c r="A780" s="926" t="s">
        <v>1386</v>
      </c>
      <c r="B780" s="48" t="s">
        <v>123</v>
      </c>
      <c r="C780" s="131" t="s">
        <v>146</v>
      </c>
      <c r="D780" s="931" t="s">
        <v>145</v>
      </c>
      <c r="E780" s="930"/>
      <c r="F780" s="930"/>
      <c r="G780" s="928"/>
      <c r="H780" s="131" t="s">
        <v>146</v>
      </c>
      <c r="I780" s="101">
        <v>55000</v>
      </c>
      <c r="J780" s="102">
        <v>90000</v>
      </c>
      <c r="K780" s="101"/>
      <c r="L780" s="101">
        <v>90000</v>
      </c>
      <c r="M780" s="101"/>
      <c r="N780" s="207">
        <f>62150+59500</f>
        <v>121650</v>
      </c>
      <c r="O780" s="207"/>
      <c r="P780" s="212"/>
      <c r="Q780" s="212"/>
    </row>
    <row r="781" spans="1:17" s="229" customFormat="1" ht="17.45" customHeight="1" x14ac:dyDescent="0.25">
      <c r="A781" s="926" t="s">
        <v>1386</v>
      </c>
      <c r="B781" s="48" t="s">
        <v>123</v>
      </c>
      <c r="C781" s="131" t="s">
        <v>146</v>
      </c>
      <c r="D781" s="837" t="s">
        <v>145</v>
      </c>
      <c r="E781" s="836"/>
      <c r="F781" s="836"/>
      <c r="G781" s="928"/>
      <c r="H781" s="131" t="s">
        <v>146</v>
      </c>
      <c r="I781" s="101"/>
      <c r="J781" s="102">
        <v>15000</v>
      </c>
      <c r="K781" s="101"/>
      <c r="L781" s="101">
        <v>15000</v>
      </c>
      <c r="M781" s="101"/>
      <c r="N781" s="207"/>
      <c r="O781" s="207"/>
      <c r="P781" s="212"/>
      <c r="Q781" s="212"/>
    </row>
    <row r="782" spans="1:17" s="229" customFormat="1" ht="17.45" customHeight="1" x14ac:dyDescent="0.25">
      <c r="A782" s="926" t="s">
        <v>1386</v>
      </c>
      <c r="B782" s="48" t="s">
        <v>123</v>
      </c>
      <c r="C782" s="100" t="s">
        <v>146</v>
      </c>
      <c r="D782" s="931" t="s">
        <v>145</v>
      </c>
      <c r="E782" s="930"/>
      <c r="F782" s="930"/>
      <c r="G782" s="928"/>
      <c r="H782" s="100" t="s">
        <v>146</v>
      </c>
      <c r="I782" s="101">
        <v>0</v>
      </c>
      <c r="J782" s="102">
        <v>10000</v>
      </c>
      <c r="K782" s="101"/>
      <c r="L782" s="101">
        <v>10000</v>
      </c>
      <c r="M782" s="101"/>
      <c r="N782" s="207"/>
      <c r="O782" s="207"/>
      <c r="P782" s="212"/>
      <c r="Q782" s="212"/>
    </row>
    <row r="783" spans="1:17" s="229" customFormat="1" ht="17.45" customHeight="1" x14ac:dyDescent="0.25">
      <c r="A783" s="926" t="s">
        <v>1386</v>
      </c>
      <c r="B783" s="48" t="s">
        <v>123</v>
      </c>
      <c r="C783" s="100" t="s">
        <v>146</v>
      </c>
      <c r="D783" s="837" t="s">
        <v>145</v>
      </c>
      <c r="E783" s="836"/>
      <c r="F783" s="836"/>
      <c r="G783" s="834"/>
      <c r="H783" s="100" t="s">
        <v>146</v>
      </c>
      <c r="I783" s="101">
        <v>15000</v>
      </c>
      <c r="J783" s="102">
        <v>20000</v>
      </c>
      <c r="K783" s="101"/>
      <c r="L783" s="101">
        <v>20000</v>
      </c>
      <c r="M783" s="101"/>
      <c r="N783" s="207"/>
      <c r="O783" s="207"/>
      <c r="P783" s="212"/>
      <c r="Q783" s="212"/>
    </row>
    <row r="784" spans="1:17" s="229" customFormat="1" ht="17.45" customHeight="1" x14ac:dyDescent="0.25">
      <c r="A784" s="926" t="s">
        <v>1386</v>
      </c>
      <c r="B784" s="48" t="s">
        <v>123</v>
      </c>
      <c r="C784" s="100" t="s">
        <v>146</v>
      </c>
      <c r="D784" s="837" t="s">
        <v>145</v>
      </c>
      <c r="E784" s="836"/>
      <c r="F784" s="836"/>
      <c r="G784" s="928"/>
      <c r="H784" s="100" t="s">
        <v>146</v>
      </c>
      <c r="I784" s="101">
        <v>45000</v>
      </c>
      <c r="J784" s="102">
        <v>70000</v>
      </c>
      <c r="K784" s="101"/>
      <c r="L784" s="101">
        <v>70000</v>
      </c>
      <c r="M784" s="101"/>
      <c r="N784" s="207"/>
      <c r="O784" s="207"/>
      <c r="P784" s="212"/>
      <c r="Q784" s="212"/>
    </row>
    <row r="785" spans="1:17" s="229" customFormat="1" ht="17.45" customHeight="1" x14ac:dyDescent="0.25">
      <c r="A785" s="926" t="s">
        <v>1386</v>
      </c>
      <c r="B785" s="48" t="s">
        <v>123</v>
      </c>
      <c r="C785" s="100" t="s">
        <v>146</v>
      </c>
      <c r="D785" s="931" t="s">
        <v>145</v>
      </c>
      <c r="E785" s="930"/>
      <c r="F785" s="930"/>
      <c r="G785" s="928"/>
      <c r="H785" s="100" t="s">
        <v>146</v>
      </c>
      <c r="I785" s="101">
        <v>25000</v>
      </c>
      <c r="J785" s="102">
        <v>30000</v>
      </c>
      <c r="K785" s="101"/>
      <c r="L785" s="101">
        <v>30000</v>
      </c>
      <c r="M785" s="101"/>
      <c r="N785" s="207"/>
      <c r="O785" s="207"/>
      <c r="P785" s="212"/>
      <c r="Q785" s="212"/>
    </row>
    <row r="786" spans="1:17" s="146" customFormat="1" ht="17.45" customHeight="1" x14ac:dyDescent="0.25">
      <c r="A786" s="926" t="s">
        <v>1386</v>
      </c>
      <c r="B786" s="48" t="s">
        <v>123</v>
      </c>
      <c r="C786" s="131" t="s">
        <v>146</v>
      </c>
      <c r="D786" s="838" t="s">
        <v>145</v>
      </c>
      <c r="E786" s="835"/>
      <c r="F786" s="835"/>
      <c r="G786" s="835"/>
      <c r="H786" s="131" t="s">
        <v>146</v>
      </c>
      <c r="I786" s="101">
        <v>40000</v>
      </c>
      <c r="J786" s="102">
        <v>65000</v>
      </c>
      <c r="K786" s="101"/>
      <c r="L786" s="101">
        <v>65000</v>
      </c>
      <c r="M786" s="101"/>
      <c r="N786" s="10"/>
      <c r="O786" s="10"/>
      <c r="P786"/>
      <c r="Q786"/>
    </row>
    <row r="787" spans="1:17" s="146" customFormat="1" ht="17.45" customHeight="1" x14ac:dyDescent="0.25">
      <c r="A787" s="926" t="s">
        <v>1386</v>
      </c>
      <c r="B787" s="48" t="s">
        <v>123</v>
      </c>
      <c r="C787" s="131" t="s">
        <v>146</v>
      </c>
      <c r="D787" s="932" t="s">
        <v>145</v>
      </c>
      <c r="E787" s="929"/>
      <c r="F787" s="929"/>
      <c r="G787" s="929"/>
      <c r="H787" s="131" t="s">
        <v>146</v>
      </c>
      <c r="I787" s="105">
        <v>185000</v>
      </c>
      <c r="J787" s="106">
        <v>225000</v>
      </c>
      <c r="K787" s="105"/>
      <c r="L787" s="105">
        <v>225000</v>
      </c>
      <c r="M787" s="105"/>
      <c r="N787" s="10"/>
      <c r="O787" s="10"/>
      <c r="P787"/>
      <c r="Q787"/>
    </row>
    <row r="788" spans="1:17" s="146" customFormat="1" ht="17.45" customHeight="1" x14ac:dyDescent="0.25">
      <c r="A788" s="926" t="s">
        <v>1386</v>
      </c>
      <c r="B788" s="48" t="s">
        <v>123</v>
      </c>
      <c r="C788" s="131" t="s">
        <v>146</v>
      </c>
      <c r="D788" s="701" t="s">
        <v>145</v>
      </c>
      <c r="E788" s="935"/>
      <c r="F788" s="930"/>
      <c r="G788" s="930"/>
      <c r="H788" s="131" t="s">
        <v>146</v>
      </c>
      <c r="I788" s="101">
        <v>75000</v>
      </c>
      <c r="J788" s="102">
        <v>90000</v>
      </c>
      <c r="K788" s="101"/>
      <c r="L788" s="121">
        <v>90000</v>
      </c>
      <c r="M788" s="101"/>
      <c r="N788" s="10"/>
      <c r="O788" s="10">
        <f>115000*3</f>
        <v>345000</v>
      </c>
      <c r="P788"/>
      <c r="Q788"/>
    </row>
    <row r="789" spans="1:17" s="146" customFormat="1" ht="17.45" customHeight="1" x14ac:dyDescent="0.25">
      <c r="A789" s="926" t="s">
        <v>1386</v>
      </c>
      <c r="B789" s="48" t="s">
        <v>123</v>
      </c>
      <c r="C789" s="131" t="s">
        <v>146</v>
      </c>
      <c r="D789" s="837" t="s">
        <v>145</v>
      </c>
      <c r="E789" s="836"/>
      <c r="F789" s="836"/>
      <c r="G789" s="930"/>
      <c r="H789" s="131" t="s">
        <v>146</v>
      </c>
      <c r="I789" s="101">
        <v>40000</v>
      </c>
      <c r="J789" s="102">
        <v>60000</v>
      </c>
      <c r="K789" s="101"/>
      <c r="L789" s="101">
        <v>60000</v>
      </c>
      <c r="M789" s="101"/>
      <c r="N789" s="10"/>
      <c r="O789" s="10">
        <f>80000*3</f>
        <v>240000</v>
      </c>
      <c r="P789"/>
      <c r="Q789"/>
    </row>
    <row r="790" spans="1:17" s="146" customFormat="1" ht="17.45" customHeight="1" x14ac:dyDescent="0.25">
      <c r="A790" s="926" t="s">
        <v>1386</v>
      </c>
      <c r="B790" s="48" t="s">
        <v>123</v>
      </c>
      <c r="C790" s="131" t="s">
        <v>146</v>
      </c>
      <c r="D790" s="837" t="s">
        <v>145</v>
      </c>
      <c r="E790" s="836"/>
      <c r="F790" s="836"/>
      <c r="G790" s="930"/>
      <c r="H790" s="131" t="s">
        <v>146</v>
      </c>
      <c r="I790" s="101">
        <v>20000</v>
      </c>
      <c r="J790" s="102">
        <v>20000</v>
      </c>
      <c r="K790" s="101"/>
      <c r="L790" s="101">
        <v>20000</v>
      </c>
      <c r="M790" s="101">
        <f>SUM(L772:L790)</f>
        <v>1195000</v>
      </c>
      <c r="N790" s="10"/>
      <c r="O790" s="10"/>
      <c r="P790"/>
      <c r="Q790"/>
    </row>
    <row r="791" spans="1:17" s="146" customFormat="1" ht="17.45" customHeight="1" x14ac:dyDescent="0.25">
      <c r="A791" s="926" t="s">
        <v>1386</v>
      </c>
      <c r="B791" s="48" t="s">
        <v>123</v>
      </c>
      <c r="C791" s="131" t="s">
        <v>150</v>
      </c>
      <c r="D791" s="931" t="s">
        <v>149</v>
      </c>
      <c r="E791" s="930"/>
      <c r="F791" s="930"/>
      <c r="G791" s="930"/>
      <c r="H791" s="131" t="s">
        <v>150</v>
      </c>
      <c r="I791" s="101">
        <v>144900</v>
      </c>
      <c r="J791" s="102">
        <v>0</v>
      </c>
      <c r="K791" s="101"/>
      <c r="L791" s="101">
        <v>84234</v>
      </c>
      <c r="M791" s="101"/>
      <c r="N791" s="10"/>
      <c r="O791" s="10"/>
      <c r="P791"/>
      <c r="Q791"/>
    </row>
    <row r="792" spans="1:17" s="146" customFormat="1" ht="17.45" customHeight="1" x14ac:dyDescent="0.25">
      <c r="A792" s="926" t="s">
        <v>1386</v>
      </c>
      <c r="B792" s="48" t="s">
        <v>123</v>
      </c>
      <c r="C792" s="131" t="s">
        <v>232</v>
      </c>
      <c r="D792" s="936" t="s">
        <v>231</v>
      </c>
      <c r="E792" s="930"/>
      <c r="F792" s="930"/>
      <c r="G792" s="930"/>
      <c r="H792" s="131" t="s">
        <v>232</v>
      </c>
      <c r="I792" s="101"/>
      <c r="J792" s="102"/>
      <c r="K792" s="101"/>
      <c r="L792" s="101">
        <v>35000</v>
      </c>
      <c r="M792" s="101"/>
      <c r="N792" s="10"/>
      <c r="O792" s="10"/>
      <c r="P792"/>
      <c r="Q792"/>
    </row>
    <row r="793" spans="1:17" s="208" customFormat="1" ht="18" customHeight="1" x14ac:dyDescent="0.25">
      <c r="A793" s="926" t="s">
        <v>1386</v>
      </c>
      <c r="B793" s="48" t="s">
        <v>123</v>
      </c>
      <c r="C793" s="195" t="s">
        <v>148</v>
      </c>
      <c r="D793" s="936" t="s">
        <v>231</v>
      </c>
      <c r="E793" s="930"/>
      <c r="F793" s="930"/>
      <c r="G793" s="930"/>
      <c r="H793" s="195" t="s">
        <v>148</v>
      </c>
      <c r="I793" s="101">
        <v>5000</v>
      </c>
      <c r="J793" s="233">
        <v>10000</v>
      </c>
      <c r="K793" s="101"/>
      <c r="L793" s="101">
        <v>5000</v>
      </c>
      <c r="M793" s="101"/>
      <c r="N793" s="207"/>
      <c r="O793" s="207"/>
    </row>
    <row r="794" spans="1:17" s="146" customFormat="1" ht="18" customHeight="1" x14ac:dyDescent="0.25">
      <c r="A794" s="926" t="s">
        <v>1386</v>
      </c>
      <c r="B794" s="48" t="s">
        <v>123</v>
      </c>
      <c r="C794" s="131" t="s">
        <v>232</v>
      </c>
      <c r="D794" s="937" t="s">
        <v>231</v>
      </c>
      <c r="E794" s="835"/>
      <c r="F794" s="835"/>
      <c r="G794" s="835"/>
      <c r="H794" s="131" t="s">
        <v>232</v>
      </c>
      <c r="I794" s="101"/>
      <c r="J794" s="102"/>
      <c r="K794" s="101"/>
      <c r="L794" s="101">
        <v>10000</v>
      </c>
      <c r="M794" s="101"/>
      <c r="N794" s="10"/>
      <c r="O794" s="10"/>
      <c r="P794"/>
      <c r="Q794"/>
    </row>
    <row r="795" spans="1:17" s="146" customFormat="1" ht="18" customHeight="1" x14ac:dyDescent="0.25">
      <c r="A795" s="926" t="s">
        <v>1386</v>
      </c>
      <c r="B795" s="48" t="s">
        <v>123</v>
      </c>
      <c r="C795" s="131" t="s">
        <v>232</v>
      </c>
      <c r="D795" s="932" t="s">
        <v>231</v>
      </c>
      <c r="E795" s="929"/>
      <c r="F795" s="929"/>
      <c r="G795" s="929"/>
      <c r="H795" s="131" t="s">
        <v>232</v>
      </c>
      <c r="I795" s="101">
        <v>20000</v>
      </c>
      <c r="J795" s="102">
        <v>10000</v>
      </c>
      <c r="K795" s="101"/>
      <c r="L795" s="101">
        <v>30000</v>
      </c>
      <c r="M795" s="101"/>
      <c r="N795" s="10"/>
      <c r="O795" s="10"/>
      <c r="P795"/>
      <c r="Q795"/>
    </row>
    <row r="796" spans="1:17" s="146" customFormat="1" ht="18" customHeight="1" x14ac:dyDescent="0.25">
      <c r="A796" s="926" t="s">
        <v>1386</v>
      </c>
      <c r="B796" s="48" t="s">
        <v>123</v>
      </c>
      <c r="C796" s="131" t="s">
        <v>232</v>
      </c>
      <c r="D796" s="838" t="s">
        <v>231</v>
      </c>
      <c r="E796" s="835"/>
      <c r="F796" s="835"/>
      <c r="G796" s="835"/>
      <c r="H796" s="131" t="s">
        <v>232</v>
      </c>
      <c r="I796" s="101">
        <v>15000</v>
      </c>
      <c r="J796" s="102">
        <v>10000</v>
      </c>
      <c r="K796" s="101"/>
      <c r="L796" s="101">
        <v>10000</v>
      </c>
      <c r="M796" s="101"/>
      <c r="N796" s="10"/>
      <c r="O796" s="10"/>
      <c r="P796"/>
      <c r="Q796"/>
    </row>
    <row r="797" spans="1:17" s="146" customFormat="1" ht="18" customHeight="1" x14ac:dyDescent="0.25">
      <c r="A797" s="926" t="s">
        <v>1386</v>
      </c>
      <c r="B797" s="48" t="s">
        <v>123</v>
      </c>
      <c r="C797" s="131" t="s">
        <v>232</v>
      </c>
      <c r="D797" s="937" t="s">
        <v>231</v>
      </c>
      <c r="E797" s="929"/>
      <c r="F797" s="929"/>
      <c r="G797" s="929"/>
      <c r="H797" s="131" t="s">
        <v>232</v>
      </c>
      <c r="I797" s="101"/>
      <c r="J797" s="102"/>
      <c r="K797" s="101"/>
      <c r="L797" s="101">
        <v>5000</v>
      </c>
      <c r="M797" s="101">
        <f>SUM(L792:L797)</f>
        <v>95000</v>
      </c>
      <c r="N797" s="10"/>
      <c r="O797" s="10"/>
      <c r="P797"/>
      <c r="Q797"/>
    </row>
    <row r="798" spans="1:17" s="146" customFormat="1" ht="18" customHeight="1" x14ac:dyDescent="0.25">
      <c r="A798" s="926" t="s">
        <v>1386</v>
      </c>
      <c r="B798" s="48" t="s">
        <v>123</v>
      </c>
      <c r="C798" s="131" t="s">
        <v>232</v>
      </c>
      <c r="D798" s="937" t="s">
        <v>135</v>
      </c>
      <c r="E798" s="929"/>
      <c r="F798" s="929"/>
      <c r="G798" s="929"/>
      <c r="H798" s="131" t="s">
        <v>232</v>
      </c>
      <c r="I798" s="101">
        <v>2729.06</v>
      </c>
      <c r="J798" s="102">
        <v>93729.55</v>
      </c>
      <c r="K798" s="101">
        <v>57231.78</v>
      </c>
      <c r="L798" s="102">
        <v>306733.64</v>
      </c>
      <c r="M798" s="101"/>
      <c r="N798" s="10"/>
      <c r="O798" s="10"/>
      <c r="P798"/>
      <c r="Q798"/>
    </row>
    <row r="799" spans="1:17" s="146" customFormat="1" ht="18" customHeight="1" x14ac:dyDescent="0.25">
      <c r="A799" s="926" t="s">
        <v>1386</v>
      </c>
      <c r="B799" s="48" t="s">
        <v>123</v>
      </c>
      <c r="C799" s="100" t="s">
        <v>136</v>
      </c>
      <c r="D799" s="932" t="s">
        <v>135</v>
      </c>
      <c r="E799" s="929"/>
      <c r="F799" s="929"/>
      <c r="G799" s="929"/>
      <c r="H799" s="100" t="s">
        <v>136</v>
      </c>
      <c r="I799" s="101">
        <v>477040.65</v>
      </c>
      <c r="J799" s="102">
        <v>129892.15</v>
      </c>
      <c r="K799" s="101">
        <v>188147.95</v>
      </c>
      <c r="L799" s="102">
        <v>449366.65</v>
      </c>
      <c r="M799" s="101"/>
      <c r="N799" s="10"/>
      <c r="O799" s="10"/>
      <c r="P799"/>
      <c r="Q799"/>
    </row>
    <row r="800" spans="1:17" s="146" customFormat="1" ht="18" customHeight="1" x14ac:dyDescent="0.25">
      <c r="A800" s="926" t="s">
        <v>1386</v>
      </c>
      <c r="B800" s="48" t="s">
        <v>123</v>
      </c>
      <c r="C800" s="131" t="s">
        <v>136</v>
      </c>
      <c r="D800" s="838" t="s">
        <v>135</v>
      </c>
      <c r="E800" s="835"/>
      <c r="F800" s="835"/>
      <c r="G800" s="835"/>
      <c r="H800" s="131" t="s">
        <v>136</v>
      </c>
      <c r="I800" s="101">
        <v>176070.76</v>
      </c>
      <c r="J800" s="102">
        <v>701230</v>
      </c>
      <c r="K800" s="101">
        <v>215394.07</v>
      </c>
      <c r="L800" s="101">
        <v>625404.56000000006</v>
      </c>
      <c r="M800" s="101"/>
      <c r="N800" s="10"/>
      <c r="O800" s="10"/>
      <c r="P800"/>
      <c r="Q800"/>
    </row>
    <row r="801" spans="1:17" s="146" customFormat="1" ht="18" customHeight="1" x14ac:dyDescent="0.25">
      <c r="A801" s="926" t="s">
        <v>1386</v>
      </c>
      <c r="B801" s="48" t="s">
        <v>123</v>
      </c>
      <c r="C801" s="100" t="s">
        <v>136</v>
      </c>
      <c r="D801" s="937" t="s">
        <v>135</v>
      </c>
      <c r="E801" s="929"/>
      <c r="F801" s="929"/>
      <c r="G801" s="929"/>
      <c r="H801" s="100" t="s">
        <v>136</v>
      </c>
      <c r="I801" s="101"/>
      <c r="J801" s="102">
        <v>62788.800000000003</v>
      </c>
      <c r="K801" s="101"/>
      <c r="L801" s="102">
        <v>62788.800000000003</v>
      </c>
      <c r="M801" s="101"/>
      <c r="N801" s="10"/>
      <c r="O801" s="10"/>
      <c r="P801"/>
      <c r="Q801"/>
    </row>
    <row r="802" spans="1:17" s="146" customFormat="1" ht="18" x14ac:dyDescent="0.25">
      <c r="A802" s="926" t="s">
        <v>1386</v>
      </c>
      <c r="B802" s="48" t="s">
        <v>123</v>
      </c>
      <c r="C802" s="100" t="s">
        <v>136</v>
      </c>
      <c r="D802" s="932" t="s">
        <v>135</v>
      </c>
      <c r="E802" s="929"/>
      <c r="F802" s="929"/>
      <c r="G802" s="929"/>
      <c r="H802" s="100" t="s">
        <v>136</v>
      </c>
      <c r="I802" s="101">
        <v>14756.63</v>
      </c>
      <c r="J802" s="102">
        <v>83000</v>
      </c>
      <c r="K802" s="101">
        <v>22218.04</v>
      </c>
      <c r="L802" s="101">
        <v>65629.69</v>
      </c>
      <c r="M802" s="101"/>
      <c r="N802" s="10"/>
      <c r="O802" s="10"/>
      <c r="P802"/>
      <c r="Q802"/>
    </row>
    <row r="803" spans="1:17" s="146" customFormat="1" ht="18" customHeight="1" x14ac:dyDescent="0.25">
      <c r="A803" s="926" t="s">
        <v>1386</v>
      </c>
      <c r="B803" s="48" t="s">
        <v>123</v>
      </c>
      <c r="C803" s="131" t="s">
        <v>136</v>
      </c>
      <c r="D803" s="932" t="s">
        <v>135</v>
      </c>
      <c r="E803" s="835"/>
      <c r="F803" s="835"/>
      <c r="G803" s="835"/>
      <c r="H803" s="131" t="s">
        <v>136</v>
      </c>
      <c r="I803" s="101">
        <v>17559</v>
      </c>
      <c r="J803" s="102">
        <v>46796.68</v>
      </c>
      <c r="K803" s="101"/>
      <c r="L803" s="102">
        <v>69927.27</v>
      </c>
      <c r="M803" s="101"/>
      <c r="N803" s="10"/>
      <c r="O803" s="10"/>
      <c r="P803"/>
      <c r="Q803"/>
    </row>
    <row r="804" spans="1:17" s="146" customFormat="1" ht="18" x14ac:dyDescent="0.25">
      <c r="A804" s="926" t="s">
        <v>1386</v>
      </c>
      <c r="B804" s="48" t="s">
        <v>123</v>
      </c>
      <c r="C804" s="131" t="s">
        <v>136</v>
      </c>
      <c r="D804" s="931" t="s">
        <v>135</v>
      </c>
      <c r="E804" s="928"/>
      <c r="F804" s="929"/>
      <c r="G804" s="929"/>
      <c r="H804" s="131" t="s">
        <v>136</v>
      </c>
      <c r="I804" s="101">
        <v>213798.15</v>
      </c>
      <c r="J804" s="102">
        <v>337420</v>
      </c>
      <c r="K804" s="101">
        <v>82342.039999999994</v>
      </c>
      <c r="L804" s="101">
        <v>434249.1</v>
      </c>
      <c r="M804" s="101"/>
      <c r="N804" s="10"/>
      <c r="O804" s="10"/>
      <c r="P804"/>
      <c r="Q804"/>
    </row>
    <row r="805" spans="1:17" s="146" customFormat="1" ht="18" x14ac:dyDescent="0.25">
      <c r="A805" s="926" t="s">
        <v>1386</v>
      </c>
      <c r="B805" s="48" t="s">
        <v>123</v>
      </c>
      <c r="C805" s="131" t="s">
        <v>136</v>
      </c>
      <c r="D805" s="837" t="s">
        <v>135</v>
      </c>
      <c r="E805" s="928"/>
      <c r="F805" s="929"/>
      <c r="G805" s="929"/>
      <c r="H805" s="131" t="s">
        <v>136</v>
      </c>
      <c r="I805" s="101">
        <v>0</v>
      </c>
      <c r="J805" s="102">
        <v>30000</v>
      </c>
      <c r="K805" s="101"/>
      <c r="L805" s="101">
        <v>30000</v>
      </c>
      <c r="M805" s="101"/>
      <c r="N805" s="10"/>
      <c r="O805" s="10"/>
      <c r="P805"/>
      <c r="Q805"/>
    </row>
    <row r="806" spans="1:17" s="146" customFormat="1" ht="18" customHeight="1" x14ac:dyDescent="0.25">
      <c r="A806" s="926" t="s">
        <v>1386</v>
      </c>
      <c r="B806" s="48" t="s">
        <v>123</v>
      </c>
      <c r="C806" s="131" t="s">
        <v>136</v>
      </c>
      <c r="D806" s="932" t="s">
        <v>135</v>
      </c>
      <c r="E806" s="929"/>
      <c r="F806" s="929"/>
      <c r="G806" s="929"/>
      <c r="H806" s="131" t="s">
        <v>136</v>
      </c>
      <c r="I806" s="101"/>
      <c r="J806" s="102">
        <v>100000</v>
      </c>
      <c r="K806" s="101"/>
      <c r="L806" s="102">
        <v>50000</v>
      </c>
      <c r="M806" s="101"/>
      <c r="N806" s="10"/>
      <c r="O806" s="10"/>
      <c r="P806"/>
      <c r="Q806"/>
    </row>
    <row r="807" spans="1:17" s="146" customFormat="1" ht="18" customHeight="1" x14ac:dyDescent="0.25">
      <c r="A807" s="926" t="s">
        <v>1386</v>
      </c>
      <c r="B807" s="48" t="s">
        <v>123</v>
      </c>
      <c r="C807" s="131" t="s">
        <v>136</v>
      </c>
      <c r="D807" s="838" t="s">
        <v>135</v>
      </c>
      <c r="E807" s="835"/>
      <c r="F807" s="835"/>
      <c r="G807" s="835"/>
      <c r="H807" s="131" t="s">
        <v>136</v>
      </c>
      <c r="I807" s="101"/>
      <c r="J807" s="102">
        <v>100000</v>
      </c>
      <c r="K807" s="101"/>
      <c r="L807" s="102">
        <v>100000</v>
      </c>
      <c r="M807" s="101"/>
      <c r="N807" s="10"/>
      <c r="O807" s="10"/>
      <c r="P807"/>
      <c r="Q807"/>
    </row>
    <row r="808" spans="1:17" s="146" customFormat="1" ht="18" customHeight="1" x14ac:dyDescent="0.25">
      <c r="A808" s="926" t="s">
        <v>1386</v>
      </c>
      <c r="B808" s="48" t="s">
        <v>123</v>
      </c>
      <c r="C808" s="100" t="s">
        <v>136</v>
      </c>
      <c r="D808" s="932" t="s">
        <v>135</v>
      </c>
      <c r="E808" s="929"/>
      <c r="F808" s="929"/>
      <c r="G808" s="929"/>
      <c r="H808" s="100" t="s">
        <v>136</v>
      </c>
      <c r="I808" s="101"/>
      <c r="J808" s="102">
        <v>120000</v>
      </c>
      <c r="K808" s="101"/>
      <c r="L808" s="101">
        <v>119869.8</v>
      </c>
      <c r="M808" s="101"/>
      <c r="N808" s="10"/>
      <c r="O808" s="10"/>
      <c r="P808"/>
      <c r="Q808"/>
    </row>
    <row r="809" spans="1:17" s="146" customFormat="1" ht="18" customHeight="1" x14ac:dyDescent="0.25">
      <c r="A809" s="926" t="s">
        <v>1386</v>
      </c>
      <c r="B809" s="48" t="s">
        <v>123</v>
      </c>
      <c r="C809" s="100" t="s">
        <v>136</v>
      </c>
      <c r="D809" s="932" t="s">
        <v>135</v>
      </c>
      <c r="E809" s="929"/>
      <c r="F809" s="929"/>
      <c r="G809" s="929"/>
      <c r="H809" s="100" t="s">
        <v>136</v>
      </c>
      <c r="I809" s="101">
        <v>33191.42</v>
      </c>
      <c r="J809" s="102">
        <v>136343.85999999999</v>
      </c>
      <c r="K809" s="101">
        <v>55151.28</v>
      </c>
      <c r="L809" s="102">
        <v>147000</v>
      </c>
      <c r="M809" s="101"/>
      <c r="N809" s="10"/>
      <c r="O809" s="10"/>
      <c r="P809"/>
      <c r="Q809"/>
    </row>
    <row r="810" spans="1:17" s="229" customFormat="1" ht="18" customHeight="1" x14ac:dyDescent="0.25">
      <c r="A810" s="926" t="s">
        <v>1386</v>
      </c>
      <c r="B810" s="48" t="s">
        <v>123</v>
      </c>
      <c r="C810" s="100" t="s">
        <v>136</v>
      </c>
      <c r="D810" s="931" t="s">
        <v>135</v>
      </c>
      <c r="E810" s="930"/>
      <c r="F810" s="930"/>
      <c r="G810" s="928"/>
      <c r="H810" s="100" t="s">
        <v>136</v>
      </c>
      <c r="I810" s="101">
        <v>29202.17</v>
      </c>
      <c r="J810" s="102">
        <v>68040.570000000007</v>
      </c>
      <c r="K810" s="101"/>
      <c r="L810" s="102">
        <v>68040.570000000007</v>
      </c>
      <c r="M810" s="101"/>
      <c r="N810" s="207"/>
      <c r="O810" s="207"/>
      <c r="P810" s="212"/>
      <c r="Q810" s="212"/>
    </row>
    <row r="811" spans="1:17" s="229" customFormat="1" ht="18" customHeight="1" x14ac:dyDescent="0.25">
      <c r="A811" s="926" t="s">
        <v>1386</v>
      </c>
      <c r="B811" s="48" t="s">
        <v>123</v>
      </c>
      <c r="C811" s="131" t="s">
        <v>136</v>
      </c>
      <c r="D811" s="837" t="s">
        <v>135</v>
      </c>
      <c r="E811" s="930"/>
      <c r="F811" s="930"/>
      <c r="G811" s="928"/>
      <c r="H811" s="131" t="s">
        <v>136</v>
      </c>
      <c r="I811" s="101">
        <v>60478.16</v>
      </c>
      <c r="J811" s="102">
        <v>198280.35</v>
      </c>
      <c r="K811" s="101">
        <v>79686.22</v>
      </c>
      <c r="L811" s="102">
        <v>307591.45</v>
      </c>
      <c r="M811" s="101"/>
      <c r="N811" s="207"/>
      <c r="O811" s="207"/>
      <c r="P811" s="212"/>
      <c r="Q811" s="212"/>
    </row>
    <row r="812" spans="1:17" s="229" customFormat="1" ht="18" customHeight="1" x14ac:dyDescent="0.25">
      <c r="A812" s="926" t="s">
        <v>1386</v>
      </c>
      <c r="B812" s="48" t="s">
        <v>123</v>
      </c>
      <c r="C812" s="131" t="s">
        <v>136</v>
      </c>
      <c r="D812" s="931" t="s">
        <v>135</v>
      </c>
      <c r="E812" s="930"/>
      <c r="F812" s="930"/>
      <c r="G812" s="928"/>
      <c r="H812" s="131" t="s">
        <v>136</v>
      </c>
      <c r="I812" s="101">
        <v>389188.09</v>
      </c>
      <c r="J812" s="102">
        <v>430452.6</v>
      </c>
      <c r="K812" s="101">
        <v>122167.61</v>
      </c>
      <c r="L812" s="101">
        <v>481917.36</v>
      </c>
      <c r="M812" s="101"/>
      <c r="N812" s="207"/>
      <c r="O812" s="207"/>
      <c r="P812" s="212"/>
      <c r="Q812" s="212"/>
    </row>
    <row r="813" spans="1:17" s="229" customFormat="1" ht="18" customHeight="1" x14ac:dyDescent="0.25">
      <c r="A813" s="926" t="s">
        <v>1386</v>
      </c>
      <c r="B813" s="48" t="s">
        <v>123</v>
      </c>
      <c r="C813" s="131" t="s">
        <v>136</v>
      </c>
      <c r="D813" s="837" t="s">
        <v>135</v>
      </c>
      <c r="E813" s="836"/>
      <c r="F813" s="836"/>
      <c r="G813" s="836"/>
      <c r="H813" s="131" t="s">
        <v>136</v>
      </c>
      <c r="I813" s="101">
        <v>129732.21</v>
      </c>
      <c r="J813" s="102">
        <v>113324.39</v>
      </c>
      <c r="K813" s="101">
        <v>52604.61</v>
      </c>
      <c r="L813" s="101">
        <v>171673.02</v>
      </c>
      <c r="M813" s="101">
        <f>SUM(L798:L813)</f>
        <v>3490191.9099999997</v>
      </c>
      <c r="N813" s="207"/>
      <c r="O813" s="207"/>
      <c r="P813" s="212"/>
      <c r="Q813" s="212"/>
    </row>
    <row r="814" spans="1:17" s="229" customFormat="1" ht="18" customHeight="1" x14ac:dyDescent="0.25">
      <c r="A814" s="926" t="s">
        <v>1386</v>
      </c>
      <c r="B814" s="48" t="s">
        <v>123</v>
      </c>
      <c r="C814" s="100" t="s">
        <v>142</v>
      </c>
      <c r="D814" s="837" t="s">
        <v>141</v>
      </c>
      <c r="E814" s="836"/>
      <c r="F814" s="836"/>
      <c r="G814" s="836"/>
      <c r="H814" s="100" t="s">
        <v>142</v>
      </c>
      <c r="I814" s="101">
        <v>338980</v>
      </c>
      <c r="J814" s="102">
        <v>323695</v>
      </c>
      <c r="K814" s="101"/>
      <c r="L814" s="101">
        <v>346616</v>
      </c>
      <c r="M814" s="101"/>
      <c r="N814" s="207"/>
      <c r="O814" s="207"/>
      <c r="P814" s="212"/>
      <c r="Q814" s="212"/>
    </row>
    <row r="815" spans="1:17" s="229" customFormat="1" ht="18" customHeight="1" x14ac:dyDescent="0.25">
      <c r="A815" s="926" t="s">
        <v>1386</v>
      </c>
      <c r="B815" s="48" t="s">
        <v>123</v>
      </c>
      <c r="C815" s="131" t="s">
        <v>142</v>
      </c>
      <c r="D815" s="931" t="s">
        <v>141</v>
      </c>
      <c r="E815" s="930"/>
      <c r="F815" s="930"/>
      <c r="G815" s="928"/>
      <c r="H815" s="131" t="s">
        <v>142</v>
      </c>
      <c r="I815" s="101">
        <v>94997</v>
      </c>
      <c r="J815" s="102">
        <v>344060</v>
      </c>
      <c r="K815" s="101">
        <v>133606</v>
      </c>
      <c r="L815" s="101">
        <v>382392</v>
      </c>
      <c r="M815" s="101"/>
      <c r="N815" s="207"/>
      <c r="O815" s="207"/>
      <c r="P815" s="212"/>
      <c r="Q815" s="212"/>
    </row>
    <row r="816" spans="1:17" s="229" customFormat="1" ht="18" customHeight="1" x14ac:dyDescent="0.25">
      <c r="A816" s="926" t="s">
        <v>1386</v>
      </c>
      <c r="B816" s="48" t="s">
        <v>123</v>
      </c>
      <c r="C816" s="100" t="s">
        <v>142</v>
      </c>
      <c r="D816" s="931" t="s">
        <v>141</v>
      </c>
      <c r="E816" s="930"/>
      <c r="F816" s="930"/>
      <c r="G816" s="928"/>
      <c r="H816" s="100" t="s">
        <v>142</v>
      </c>
      <c r="I816" s="101">
        <v>65048</v>
      </c>
      <c r="J816" s="102">
        <v>65183</v>
      </c>
      <c r="K816" s="101"/>
      <c r="L816" s="101">
        <v>71779</v>
      </c>
      <c r="M816" s="101"/>
      <c r="N816" s="207"/>
      <c r="O816" s="207"/>
      <c r="P816" s="212"/>
      <c r="Q816" s="212"/>
    </row>
    <row r="817" spans="1:17" s="229" customFormat="1" ht="18" customHeight="1" x14ac:dyDescent="0.25">
      <c r="A817" s="926" t="s">
        <v>1386</v>
      </c>
      <c r="B817" s="48" t="s">
        <v>123</v>
      </c>
      <c r="C817" s="100" t="s">
        <v>142</v>
      </c>
      <c r="D817" s="837" t="s">
        <v>141</v>
      </c>
      <c r="E817" s="836"/>
      <c r="F817" s="836"/>
      <c r="G817" s="834"/>
      <c r="H817" s="100" t="s">
        <v>142</v>
      </c>
      <c r="I817" s="105">
        <v>25261</v>
      </c>
      <c r="J817" s="106">
        <v>68756</v>
      </c>
      <c r="K817" s="105"/>
      <c r="L817" s="105">
        <v>75806</v>
      </c>
      <c r="M817" s="105"/>
      <c r="N817" s="207"/>
      <c r="O817" s="207"/>
      <c r="P817" s="212"/>
      <c r="Q817" s="212"/>
    </row>
    <row r="818" spans="1:17" s="146" customFormat="1" ht="18" customHeight="1" x14ac:dyDescent="0.25">
      <c r="A818" s="926" t="s">
        <v>1386</v>
      </c>
      <c r="B818" s="48" t="s">
        <v>123</v>
      </c>
      <c r="C818" s="131" t="s">
        <v>142</v>
      </c>
      <c r="D818" s="931" t="s">
        <v>141</v>
      </c>
      <c r="E818" s="930"/>
      <c r="F818" s="930"/>
      <c r="G818" s="930"/>
      <c r="H818" s="131" t="s">
        <v>142</v>
      </c>
      <c r="I818" s="101">
        <v>28899</v>
      </c>
      <c r="J818" s="102">
        <v>54853</v>
      </c>
      <c r="K818" s="101"/>
      <c r="L818" s="121">
        <v>60516</v>
      </c>
      <c r="M818" s="102"/>
      <c r="N818" s="10"/>
      <c r="O818" s="10">
        <f>80000*2</f>
        <v>160000</v>
      </c>
      <c r="P818"/>
      <c r="Q818"/>
    </row>
    <row r="819" spans="1:17" s="146" customFormat="1" ht="18" customHeight="1" x14ac:dyDescent="0.25">
      <c r="A819" s="926" t="s">
        <v>1386</v>
      </c>
      <c r="B819" s="48" t="s">
        <v>123</v>
      </c>
      <c r="C819" s="131" t="s">
        <v>142</v>
      </c>
      <c r="D819" s="837" t="s">
        <v>141</v>
      </c>
      <c r="E819" s="836"/>
      <c r="F819" s="836"/>
      <c r="G819" s="930"/>
      <c r="H819" s="131" t="s">
        <v>142</v>
      </c>
      <c r="I819" s="101">
        <v>82480</v>
      </c>
      <c r="J819" s="102">
        <v>96484</v>
      </c>
      <c r="K819" s="101"/>
      <c r="L819" s="101">
        <v>103560</v>
      </c>
      <c r="M819" s="102"/>
      <c r="N819" s="10"/>
      <c r="O819" s="10"/>
      <c r="P819"/>
      <c r="Q819"/>
    </row>
    <row r="820" spans="1:17" s="146" customFormat="1" ht="18" customHeight="1" x14ac:dyDescent="0.25">
      <c r="A820" s="926" t="s">
        <v>1386</v>
      </c>
      <c r="B820" s="48" t="s">
        <v>123</v>
      </c>
      <c r="C820" s="131" t="s">
        <v>142</v>
      </c>
      <c r="D820" s="931" t="s">
        <v>141</v>
      </c>
      <c r="E820" s="930"/>
      <c r="F820" s="930"/>
      <c r="G820" s="930"/>
      <c r="H820" s="131" t="s">
        <v>142</v>
      </c>
      <c r="I820" s="101">
        <v>143283</v>
      </c>
      <c r="J820" s="102">
        <v>190917</v>
      </c>
      <c r="K820" s="101"/>
      <c r="L820" s="101">
        <v>205346</v>
      </c>
      <c r="M820" s="102"/>
      <c r="N820" s="10"/>
      <c r="O820" s="10"/>
      <c r="P820"/>
      <c r="Q820"/>
    </row>
    <row r="821" spans="1:17" s="146" customFormat="1" ht="18" customHeight="1" x14ac:dyDescent="0.25">
      <c r="A821" s="926" t="s">
        <v>1386</v>
      </c>
      <c r="B821" s="48" t="s">
        <v>123</v>
      </c>
      <c r="C821" s="131" t="s">
        <v>142</v>
      </c>
      <c r="D821" s="932" t="s">
        <v>141</v>
      </c>
      <c r="E821" s="929"/>
      <c r="F821" s="929"/>
      <c r="G821" s="929"/>
      <c r="H821" s="131" t="s">
        <v>142</v>
      </c>
      <c r="I821" s="101">
        <v>1184570</v>
      </c>
      <c r="J821" s="102">
        <v>1196474</v>
      </c>
      <c r="K821" s="101"/>
      <c r="L821" s="101">
        <v>1270085</v>
      </c>
      <c r="M821" s="101"/>
      <c r="N821" s="10"/>
      <c r="O821" s="10"/>
      <c r="P821"/>
      <c r="Q821"/>
    </row>
    <row r="822" spans="1:17" s="146" customFormat="1" ht="18" customHeight="1" x14ac:dyDescent="0.25">
      <c r="A822" s="926" t="s">
        <v>1386</v>
      </c>
      <c r="B822" s="48" t="s">
        <v>123</v>
      </c>
      <c r="C822" s="131" t="s">
        <v>142</v>
      </c>
      <c r="D822" s="838" t="s">
        <v>141</v>
      </c>
      <c r="E822" s="835"/>
      <c r="F822" s="835"/>
      <c r="G822" s="835"/>
      <c r="H822" s="131" t="s">
        <v>142</v>
      </c>
      <c r="I822" s="101">
        <v>219143</v>
      </c>
      <c r="J822" s="102">
        <v>331659</v>
      </c>
      <c r="K822" s="101"/>
      <c r="L822" s="101">
        <v>360457</v>
      </c>
      <c r="M822" s="101"/>
      <c r="N822" s="10"/>
      <c r="O822" s="10"/>
      <c r="P822"/>
      <c r="Q822"/>
    </row>
    <row r="823" spans="1:17" s="146" customFormat="1" ht="18" customHeight="1" x14ac:dyDescent="0.25">
      <c r="A823" s="926" t="s">
        <v>1386</v>
      </c>
      <c r="B823" s="48" t="s">
        <v>123</v>
      </c>
      <c r="C823" s="131" t="s">
        <v>142</v>
      </c>
      <c r="D823" s="932" t="s">
        <v>141</v>
      </c>
      <c r="E823" s="929"/>
      <c r="F823" s="929"/>
      <c r="G823" s="929"/>
      <c r="H823" s="131" t="s">
        <v>142</v>
      </c>
      <c r="I823" s="101"/>
      <c r="J823" s="102">
        <v>101053</v>
      </c>
      <c r="K823" s="101"/>
      <c r="L823" s="101">
        <v>106126</v>
      </c>
      <c r="M823" s="101"/>
      <c r="N823" s="10"/>
      <c r="O823" s="10"/>
      <c r="P823"/>
      <c r="Q823"/>
    </row>
    <row r="824" spans="1:17" s="146" customFormat="1" ht="18" customHeight="1" x14ac:dyDescent="0.25">
      <c r="A824" s="926" t="s">
        <v>1386</v>
      </c>
      <c r="B824" s="48" t="s">
        <v>123</v>
      </c>
      <c r="C824" s="100" t="s">
        <v>142</v>
      </c>
      <c r="D824" s="838" t="s">
        <v>141</v>
      </c>
      <c r="E824" s="835"/>
      <c r="F824" s="835"/>
      <c r="G824" s="835"/>
      <c r="H824" s="100" t="s">
        <v>142</v>
      </c>
      <c r="I824" s="101">
        <v>0</v>
      </c>
      <c r="J824" s="102">
        <v>88634</v>
      </c>
      <c r="K824" s="101"/>
      <c r="L824" s="101">
        <v>92624</v>
      </c>
      <c r="M824" s="101"/>
      <c r="N824" s="10"/>
      <c r="O824" s="10">
        <f>48000+816000</f>
        <v>864000</v>
      </c>
      <c r="P824"/>
      <c r="Q824"/>
    </row>
    <row r="825" spans="1:17" s="146" customFormat="1" ht="18" customHeight="1" x14ac:dyDescent="0.25">
      <c r="A825" s="926" t="s">
        <v>1386</v>
      </c>
      <c r="B825" s="48" t="s">
        <v>123</v>
      </c>
      <c r="C825" s="100" t="s">
        <v>142</v>
      </c>
      <c r="D825" s="932" t="s">
        <v>141</v>
      </c>
      <c r="E825" s="929"/>
      <c r="F825" s="929"/>
      <c r="G825" s="929"/>
      <c r="H825" s="100" t="s">
        <v>142</v>
      </c>
      <c r="I825" s="101">
        <v>127114</v>
      </c>
      <c r="J825" s="102">
        <v>152756</v>
      </c>
      <c r="K825" s="101"/>
      <c r="L825" s="101">
        <v>163533</v>
      </c>
      <c r="M825" s="101"/>
      <c r="N825" s="10"/>
      <c r="O825" s="10"/>
      <c r="P825"/>
      <c r="Q825"/>
    </row>
    <row r="826" spans="1:17" s="146" customFormat="1" ht="18" customHeight="1" x14ac:dyDescent="0.25">
      <c r="A826" s="926" t="s">
        <v>1386</v>
      </c>
      <c r="B826" s="48" t="s">
        <v>123</v>
      </c>
      <c r="C826" s="100" t="s">
        <v>142</v>
      </c>
      <c r="D826" s="932" t="s">
        <v>141</v>
      </c>
      <c r="E826" s="929"/>
      <c r="F826" s="929"/>
      <c r="G826" s="929"/>
      <c r="H826" s="100" t="s">
        <v>142</v>
      </c>
      <c r="I826" s="101">
        <v>221297</v>
      </c>
      <c r="J826" s="102">
        <v>336640</v>
      </c>
      <c r="K826" s="101"/>
      <c r="L826" s="101">
        <v>363814</v>
      </c>
      <c r="M826" s="101"/>
      <c r="N826" s="10"/>
      <c r="O826" s="10"/>
      <c r="P826"/>
      <c r="Q826"/>
    </row>
    <row r="827" spans="1:17" s="146" customFormat="1" ht="18" x14ac:dyDescent="0.25">
      <c r="A827" s="926" t="s">
        <v>1386</v>
      </c>
      <c r="B827" s="48" t="s">
        <v>123</v>
      </c>
      <c r="C827" s="100" t="s">
        <v>142</v>
      </c>
      <c r="D827" s="932" t="s">
        <v>141</v>
      </c>
      <c r="E827" s="929"/>
      <c r="F827" s="929"/>
      <c r="G827" s="929"/>
      <c r="H827" s="100" t="s">
        <v>142</v>
      </c>
      <c r="I827" s="101">
        <v>148686</v>
      </c>
      <c r="J827" s="102">
        <v>161408</v>
      </c>
      <c r="K827" s="101"/>
      <c r="L827" s="101">
        <v>173074</v>
      </c>
      <c r="M827" s="101"/>
      <c r="N827" s="10"/>
      <c r="O827" s="10"/>
      <c r="P827"/>
      <c r="Q827"/>
    </row>
    <row r="828" spans="1:17" s="146" customFormat="1" ht="18" customHeight="1" x14ac:dyDescent="0.25">
      <c r="A828" s="926" t="s">
        <v>1386</v>
      </c>
      <c r="B828" s="48" t="s">
        <v>123</v>
      </c>
      <c r="C828" s="131" t="s">
        <v>142</v>
      </c>
      <c r="D828" s="932" t="s">
        <v>141</v>
      </c>
      <c r="E828" s="929"/>
      <c r="F828" s="929"/>
      <c r="G828" s="929"/>
      <c r="H828" s="131" t="s">
        <v>142</v>
      </c>
      <c r="I828" s="101">
        <v>222668</v>
      </c>
      <c r="J828" s="102">
        <v>291571</v>
      </c>
      <c r="K828" s="101"/>
      <c r="L828" s="101">
        <v>315174</v>
      </c>
      <c r="M828" s="101"/>
      <c r="N828" s="10"/>
      <c r="O828" s="10">
        <f>204000+12000</f>
        <v>216000</v>
      </c>
      <c r="P828"/>
      <c r="Q828"/>
    </row>
    <row r="829" spans="1:17" s="146" customFormat="1" ht="18" customHeight="1" x14ac:dyDescent="0.25">
      <c r="A829" s="926" t="s">
        <v>1386</v>
      </c>
      <c r="B829" s="48" t="s">
        <v>123</v>
      </c>
      <c r="C829" s="131" t="s">
        <v>142</v>
      </c>
      <c r="D829" s="932" t="s">
        <v>141</v>
      </c>
      <c r="E829" s="929"/>
      <c r="F829" s="929"/>
      <c r="G829" s="929"/>
      <c r="H829" s="131" t="s">
        <v>142</v>
      </c>
      <c r="I829" s="101">
        <v>510897</v>
      </c>
      <c r="J829" s="102">
        <v>598733</v>
      </c>
      <c r="K829" s="101"/>
      <c r="L829" s="101">
        <v>650419</v>
      </c>
      <c r="M829" s="101"/>
      <c r="N829" s="10"/>
      <c r="O829" s="10">
        <f>28250+1050686</f>
        <v>1078936</v>
      </c>
      <c r="P829"/>
      <c r="Q829"/>
    </row>
    <row r="830" spans="1:17" s="146" customFormat="1" ht="18" customHeight="1" x14ac:dyDescent="0.25">
      <c r="A830" s="926" t="s">
        <v>1386</v>
      </c>
      <c r="B830" s="48" t="s">
        <v>123</v>
      </c>
      <c r="C830" s="131" t="s">
        <v>142</v>
      </c>
      <c r="D830" s="838" t="s">
        <v>141</v>
      </c>
      <c r="E830" s="835"/>
      <c r="F830" s="835"/>
      <c r="G830" s="835"/>
      <c r="H830" s="131" t="s">
        <v>142</v>
      </c>
      <c r="I830" s="101">
        <v>364099</v>
      </c>
      <c r="J830" s="102">
        <v>392559</v>
      </c>
      <c r="K830" s="101"/>
      <c r="L830" s="101">
        <v>423507</v>
      </c>
      <c r="M830" s="101"/>
      <c r="N830" s="10"/>
      <c r="O830" s="10"/>
      <c r="P830"/>
      <c r="Q830"/>
    </row>
    <row r="831" spans="1:17" s="146" customFormat="1" ht="18" x14ac:dyDescent="0.25">
      <c r="A831" s="926" t="s">
        <v>1386</v>
      </c>
      <c r="B831" s="48" t="s">
        <v>123</v>
      </c>
      <c r="C831" s="131" t="s">
        <v>142</v>
      </c>
      <c r="D831" s="932" t="s">
        <v>141</v>
      </c>
      <c r="E831" s="929"/>
      <c r="F831" s="929"/>
      <c r="G831" s="929"/>
      <c r="H831" s="131" t="s">
        <v>142</v>
      </c>
      <c r="I831" s="101">
        <v>198720</v>
      </c>
      <c r="J831" s="102">
        <v>320003</v>
      </c>
      <c r="K831" s="101"/>
      <c r="L831" s="101">
        <v>343955</v>
      </c>
      <c r="M831" s="101"/>
      <c r="N831" s="10"/>
      <c r="O831" s="10">
        <f>10000+170000</f>
        <v>180000</v>
      </c>
      <c r="P831"/>
      <c r="Q831"/>
    </row>
    <row r="832" spans="1:17" s="146" customFormat="1" ht="18" customHeight="1" x14ac:dyDescent="0.25">
      <c r="A832" s="926" t="s">
        <v>1386</v>
      </c>
      <c r="B832" s="48" t="s">
        <v>123</v>
      </c>
      <c r="C832" s="131" t="s">
        <v>142</v>
      </c>
      <c r="D832" s="838" t="s">
        <v>141</v>
      </c>
      <c r="E832" s="835"/>
      <c r="F832" s="835"/>
      <c r="G832" s="835"/>
      <c r="H832" s="131" t="s">
        <v>142</v>
      </c>
      <c r="I832" s="101">
        <v>123000</v>
      </c>
      <c r="J832" s="102">
        <v>123095</v>
      </c>
      <c r="K832" s="101"/>
      <c r="L832" s="101">
        <v>131773</v>
      </c>
      <c r="M832" s="101">
        <f>SUM(L814:L832)</f>
        <v>5640556</v>
      </c>
      <c r="N832" s="10"/>
      <c r="O832" s="10"/>
      <c r="P832"/>
      <c r="Q832"/>
    </row>
    <row r="833" spans="1:17" s="146" customFormat="1" ht="18" x14ac:dyDescent="0.25">
      <c r="A833" s="926" t="s">
        <v>1386</v>
      </c>
      <c r="B833" s="48" t="s">
        <v>123</v>
      </c>
      <c r="C833" s="100" t="s">
        <v>144</v>
      </c>
      <c r="D833" s="932" t="s">
        <v>143</v>
      </c>
      <c r="E833" s="929"/>
      <c r="F833" s="929"/>
      <c r="G833" s="929"/>
      <c r="H833" s="100" t="s">
        <v>144</v>
      </c>
      <c r="I833" s="101">
        <v>65000</v>
      </c>
      <c r="J833" s="102">
        <v>55000</v>
      </c>
      <c r="K833" s="101"/>
      <c r="L833" s="101">
        <v>55000</v>
      </c>
      <c r="M833" s="101"/>
      <c r="N833" s="10"/>
      <c r="O833" s="10"/>
      <c r="P833"/>
      <c r="Q833"/>
    </row>
    <row r="834" spans="1:17" s="146" customFormat="1" ht="18" x14ac:dyDescent="0.25">
      <c r="A834" s="926" t="s">
        <v>1386</v>
      </c>
      <c r="B834" s="48" t="s">
        <v>123</v>
      </c>
      <c r="C834" s="131" t="s">
        <v>144</v>
      </c>
      <c r="D834" s="931" t="s">
        <v>143</v>
      </c>
      <c r="E834" s="928"/>
      <c r="F834" s="835"/>
      <c r="G834" s="835"/>
      <c r="H834" s="131" t="s">
        <v>144</v>
      </c>
      <c r="I834" s="101">
        <v>45000</v>
      </c>
      <c r="J834" s="102">
        <v>150000</v>
      </c>
      <c r="K834" s="101"/>
      <c r="L834" s="101">
        <v>150000</v>
      </c>
      <c r="M834" s="101"/>
      <c r="N834" s="10"/>
      <c r="O834" s="10">
        <f>6000+102000</f>
        <v>108000</v>
      </c>
      <c r="P834"/>
      <c r="Q834"/>
    </row>
    <row r="835" spans="1:17" s="146" customFormat="1" ht="18" customHeight="1" x14ac:dyDescent="0.25">
      <c r="A835" s="926" t="s">
        <v>1386</v>
      </c>
      <c r="B835" s="48" t="s">
        <v>123</v>
      </c>
      <c r="C835" s="100" t="s">
        <v>144</v>
      </c>
      <c r="D835" s="837" t="s">
        <v>143</v>
      </c>
      <c r="E835" s="836"/>
      <c r="F835" s="836"/>
      <c r="G835" s="834"/>
      <c r="H835" s="100" t="s">
        <v>144</v>
      </c>
      <c r="I835" s="101">
        <v>20000</v>
      </c>
      <c r="J835" s="102">
        <v>20000</v>
      </c>
      <c r="K835" s="101"/>
      <c r="L835" s="101">
        <v>20000</v>
      </c>
      <c r="M835" s="101"/>
      <c r="N835" s="10"/>
      <c r="O835" s="10"/>
      <c r="P835"/>
      <c r="Q835"/>
    </row>
    <row r="836" spans="1:17" s="146" customFormat="1" ht="18" customHeight="1" x14ac:dyDescent="0.25">
      <c r="A836" s="926" t="s">
        <v>1386</v>
      </c>
      <c r="B836" s="48" t="s">
        <v>123</v>
      </c>
      <c r="C836" s="100" t="s">
        <v>144</v>
      </c>
      <c r="D836" s="837" t="s">
        <v>143</v>
      </c>
      <c r="E836" s="836"/>
      <c r="F836" s="836"/>
      <c r="G836" s="834"/>
      <c r="H836" s="100" t="s">
        <v>144</v>
      </c>
      <c r="I836" s="101">
        <v>10000</v>
      </c>
      <c r="J836" s="102">
        <v>20000</v>
      </c>
      <c r="K836" s="101"/>
      <c r="L836" s="101">
        <v>20000</v>
      </c>
      <c r="M836" s="101"/>
      <c r="N836" s="10"/>
      <c r="O836" s="10"/>
      <c r="P836"/>
      <c r="Q836"/>
    </row>
    <row r="837" spans="1:17" s="146" customFormat="1" ht="18" x14ac:dyDescent="0.25">
      <c r="A837" s="926" t="s">
        <v>1386</v>
      </c>
      <c r="B837" s="48" t="s">
        <v>123</v>
      </c>
      <c r="C837" s="131" t="s">
        <v>144</v>
      </c>
      <c r="D837" s="931" t="s">
        <v>143</v>
      </c>
      <c r="E837" s="930"/>
      <c r="F837" s="930"/>
      <c r="G837" s="928"/>
      <c r="H837" s="131" t="s">
        <v>144</v>
      </c>
      <c r="I837" s="101">
        <v>10000</v>
      </c>
      <c r="J837" s="102">
        <v>15000</v>
      </c>
      <c r="K837" s="101"/>
      <c r="L837" s="101">
        <v>15000</v>
      </c>
      <c r="M837" s="101"/>
      <c r="N837" s="10"/>
      <c r="O837" s="10">
        <v>2790615.67</v>
      </c>
      <c r="P837"/>
      <c r="Q837"/>
    </row>
    <row r="838" spans="1:17" s="146" customFormat="1" ht="18" customHeight="1" x14ac:dyDescent="0.25">
      <c r="A838" s="926" t="s">
        <v>1386</v>
      </c>
      <c r="B838" s="48" t="s">
        <v>123</v>
      </c>
      <c r="C838" s="131" t="s">
        <v>144</v>
      </c>
      <c r="D838" s="932" t="s">
        <v>143</v>
      </c>
      <c r="E838" s="929"/>
      <c r="F838" s="929"/>
      <c r="G838" s="929"/>
      <c r="H838" s="131" t="s">
        <v>144</v>
      </c>
      <c r="I838" s="101">
        <v>15000</v>
      </c>
      <c r="J838" s="102">
        <v>20000</v>
      </c>
      <c r="K838" s="101"/>
      <c r="L838" s="101">
        <v>20000</v>
      </c>
      <c r="M838" s="101"/>
      <c r="N838" s="10"/>
      <c r="O838" s="10">
        <f>40680+1023332.96</f>
        <v>1064012.96</v>
      </c>
      <c r="P838"/>
      <c r="Q838"/>
    </row>
    <row r="839" spans="1:17" s="146" customFormat="1" ht="18" customHeight="1" x14ac:dyDescent="0.25">
      <c r="A839" s="926" t="s">
        <v>1386</v>
      </c>
      <c r="B839" s="48" t="s">
        <v>123</v>
      </c>
      <c r="C839" s="131" t="s">
        <v>144</v>
      </c>
      <c r="D839" s="838" t="s">
        <v>143</v>
      </c>
      <c r="E839" s="835"/>
      <c r="F839" s="835"/>
      <c r="G839" s="835"/>
      <c r="H839" s="131" t="s">
        <v>144</v>
      </c>
      <c r="I839" s="101">
        <v>20000</v>
      </c>
      <c r="J839" s="102">
        <v>35000</v>
      </c>
      <c r="K839" s="101"/>
      <c r="L839" s="101">
        <v>35000</v>
      </c>
      <c r="M839" s="101"/>
      <c r="N839" s="10"/>
      <c r="O839" s="10">
        <f>40800+2400</f>
        <v>43200</v>
      </c>
      <c r="P839"/>
      <c r="Q839"/>
    </row>
    <row r="840" spans="1:17" s="146" customFormat="1" ht="18" customHeight="1" x14ac:dyDescent="0.25">
      <c r="A840" s="926" t="s">
        <v>1386</v>
      </c>
      <c r="B840" s="48" t="s">
        <v>123</v>
      </c>
      <c r="C840" s="131" t="s">
        <v>144</v>
      </c>
      <c r="D840" s="932" t="s">
        <v>143</v>
      </c>
      <c r="E840" s="929"/>
      <c r="F840" s="929"/>
      <c r="G840" s="929"/>
      <c r="H840" s="131" t="s">
        <v>144</v>
      </c>
      <c r="I840" s="101">
        <v>180000</v>
      </c>
      <c r="J840" s="102">
        <v>185000</v>
      </c>
      <c r="K840" s="101"/>
      <c r="L840" s="101">
        <v>185000</v>
      </c>
      <c r="M840" s="101"/>
      <c r="N840" s="10"/>
      <c r="O840" s="10">
        <f>13620+490354.24</f>
        <v>503974.24</v>
      </c>
      <c r="P840"/>
      <c r="Q840"/>
    </row>
    <row r="841" spans="1:17" s="146" customFormat="1" ht="18" customHeight="1" x14ac:dyDescent="0.25">
      <c r="A841" s="926" t="s">
        <v>1386</v>
      </c>
      <c r="B841" s="48" t="s">
        <v>123</v>
      </c>
      <c r="C841" s="131" t="s">
        <v>144</v>
      </c>
      <c r="D841" s="838" t="s">
        <v>143</v>
      </c>
      <c r="E841" s="835"/>
      <c r="F841" s="835"/>
      <c r="G841" s="835"/>
      <c r="H841" s="131" t="s">
        <v>144</v>
      </c>
      <c r="I841" s="105">
        <v>55000</v>
      </c>
      <c r="J841" s="106">
        <v>90000</v>
      </c>
      <c r="K841" s="105"/>
      <c r="L841" s="105">
        <v>90000</v>
      </c>
      <c r="M841" s="105"/>
      <c r="N841" s="10"/>
      <c r="O841" s="10">
        <f>40800+10800</f>
        <v>51600</v>
      </c>
      <c r="P841"/>
      <c r="Q841"/>
    </row>
    <row r="842" spans="1:17" s="212" customFormat="1" ht="18" customHeight="1" x14ac:dyDescent="0.25">
      <c r="A842" s="926" t="s">
        <v>1386</v>
      </c>
      <c r="B842" s="48" t="s">
        <v>123</v>
      </c>
      <c r="C842" s="131" t="s">
        <v>144</v>
      </c>
      <c r="D842" s="837" t="s">
        <v>143</v>
      </c>
      <c r="E842" s="836"/>
      <c r="F842" s="836"/>
      <c r="G842" s="834"/>
      <c r="H842" s="131" t="s">
        <v>144</v>
      </c>
      <c r="I842" s="101"/>
      <c r="J842" s="102">
        <v>15000</v>
      </c>
      <c r="K842" s="101"/>
      <c r="L842" s="101">
        <v>15000</v>
      </c>
      <c r="M842" s="101"/>
      <c r="N842" s="207"/>
      <c r="O842" s="207"/>
    </row>
    <row r="843" spans="1:17" s="212" customFormat="1" ht="18" customHeight="1" x14ac:dyDescent="0.25">
      <c r="A843" s="926" t="s">
        <v>1386</v>
      </c>
      <c r="B843" s="48" t="s">
        <v>123</v>
      </c>
      <c r="C843" s="100" t="s">
        <v>144</v>
      </c>
      <c r="D843" s="931" t="s">
        <v>143</v>
      </c>
      <c r="E843" s="930"/>
      <c r="F843" s="930"/>
      <c r="G843" s="928"/>
      <c r="H843" s="100" t="s">
        <v>144</v>
      </c>
      <c r="I843" s="101">
        <v>0</v>
      </c>
      <c r="J843" s="102">
        <v>10000</v>
      </c>
      <c r="K843" s="101"/>
      <c r="L843" s="101">
        <v>10000</v>
      </c>
      <c r="M843" s="101"/>
      <c r="N843" s="207"/>
      <c r="O843" s="207"/>
    </row>
    <row r="844" spans="1:17" s="212" customFormat="1" ht="18" customHeight="1" x14ac:dyDescent="0.25">
      <c r="A844" s="926" t="s">
        <v>1386</v>
      </c>
      <c r="B844" s="48" t="s">
        <v>123</v>
      </c>
      <c r="C844" s="100" t="s">
        <v>144</v>
      </c>
      <c r="D844" s="837" t="s">
        <v>143</v>
      </c>
      <c r="E844" s="836"/>
      <c r="F844" s="836"/>
      <c r="G844" s="834"/>
      <c r="H844" s="100" t="s">
        <v>144</v>
      </c>
      <c r="I844" s="101">
        <v>15000</v>
      </c>
      <c r="J844" s="102">
        <v>20000</v>
      </c>
      <c r="K844" s="101"/>
      <c r="L844" s="101">
        <v>20000</v>
      </c>
      <c r="M844" s="101"/>
      <c r="N844" s="207"/>
      <c r="O844" s="207"/>
    </row>
    <row r="845" spans="1:17" s="212" customFormat="1" ht="18" x14ac:dyDescent="0.25">
      <c r="A845" s="926" t="s">
        <v>1386</v>
      </c>
      <c r="B845" s="48" t="s">
        <v>123</v>
      </c>
      <c r="C845" s="100" t="s">
        <v>144</v>
      </c>
      <c r="D845" s="837" t="s">
        <v>143</v>
      </c>
      <c r="E845" s="928"/>
      <c r="F845" s="929"/>
      <c r="G845" s="929"/>
      <c r="H845" s="100" t="s">
        <v>144</v>
      </c>
      <c r="I845" s="101">
        <v>45000</v>
      </c>
      <c r="J845" s="102">
        <v>70000</v>
      </c>
      <c r="K845" s="101"/>
      <c r="L845" s="101">
        <v>70000</v>
      </c>
      <c r="M845" s="101"/>
      <c r="N845" s="207"/>
      <c r="O845" s="207"/>
    </row>
    <row r="846" spans="1:17" s="212" customFormat="1" ht="18" customHeight="1" x14ac:dyDescent="0.25">
      <c r="A846" s="926" t="s">
        <v>1386</v>
      </c>
      <c r="B846" s="48" t="s">
        <v>123</v>
      </c>
      <c r="C846" s="100" t="s">
        <v>144</v>
      </c>
      <c r="D846" s="931" t="s">
        <v>143</v>
      </c>
      <c r="E846" s="930"/>
      <c r="F846" s="930"/>
      <c r="G846" s="928"/>
      <c r="H846" s="100" t="s">
        <v>144</v>
      </c>
      <c r="I846" s="101">
        <v>25000</v>
      </c>
      <c r="J846" s="102">
        <v>30000</v>
      </c>
      <c r="K846" s="101"/>
      <c r="L846" s="101">
        <v>30000</v>
      </c>
      <c r="M846" s="101"/>
      <c r="N846" s="207">
        <v>957749</v>
      </c>
      <c r="O846" s="207"/>
    </row>
    <row r="847" spans="1:17" s="212" customFormat="1" ht="18" customHeight="1" x14ac:dyDescent="0.25">
      <c r="A847" s="926" t="s">
        <v>1386</v>
      </c>
      <c r="B847" s="48" t="s">
        <v>123</v>
      </c>
      <c r="C847" s="131" t="s">
        <v>144</v>
      </c>
      <c r="D847" s="931" t="s">
        <v>143</v>
      </c>
      <c r="E847" s="930"/>
      <c r="F847" s="930"/>
      <c r="G847" s="928"/>
      <c r="H847" s="131" t="s">
        <v>144</v>
      </c>
      <c r="I847" s="101">
        <v>40000</v>
      </c>
      <c r="J847" s="102">
        <v>65000</v>
      </c>
      <c r="K847" s="101"/>
      <c r="L847" s="101">
        <v>65000</v>
      </c>
      <c r="M847" s="101"/>
      <c r="N847" s="207">
        <f>SUM(N846:N846)</f>
        <v>957749</v>
      </c>
      <c r="O847" s="207"/>
    </row>
    <row r="848" spans="1:17" s="212" customFormat="1" ht="18" customHeight="1" x14ac:dyDescent="0.25">
      <c r="A848" s="926" t="s">
        <v>1386</v>
      </c>
      <c r="B848" s="48" t="s">
        <v>123</v>
      </c>
      <c r="C848" s="131" t="s">
        <v>144</v>
      </c>
      <c r="D848" s="837" t="s">
        <v>143</v>
      </c>
      <c r="E848" s="836"/>
      <c r="F848" s="836"/>
      <c r="G848" s="834"/>
      <c r="H848" s="131" t="s">
        <v>144</v>
      </c>
      <c r="I848" s="101">
        <v>185000</v>
      </c>
      <c r="J848" s="102">
        <v>225000</v>
      </c>
      <c r="K848" s="101"/>
      <c r="L848" s="101">
        <v>225000</v>
      </c>
      <c r="M848" s="101"/>
      <c r="N848" s="207"/>
      <c r="O848" s="207"/>
    </row>
    <row r="849" spans="1:17" s="212" customFormat="1" ht="18" customHeight="1" x14ac:dyDescent="0.25">
      <c r="A849" s="926" t="s">
        <v>1386</v>
      </c>
      <c r="B849" s="48" t="s">
        <v>123</v>
      </c>
      <c r="C849" s="131" t="s">
        <v>144</v>
      </c>
      <c r="D849" s="931" t="s">
        <v>143</v>
      </c>
      <c r="E849" s="930"/>
      <c r="F849" s="930"/>
      <c r="G849" s="928"/>
      <c r="H849" s="131" t="s">
        <v>144</v>
      </c>
      <c r="I849" s="101">
        <v>81000</v>
      </c>
      <c r="J849" s="102">
        <v>90000</v>
      </c>
      <c r="K849" s="101"/>
      <c r="L849" s="101">
        <v>90000</v>
      </c>
      <c r="M849" s="101"/>
      <c r="N849" s="207"/>
      <c r="O849" s="207"/>
    </row>
    <row r="850" spans="1:17" s="229" customFormat="1" ht="18" customHeight="1" x14ac:dyDescent="0.25">
      <c r="A850" s="926" t="s">
        <v>1386</v>
      </c>
      <c r="B850" s="48" t="s">
        <v>123</v>
      </c>
      <c r="C850" s="131" t="s">
        <v>144</v>
      </c>
      <c r="D850" s="837" t="s">
        <v>143</v>
      </c>
      <c r="E850" s="836"/>
      <c r="F850" s="836"/>
      <c r="G850" s="834"/>
      <c r="H850" s="131" t="s">
        <v>144</v>
      </c>
      <c r="I850" s="101">
        <v>40000</v>
      </c>
      <c r="J850" s="102">
        <v>60000</v>
      </c>
      <c r="K850" s="101"/>
      <c r="L850" s="101">
        <v>60000</v>
      </c>
      <c r="M850" s="101"/>
      <c r="N850" s="207"/>
      <c r="O850" s="207"/>
      <c r="P850" s="212"/>
      <c r="Q850" s="212"/>
    </row>
    <row r="851" spans="1:17" s="229" customFormat="1" ht="18" customHeight="1" x14ac:dyDescent="0.25">
      <c r="A851" s="926" t="s">
        <v>1386</v>
      </c>
      <c r="B851" s="48" t="s">
        <v>123</v>
      </c>
      <c r="C851" s="131" t="s">
        <v>144</v>
      </c>
      <c r="D851" s="837" t="s">
        <v>143</v>
      </c>
      <c r="E851" s="836"/>
      <c r="F851" s="836"/>
      <c r="G851" s="834"/>
      <c r="H851" s="131" t="s">
        <v>144</v>
      </c>
      <c r="I851" s="101">
        <v>20000</v>
      </c>
      <c r="J851" s="102">
        <v>20000</v>
      </c>
      <c r="K851" s="101"/>
      <c r="L851" s="101">
        <v>20000</v>
      </c>
      <c r="M851" s="101">
        <f>SUM(L833:L851)</f>
        <v>1195000</v>
      </c>
      <c r="N851" s="207"/>
      <c r="O851" s="207"/>
      <c r="P851" s="212"/>
      <c r="Q851" s="212"/>
    </row>
    <row r="852" spans="1:17" s="229" customFormat="1" ht="18" customHeight="1" x14ac:dyDescent="0.25">
      <c r="A852" s="926" t="s">
        <v>1386</v>
      </c>
      <c r="B852" s="48" t="s">
        <v>123</v>
      </c>
      <c r="C852" s="131" t="s">
        <v>148</v>
      </c>
      <c r="D852" s="936" t="s">
        <v>210</v>
      </c>
      <c r="E852" s="836"/>
      <c r="F852" s="836"/>
      <c r="G852" s="834"/>
      <c r="H852" s="131" t="s">
        <v>148</v>
      </c>
      <c r="I852" s="101"/>
      <c r="J852" s="102"/>
      <c r="K852" s="101"/>
      <c r="L852" s="101">
        <v>18000</v>
      </c>
      <c r="M852" s="101"/>
      <c r="N852" s="207"/>
      <c r="O852" s="207"/>
      <c r="P852" s="212"/>
      <c r="Q852" s="212"/>
    </row>
    <row r="853" spans="1:17" s="229" customFormat="1" ht="18" customHeight="1" x14ac:dyDescent="0.25">
      <c r="A853" s="926" t="s">
        <v>1386</v>
      </c>
      <c r="B853" s="48" t="s">
        <v>123</v>
      </c>
      <c r="C853" s="100" t="s">
        <v>148</v>
      </c>
      <c r="D853" s="936" t="s">
        <v>147</v>
      </c>
      <c r="E853" s="836"/>
      <c r="F853" s="836"/>
      <c r="G853" s="928"/>
      <c r="H853" s="100" t="s">
        <v>148</v>
      </c>
      <c r="I853" s="101"/>
      <c r="J853" s="102"/>
      <c r="K853" s="101"/>
      <c r="L853" s="101">
        <v>33000</v>
      </c>
      <c r="M853" s="101"/>
      <c r="N853" s="207"/>
      <c r="O853" s="207"/>
      <c r="P853" s="212"/>
      <c r="Q853" s="212"/>
    </row>
    <row r="854" spans="1:17" s="229" customFormat="1" ht="18" customHeight="1" x14ac:dyDescent="0.25">
      <c r="A854" s="926" t="s">
        <v>1386</v>
      </c>
      <c r="B854" s="48" t="s">
        <v>123</v>
      </c>
      <c r="C854" s="131" t="s">
        <v>148</v>
      </c>
      <c r="D854" s="936" t="s">
        <v>147</v>
      </c>
      <c r="E854" s="930"/>
      <c r="F854" s="930"/>
      <c r="G854" s="928"/>
      <c r="H854" s="131" t="s">
        <v>148</v>
      </c>
      <c r="I854" s="101"/>
      <c r="J854" s="102"/>
      <c r="K854" s="101"/>
      <c r="L854" s="101">
        <v>84000</v>
      </c>
      <c r="M854" s="101"/>
      <c r="N854" s="207"/>
      <c r="O854" s="207"/>
      <c r="P854" s="212"/>
      <c r="Q854" s="212"/>
    </row>
    <row r="855" spans="1:17" s="229" customFormat="1" ht="18" customHeight="1" x14ac:dyDescent="0.25">
      <c r="A855" s="926" t="s">
        <v>1386</v>
      </c>
      <c r="B855" s="48" t="s">
        <v>123</v>
      </c>
      <c r="C855" s="100" t="s">
        <v>148</v>
      </c>
      <c r="D855" s="936" t="s">
        <v>147</v>
      </c>
      <c r="E855" s="836"/>
      <c r="F855" s="836"/>
      <c r="G855" s="834"/>
      <c r="H855" s="100" t="s">
        <v>148</v>
      </c>
      <c r="I855" s="101"/>
      <c r="J855" s="102"/>
      <c r="K855" s="101"/>
      <c r="L855" s="101">
        <v>12000</v>
      </c>
      <c r="M855" s="101"/>
      <c r="N855" s="207"/>
      <c r="O855" s="207"/>
      <c r="P855" s="212"/>
      <c r="Q855" s="212"/>
    </row>
    <row r="856" spans="1:17" s="229" customFormat="1" ht="18" customHeight="1" x14ac:dyDescent="0.25">
      <c r="A856" s="926" t="s">
        <v>1386</v>
      </c>
      <c r="B856" s="48" t="s">
        <v>123</v>
      </c>
      <c r="C856" s="100" t="s">
        <v>148</v>
      </c>
      <c r="D856" s="936" t="s">
        <v>147</v>
      </c>
      <c r="E856" s="930"/>
      <c r="F856" s="930"/>
      <c r="G856" s="928"/>
      <c r="H856" s="100" t="s">
        <v>148</v>
      </c>
      <c r="I856" s="101"/>
      <c r="J856" s="102"/>
      <c r="K856" s="101"/>
      <c r="L856" s="101">
        <v>12000</v>
      </c>
      <c r="M856" s="101"/>
      <c r="N856" s="207">
        <v>5553932.1600000001</v>
      </c>
      <c r="O856" s="207"/>
      <c r="P856" s="212"/>
      <c r="Q856" s="212"/>
    </row>
    <row r="857" spans="1:17" s="208" customFormat="1" ht="18" customHeight="1" x14ac:dyDescent="0.25">
      <c r="A857" s="926" t="s">
        <v>1386</v>
      </c>
      <c r="B857" s="48" t="s">
        <v>123</v>
      </c>
      <c r="C857" s="568" t="s">
        <v>148</v>
      </c>
      <c r="D857" s="936" t="s">
        <v>147</v>
      </c>
      <c r="E857" s="930"/>
      <c r="F857" s="930"/>
      <c r="G857" s="928"/>
      <c r="H857" s="568" t="s">
        <v>148</v>
      </c>
      <c r="I857" s="101"/>
      <c r="J857" s="233"/>
      <c r="K857" s="101"/>
      <c r="L857" s="101">
        <v>9000</v>
      </c>
      <c r="M857" s="102"/>
      <c r="N857" s="207"/>
      <c r="O857" s="207">
        <f>16000*5</f>
        <v>80000</v>
      </c>
    </row>
    <row r="858" spans="1:17" s="208" customFormat="1" ht="18" customHeight="1" x14ac:dyDescent="0.25">
      <c r="A858" s="926" t="s">
        <v>1386</v>
      </c>
      <c r="B858" s="48" t="s">
        <v>123</v>
      </c>
      <c r="C858" s="568" t="s">
        <v>148</v>
      </c>
      <c r="D858" s="936" t="s">
        <v>147</v>
      </c>
      <c r="E858" s="930"/>
      <c r="F858" s="930"/>
      <c r="G858" s="928"/>
      <c r="H858" s="568" t="s">
        <v>148</v>
      </c>
      <c r="I858" s="101"/>
      <c r="J858" s="233"/>
      <c r="K858" s="101"/>
      <c r="L858" s="101">
        <v>12000</v>
      </c>
      <c r="M858" s="102"/>
      <c r="N858" s="207"/>
      <c r="O858" s="207">
        <f>75000*5</f>
        <v>375000</v>
      </c>
    </row>
    <row r="859" spans="1:17" s="208" customFormat="1" ht="18" customHeight="1" x14ac:dyDescent="0.25">
      <c r="A859" s="926" t="s">
        <v>1386</v>
      </c>
      <c r="B859" s="48" t="s">
        <v>123</v>
      </c>
      <c r="C859" s="568" t="s">
        <v>148</v>
      </c>
      <c r="D859" s="936" t="s">
        <v>147</v>
      </c>
      <c r="E859" s="836"/>
      <c r="F859" s="836"/>
      <c r="G859" s="834"/>
      <c r="H859" s="568" t="s">
        <v>148</v>
      </c>
      <c r="I859" s="101"/>
      <c r="J859" s="233"/>
      <c r="K859" s="101"/>
      <c r="L859" s="101">
        <v>21000</v>
      </c>
      <c r="M859" s="102"/>
      <c r="N859" s="207"/>
      <c r="O859" s="207">
        <f>80000*6</f>
        <v>480000</v>
      </c>
    </row>
    <row r="860" spans="1:17" s="208" customFormat="1" ht="18" customHeight="1" x14ac:dyDescent="0.25">
      <c r="A860" s="926" t="s">
        <v>1386</v>
      </c>
      <c r="B860" s="48" t="s">
        <v>123</v>
      </c>
      <c r="C860" s="568" t="s">
        <v>148</v>
      </c>
      <c r="D860" s="936" t="s">
        <v>147</v>
      </c>
      <c r="E860" s="836"/>
      <c r="F860" s="836"/>
      <c r="G860" s="834"/>
      <c r="H860" s="568" t="s">
        <v>148</v>
      </c>
      <c r="I860" s="101"/>
      <c r="J860" s="233"/>
      <c r="K860" s="101"/>
      <c r="L860" s="101">
        <v>111000</v>
      </c>
      <c r="M860" s="101"/>
      <c r="N860" s="207"/>
      <c r="O860" s="207"/>
    </row>
    <row r="861" spans="1:17" s="208" customFormat="1" ht="18" customHeight="1" x14ac:dyDescent="0.25">
      <c r="A861" s="926" t="s">
        <v>1386</v>
      </c>
      <c r="B861" s="48" t="s">
        <v>123</v>
      </c>
      <c r="C861" s="972" t="s">
        <v>148</v>
      </c>
      <c r="D861" s="936" t="s">
        <v>147</v>
      </c>
      <c r="E861" s="933"/>
      <c r="F861" s="933"/>
      <c r="G861" s="934"/>
      <c r="H861" s="972" t="s">
        <v>148</v>
      </c>
      <c r="I861" s="102"/>
      <c r="J861" s="233"/>
      <c r="K861" s="102"/>
      <c r="L861" s="102">
        <v>51000</v>
      </c>
      <c r="M861" s="101"/>
      <c r="N861" s="207"/>
      <c r="O861" s="207"/>
    </row>
    <row r="862" spans="1:17" s="208" customFormat="1" ht="18" customHeight="1" x14ac:dyDescent="0.25">
      <c r="A862" s="926" t="s">
        <v>1386</v>
      </c>
      <c r="B862" s="48" t="s">
        <v>123</v>
      </c>
      <c r="C862" s="568" t="s">
        <v>148</v>
      </c>
      <c r="D862" s="837" t="s">
        <v>147</v>
      </c>
      <c r="E862" s="836"/>
      <c r="F862" s="836"/>
      <c r="G862" s="836"/>
      <c r="H862" s="568" t="s">
        <v>148</v>
      </c>
      <c r="I862" s="101"/>
      <c r="J862" s="233"/>
      <c r="K862" s="101"/>
      <c r="L862" s="101">
        <v>9000</v>
      </c>
      <c r="M862" s="101"/>
      <c r="N862" s="207"/>
      <c r="O862" s="207"/>
    </row>
    <row r="863" spans="1:17" s="208" customFormat="1" ht="18" customHeight="1" x14ac:dyDescent="0.25">
      <c r="A863" s="926" t="s">
        <v>1386</v>
      </c>
      <c r="B863" s="48" t="s">
        <v>123</v>
      </c>
      <c r="C863" s="195" t="s">
        <v>148</v>
      </c>
      <c r="D863" s="936" t="s">
        <v>147</v>
      </c>
      <c r="E863" s="930"/>
      <c r="F863" s="930"/>
      <c r="G863" s="930"/>
      <c r="H863" s="195" t="s">
        <v>148</v>
      </c>
      <c r="I863" s="101"/>
      <c r="J863" s="233"/>
      <c r="K863" s="101"/>
      <c r="L863" s="101">
        <v>6000</v>
      </c>
      <c r="M863" s="101"/>
      <c r="N863" s="207"/>
      <c r="O863" s="207"/>
    </row>
    <row r="864" spans="1:17" s="208" customFormat="1" ht="18" customHeight="1" x14ac:dyDescent="0.25">
      <c r="A864" s="926" t="s">
        <v>1386</v>
      </c>
      <c r="B864" s="48" t="s">
        <v>123</v>
      </c>
      <c r="C864" s="195" t="s">
        <v>148</v>
      </c>
      <c r="D864" s="936" t="s">
        <v>147</v>
      </c>
      <c r="E864" s="836"/>
      <c r="F864" s="836"/>
      <c r="G864" s="930"/>
      <c r="H864" s="195" t="s">
        <v>148</v>
      </c>
      <c r="I864" s="101"/>
      <c r="J864" s="233"/>
      <c r="K864" s="101"/>
      <c r="L864" s="101">
        <v>12000</v>
      </c>
      <c r="M864" s="101"/>
      <c r="N864" s="207"/>
      <c r="O864" s="207"/>
    </row>
    <row r="865" spans="1:17" s="208" customFormat="1" ht="18" customHeight="1" x14ac:dyDescent="0.25">
      <c r="A865" s="926" t="s">
        <v>1386</v>
      </c>
      <c r="B865" s="48" t="s">
        <v>123</v>
      </c>
      <c r="C865" s="195" t="s">
        <v>148</v>
      </c>
      <c r="D865" s="936" t="s">
        <v>147</v>
      </c>
      <c r="E865" s="836"/>
      <c r="F865" s="836"/>
      <c r="G865" s="836"/>
      <c r="H865" s="195" t="s">
        <v>148</v>
      </c>
      <c r="I865" s="101"/>
      <c r="J865" s="233"/>
      <c r="K865" s="101"/>
      <c r="L865" s="101">
        <v>42000</v>
      </c>
      <c r="M865" s="101"/>
      <c r="N865" s="207"/>
      <c r="O865" s="207"/>
    </row>
    <row r="866" spans="1:17" ht="18" customHeight="1" x14ac:dyDescent="0.25">
      <c r="A866" s="926" t="s">
        <v>1386</v>
      </c>
      <c r="B866" s="48" t="s">
        <v>123</v>
      </c>
      <c r="C866" s="100" t="s">
        <v>148</v>
      </c>
      <c r="D866" s="937" t="s">
        <v>147</v>
      </c>
      <c r="E866" s="835"/>
      <c r="F866" s="835"/>
      <c r="G866" s="835"/>
      <c r="H866" s="100" t="s">
        <v>148</v>
      </c>
      <c r="I866" s="101"/>
      <c r="J866" s="102"/>
      <c r="K866" s="101"/>
      <c r="L866" s="101">
        <v>18000</v>
      </c>
      <c r="M866" s="101"/>
    </row>
    <row r="867" spans="1:17" ht="18" customHeight="1" x14ac:dyDescent="0.25">
      <c r="A867" s="926" t="s">
        <v>1386</v>
      </c>
      <c r="B867" s="48" t="s">
        <v>123</v>
      </c>
      <c r="C867" s="131" t="s">
        <v>148</v>
      </c>
      <c r="D867" s="937" t="s">
        <v>147</v>
      </c>
      <c r="E867" s="835"/>
      <c r="F867" s="835"/>
      <c r="G867" s="835"/>
      <c r="H867" s="131" t="s">
        <v>148</v>
      </c>
      <c r="I867" s="101"/>
      <c r="J867" s="102"/>
      <c r="K867" s="101"/>
      <c r="L867" s="101">
        <v>42000</v>
      </c>
      <c r="M867" s="101"/>
      <c r="O867" s="10">
        <v>757402.04</v>
      </c>
    </row>
    <row r="868" spans="1:17" ht="18" customHeight="1" x14ac:dyDescent="0.25">
      <c r="A868" s="926" t="s">
        <v>1386</v>
      </c>
      <c r="B868" s="48" t="s">
        <v>123</v>
      </c>
      <c r="C868" s="131" t="s">
        <v>148</v>
      </c>
      <c r="D868" s="937" t="s">
        <v>147</v>
      </c>
      <c r="E868" s="929"/>
      <c r="F868" s="929"/>
      <c r="G868" s="929"/>
      <c r="H868" s="131" t="s">
        <v>148</v>
      </c>
      <c r="I868" s="101"/>
      <c r="J868" s="102"/>
      <c r="K868" s="101"/>
      <c r="L868" s="101">
        <v>135000</v>
      </c>
      <c r="M868" s="101"/>
    </row>
    <row r="869" spans="1:17" ht="18" customHeight="1" x14ac:dyDescent="0.25">
      <c r="A869" s="926" t="s">
        <v>1386</v>
      </c>
      <c r="B869" s="48" t="s">
        <v>123</v>
      </c>
      <c r="C869" s="131" t="s">
        <v>148</v>
      </c>
      <c r="D869" s="937" t="s">
        <v>147</v>
      </c>
      <c r="E869" s="835"/>
      <c r="F869" s="835"/>
      <c r="G869" s="835"/>
      <c r="H869" s="131" t="s">
        <v>148</v>
      </c>
      <c r="I869" s="101"/>
      <c r="J869" s="102"/>
      <c r="K869" s="101"/>
      <c r="L869" s="101">
        <v>54000</v>
      </c>
      <c r="M869" s="101"/>
    </row>
    <row r="870" spans="1:17" ht="18" customHeight="1" x14ac:dyDescent="0.25">
      <c r="A870" s="926" t="s">
        <v>1386</v>
      </c>
      <c r="B870" s="48" t="s">
        <v>123</v>
      </c>
      <c r="C870" s="131" t="s">
        <v>148</v>
      </c>
      <c r="D870" s="937" t="s">
        <v>147</v>
      </c>
      <c r="E870" s="929"/>
      <c r="F870" s="929"/>
      <c r="G870" s="929"/>
      <c r="H870" s="131" t="s">
        <v>148</v>
      </c>
      <c r="I870" s="101"/>
      <c r="J870" s="102"/>
      <c r="K870" s="101"/>
      <c r="L870" s="101">
        <v>36000</v>
      </c>
      <c r="M870" s="101"/>
    </row>
    <row r="871" spans="1:17" ht="18" customHeight="1" x14ac:dyDescent="0.25">
      <c r="A871" s="926" t="s">
        <v>1386</v>
      </c>
      <c r="B871" s="48" t="s">
        <v>123</v>
      </c>
      <c r="C871" s="131" t="s">
        <v>148</v>
      </c>
      <c r="D871" s="937" t="s">
        <v>147</v>
      </c>
      <c r="E871" s="929"/>
      <c r="F871" s="929"/>
      <c r="G871" s="929"/>
      <c r="H871" s="131" t="s">
        <v>148</v>
      </c>
      <c r="I871" s="101"/>
      <c r="J871" s="102"/>
      <c r="K871" s="101"/>
      <c r="L871" s="101">
        <v>12000</v>
      </c>
      <c r="M871" s="101">
        <f>SUM(L853:L871)</f>
        <v>711000</v>
      </c>
    </row>
    <row r="872" spans="1:17" ht="18" x14ac:dyDescent="0.25">
      <c r="A872" s="926" t="s">
        <v>1386</v>
      </c>
      <c r="B872" s="48" t="s">
        <v>123</v>
      </c>
      <c r="C872" s="100" t="s">
        <v>154</v>
      </c>
      <c r="D872" s="932" t="s">
        <v>153</v>
      </c>
      <c r="E872" s="929"/>
      <c r="F872" s="929"/>
      <c r="G872" s="929"/>
      <c r="H872" s="100" t="s">
        <v>154</v>
      </c>
      <c r="I872" s="101">
        <v>447627.83</v>
      </c>
      <c r="J872" s="102">
        <v>466120.8</v>
      </c>
      <c r="K872" s="101">
        <v>252515.92</v>
      </c>
      <c r="L872" s="101">
        <v>497217.71</v>
      </c>
      <c r="M872" s="101"/>
    </row>
    <row r="873" spans="1:17" ht="18" customHeight="1" x14ac:dyDescent="0.25">
      <c r="A873" s="926" t="s">
        <v>1386</v>
      </c>
      <c r="B873" s="48" t="s">
        <v>123</v>
      </c>
      <c r="C873" s="131" t="s">
        <v>154</v>
      </c>
      <c r="D873" s="838" t="s">
        <v>153</v>
      </c>
      <c r="E873" s="835"/>
      <c r="F873" s="835"/>
      <c r="G873" s="835"/>
      <c r="H873" s="131" t="s">
        <v>154</v>
      </c>
      <c r="I873" s="101">
        <v>87438.42</v>
      </c>
      <c r="J873" s="102">
        <v>495446.4</v>
      </c>
      <c r="K873" s="101">
        <v>117134.56</v>
      </c>
      <c r="L873" s="101">
        <v>550644.47999999998</v>
      </c>
      <c r="M873" s="101"/>
    </row>
    <row r="874" spans="1:17" ht="18" customHeight="1" x14ac:dyDescent="0.25">
      <c r="A874" s="926" t="s">
        <v>1386</v>
      </c>
      <c r="B874" s="48" t="s">
        <v>123</v>
      </c>
      <c r="C874" s="100" t="s">
        <v>154</v>
      </c>
      <c r="D874" s="932" t="s">
        <v>153</v>
      </c>
      <c r="E874" s="929"/>
      <c r="F874" s="929"/>
      <c r="G874" s="929"/>
      <c r="H874" s="100" t="s">
        <v>154</v>
      </c>
      <c r="I874" s="101">
        <v>87932.28</v>
      </c>
      <c r="J874" s="102">
        <v>93766.32</v>
      </c>
      <c r="K874" s="101">
        <v>56555.42</v>
      </c>
      <c r="L874" s="101">
        <v>103180.04</v>
      </c>
      <c r="M874" s="101"/>
    </row>
    <row r="875" spans="1:17" ht="18" customHeight="1" x14ac:dyDescent="0.25">
      <c r="A875" s="926" t="s">
        <v>1386</v>
      </c>
      <c r="B875" s="48" t="s">
        <v>123</v>
      </c>
      <c r="C875" s="100" t="s">
        <v>154</v>
      </c>
      <c r="D875" s="932" t="s">
        <v>153</v>
      </c>
      <c r="E875" s="929"/>
      <c r="F875" s="835"/>
      <c r="G875" s="835"/>
      <c r="H875" s="100" t="s">
        <v>154</v>
      </c>
      <c r="I875" s="101">
        <v>36375.839999999997</v>
      </c>
      <c r="J875" s="102">
        <v>99008.639999999999</v>
      </c>
      <c r="K875" s="101">
        <v>24372.32</v>
      </c>
      <c r="L875" s="101">
        <v>109133.54</v>
      </c>
      <c r="M875" s="101"/>
    </row>
    <row r="876" spans="1:17" ht="18" x14ac:dyDescent="0.25">
      <c r="A876" s="926" t="s">
        <v>1386</v>
      </c>
      <c r="B876" s="48" t="s">
        <v>123</v>
      </c>
      <c r="C876" s="131" t="s">
        <v>154</v>
      </c>
      <c r="D876" s="932" t="s">
        <v>153</v>
      </c>
      <c r="E876" s="929"/>
      <c r="F876" s="835"/>
      <c r="G876" s="835"/>
      <c r="H876" s="131" t="s">
        <v>154</v>
      </c>
      <c r="I876" s="101">
        <v>41614.559999999998</v>
      </c>
      <c r="J876" s="102">
        <v>78763.679999999993</v>
      </c>
      <c r="K876" s="101">
        <v>29718.28</v>
      </c>
      <c r="L876" s="101">
        <v>87143.039999999994</v>
      </c>
      <c r="M876" s="101"/>
    </row>
    <row r="877" spans="1:17" s="146" customFormat="1" ht="18" customHeight="1" x14ac:dyDescent="0.25">
      <c r="A877" s="926" t="s">
        <v>1386</v>
      </c>
      <c r="B877" s="48" t="s">
        <v>123</v>
      </c>
      <c r="C877" s="131" t="s">
        <v>154</v>
      </c>
      <c r="D877" s="932" t="s">
        <v>153</v>
      </c>
      <c r="E877" s="929"/>
      <c r="F877" s="929"/>
      <c r="G877" s="929"/>
      <c r="H877" s="131" t="s">
        <v>154</v>
      </c>
      <c r="I877" s="101">
        <v>118771.2</v>
      </c>
      <c r="J877" s="102">
        <v>138936.95999999999</v>
      </c>
      <c r="K877" s="101">
        <v>76889.740000000005</v>
      </c>
      <c r="L877" s="101">
        <v>148812.43</v>
      </c>
      <c r="M877" s="101"/>
      <c r="N877" s="10"/>
      <c r="O877" s="10"/>
      <c r="P877"/>
      <c r="Q877"/>
    </row>
    <row r="878" spans="1:17" s="146" customFormat="1" ht="18" x14ac:dyDescent="0.25">
      <c r="A878" s="926" t="s">
        <v>1386</v>
      </c>
      <c r="B878" s="48" t="s">
        <v>123</v>
      </c>
      <c r="C878" s="131" t="s">
        <v>154</v>
      </c>
      <c r="D878" s="838" t="s">
        <v>153</v>
      </c>
      <c r="E878" s="835"/>
      <c r="F878" s="835"/>
      <c r="G878" s="835"/>
      <c r="H878" s="131" t="s">
        <v>154</v>
      </c>
      <c r="I878" s="101">
        <v>193434.36</v>
      </c>
      <c r="J878" s="102">
        <v>274920.48</v>
      </c>
      <c r="K878" s="101">
        <v>122179.32</v>
      </c>
      <c r="L878" s="101">
        <v>294276</v>
      </c>
      <c r="M878" s="101"/>
      <c r="N878" s="10"/>
      <c r="O878" s="10"/>
      <c r="P878"/>
      <c r="Q878"/>
    </row>
    <row r="879" spans="1:17" s="146" customFormat="1" ht="18" x14ac:dyDescent="0.25">
      <c r="A879" s="926" t="s">
        <v>1386</v>
      </c>
      <c r="B879" s="48" t="s">
        <v>123</v>
      </c>
      <c r="C879" s="131" t="s">
        <v>154</v>
      </c>
      <c r="D879" s="931" t="s">
        <v>153</v>
      </c>
      <c r="E879" s="930"/>
      <c r="F879" s="930"/>
      <c r="G879" s="928"/>
      <c r="H879" s="131" t="s">
        <v>154</v>
      </c>
      <c r="I879" s="101">
        <v>1459081.1</v>
      </c>
      <c r="J879" s="102">
        <v>1722922.56</v>
      </c>
      <c r="K879" s="101">
        <v>935468.33</v>
      </c>
      <c r="L879" s="101">
        <v>1820285.28</v>
      </c>
      <c r="M879" s="101"/>
      <c r="N879" s="10"/>
      <c r="O879" s="10"/>
      <c r="P879"/>
      <c r="Q879"/>
    </row>
    <row r="880" spans="1:17" s="146" customFormat="1" ht="18" customHeight="1" x14ac:dyDescent="0.25">
      <c r="A880" s="926" t="s">
        <v>1386</v>
      </c>
      <c r="B880" s="48" t="s">
        <v>123</v>
      </c>
      <c r="C880" s="131" t="s">
        <v>154</v>
      </c>
      <c r="D880" s="932" t="s">
        <v>153</v>
      </c>
      <c r="E880" s="929"/>
      <c r="F880" s="835"/>
      <c r="G880" s="835"/>
      <c r="H880" s="131" t="s">
        <v>154</v>
      </c>
      <c r="I880" s="101">
        <v>303065.40000000002</v>
      </c>
      <c r="J880" s="102">
        <v>477588.96</v>
      </c>
      <c r="K880" s="101">
        <v>189873.96</v>
      </c>
      <c r="L880" s="101">
        <v>518777.4</v>
      </c>
      <c r="M880" s="101"/>
      <c r="N880" s="10"/>
      <c r="O880" s="10"/>
      <c r="P880"/>
      <c r="Q880"/>
    </row>
    <row r="881" spans="1:17" s="146" customFormat="1" ht="18" customHeight="1" x14ac:dyDescent="0.25">
      <c r="A881" s="926" t="s">
        <v>1386</v>
      </c>
      <c r="B881" s="48" t="s">
        <v>123</v>
      </c>
      <c r="C881" s="131" t="s">
        <v>154</v>
      </c>
      <c r="D881" s="932" t="s">
        <v>153</v>
      </c>
      <c r="E881" s="929"/>
      <c r="F881" s="929"/>
      <c r="G881" s="929"/>
      <c r="H881" s="131" t="s">
        <v>154</v>
      </c>
      <c r="I881" s="101"/>
      <c r="J881" s="102">
        <v>145516.32</v>
      </c>
      <c r="K881" s="101"/>
      <c r="L881" s="101">
        <v>152821.44</v>
      </c>
      <c r="M881" s="101"/>
      <c r="N881" s="10"/>
      <c r="O881" s="10"/>
      <c r="P881"/>
      <c r="Q881"/>
    </row>
    <row r="882" spans="1:17" s="146" customFormat="1" ht="18" customHeight="1" x14ac:dyDescent="0.25">
      <c r="A882" s="926" t="s">
        <v>1386</v>
      </c>
      <c r="B882" s="48" t="s">
        <v>123</v>
      </c>
      <c r="C882" s="100" t="s">
        <v>154</v>
      </c>
      <c r="D882" s="932" t="s">
        <v>153</v>
      </c>
      <c r="E882" s="929"/>
      <c r="F882" s="835"/>
      <c r="G882" s="835"/>
      <c r="H882" s="100" t="s">
        <v>154</v>
      </c>
      <c r="I882" s="101">
        <v>0</v>
      </c>
      <c r="J882" s="102">
        <v>127632.96000000001</v>
      </c>
      <c r="K882" s="101"/>
      <c r="L882" s="101">
        <v>133378.56</v>
      </c>
      <c r="M882" s="101"/>
      <c r="N882" s="10"/>
      <c r="O882" s="10"/>
      <c r="P882"/>
      <c r="Q882"/>
    </row>
    <row r="883" spans="1:17" s="146" customFormat="1" ht="18" customHeight="1" x14ac:dyDescent="0.25">
      <c r="A883" s="926" t="s">
        <v>1386</v>
      </c>
      <c r="B883" s="48" t="s">
        <v>123</v>
      </c>
      <c r="C883" s="100" t="s">
        <v>154</v>
      </c>
      <c r="D883" s="932" t="s">
        <v>153</v>
      </c>
      <c r="E883" s="929"/>
      <c r="F883" s="929"/>
      <c r="G883" s="929"/>
      <c r="H883" s="100" t="s">
        <v>154</v>
      </c>
      <c r="I883" s="101">
        <v>183044.16</v>
      </c>
      <c r="J883" s="102">
        <v>220277.52</v>
      </c>
      <c r="K883" s="101">
        <v>112246.78</v>
      </c>
      <c r="L883" s="101">
        <v>235269.43</v>
      </c>
      <c r="M883" s="101"/>
      <c r="N883" s="10"/>
      <c r="O883" s="10"/>
      <c r="P883"/>
      <c r="Q883"/>
    </row>
    <row r="884" spans="1:17" s="146" customFormat="1" ht="18" customHeight="1" x14ac:dyDescent="0.25">
      <c r="A884" s="926" t="s">
        <v>1386</v>
      </c>
      <c r="B884" s="48" t="s">
        <v>123</v>
      </c>
      <c r="C884" s="100" t="s">
        <v>154</v>
      </c>
      <c r="D884" s="838" t="s">
        <v>153</v>
      </c>
      <c r="E884" s="835"/>
      <c r="F884" s="835"/>
      <c r="G884" s="835"/>
      <c r="H884" s="100" t="s">
        <v>154</v>
      </c>
      <c r="I884" s="101">
        <v>311395.90000000002</v>
      </c>
      <c r="J884" s="102">
        <v>483819.84</v>
      </c>
      <c r="K884" s="101">
        <v>195273.15</v>
      </c>
      <c r="L884" s="101">
        <v>523663.35999999999</v>
      </c>
      <c r="M884" s="101"/>
      <c r="N884" s="10"/>
      <c r="O884" s="10"/>
      <c r="P884"/>
      <c r="Q884"/>
    </row>
    <row r="885" spans="1:17" s="146" customFormat="1" ht="18" customHeight="1" x14ac:dyDescent="0.25">
      <c r="A885" s="926" t="s">
        <v>1386</v>
      </c>
      <c r="B885" s="48" t="s">
        <v>123</v>
      </c>
      <c r="C885" s="100" t="s">
        <v>154</v>
      </c>
      <c r="D885" s="931" t="s">
        <v>153</v>
      </c>
      <c r="E885" s="930"/>
      <c r="F885" s="930"/>
      <c r="G885" s="928"/>
      <c r="H885" s="100" t="s">
        <v>154</v>
      </c>
      <c r="I885" s="101">
        <v>207135.48</v>
      </c>
      <c r="J885" s="102">
        <v>232427.51999999999</v>
      </c>
      <c r="K885" s="101">
        <v>131090.23999999999</v>
      </c>
      <c r="L885" s="101">
        <v>249152.65</v>
      </c>
      <c r="M885" s="101"/>
      <c r="N885" s="10">
        <v>60000</v>
      </c>
      <c r="O885" s="10"/>
      <c r="P885"/>
      <c r="Q885"/>
    </row>
    <row r="886" spans="1:17" s="146" customFormat="1" ht="18" customHeight="1" x14ac:dyDescent="0.25">
      <c r="A886" s="926" t="s">
        <v>1386</v>
      </c>
      <c r="B886" s="48" t="s">
        <v>123</v>
      </c>
      <c r="C886" s="131" t="s">
        <v>154</v>
      </c>
      <c r="D886" s="931" t="s">
        <v>153</v>
      </c>
      <c r="E886" s="930"/>
      <c r="F886" s="930"/>
      <c r="G886" s="928"/>
      <c r="H886" s="131" t="s">
        <v>154</v>
      </c>
      <c r="I886" s="101">
        <v>320641.91999999998</v>
      </c>
      <c r="J886" s="102">
        <v>419862.24</v>
      </c>
      <c r="K886" s="101">
        <v>215091.69</v>
      </c>
      <c r="L886" s="101">
        <v>453686.16</v>
      </c>
      <c r="M886" s="101"/>
      <c r="N886" s="10"/>
      <c r="O886" s="10"/>
      <c r="P886"/>
      <c r="Q886"/>
    </row>
    <row r="887" spans="1:17" s="146" customFormat="1" ht="18" customHeight="1" x14ac:dyDescent="0.25">
      <c r="A887" s="926" t="s">
        <v>1386</v>
      </c>
      <c r="B887" s="48" t="s">
        <v>123</v>
      </c>
      <c r="C887" s="131" t="s">
        <v>154</v>
      </c>
      <c r="D887" s="837" t="s">
        <v>153</v>
      </c>
      <c r="E887" s="836"/>
      <c r="F887" s="836"/>
      <c r="G887" s="834"/>
      <c r="H887" s="131" t="s">
        <v>154</v>
      </c>
      <c r="I887" s="101">
        <v>694844.3</v>
      </c>
      <c r="J887" s="102">
        <v>861696.6</v>
      </c>
      <c r="K887" s="101">
        <v>437094.01</v>
      </c>
      <c r="L887" s="101">
        <v>936119.45</v>
      </c>
      <c r="M887" s="101"/>
      <c r="N887" s="10"/>
      <c r="O887" s="10"/>
      <c r="P887"/>
      <c r="Q887"/>
    </row>
    <row r="888" spans="1:17" s="146" customFormat="1" ht="18" customHeight="1" x14ac:dyDescent="0.25">
      <c r="A888" s="926" t="s">
        <v>1386</v>
      </c>
      <c r="B888" s="48" t="s">
        <v>123</v>
      </c>
      <c r="C888" s="131" t="s">
        <v>154</v>
      </c>
      <c r="D888" s="931" t="s">
        <v>153</v>
      </c>
      <c r="E888" s="930"/>
      <c r="F888" s="930"/>
      <c r="G888" s="928"/>
      <c r="H888" s="131" t="s">
        <v>154</v>
      </c>
      <c r="I888" s="101">
        <v>509555.88</v>
      </c>
      <c r="J888" s="102">
        <v>564526.56000000006</v>
      </c>
      <c r="K888" s="101">
        <v>248135.43</v>
      </c>
      <c r="L888" s="101">
        <v>609684.06999999995</v>
      </c>
      <c r="M888" s="101"/>
      <c r="N888" s="248"/>
      <c r="O888" s="10"/>
      <c r="P888"/>
      <c r="Q888"/>
    </row>
    <row r="889" spans="1:17" s="146" customFormat="1" ht="18" customHeight="1" x14ac:dyDescent="0.25">
      <c r="A889" s="926" t="s">
        <v>1386</v>
      </c>
      <c r="B889" s="48" t="s">
        <v>123</v>
      </c>
      <c r="C889" s="131" t="s">
        <v>154</v>
      </c>
      <c r="D889" s="837" t="s">
        <v>153</v>
      </c>
      <c r="E889" s="836"/>
      <c r="F889" s="836"/>
      <c r="G889" s="928"/>
      <c r="H889" s="131" t="s">
        <v>154</v>
      </c>
      <c r="I889" s="101">
        <v>286156.79999999999</v>
      </c>
      <c r="J889" s="102">
        <v>460804.32</v>
      </c>
      <c r="K889" s="101">
        <v>163852.38</v>
      </c>
      <c r="L889" s="101">
        <v>495188.52</v>
      </c>
      <c r="M889" s="101"/>
      <c r="N889" s="248"/>
      <c r="O889" s="10"/>
      <c r="P889"/>
      <c r="Q889"/>
    </row>
    <row r="890" spans="1:17" s="146" customFormat="1" ht="18" customHeight="1" x14ac:dyDescent="0.25">
      <c r="A890" s="926" t="s">
        <v>1386</v>
      </c>
      <c r="B890" s="48" t="s">
        <v>123</v>
      </c>
      <c r="C890" s="131" t="s">
        <v>154</v>
      </c>
      <c r="D890" s="837" t="s">
        <v>153</v>
      </c>
      <c r="E890" s="836"/>
      <c r="F890" s="836"/>
      <c r="G890" s="834"/>
      <c r="H890" s="131" t="s">
        <v>154</v>
      </c>
      <c r="I890" s="101">
        <v>177120</v>
      </c>
      <c r="J890" s="102">
        <v>177256.8</v>
      </c>
      <c r="K890" s="101">
        <v>106349.12</v>
      </c>
      <c r="L890" s="101">
        <v>188246.06</v>
      </c>
      <c r="M890" s="101">
        <f>SUM(L872:L890)</f>
        <v>8106679.6200000001</v>
      </c>
      <c r="N890" s="112"/>
      <c r="O890" s="10"/>
      <c r="P890"/>
      <c r="Q890"/>
    </row>
    <row r="891" spans="1:17" s="146" customFormat="1" ht="18" customHeight="1" x14ac:dyDescent="0.25">
      <c r="A891" s="926" t="s">
        <v>1386</v>
      </c>
      <c r="B891" s="48" t="s">
        <v>123</v>
      </c>
      <c r="C891" s="100" t="s">
        <v>156</v>
      </c>
      <c r="D891" s="931" t="s">
        <v>155</v>
      </c>
      <c r="E891" s="930"/>
      <c r="F891" s="930"/>
      <c r="G891" s="928"/>
      <c r="H891" s="100" t="s">
        <v>156</v>
      </c>
      <c r="I891" s="105">
        <v>12100</v>
      </c>
      <c r="J891" s="106">
        <v>13200</v>
      </c>
      <c r="K891" s="105">
        <v>6300</v>
      </c>
      <c r="L891" s="105">
        <v>13200</v>
      </c>
      <c r="M891" s="105"/>
      <c r="N891" s="10"/>
      <c r="O891" s="10"/>
      <c r="P891"/>
      <c r="Q891"/>
    </row>
    <row r="892" spans="1:17" ht="18" customHeight="1" x14ac:dyDescent="0.25">
      <c r="A892" s="926" t="s">
        <v>1386</v>
      </c>
      <c r="B892" s="48" t="s">
        <v>123</v>
      </c>
      <c r="C892" s="131" t="s">
        <v>156</v>
      </c>
      <c r="D892" s="838" t="s">
        <v>155</v>
      </c>
      <c r="E892" s="835"/>
      <c r="F892" s="835"/>
      <c r="G892" s="835"/>
      <c r="H892" s="131" t="s">
        <v>156</v>
      </c>
      <c r="I892" s="101">
        <v>6300</v>
      </c>
      <c r="J892" s="102">
        <v>36000</v>
      </c>
      <c r="K892" s="101">
        <v>8800</v>
      </c>
      <c r="L892" s="101">
        <v>36000</v>
      </c>
      <c r="M892" s="102"/>
      <c r="O892" s="10">
        <f>14000*2</f>
        <v>28000</v>
      </c>
    </row>
    <row r="893" spans="1:17" ht="18" customHeight="1" x14ac:dyDescent="0.25">
      <c r="A893" s="926" t="s">
        <v>1386</v>
      </c>
      <c r="B893" s="48" t="s">
        <v>123</v>
      </c>
      <c r="C893" s="100" t="s">
        <v>156</v>
      </c>
      <c r="D893" s="837" t="s">
        <v>155</v>
      </c>
      <c r="E893" s="928"/>
      <c r="F893" s="929"/>
      <c r="G893" s="929"/>
      <c r="H893" s="100" t="s">
        <v>156</v>
      </c>
      <c r="I893" s="101">
        <v>4300</v>
      </c>
      <c r="J893" s="102">
        <v>4800</v>
      </c>
      <c r="K893" s="101">
        <v>2800</v>
      </c>
      <c r="L893" s="101">
        <v>4800</v>
      </c>
      <c r="M893" s="102"/>
      <c r="O893" s="10">
        <f>75000*2</f>
        <v>150000</v>
      </c>
    </row>
    <row r="894" spans="1:17" s="48" customFormat="1" ht="0.75" customHeight="1" x14ac:dyDescent="0.25">
      <c r="A894" s="940" t="s">
        <v>1386</v>
      </c>
      <c r="B894" s="48" t="s">
        <v>123</v>
      </c>
      <c r="C894" s="381" t="s">
        <v>156</v>
      </c>
      <c r="D894" s="837" t="s">
        <v>155</v>
      </c>
      <c r="E894" s="930"/>
      <c r="F894" s="930"/>
      <c r="G894" s="930"/>
      <c r="H894" s="381" t="s">
        <v>156</v>
      </c>
      <c r="I894" s="141">
        <v>2400</v>
      </c>
      <c r="J894" s="122">
        <v>4800</v>
      </c>
      <c r="K894" s="141">
        <v>1400</v>
      </c>
      <c r="L894" s="141">
        <v>4800</v>
      </c>
      <c r="M894" s="4"/>
      <c r="N894" s="47"/>
      <c r="O894" s="47"/>
    </row>
    <row r="895" spans="1:17" s="48" customFormat="1" ht="18" customHeight="1" x14ac:dyDescent="0.25">
      <c r="A895" s="926" t="s">
        <v>1386</v>
      </c>
      <c r="B895" s="48" t="s">
        <v>123</v>
      </c>
      <c r="C895" s="131" t="s">
        <v>156</v>
      </c>
      <c r="D895" s="838" t="s">
        <v>155</v>
      </c>
      <c r="E895" s="835"/>
      <c r="F895" s="835"/>
      <c r="G895" s="835"/>
      <c r="H895" s="131" t="s">
        <v>156</v>
      </c>
      <c r="I895" s="101">
        <v>2400</v>
      </c>
      <c r="J895" s="102">
        <v>3600</v>
      </c>
      <c r="K895" s="101">
        <v>1400</v>
      </c>
      <c r="L895" s="101">
        <v>3600</v>
      </c>
      <c r="M895" s="101"/>
      <c r="N895" s="6"/>
      <c r="O895" s="6"/>
    </row>
    <row r="896" spans="1:17" s="48" customFormat="1" ht="18" customHeight="1" x14ac:dyDescent="0.25">
      <c r="A896" s="926" t="s">
        <v>1386</v>
      </c>
      <c r="B896" s="48" t="s">
        <v>123</v>
      </c>
      <c r="C896" s="131" t="s">
        <v>156</v>
      </c>
      <c r="D896" s="932" t="s">
        <v>155</v>
      </c>
      <c r="E896" s="929"/>
      <c r="F896" s="929"/>
      <c r="G896" s="929"/>
      <c r="H896" s="131" t="s">
        <v>156</v>
      </c>
      <c r="I896" s="101">
        <v>3600</v>
      </c>
      <c r="J896" s="102">
        <v>4800</v>
      </c>
      <c r="K896" s="101">
        <v>2500</v>
      </c>
      <c r="L896" s="101">
        <v>4800</v>
      </c>
      <c r="M896" s="101"/>
      <c r="N896" s="6"/>
      <c r="O896" s="6"/>
    </row>
    <row r="897" spans="1:15" s="48" customFormat="1" ht="18" customHeight="1" x14ac:dyDescent="0.25">
      <c r="A897" s="926" t="s">
        <v>1386</v>
      </c>
      <c r="B897" s="48" t="s">
        <v>123</v>
      </c>
      <c r="C897" s="131" t="s">
        <v>156</v>
      </c>
      <c r="D897" s="931" t="s">
        <v>155</v>
      </c>
      <c r="E897" s="930"/>
      <c r="F897" s="930"/>
      <c r="G897" s="928"/>
      <c r="H897" s="131" t="s">
        <v>156</v>
      </c>
      <c r="I897" s="101">
        <v>3800</v>
      </c>
      <c r="J897" s="102">
        <v>8400</v>
      </c>
      <c r="K897" s="101">
        <v>2800</v>
      </c>
      <c r="L897" s="101">
        <v>8400</v>
      </c>
      <c r="M897" s="101"/>
      <c r="N897" s="6"/>
      <c r="O897" s="6"/>
    </row>
    <row r="898" spans="1:15" s="48" customFormat="1" ht="18" customHeight="1" x14ac:dyDescent="0.25">
      <c r="A898" s="926" t="s">
        <v>1386</v>
      </c>
      <c r="B898" s="48" t="s">
        <v>123</v>
      </c>
      <c r="C898" s="131" t="s">
        <v>156</v>
      </c>
      <c r="D898" s="838" t="s">
        <v>155</v>
      </c>
      <c r="E898" s="835"/>
      <c r="F898" s="835"/>
      <c r="G898" s="835"/>
      <c r="H898" s="131" t="s">
        <v>156</v>
      </c>
      <c r="I898" s="101">
        <v>31000</v>
      </c>
      <c r="J898" s="102">
        <v>44400</v>
      </c>
      <c r="K898" s="101">
        <v>25100</v>
      </c>
      <c r="L898" s="101">
        <v>44400</v>
      </c>
      <c r="M898" s="101"/>
      <c r="N898" s="6"/>
      <c r="O898" s="6"/>
    </row>
    <row r="899" spans="1:15" s="48" customFormat="1" ht="18" customHeight="1" x14ac:dyDescent="0.25">
      <c r="A899" s="926" t="s">
        <v>1386</v>
      </c>
      <c r="B899" s="48" t="s">
        <v>123</v>
      </c>
      <c r="C899" s="131" t="s">
        <v>156</v>
      </c>
      <c r="D899" s="838" t="s">
        <v>155</v>
      </c>
      <c r="E899" s="835"/>
      <c r="F899" s="835"/>
      <c r="G899" s="835"/>
      <c r="H899" s="131" t="s">
        <v>156</v>
      </c>
      <c r="I899" s="101">
        <v>12200</v>
      </c>
      <c r="J899" s="102">
        <v>21600</v>
      </c>
      <c r="K899" s="101">
        <v>7700</v>
      </c>
      <c r="L899" s="101">
        <v>21600</v>
      </c>
      <c r="M899" s="101"/>
      <c r="N899" s="6"/>
      <c r="O899" s="6"/>
    </row>
    <row r="900" spans="1:15" s="48" customFormat="1" ht="18" customHeight="1" x14ac:dyDescent="0.25">
      <c r="A900" s="926" t="s">
        <v>1386</v>
      </c>
      <c r="B900" s="48" t="s">
        <v>123</v>
      </c>
      <c r="C900" s="131" t="s">
        <v>156</v>
      </c>
      <c r="D900" s="932" t="s">
        <v>155</v>
      </c>
      <c r="E900" s="835"/>
      <c r="F900" s="835"/>
      <c r="G900" s="835"/>
      <c r="H900" s="131" t="s">
        <v>156</v>
      </c>
      <c r="I900" s="101"/>
      <c r="J900" s="102">
        <v>3600</v>
      </c>
      <c r="K900" s="101"/>
      <c r="L900" s="101">
        <v>3600</v>
      </c>
      <c r="M900" s="101"/>
      <c r="N900" s="6"/>
      <c r="O900" s="6"/>
    </row>
    <row r="901" spans="1:15" s="48" customFormat="1" ht="18" customHeight="1" x14ac:dyDescent="0.25">
      <c r="A901" s="926" t="s">
        <v>1386</v>
      </c>
      <c r="B901" s="48" t="s">
        <v>123</v>
      </c>
      <c r="C901" s="100" t="s">
        <v>156</v>
      </c>
      <c r="D901" s="932" t="s">
        <v>155</v>
      </c>
      <c r="E901" s="929"/>
      <c r="F901" s="929"/>
      <c r="G901" s="929"/>
      <c r="H901" s="100" t="s">
        <v>156</v>
      </c>
      <c r="I901" s="101">
        <v>0</v>
      </c>
      <c r="J901" s="102">
        <v>2400</v>
      </c>
      <c r="K901" s="101"/>
      <c r="L901" s="101">
        <v>2400</v>
      </c>
      <c r="M901" s="101"/>
      <c r="N901" s="6"/>
      <c r="O901" s="6"/>
    </row>
    <row r="902" spans="1:15" s="48" customFormat="1" ht="18" customHeight="1" x14ac:dyDescent="0.25">
      <c r="A902" s="926" t="s">
        <v>1386</v>
      </c>
      <c r="B902" s="48" t="s">
        <v>123</v>
      </c>
      <c r="C902" s="100" t="s">
        <v>156</v>
      </c>
      <c r="D902" s="932" t="s">
        <v>155</v>
      </c>
      <c r="E902" s="929"/>
      <c r="F902" s="929"/>
      <c r="G902" s="929"/>
      <c r="H902" s="100" t="s">
        <v>156</v>
      </c>
      <c r="I902" s="101">
        <v>3600</v>
      </c>
      <c r="J902" s="102">
        <v>4800</v>
      </c>
      <c r="K902" s="101">
        <v>2100</v>
      </c>
      <c r="L902" s="101">
        <v>4800</v>
      </c>
      <c r="M902" s="101"/>
      <c r="N902" s="6"/>
      <c r="O902" s="6"/>
    </row>
    <row r="903" spans="1:15" s="48" customFormat="1" ht="18" customHeight="1" x14ac:dyDescent="0.25">
      <c r="A903" s="926" t="s">
        <v>1386</v>
      </c>
      <c r="B903" s="48" t="s">
        <v>123</v>
      </c>
      <c r="C903" s="100" t="s">
        <v>156</v>
      </c>
      <c r="D903" s="838" t="s">
        <v>155</v>
      </c>
      <c r="E903" s="835"/>
      <c r="F903" s="835"/>
      <c r="G903" s="835"/>
      <c r="H903" s="100" t="s">
        <v>156</v>
      </c>
      <c r="I903" s="101">
        <v>10300</v>
      </c>
      <c r="J903" s="102">
        <v>16800</v>
      </c>
      <c r="K903" s="101">
        <v>6300</v>
      </c>
      <c r="L903" s="101">
        <v>16800</v>
      </c>
      <c r="M903" s="101"/>
      <c r="N903" s="6"/>
      <c r="O903" s="6"/>
    </row>
    <row r="904" spans="1:15" s="48" customFormat="1" ht="18" customHeight="1" x14ac:dyDescent="0.25">
      <c r="A904" s="926" t="s">
        <v>1386</v>
      </c>
      <c r="B904" s="48" t="s">
        <v>123</v>
      </c>
      <c r="C904" s="100" t="s">
        <v>156</v>
      </c>
      <c r="D904" s="932" t="s">
        <v>155</v>
      </c>
      <c r="E904" s="929"/>
      <c r="F904" s="929"/>
      <c r="G904" s="929"/>
      <c r="H904" s="100" t="s">
        <v>156</v>
      </c>
      <c r="I904" s="101">
        <v>5500</v>
      </c>
      <c r="J904" s="102">
        <v>7200</v>
      </c>
      <c r="K904" s="101">
        <v>3800</v>
      </c>
      <c r="L904" s="101">
        <v>7200</v>
      </c>
      <c r="M904" s="101"/>
      <c r="N904" s="6"/>
      <c r="O904" s="6"/>
    </row>
    <row r="905" spans="1:15" s="48" customFormat="1" ht="18" customHeight="1" x14ac:dyDescent="0.25">
      <c r="A905" s="926" t="s">
        <v>1386</v>
      </c>
      <c r="B905" s="48" t="s">
        <v>123</v>
      </c>
      <c r="C905" s="131" t="s">
        <v>156</v>
      </c>
      <c r="D905" s="838" t="s">
        <v>155</v>
      </c>
      <c r="E905" s="835"/>
      <c r="F905" s="835"/>
      <c r="G905" s="835"/>
      <c r="H905" s="131" t="s">
        <v>156</v>
      </c>
      <c r="I905" s="101">
        <v>9600</v>
      </c>
      <c r="J905" s="102">
        <v>15600</v>
      </c>
      <c r="K905" s="101">
        <v>7000</v>
      </c>
      <c r="L905" s="101">
        <v>15600</v>
      </c>
      <c r="M905" s="101"/>
      <c r="N905" s="6"/>
      <c r="O905" s="6"/>
    </row>
    <row r="906" spans="1:15" s="48" customFormat="1" ht="18" customHeight="1" x14ac:dyDescent="0.25">
      <c r="A906" s="926" t="s">
        <v>1386</v>
      </c>
      <c r="B906" s="48" t="s">
        <v>123</v>
      </c>
      <c r="C906" s="131" t="s">
        <v>156</v>
      </c>
      <c r="D906" s="932" t="s">
        <v>155</v>
      </c>
      <c r="E906" s="929"/>
      <c r="F906" s="929"/>
      <c r="G906" s="929"/>
      <c r="H906" s="131" t="s">
        <v>156</v>
      </c>
      <c r="I906" s="101">
        <v>40900</v>
      </c>
      <c r="J906" s="102">
        <v>54000</v>
      </c>
      <c r="K906" s="101">
        <v>25500</v>
      </c>
      <c r="L906" s="101">
        <v>54000</v>
      </c>
      <c r="M906" s="101"/>
      <c r="N906" s="6"/>
      <c r="O906" s="6"/>
    </row>
    <row r="907" spans="1:15" s="48" customFormat="1" ht="18" customHeight="1" x14ac:dyDescent="0.25">
      <c r="A907" s="926" t="s">
        <v>1386</v>
      </c>
      <c r="B907" s="48" t="s">
        <v>123</v>
      </c>
      <c r="C907" s="131" t="s">
        <v>156</v>
      </c>
      <c r="D907" s="931" t="s">
        <v>155</v>
      </c>
      <c r="E907" s="930"/>
      <c r="F907" s="930"/>
      <c r="G907" s="928"/>
      <c r="H907" s="131" t="s">
        <v>156</v>
      </c>
      <c r="I907" s="101">
        <v>19000</v>
      </c>
      <c r="J907" s="102">
        <v>21600</v>
      </c>
      <c r="K907" s="101">
        <v>9800</v>
      </c>
      <c r="L907" s="101">
        <v>21600</v>
      </c>
      <c r="M907" s="101"/>
      <c r="N907" s="6"/>
      <c r="O907" s="6"/>
    </row>
    <row r="908" spans="1:15" s="48" customFormat="1" ht="18" customHeight="1" x14ac:dyDescent="0.25">
      <c r="A908" s="926" t="s">
        <v>1386</v>
      </c>
      <c r="B908" s="48" t="s">
        <v>123</v>
      </c>
      <c r="C908" s="131" t="s">
        <v>156</v>
      </c>
      <c r="D908" s="837" t="s">
        <v>155</v>
      </c>
      <c r="E908" s="836"/>
      <c r="F908" s="836"/>
      <c r="G908" s="834"/>
      <c r="H908" s="131" t="s">
        <v>156</v>
      </c>
      <c r="I908" s="101">
        <v>9600</v>
      </c>
      <c r="J908" s="102">
        <v>14400</v>
      </c>
      <c r="K908" s="101">
        <v>5000</v>
      </c>
      <c r="L908" s="101">
        <v>14400</v>
      </c>
      <c r="M908" s="101"/>
      <c r="N908" s="6"/>
      <c r="O908" s="6"/>
    </row>
    <row r="909" spans="1:15" s="48" customFormat="1" ht="18" customHeight="1" x14ac:dyDescent="0.25">
      <c r="A909" s="926" t="s">
        <v>1386</v>
      </c>
      <c r="B909" s="48" t="s">
        <v>123</v>
      </c>
      <c r="C909" s="131" t="s">
        <v>156</v>
      </c>
      <c r="D909" s="932" t="s">
        <v>155</v>
      </c>
      <c r="E909" s="929"/>
      <c r="F909" s="929"/>
      <c r="G909" s="929"/>
      <c r="H909" s="131" t="s">
        <v>156</v>
      </c>
      <c r="I909" s="101">
        <v>4800</v>
      </c>
      <c r="J909" s="102">
        <v>4800</v>
      </c>
      <c r="K909" s="101">
        <v>2800</v>
      </c>
      <c r="L909" s="101">
        <v>4800</v>
      </c>
      <c r="M909" s="101">
        <f>SUM(L891:L909)</f>
        <v>286800</v>
      </c>
      <c r="N909" s="6"/>
      <c r="O909" s="6"/>
    </row>
    <row r="910" spans="1:15" s="48" customFormat="1" ht="18" customHeight="1" x14ac:dyDescent="0.25">
      <c r="A910" s="926" t="s">
        <v>1386</v>
      </c>
      <c r="B910" s="48" t="s">
        <v>123</v>
      </c>
      <c r="C910" s="100" t="s">
        <v>158</v>
      </c>
      <c r="D910" s="838" t="s">
        <v>157</v>
      </c>
      <c r="E910" s="835"/>
      <c r="F910" s="835"/>
      <c r="G910" s="835"/>
      <c r="H910" s="100" t="s">
        <v>158</v>
      </c>
      <c r="I910" s="101">
        <v>40065.17</v>
      </c>
      <c r="J910" s="102">
        <v>52166.52</v>
      </c>
      <c r="K910" s="101">
        <v>22569.93</v>
      </c>
      <c r="L910" s="101">
        <v>131146.12</v>
      </c>
      <c r="M910" s="101"/>
      <c r="N910" s="6"/>
      <c r="O910" s="6"/>
    </row>
    <row r="911" spans="1:15" s="48" customFormat="1" ht="18" customHeight="1" x14ac:dyDescent="0.25">
      <c r="A911" s="926" t="s">
        <v>1386</v>
      </c>
      <c r="B911" s="48" t="s">
        <v>123</v>
      </c>
      <c r="C911" s="131" t="s">
        <v>158</v>
      </c>
      <c r="D911" s="932" t="s">
        <v>157</v>
      </c>
      <c r="E911" s="929"/>
      <c r="F911" s="929"/>
      <c r="G911" s="929"/>
      <c r="H911" s="131" t="s">
        <v>158</v>
      </c>
      <c r="I911" s="101">
        <v>10206.41</v>
      </c>
      <c r="J911" s="102">
        <v>72252.600000000006</v>
      </c>
      <c r="K911" s="101">
        <v>15880.26</v>
      </c>
      <c r="L911" s="101">
        <v>183804</v>
      </c>
      <c r="M911" s="101"/>
      <c r="N911" s="6"/>
      <c r="O911" s="6"/>
    </row>
    <row r="912" spans="1:15" s="48" customFormat="1" ht="18" customHeight="1" x14ac:dyDescent="0.25">
      <c r="A912" s="926" t="s">
        <v>1386</v>
      </c>
      <c r="B912" s="48" t="s">
        <v>123</v>
      </c>
      <c r="C912" s="100" t="s">
        <v>158</v>
      </c>
      <c r="D912" s="932" t="s">
        <v>157</v>
      </c>
      <c r="E912" s="929"/>
      <c r="F912" s="929"/>
      <c r="G912" s="929"/>
      <c r="H912" s="100" t="s">
        <v>158</v>
      </c>
      <c r="I912" s="101">
        <v>10908.83</v>
      </c>
      <c r="J912" s="102">
        <v>13674.26</v>
      </c>
      <c r="K912" s="101">
        <v>7155.99</v>
      </c>
      <c r="L912" s="101">
        <v>34423.11</v>
      </c>
      <c r="M912" s="101"/>
      <c r="N912" s="6"/>
      <c r="O912" s="6"/>
    </row>
    <row r="913" spans="1:15" s="48" customFormat="1" ht="18" customHeight="1" x14ac:dyDescent="0.25">
      <c r="A913" s="926" t="s">
        <v>1386</v>
      </c>
      <c r="B913" s="48" t="s">
        <v>123</v>
      </c>
      <c r="C913" s="100" t="s">
        <v>158</v>
      </c>
      <c r="D913" s="837" t="s">
        <v>157</v>
      </c>
      <c r="E913" s="930"/>
      <c r="F913" s="930"/>
      <c r="G913" s="928"/>
      <c r="H913" s="100" t="s">
        <v>158</v>
      </c>
      <c r="I913" s="101">
        <v>4547.0600000000004</v>
      </c>
      <c r="J913" s="102">
        <v>14438.76</v>
      </c>
      <c r="K913" s="101">
        <v>3093.64</v>
      </c>
      <c r="L913" s="101">
        <v>36551.129999999997</v>
      </c>
      <c r="M913" s="101"/>
      <c r="N913" s="6"/>
      <c r="O913" s="6"/>
    </row>
    <row r="914" spans="1:15" s="48" customFormat="1" ht="18" customHeight="1" x14ac:dyDescent="0.25">
      <c r="A914" s="926" t="s">
        <v>1386</v>
      </c>
      <c r="B914" s="48" t="s">
        <v>123</v>
      </c>
      <c r="C914" s="131" t="s">
        <v>158</v>
      </c>
      <c r="D914" s="931" t="s">
        <v>157</v>
      </c>
      <c r="E914" s="930"/>
      <c r="F914" s="930"/>
      <c r="G914" s="928"/>
      <c r="H914" s="131" t="s">
        <v>158</v>
      </c>
      <c r="I914" s="101">
        <v>5201.8999999999996</v>
      </c>
      <c r="J914" s="102">
        <v>11486.37</v>
      </c>
      <c r="K914" s="101">
        <v>3798.5</v>
      </c>
      <c r="L914" s="101">
        <v>29220</v>
      </c>
      <c r="M914" s="101"/>
      <c r="N914" s="6"/>
      <c r="O914" s="6"/>
    </row>
    <row r="915" spans="1:15" s="48" customFormat="1" ht="18" customHeight="1" x14ac:dyDescent="0.25">
      <c r="A915" s="926" t="s">
        <v>1386</v>
      </c>
      <c r="B915" s="48" t="s">
        <v>123</v>
      </c>
      <c r="C915" s="131" t="s">
        <v>158</v>
      </c>
      <c r="D915" s="837" t="s">
        <v>157</v>
      </c>
      <c r="E915" s="836"/>
      <c r="F915" s="836"/>
      <c r="G915" s="834"/>
      <c r="H915" s="131" t="s">
        <v>158</v>
      </c>
      <c r="I915" s="101">
        <v>14846.42</v>
      </c>
      <c r="J915" s="102">
        <v>20261.64</v>
      </c>
      <c r="K915" s="101">
        <v>9792.73</v>
      </c>
      <c r="L915" s="101">
        <v>49205.74</v>
      </c>
      <c r="M915" s="101"/>
      <c r="N915" s="6"/>
      <c r="O915" s="6"/>
    </row>
    <row r="916" spans="1:15" s="48" customFormat="1" ht="18" customHeight="1" x14ac:dyDescent="0.25">
      <c r="A916" s="926" t="s">
        <v>1386</v>
      </c>
      <c r="B916" s="48" t="s">
        <v>123</v>
      </c>
      <c r="C916" s="131" t="s">
        <v>158</v>
      </c>
      <c r="D916" s="931" t="s">
        <v>157</v>
      </c>
      <c r="E916" s="930"/>
      <c r="F916" s="930"/>
      <c r="G916" s="928"/>
      <c r="H916" s="131" t="s">
        <v>158</v>
      </c>
      <c r="I916" s="101">
        <v>18993.54</v>
      </c>
      <c r="J916" s="102">
        <v>36381.03</v>
      </c>
      <c r="K916" s="101">
        <v>12380.46</v>
      </c>
      <c r="L916" s="101">
        <v>92446.720000000001</v>
      </c>
      <c r="M916" s="101"/>
      <c r="N916" s="6"/>
      <c r="O916" s="6"/>
    </row>
    <row r="917" spans="1:15" s="48" customFormat="1" ht="18" customHeight="1" x14ac:dyDescent="0.25">
      <c r="A917" s="926" t="s">
        <v>1386</v>
      </c>
      <c r="B917" s="48" t="s">
        <v>123</v>
      </c>
      <c r="C917" s="131" t="s">
        <v>158</v>
      </c>
      <c r="D917" s="931" t="s">
        <v>157</v>
      </c>
      <c r="E917" s="930"/>
      <c r="F917" s="836"/>
      <c r="G917" s="928"/>
      <c r="H917" s="131" t="s">
        <v>158</v>
      </c>
      <c r="I917" s="101">
        <v>155309.9</v>
      </c>
      <c r="J917" s="102">
        <v>229457.13</v>
      </c>
      <c r="K917" s="101">
        <v>102019.92</v>
      </c>
      <c r="L917" s="101">
        <v>592812</v>
      </c>
      <c r="M917" s="101"/>
      <c r="N917" s="6"/>
      <c r="O917" s="6"/>
    </row>
    <row r="918" spans="1:15" s="48" customFormat="1" ht="18" customHeight="1" x14ac:dyDescent="0.25">
      <c r="A918" s="926" t="s">
        <v>1386</v>
      </c>
      <c r="B918" s="48" t="s">
        <v>123</v>
      </c>
      <c r="C918" s="131" t="s">
        <v>158</v>
      </c>
      <c r="D918" s="931" t="s">
        <v>157</v>
      </c>
      <c r="E918" s="930"/>
      <c r="F918" s="930"/>
      <c r="G918" s="928"/>
      <c r="H918" s="131" t="s">
        <v>158</v>
      </c>
      <c r="I918" s="101">
        <v>32857.300000000003</v>
      </c>
      <c r="J918" s="102">
        <v>66099.81</v>
      </c>
      <c r="K918" s="101">
        <v>20925.46</v>
      </c>
      <c r="L918" s="101">
        <v>168133.48</v>
      </c>
      <c r="M918" s="101"/>
      <c r="N918" s="6"/>
      <c r="O918" s="6"/>
    </row>
    <row r="919" spans="1:15" s="48" customFormat="1" ht="18" customHeight="1" x14ac:dyDescent="0.25">
      <c r="A919" s="926" t="s">
        <v>1386</v>
      </c>
      <c r="B919" s="48" t="s">
        <v>123</v>
      </c>
      <c r="C919" s="131" t="s">
        <v>158</v>
      </c>
      <c r="D919" s="931" t="s">
        <v>157</v>
      </c>
      <c r="E919" s="930"/>
      <c r="F919" s="930"/>
      <c r="G919" s="928"/>
      <c r="H919" s="131" t="s">
        <v>158</v>
      </c>
      <c r="I919" s="101"/>
      <c r="J919" s="102">
        <v>19627.650000000001</v>
      </c>
      <c r="K919" s="101"/>
      <c r="L919" s="101">
        <v>50652</v>
      </c>
      <c r="M919" s="101"/>
      <c r="N919" s="6"/>
      <c r="O919" s="6">
        <f>155000+30000</f>
        <v>185000</v>
      </c>
    </row>
    <row r="920" spans="1:15" s="48" customFormat="1" ht="18" customHeight="1" x14ac:dyDescent="0.25">
      <c r="A920" s="926" t="s">
        <v>1386</v>
      </c>
      <c r="B920" s="48" t="s">
        <v>123</v>
      </c>
      <c r="C920" s="100" t="s">
        <v>158</v>
      </c>
      <c r="D920" s="837" t="s">
        <v>157</v>
      </c>
      <c r="E920" s="836"/>
      <c r="F920" s="836"/>
      <c r="G920" s="834"/>
      <c r="H920" s="100" t="s">
        <v>158</v>
      </c>
      <c r="I920" s="101">
        <v>0</v>
      </c>
      <c r="J920" s="102">
        <v>17019.66</v>
      </c>
      <c r="K920" s="101"/>
      <c r="L920" s="101">
        <v>44160</v>
      </c>
      <c r="M920" s="101"/>
      <c r="N920" s="6"/>
      <c r="O920" s="6"/>
    </row>
    <row r="921" spans="1:15" s="48" customFormat="1" ht="18" customHeight="1" x14ac:dyDescent="0.25">
      <c r="A921" s="926" t="s">
        <v>1386</v>
      </c>
      <c r="B921" s="48" t="s">
        <v>123</v>
      </c>
      <c r="C921" s="100" t="s">
        <v>158</v>
      </c>
      <c r="D921" s="837" t="s">
        <v>157</v>
      </c>
      <c r="E921" s="836"/>
      <c r="F921" s="836"/>
      <c r="G921" s="834"/>
      <c r="H921" s="100" t="s">
        <v>158</v>
      </c>
      <c r="I921" s="101">
        <v>19486.82</v>
      </c>
      <c r="J921" s="102">
        <v>30219.42</v>
      </c>
      <c r="K921" s="101">
        <v>12104.2</v>
      </c>
      <c r="L921" s="105">
        <v>76863.14</v>
      </c>
      <c r="M921" s="101"/>
      <c r="N921" s="6">
        <f>2106360.4-50000</f>
        <v>2056360.4</v>
      </c>
      <c r="O921" s="6"/>
    </row>
    <row r="922" spans="1:15" s="136" customFormat="1" ht="18" customHeight="1" x14ac:dyDescent="0.25">
      <c r="A922" s="926" t="s">
        <v>1386</v>
      </c>
      <c r="B922" s="48" t="s">
        <v>123</v>
      </c>
      <c r="C922" s="696" t="s">
        <v>158</v>
      </c>
      <c r="D922" s="701" t="s">
        <v>157</v>
      </c>
      <c r="E922" s="935"/>
      <c r="F922" s="935"/>
      <c r="G922" s="935"/>
      <c r="H922" s="696" t="s">
        <v>158</v>
      </c>
      <c r="I922" s="121">
        <v>35224.99</v>
      </c>
      <c r="J922" s="145">
        <v>68290.11</v>
      </c>
      <c r="K922" s="121">
        <v>22298.76</v>
      </c>
      <c r="L922" s="121">
        <v>172503.89</v>
      </c>
      <c r="M922" s="121"/>
      <c r="N922" s="6"/>
      <c r="O922" s="6"/>
    </row>
    <row r="923" spans="1:15" s="136" customFormat="1" ht="18" customHeight="1" x14ac:dyDescent="0.25">
      <c r="A923" s="926" t="s">
        <v>1386</v>
      </c>
      <c r="B923" s="48" t="s">
        <v>123</v>
      </c>
      <c r="C923" s="100" t="s">
        <v>158</v>
      </c>
      <c r="D923" s="837" t="s">
        <v>157</v>
      </c>
      <c r="E923" s="836"/>
      <c r="F923" s="836"/>
      <c r="G923" s="930"/>
      <c r="H923" s="100" t="s">
        <v>158</v>
      </c>
      <c r="I923" s="101">
        <v>22338.25</v>
      </c>
      <c r="J923" s="102">
        <v>31766.07</v>
      </c>
      <c r="K923" s="101">
        <v>14526.85</v>
      </c>
      <c r="L923" s="101">
        <v>81510.559999999998</v>
      </c>
      <c r="M923" s="101"/>
      <c r="N923" s="6"/>
      <c r="O923" s="6"/>
    </row>
    <row r="924" spans="1:15" s="136" customFormat="1" ht="18" customHeight="1" x14ac:dyDescent="0.25">
      <c r="A924" s="926" t="s">
        <v>1386</v>
      </c>
      <c r="B924" s="48" t="s">
        <v>123</v>
      </c>
      <c r="C924" s="131" t="s">
        <v>158</v>
      </c>
      <c r="D924" s="931" t="s">
        <v>157</v>
      </c>
      <c r="E924" s="930"/>
      <c r="F924" s="930"/>
      <c r="G924" s="930"/>
      <c r="H924" s="131" t="s">
        <v>158</v>
      </c>
      <c r="I924" s="101">
        <v>35238.82</v>
      </c>
      <c r="J924" s="102">
        <v>57681.33</v>
      </c>
      <c r="K924" s="101">
        <v>24237.54</v>
      </c>
      <c r="L924" s="101">
        <v>148728.88</v>
      </c>
      <c r="M924" s="101"/>
      <c r="N924" s="6"/>
      <c r="O924" s="6"/>
    </row>
    <row r="925" spans="1:15" s="136" customFormat="1" ht="18" customHeight="1" x14ac:dyDescent="0.25">
      <c r="A925" s="926" t="s">
        <v>1386</v>
      </c>
      <c r="B925" s="48" t="s">
        <v>123</v>
      </c>
      <c r="C925" s="131" t="s">
        <v>158</v>
      </c>
      <c r="D925" s="931" t="s">
        <v>157</v>
      </c>
      <c r="E925" s="930"/>
      <c r="F925" s="930"/>
      <c r="G925" s="930"/>
      <c r="H925" s="131" t="s">
        <v>158</v>
      </c>
      <c r="I925" s="101">
        <v>83067.11</v>
      </c>
      <c r="J925" s="102">
        <v>123534.48</v>
      </c>
      <c r="K925" s="101">
        <v>52969.89</v>
      </c>
      <c r="L925" s="101">
        <v>310779.34000000003</v>
      </c>
      <c r="M925" s="101"/>
      <c r="N925" s="6"/>
      <c r="O925" s="6"/>
    </row>
    <row r="926" spans="1:15" s="136" customFormat="1" ht="18" customHeight="1" x14ac:dyDescent="0.25">
      <c r="A926" s="926" t="s">
        <v>1386</v>
      </c>
      <c r="B926" s="48" t="s">
        <v>123</v>
      </c>
      <c r="C926" s="131" t="s">
        <v>158</v>
      </c>
      <c r="D926" s="931" t="s">
        <v>157</v>
      </c>
      <c r="E926" s="930"/>
      <c r="F926" s="930"/>
      <c r="G926" s="930"/>
      <c r="H926" s="131" t="s">
        <v>158</v>
      </c>
      <c r="I926" s="101">
        <v>60606.12</v>
      </c>
      <c r="J926" s="102">
        <v>81889.64</v>
      </c>
      <c r="K926" s="101">
        <v>28739.58</v>
      </c>
      <c r="L926" s="101">
        <v>201109.78</v>
      </c>
      <c r="M926" s="101"/>
      <c r="N926" s="6"/>
      <c r="O926" s="6"/>
    </row>
    <row r="927" spans="1:15" s="136" customFormat="1" ht="18" customHeight="1" x14ac:dyDescent="0.25">
      <c r="A927" s="926" t="s">
        <v>1386</v>
      </c>
      <c r="B927" s="48" t="s">
        <v>123</v>
      </c>
      <c r="C927" s="131" t="s">
        <v>158</v>
      </c>
      <c r="D927" s="837" t="s">
        <v>157</v>
      </c>
      <c r="E927" s="836"/>
      <c r="F927" s="836"/>
      <c r="G927" s="930"/>
      <c r="H927" s="131" t="s">
        <v>158</v>
      </c>
      <c r="I927" s="101">
        <v>35544.86</v>
      </c>
      <c r="J927" s="102">
        <v>65607.149999999994</v>
      </c>
      <c r="K927" s="101">
        <v>19154.97</v>
      </c>
      <c r="L927" s="101">
        <v>164872.28</v>
      </c>
      <c r="M927" s="101"/>
      <c r="N927" s="6"/>
      <c r="O927" s="6"/>
    </row>
    <row r="928" spans="1:15" s="136" customFormat="1" ht="18" customHeight="1" x14ac:dyDescent="0.25">
      <c r="A928" s="926" t="s">
        <v>1386</v>
      </c>
      <c r="B928" s="48" t="s">
        <v>123</v>
      </c>
      <c r="C928" s="131" t="s">
        <v>158</v>
      </c>
      <c r="D928" s="837" t="s">
        <v>157</v>
      </c>
      <c r="E928" s="836"/>
      <c r="F928" s="836"/>
      <c r="G928" s="930"/>
      <c r="H928" s="131" t="s">
        <v>158</v>
      </c>
      <c r="I928" s="101">
        <v>18514.7</v>
      </c>
      <c r="J928" s="102">
        <v>23720.34</v>
      </c>
      <c r="K928" s="101">
        <v>11014.5</v>
      </c>
      <c r="L928" s="101">
        <v>61199.73</v>
      </c>
      <c r="M928" s="101">
        <f>SUM(L910:L928)</f>
        <v>2630121.899999999</v>
      </c>
      <c r="N928" s="6"/>
      <c r="O928" s="6"/>
    </row>
    <row r="929" spans="1:17" s="136" customFormat="1" ht="18" customHeight="1" x14ac:dyDescent="0.25">
      <c r="A929" s="926" t="s">
        <v>1386</v>
      </c>
      <c r="B929" s="48" t="s">
        <v>123</v>
      </c>
      <c r="C929" s="100" t="s">
        <v>160</v>
      </c>
      <c r="D929" s="931" t="s">
        <v>159</v>
      </c>
      <c r="E929" s="930"/>
      <c r="F929" s="930"/>
      <c r="G929" s="930"/>
      <c r="H929" s="100" t="s">
        <v>160</v>
      </c>
      <c r="I929" s="101">
        <v>12102.16</v>
      </c>
      <c r="J929" s="102">
        <v>13200</v>
      </c>
      <c r="K929" s="112">
        <v>6300</v>
      </c>
      <c r="L929" s="101">
        <v>13200</v>
      </c>
      <c r="M929" s="112"/>
      <c r="N929" s="6"/>
      <c r="O929" s="6"/>
    </row>
    <row r="930" spans="1:17" ht="18" customHeight="1" x14ac:dyDescent="0.25">
      <c r="A930" s="926" t="s">
        <v>1386</v>
      </c>
      <c r="B930" s="48" t="s">
        <v>123</v>
      </c>
      <c r="C930" s="131" t="s">
        <v>160</v>
      </c>
      <c r="D930" s="932" t="s">
        <v>159</v>
      </c>
      <c r="E930" s="929"/>
      <c r="F930" s="929"/>
      <c r="G930" s="929"/>
      <c r="H930" s="131" t="s">
        <v>160</v>
      </c>
      <c r="I930" s="101">
        <v>6307.56</v>
      </c>
      <c r="J930" s="102">
        <v>36000</v>
      </c>
      <c r="K930" s="101">
        <v>8800</v>
      </c>
      <c r="L930" s="101">
        <v>36000</v>
      </c>
      <c r="M930" s="101"/>
    </row>
    <row r="931" spans="1:17" ht="18" customHeight="1" x14ac:dyDescent="0.25">
      <c r="A931" s="926" t="s">
        <v>1386</v>
      </c>
      <c r="B931" s="48" t="s">
        <v>123</v>
      </c>
      <c r="C931" s="100" t="s">
        <v>160</v>
      </c>
      <c r="D931" s="837" t="s">
        <v>159</v>
      </c>
      <c r="E931" s="836"/>
      <c r="F931" s="836"/>
      <c r="G931" s="834"/>
      <c r="H931" s="100" t="s">
        <v>160</v>
      </c>
      <c r="I931" s="101">
        <v>4300</v>
      </c>
      <c r="J931" s="102">
        <v>4800</v>
      </c>
      <c r="K931" s="101">
        <v>2800</v>
      </c>
      <c r="L931" s="101">
        <v>4800</v>
      </c>
      <c r="M931" s="101"/>
    </row>
    <row r="932" spans="1:17" ht="18" customHeight="1" x14ac:dyDescent="0.25">
      <c r="A932" s="926" t="s">
        <v>1386</v>
      </c>
      <c r="B932" s="48" t="s">
        <v>123</v>
      </c>
      <c r="C932" s="100" t="s">
        <v>160</v>
      </c>
      <c r="D932" s="932" t="s">
        <v>159</v>
      </c>
      <c r="E932" s="929"/>
      <c r="F932" s="835"/>
      <c r="G932" s="835"/>
      <c r="H932" s="100" t="s">
        <v>160</v>
      </c>
      <c r="I932" s="101">
        <v>2400</v>
      </c>
      <c r="J932" s="102">
        <v>4800</v>
      </c>
      <c r="K932" s="101">
        <v>1400</v>
      </c>
      <c r="L932" s="101">
        <v>4800</v>
      </c>
      <c r="M932" s="101"/>
    </row>
    <row r="933" spans="1:17" s="146" customFormat="1" ht="18" customHeight="1" x14ac:dyDescent="0.25">
      <c r="A933" s="926" t="s">
        <v>1386</v>
      </c>
      <c r="B933" s="48" t="s">
        <v>123</v>
      </c>
      <c r="C933" s="131" t="s">
        <v>160</v>
      </c>
      <c r="D933" s="838" t="s">
        <v>159</v>
      </c>
      <c r="E933" s="835"/>
      <c r="F933" s="835"/>
      <c r="G933" s="835"/>
      <c r="H933" s="131" t="s">
        <v>160</v>
      </c>
      <c r="I933" s="101">
        <v>2400</v>
      </c>
      <c r="J933" s="102">
        <v>3600</v>
      </c>
      <c r="K933" s="101">
        <v>1400</v>
      </c>
      <c r="L933" s="101">
        <v>3600</v>
      </c>
      <c r="M933" s="101"/>
      <c r="N933" s="10"/>
      <c r="O933" s="10"/>
      <c r="P933"/>
      <c r="Q933"/>
    </row>
    <row r="934" spans="1:17" s="146" customFormat="1" ht="18" customHeight="1" x14ac:dyDescent="0.25">
      <c r="A934" s="926" t="s">
        <v>1386</v>
      </c>
      <c r="B934" s="48" t="s">
        <v>123</v>
      </c>
      <c r="C934" s="131" t="s">
        <v>160</v>
      </c>
      <c r="D934" s="932" t="s">
        <v>159</v>
      </c>
      <c r="E934" s="929"/>
      <c r="F934" s="929"/>
      <c r="G934" s="929"/>
      <c r="H934" s="131" t="s">
        <v>160</v>
      </c>
      <c r="I934" s="101">
        <v>3600</v>
      </c>
      <c r="J934" s="102">
        <v>4800</v>
      </c>
      <c r="K934" s="101">
        <v>2500</v>
      </c>
      <c r="L934" s="101">
        <v>4800</v>
      </c>
      <c r="M934" s="101"/>
      <c r="N934" s="10"/>
      <c r="O934" s="10"/>
      <c r="P934"/>
      <c r="Q934"/>
    </row>
    <row r="935" spans="1:17" s="146" customFormat="1" ht="18" customHeight="1" x14ac:dyDescent="0.25">
      <c r="A935" s="926" t="s">
        <v>1386</v>
      </c>
      <c r="B935" s="48" t="s">
        <v>123</v>
      </c>
      <c r="C935" s="131" t="s">
        <v>160</v>
      </c>
      <c r="D935" s="838" t="s">
        <v>159</v>
      </c>
      <c r="E935" s="835"/>
      <c r="F935" s="835"/>
      <c r="G935" s="835"/>
      <c r="H935" s="131" t="s">
        <v>160</v>
      </c>
      <c r="I935" s="101">
        <v>3800</v>
      </c>
      <c r="J935" s="102">
        <v>8400</v>
      </c>
      <c r="K935" s="101">
        <v>2800</v>
      </c>
      <c r="L935" s="101">
        <v>8400</v>
      </c>
      <c r="M935" s="101"/>
      <c r="N935" s="10"/>
      <c r="O935" s="10"/>
      <c r="P935"/>
      <c r="Q935"/>
    </row>
    <row r="936" spans="1:17" s="146" customFormat="1" ht="18" customHeight="1" x14ac:dyDescent="0.25">
      <c r="A936" s="926" t="s">
        <v>1386</v>
      </c>
      <c r="B936" s="48" t="s">
        <v>123</v>
      </c>
      <c r="C936" s="131" t="s">
        <v>160</v>
      </c>
      <c r="D936" s="932" t="s">
        <v>159</v>
      </c>
      <c r="E936" s="929"/>
      <c r="F936" s="929"/>
      <c r="G936" s="929"/>
      <c r="H936" s="131" t="s">
        <v>160</v>
      </c>
      <c r="I936" s="101">
        <v>29860.36</v>
      </c>
      <c r="J936" s="102">
        <v>44400</v>
      </c>
      <c r="K936" s="101">
        <v>24400</v>
      </c>
      <c r="L936" s="101">
        <v>44400</v>
      </c>
      <c r="M936" s="101"/>
      <c r="N936" s="10"/>
      <c r="O936" s="10"/>
      <c r="P936"/>
      <c r="Q936"/>
    </row>
    <row r="937" spans="1:17" s="146" customFormat="1" ht="18" customHeight="1" x14ac:dyDescent="0.25">
      <c r="A937" s="926" t="s">
        <v>1386</v>
      </c>
      <c r="B937" s="48" t="s">
        <v>123</v>
      </c>
      <c r="C937" s="131" t="s">
        <v>160</v>
      </c>
      <c r="D937" s="932" t="s">
        <v>159</v>
      </c>
      <c r="E937" s="835"/>
      <c r="F937" s="835"/>
      <c r="G937" s="835"/>
      <c r="H937" s="131" t="s">
        <v>160</v>
      </c>
      <c r="I937" s="101">
        <v>12200</v>
      </c>
      <c r="J937" s="102">
        <v>21600</v>
      </c>
      <c r="K937" s="101">
        <v>7700</v>
      </c>
      <c r="L937" s="101">
        <v>21600</v>
      </c>
      <c r="M937" s="101"/>
      <c r="N937" s="10"/>
      <c r="O937" s="10"/>
      <c r="P937"/>
      <c r="Q937"/>
    </row>
    <row r="938" spans="1:17" s="146" customFormat="1" ht="18" customHeight="1" x14ac:dyDescent="0.25">
      <c r="A938" s="926" t="s">
        <v>1386</v>
      </c>
      <c r="B938" s="48" t="s">
        <v>123</v>
      </c>
      <c r="C938" s="131" t="s">
        <v>160</v>
      </c>
      <c r="D938" s="838" t="s">
        <v>159</v>
      </c>
      <c r="E938" s="835"/>
      <c r="F938" s="835"/>
      <c r="G938" s="835"/>
      <c r="H938" s="131" t="s">
        <v>160</v>
      </c>
      <c r="I938" s="101"/>
      <c r="J938" s="102">
        <v>3600</v>
      </c>
      <c r="K938" s="101"/>
      <c r="L938" s="101">
        <v>3600</v>
      </c>
      <c r="M938" s="101"/>
      <c r="N938" s="10"/>
      <c r="O938" s="10"/>
      <c r="P938"/>
      <c r="Q938"/>
    </row>
    <row r="939" spans="1:17" s="146" customFormat="1" ht="18" customHeight="1" x14ac:dyDescent="0.25">
      <c r="A939" s="926" t="s">
        <v>1386</v>
      </c>
      <c r="B939" s="48" t="s">
        <v>123</v>
      </c>
      <c r="C939" s="100" t="s">
        <v>160</v>
      </c>
      <c r="D939" s="932" t="s">
        <v>159</v>
      </c>
      <c r="E939" s="929"/>
      <c r="F939" s="929"/>
      <c r="G939" s="929"/>
      <c r="H939" s="100" t="s">
        <v>160</v>
      </c>
      <c r="I939" s="101">
        <v>0</v>
      </c>
      <c r="J939" s="102">
        <v>2400</v>
      </c>
      <c r="K939" s="101"/>
      <c r="L939" s="101">
        <v>2400</v>
      </c>
      <c r="M939" s="101"/>
      <c r="N939" s="10"/>
      <c r="O939" s="10"/>
      <c r="P939"/>
      <c r="Q939"/>
    </row>
    <row r="940" spans="1:17" s="146" customFormat="1" ht="18" customHeight="1" x14ac:dyDescent="0.25">
      <c r="A940" s="926" t="s">
        <v>1386</v>
      </c>
      <c r="B940" s="48" t="s">
        <v>123</v>
      </c>
      <c r="C940" s="100" t="s">
        <v>160</v>
      </c>
      <c r="D940" s="932" t="s">
        <v>159</v>
      </c>
      <c r="E940" s="929"/>
      <c r="F940" s="929"/>
      <c r="G940" s="929"/>
      <c r="H940" s="100" t="s">
        <v>160</v>
      </c>
      <c r="I940" s="101">
        <v>3600</v>
      </c>
      <c r="J940" s="102">
        <v>4800</v>
      </c>
      <c r="K940" s="101">
        <v>2100</v>
      </c>
      <c r="L940" s="101">
        <v>4800</v>
      </c>
      <c r="M940" s="101"/>
      <c r="N940" s="10"/>
      <c r="O940" s="10"/>
      <c r="P940"/>
      <c r="Q940"/>
    </row>
    <row r="941" spans="1:17" s="146" customFormat="1" ht="18" customHeight="1" x14ac:dyDescent="0.25">
      <c r="A941" s="926" t="s">
        <v>1386</v>
      </c>
      <c r="B941" s="48" t="s">
        <v>123</v>
      </c>
      <c r="C941" s="100" t="s">
        <v>160</v>
      </c>
      <c r="D941" s="838" t="s">
        <v>159</v>
      </c>
      <c r="E941" s="835"/>
      <c r="F941" s="835"/>
      <c r="G941" s="835"/>
      <c r="H941" s="100" t="s">
        <v>160</v>
      </c>
      <c r="I941" s="101">
        <v>10300</v>
      </c>
      <c r="J941" s="102">
        <v>16800</v>
      </c>
      <c r="K941" s="101">
        <v>6300</v>
      </c>
      <c r="L941" s="101">
        <v>16800</v>
      </c>
      <c r="M941" s="101"/>
      <c r="N941" s="10"/>
      <c r="O941" s="10"/>
      <c r="P941"/>
      <c r="Q941"/>
    </row>
    <row r="942" spans="1:17" s="146" customFormat="1" ht="18" customHeight="1" x14ac:dyDescent="0.25">
      <c r="A942" s="926" t="s">
        <v>1386</v>
      </c>
      <c r="B942" s="48" t="s">
        <v>123</v>
      </c>
      <c r="C942" s="100" t="s">
        <v>160</v>
      </c>
      <c r="D942" s="837" t="s">
        <v>159</v>
      </c>
      <c r="E942" s="836"/>
      <c r="F942" s="836"/>
      <c r="G942" s="834"/>
      <c r="H942" s="100" t="s">
        <v>160</v>
      </c>
      <c r="I942" s="101">
        <v>5500</v>
      </c>
      <c r="J942" s="102">
        <v>7200</v>
      </c>
      <c r="K942" s="101">
        <v>3800</v>
      </c>
      <c r="L942" s="101">
        <v>7200</v>
      </c>
      <c r="M942" s="101"/>
      <c r="N942" s="10"/>
      <c r="O942" s="10"/>
      <c r="P942"/>
      <c r="Q942"/>
    </row>
    <row r="943" spans="1:17" s="146" customFormat="1" ht="18" customHeight="1" x14ac:dyDescent="0.25">
      <c r="A943" s="926" t="s">
        <v>1386</v>
      </c>
      <c r="B943" s="48" t="s">
        <v>123</v>
      </c>
      <c r="C943" s="131" t="s">
        <v>160</v>
      </c>
      <c r="D943" s="838" t="s">
        <v>159</v>
      </c>
      <c r="E943" s="835"/>
      <c r="F943" s="835"/>
      <c r="G943" s="835"/>
      <c r="H943" s="131" t="s">
        <v>160</v>
      </c>
      <c r="I943" s="101">
        <v>9600</v>
      </c>
      <c r="J943" s="102">
        <v>15600</v>
      </c>
      <c r="K943" s="101">
        <v>7000</v>
      </c>
      <c r="L943" s="101">
        <v>15600</v>
      </c>
      <c r="M943" s="101"/>
      <c r="N943" s="10"/>
      <c r="O943" s="10"/>
      <c r="P943"/>
      <c r="Q943"/>
    </row>
    <row r="944" spans="1:17" s="146" customFormat="1" ht="18" customHeight="1" x14ac:dyDescent="0.25">
      <c r="A944" s="926" t="s">
        <v>1386</v>
      </c>
      <c r="B944" s="48" t="s">
        <v>123</v>
      </c>
      <c r="C944" s="131" t="s">
        <v>160</v>
      </c>
      <c r="D944" s="932" t="s">
        <v>159</v>
      </c>
      <c r="E944" s="929"/>
      <c r="F944" s="929"/>
      <c r="G944" s="929"/>
      <c r="H944" s="131" t="s">
        <v>160</v>
      </c>
      <c r="I944" s="101">
        <v>40906.480000000003</v>
      </c>
      <c r="J944" s="102">
        <v>54000</v>
      </c>
      <c r="K944" s="101">
        <v>25500</v>
      </c>
      <c r="L944" s="101">
        <v>54000</v>
      </c>
      <c r="M944" s="101"/>
      <c r="N944" s="10"/>
      <c r="O944" s="10"/>
      <c r="P944"/>
      <c r="Q944"/>
    </row>
    <row r="945" spans="1:17" s="146" customFormat="1" ht="18" customHeight="1" x14ac:dyDescent="0.25">
      <c r="A945" s="926" t="s">
        <v>1386</v>
      </c>
      <c r="B945" s="48" t="s">
        <v>123</v>
      </c>
      <c r="C945" s="131" t="s">
        <v>160</v>
      </c>
      <c r="D945" s="838" t="s">
        <v>159</v>
      </c>
      <c r="E945" s="835"/>
      <c r="F945" s="835"/>
      <c r="G945" s="835"/>
      <c r="H945" s="131" t="s">
        <v>160</v>
      </c>
      <c r="I945" s="101">
        <v>19000</v>
      </c>
      <c r="J945" s="102">
        <v>21600</v>
      </c>
      <c r="K945" s="101">
        <v>9800</v>
      </c>
      <c r="L945" s="101">
        <v>21600</v>
      </c>
      <c r="M945" s="101"/>
      <c r="N945" s="10"/>
      <c r="O945" s="10"/>
      <c r="P945"/>
      <c r="Q945"/>
    </row>
    <row r="946" spans="1:17" ht="18" customHeight="1" x14ac:dyDescent="0.25">
      <c r="A946" s="926" t="s">
        <v>1386</v>
      </c>
      <c r="B946" s="48" t="s">
        <v>123</v>
      </c>
      <c r="C946" s="131" t="s">
        <v>160</v>
      </c>
      <c r="D946" s="932" t="s">
        <v>159</v>
      </c>
      <c r="E946" s="929"/>
      <c r="F946" s="929"/>
      <c r="G946" s="929"/>
      <c r="H946" s="131" t="s">
        <v>160</v>
      </c>
      <c r="I946" s="101">
        <v>9600</v>
      </c>
      <c r="J946" s="102">
        <v>14400</v>
      </c>
      <c r="K946" s="101">
        <v>5000</v>
      </c>
      <c r="L946" s="101">
        <v>14400</v>
      </c>
      <c r="M946" s="101"/>
    </row>
    <row r="947" spans="1:17" ht="18" customHeight="1" x14ac:dyDescent="0.25">
      <c r="A947" s="926" t="s">
        <v>1386</v>
      </c>
      <c r="B947" s="48" t="s">
        <v>123</v>
      </c>
      <c r="C947" s="131" t="s">
        <v>160</v>
      </c>
      <c r="D947" s="931" t="s">
        <v>159</v>
      </c>
      <c r="E947" s="836"/>
      <c r="F947" s="836"/>
      <c r="G947" s="834"/>
      <c r="H947" s="131" t="s">
        <v>160</v>
      </c>
      <c r="I947" s="101">
        <v>4800</v>
      </c>
      <c r="J947" s="102">
        <v>4800</v>
      </c>
      <c r="K947" s="101">
        <v>2800</v>
      </c>
      <c r="L947" s="101">
        <v>4800</v>
      </c>
      <c r="M947" s="101">
        <f>SUM(L929:L947)</f>
        <v>286800</v>
      </c>
    </row>
    <row r="948" spans="1:17" ht="18" customHeight="1" x14ac:dyDescent="0.25">
      <c r="A948" s="926" t="s">
        <v>1386</v>
      </c>
      <c r="B948" s="48" t="s">
        <v>123</v>
      </c>
      <c r="C948" s="100" t="s">
        <v>140</v>
      </c>
      <c r="D948" s="837" t="s">
        <v>139</v>
      </c>
      <c r="E948" s="836"/>
      <c r="F948" s="836"/>
      <c r="G948" s="928"/>
      <c r="H948" s="100" t="s">
        <v>140</v>
      </c>
      <c r="I948" s="101">
        <v>326902</v>
      </c>
      <c r="J948" s="102">
        <v>323695</v>
      </c>
      <c r="K948" s="101">
        <v>303083</v>
      </c>
      <c r="L948" s="101">
        <v>344152</v>
      </c>
      <c r="M948" s="101"/>
      <c r="N948" s="10">
        <f>15008+79568+4971</f>
        <v>99547</v>
      </c>
      <c r="O948" s="10">
        <f>208576+52000</f>
        <v>260576</v>
      </c>
    </row>
    <row r="949" spans="1:17" ht="18" customHeight="1" x14ac:dyDescent="0.25">
      <c r="A949" s="926" t="s">
        <v>1386</v>
      </c>
      <c r="B949" s="48" t="s">
        <v>123</v>
      </c>
      <c r="C949" s="131" t="s">
        <v>140</v>
      </c>
      <c r="D949" s="931" t="s">
        <v>139</v>
      </c>
      <c r="E949" s="930"/>
      <c r="F949" s="930"/>
      <c r="G949" s="928"/>
      <c r="H949" s="131" t="s">
        <v>140</v>
      </c>
      <c r="I949" s="101">
        <v>94997</v>
      </c>
      <c r="J949" s="102">
        <v>344060</v>
      </c>
      <c r="K949" s="101"/>
      <c r="L949" s="101">
        <v>382392</v>
      </c>
      <c r="M949" s="101"/>
      <c r="N949" s="10">
        <f>570060+4750</f>
        <v>574810</v>
      </c>
    </row>
    <row r="950" spans="1:17" ht="18" customHeight="1" x14ac:dyDescent="0.25">
      <c r="A950" s="926" t="s">
        <v>1386</v>
      </c>
      <c r="B950" s="48" t="s">
        <v>123</v>
      </c>
      <c r="C950" s="100" t="s">
        <v>140</v>
      </c>
      <c r="D950" s="837" t="s">
        <v>139</v>
      </c>
      <c r="E950" s="836"/>
      <c r="F950" s="836"/>
      <c r="G950" s="834"/>
      <c r="H950" s="100" t="s">
        <v>140</v>
      </c>
      <c r="I950" s="101">
        <v>65048</v>
      </c>
      <c r="J950" s="102">
        <v>65048</v>
      </c>
      <c r="K950" s="101">
        <v>68132</v>
      </c>
      <c r="L950" s="101">
        <v>71779</v>
      </c>
      <c r="M950" s="101"/>
    </row>
    <row r="951" spans="1:17" ht="18" customHeight="1" x14ac:dyDescent="0.25">
      <c r="A951" s="926" t="s">
        <v>1386</v>
      </c>
      <c r="B951" s="48" t="s">
        <v>123</v>
      </c>
      <c r="C951" s="100" t="s">
        <v>140</v>
      </c>
      <c r="D951" s="837" t="s">
        <v>139</v>
      </c>
      <c r="E951" s="836"/>
      <c r="F951" s="836"/>
      <c r="G951" s="834"/>
      <c r="H951" s="100" t="s">
        <v>140</v>
      </c>
      <c r="I951" s="101">
        <v>25261</v>
      </c>
      <c r="J951" s="102">
        <v>68756</v>
      </c>
      <c r="K951" s="101">
        <v>30711</v>
      </c>
      <c r="L951" s="101">
        <v>75806</v>
      </c>
      <c r="M951" s="101"/>
    </row>
    <row r="952" spans="1:17" ht="18" customHeight="1" x14ac:dyDescent="0.25">
      <c r="A952" s="926" t="s">
        <v>1386</v>
      </c>
      <c r="B952" s="48" t="s">
        <v>123</v>
      </c>
      <c r="C952" s="131" t="s">
        <v>140</v>
      </c>
      <c r="D952" s="931" t="s">
        <v>139</v>
      </c>
      <c r="E952" s="930"/>
      <c r="F952" s="930"/>
      <c r="G952" s="928"/>
      <c r="H952" s="131" t="s">
        <v>140</v>
      </c>
      <c r="I952" s="101">
        <v>28899</v>
      </c>
      <c r="J952" s="102">
        <v>54541</v>
      </c>
      <c r="K952" s="101">
        <v>38380</v>
      </c>
      <c r="L952" s="101">
        <v>60516</v>
      </c>
      <c r="M952" s="101"/>
    </row>
    <row r="953" spans="1:17" ht="18" customHeight="1" x14ac:dyDescent="0.25">
      <c r="A953" s="926" t="s">
        <v>1386</v>
      </c>
      <c r="B953" s="48" t="s">
        <v>123</v>
      </c>
      <c r="C953" s="131" t="s">
        <v>140</v>
      </c>
      <c r="D953" s="931" t="s">
        <v>139</v>
      </c>
      <c r="E953" s="930"/>
      <c r="F953" s="930"/>
      <c r="G953" s="928"/>
      <c r="H953" s="131" t="s">
        <v>140</v>
      </c>
      <c r="I953" s="101">
        <v>82480</v>
      </c>
      <c r="J953" s="102">
        <v>96484</v>
      </c>
      <c r="K953" s="101">
        <v>84920</v>
      </c>
      <c r="L953" s="105">
        <v>103560</v>
      </c>
      <c r="M953" s="102"/>
    </row>
    <row r="954" spans="1:17" s="194" customFormat="1" ht="18" customHeight="1" x14ac:dyDescent="0.25">
      <c r="A954" s="926" t="s">
        <v>1386</v>
      </c>
      <c r="B954" s="48" t="s">
        <v>123</v>
      </c>
      <c r="C954" s="131" t="s">
        <v>140</v>
      </c>
      <c r="D954" s="931" t="s">
        <v>139</v>
      </c>
      <c r="E954" s="930"/>
      <c r="F954" s="930"/>
      <c r="G954" s="930"/>
      <c r="H954" s="131" t="s">
        <v>140</v>
      </c>
      <c r="I954" s="101">
        <v>143283</v>
      </c>
      <c r="J954" s="102">
        <v>190917</v>
      </c>
      <c r="K954" s="101">
        <v>147303</v>
      </c>
      <c r="L954" s="101">
        <v>203493</v>
      </c>
      <c r="M954" s="102"/>
      <c r="N954" s="10"/>
      <c r="O954" s="10"/>
      <c r="P954" s="191"/>
      <c r="Q954" s="191"/>
    </row>
    <row r="955" spans="1:17" s="146" customFormat="1" ht="18" customHeight="1" x14ac:dyDescent="0.25">
      <c r="A955" s="926" t="s">
        <v>1386</v>
      </c>
      <c r="B955" s="48" t="s">
        <v>123</v>
      </c>
      <c r="C955" s="133" t="s">
        <v>140</v>
      </c>
      <c r="D955" s="837" t="s">
        <v>139</v>
      </c>
      <c r="E955" s="836"/>
      <c r="F955" s="836"/>
      <c r="G955" s="834"/>
      <c r="H955" s="133" t="s">
        <v>140</v>
      </c>
      <c r="I955" s="105">
        <v>1186653</v>
      </c>
      <c r="J955" s="106">
        <v>1196474</v>
      </c>
      <c r="K955" s="105">
        <v>1205172</v>
      </c>
      <c r="L955" s="105">
        <v>1258089</v>
      </c>
      <c r="M955" s="106"/>
      <c r="N955" s="10"/>
      <c r="O955" s="10"/>
      <c r="P955"/>
      <c r="Q955"/>
    </row>
    <row r="956" spans="1:17" s="146" customFormat="1" ht="18" customHeight="1" x14ac:dyDescent="0.25">
      <c r="A956" s="926" t="s">
        <v>1386</v>
      </c>
      <c r="B956" s="48" t="s">
        <v>123</v>
      </c>
      <c r="C956" s="131" t="s">
        <v>140</v>
      </c>
      <c r="D956" s="931" t="s">
        <v>139</v>
      </c>
      <c r="E956" s="930"/>
      <c r="F956" s="930"/>
      <c r="G956" s="928"/>
      <c r="H956" s="131" t="s">
        <v>140</v>
      </c>
      <c r="I956" s="101">
        <v>219047</v>
      </c>
      <c r="J956" s="102">
        <v>331659</v>
      </c>
      <c r="K956" s="101">
        <v>227535</v>
      </c>
      <c r="L956" s="101">
        <v>360457</v>
      </c>
      <c r="M956" s="101"/>
      <c r="N956" s="10"/>
      <c r="O956" s="10"/>
      <c r="P956"/>
      <c r="Q956"/>
    </row>
    <row r="957" spans="1:17" s="146" customFormat="1" ht="18" customHeight="1" x14ac:dyDescent="0.25">
      <c r="A957" s="926" t="s">
        <v>1386</v>
      </c>
      <c r="B957" s="48" t="s">
        <v>123</v>
      </c>
      <c r="C957" s="131" t="s">
        <v>140</v>
      </c>
      <c r="D957" s="837" t="s">
        <v>139</v>
      </c>
      <c r="E957" s="836"/>
      <c r="F957" s="836"/>
      <c r="G957" s="834"/>
      <c r="H957" s="131" t="s">
        <v>140</v>
      </c>
      <c r="I957" s="101"/>
      <c r="J957" s="102">
        <v>101053</v>
      </c>
      <c r="K957" s="101"/>
      <c r="L957" s="101">
        <v>106126</v>
      </c>
      <c r="M957" s="101"/>
      <c r="N957" s="10"/>
      <c r="O957" s="10"/>
      <c r="P957"/>
      <c r="Q957"/>
    </row>
    <row r="958" spans="1:17" s="146" customFormat="1" ht="18" customHeight="1" x14ac:dyDescent="0.25">
      <c r="A958" s="926" t="s">
        <v>1386</v>
      </c>
      <c r="B958" s="48" t="s">
        <v>123</v>
      </c>
      <c r="C958" s="100" t="s">
        <v>140</v>
      </c>
      <c r="D958" s="931" t="s">
        <v>139</v>
      </c>
      <c r="E958" s="930"/>
      <c r="F958" s="930"/>
      <c r="G958" s="928"/>
      <c r="H958" s="100" t="s">
        <v>140</v>
      </c>
      <c r="I958" s="101">
        <v>0</v>
      </c>
      <c r="J958" s="102">
        <v>88634</v>
      </c>
      <c r="K958" s="101"/>
      <c r="L958" s="101">
        <v>92624</v>
      </c>
      <c r="M958" s="101"/>
      <c r="N958" s="10"/>
      <c r="O958" s="10"/>
      <c r="P958"/>
      <c r="Q958"/>
    </row>
    <row r="959" spans="1:17" s="146" customFormat="1" ht="18" customHeight="1" x14ac:dyDescent="0.25">
      <c r="A959" s="926" t="s">
        <v>1386</v>
      </c>
      <c r="B959" s="48" t="s">
        <v>123</v>
      </c>
      <c r="C959" s="100" t="s">
        <v>140</v>
      </c>
      <c r="D959" s="837" t="s">
        <v>139</v>
      </c>
      <c r="E959" s="930"/>
      <c r="F959" s="930"/>
      <c r="G959" s="928"/>
      <c r="H959" s="100" t="s">
        <v>140</v>
      </c>
      <c r="I959" s="101">
        <v>127114</v>
      </c>
      <c r="J959" s="102">
        <v>152756</v>
      </c>
      <c r="K959" s="101">
        <v>142607</v>
      </c>
      <c r="L959" s="101">
        <v>163533</v>
      </c>
      <c r="M959" s="101"/>
      <c r="N959" s="10"/>
      <c r="O959" s="10"/>
      <c r="P959"/>
      <c r="Q959"/>
    </row>
    <row r="960" spans="1:17" s="146" customFormat="1" ht="18" customHeight="1" x14ac:dyDescent="0.25">
      <c r="A960" s="926" t="s">
        <v>1386</v>
      </c>
      <c r="B960" s="48" t="s">
        <v>123</v>
      </c>
      <c r="C960" s="100" t="s">
        <v>140</v>
      </c>
      <c r="D960" s="837" t="s">
        <v>139</v>
      </c>
      <c r="E960" s="836"/>
      <c r="F960" s="836"/>
      <c r="G960" s="928"/>
      <c r="H960" s="100" t="s">
        <v>140</v>
      </c>
      <c r="I960" s="101">
        <v>221164</v>
      </c>
      <c r="J960" s="102">
        <v>335332</v>
      </c>
      <c r="K960" s="101">
        <v>236544</v>
      </c>
      <c r="L960" s="101">
        <v>363814</v>
      </c>
      <c r="M960" s="101"/>
      <c r="N960" s="10"/>
      <c r="O960" s="10"/>
      <c r="P960"/>
      <c r="Q960"/>
    </row>
    <row r="961" spans="1:17" s="146" customFormat="1" ht="18" customHeight="1" x14ac:dyDescent="0.25">
      <c r="A961" s="926" t="s">
        <v>1386</v>
      </c>
      <c r="B961" s="48" t="s">
        <v>123</v>
      </c>
      <c r="C961" s="100" t="s">
        <v>140</v>
      </c>
      <c r="D961" s="931" t="s">
        <v>139</v>
      </c>
      <c r="E961" s="930"/>
      <c r="F961" s="930"/>
      <c r="G961" s="928"/>
      <c r="H961" s="100" t="s">
        <v>140</v>
      </c>
      <c r="I961" s="101">
        <v>147399</v>
      </c>
      <c r="J961" s="102">
        <v>161408</v>
      </c>
      <c r="K961" s="101">
        <v>155537</v>
      </c>
      <c r="L961" s="101">
        <v>173074</v>
      </c>
      <c r="M961" s="101"/>
      <c r="N961" s="10"/>
      <c r="O961" s="10"/>
      <c r="P961"/>
      <c r="Q961"/>
    </row>
    <row r="962" spans="1:17" s="146" customFormat="1" ht="18" x14ac:dyDescent="0.25">
      <c r="A962" s="926" t="s">
        <v>1386</v>
      </c>
      <c r="B962" s="48" t="s">
        <v>123</v>
      </c>
      <c r="C962" s="131" t="s">
        <v>140</v>
      </c>
      <c r="D962" s="931" t="s">
        <v>139</v>
      </c>
      <c r="E962" s="930"/>
      <c r="F962" s="930"/>
      <c r="G962" s="928"/>
      <c r="H962" s="131" t="s">
        <v>140</v>
      </c>
      <c r="I962" s="101">
        <v>222668</v>
      </c>
      <c r="J962" s="102">
        <v>291571</v>
      </c>
      <c r="K962" s="101">
        <v>231993</v>
      </c>
      <c r="L962" s="101">
        <v>315174</v>
      </c>
      <c r="M962" s="101"/>
      <c r="N962" s="10"/>
      <c r="O962" s="10"/>
      <c r="P962"/>
      <c r="Q962"/>
    </row>
    <row r="963" spans="1:17" s="146" customFormat="1" ht="18" customHeight="1" x14ac:dyDescent="0.25">
      <c r="A963" s="926" t="s">
        <v>1386</v>
      </c>
      <c r="B963" s="48" t="s">
        <v>123</v>
      </c>
      <c r="C963" s="131" t="s">
        <v>140</v>
      </c>
      <c r="D963" s="837" t="s">
        <v>139</v>
      </c>
      <c r="E963" s="836"/>
      <c r="F963" s="836"/>
      <c r="G963" s="834"/>
      <c r="H963" s="131" t="s">
        <v>140</v>
      </c>
      <c r="I963" s="101">
        <v>488697</v>
      </c>
      <c r="J963" s="102">
        <v>598152</v>
      </c>
      <c r="K963" s="101">
        <v>521499</v>
      </c>
      <c r="L963" s="101">
        <v>650419</v>
      </c>
      <c r="M963" s="101"/>
      <c r="N963" s="10"/>
      <c r="O963" s="10"/>
      <c r="P963"/>
      <c r="Q963"/>
    </row>
    <row r="964" spans="1:17" s="146" customFormat="1" ht="18" x14ac:dyDescent="0.25">
      <c r="A964" s="926" t="s">
        <v>1386</v>
      </c>
      <c r="B964" s="48" t="s">
        <v>123</v>
      </c>
      <c r="C964" s="131" t="s">
        <v>140</v>
      </c>
      <c r="D964" s="931" t="s">
        <v>139</v>
      </c>
      <c r="E964" s="930"/>
      <c r="F964" s="930"/>
      <c r="G964" s="928"/>
      <c r="H964" s="131" t="s">
        <v>140</v>
      </c>
      <c r="I964" s="101">
        <v>377251</v>
      </c>
      <c r="J964" s="102">
        <v>391001</v>
      </c>
      <c r="K964" s="101">
        <v>295338</v>
      </c>
      <c r="L964" s="101">
        <v>423507</v>
      </c>
      <c r="M964" s="101"/>
      <c r="N964" s="10"/>
      <c r="O964" s="10"/>
      <c r="P964"/>
      <c r="Q964"/>
    </row>
    <row r="965" spans="1:17" s="146" customFormat="1" ht="18" customHeight="1" x14ac:dyDescent="0.25">
      <c r="A965" s="926" t="s">
        <v>1386</v>
      </c>
      <c r="B965" s="48" t="s">
        <v>123</v>
      </c>
      <c r="C965" s="131" t="s">
        <v>140</v>
      </c>
      <c r="D965" s="932" t="s">
        <v>139</v>
      </c>
      <c r="E965" s="929"/>
      <c r="F965" s="929"/>
      <c r="G965" s="929"/>
      <c r="H965" s="131" t="s">
        <v>140</v>
      </c>
      <c r="I965" s="101">
        <v>207473.12</v>
      </c>
      <c r="J965" s="102">
        <v>320003</v>
      </c>
      <c r="K965" s="101">
        <v>197657</v>
      </c>
      <c r="L965" s="101">
        <v>343955</v>
      </c>
      <c r="M965" s="101"/>
      <c r="N965" s="10"/>
      <c r="O965" s="10"/>
      <c r="P965"/>
      <c r="Q965"/>
    </row>
    <row r="966" spans="1:17" s="146" customFormat="1" ht="18" customHeight="1" x14ac:dyDescent="0.25">
      <c r="A966" s="926" t="s">
        <v>1386</v>
      </c>
      <c r="B966" s="48" t="s">
        <v>123</v>
      </c>
      <c r="C966" s="131" t="s">
        <v>140</v>
      </c>
      <c r="D966" s="837" t="s">
        <v>139</v>
      </c>
      <c r="E966" s="836"/>
      <c r="F966" s="836"/>
      <c r="G966" s="834"/>
      <c r="H966" s="131" t="s">
        <v>140</v>
      </c>
      <c r="I966" s="101">
        <v>123000</v>
      </c>
      <c r="J966" s="102">
        <v>123095</v>
      </c>
      <c r="K966" s="101">
        <v>126612</v>
      </c>
      <c r="L966" s="101">
        <v>130414</v>
      </c>
      <c r="M966" s="101">
        <f>SUM(L948:L966)</f>
        <v>5622884</v>
      </c>
      <c r="N966" s="10"/>
      <c r="O966" s="10"/>
      <c r="P966"/>
      <c r="Q966"/>
    </row>
    <row r="967" spans="1:17" s="146" customFormat="1" ht="18" x14ac:dyDescent="0.25">
      <c r="A967" s="926" t="s">
        <v>1386</v>
      </c>
      <c r="B967" s="48" t="s">
        <v>123</v>
      </c>
      <c r="C967" s="131"/>
      <c r="D967" s="837" t="s">
        <v>1370</v>
      </c>
      <c r="E967" s="836"/>
      <c r="F967" s="836"/>
      <c r="G967" s="834"/>
      <c r="H967" s="131"/>
      <c r="I967" s="101"/>
      <c r="J967" s="102"/>
      <c r="K967" s="101"/>
      <c r="L967" s="101">
        <v>41784.83</v>
      </c>
      <c r="M967" s="101"/>
      <c r="N967" s="10"/>
      <c r="O967" s="10"/>
      <c r="P967"/>
      <c r="Q967"/>
    </row>
    <row r="968" spans="1:17" ht="18" customHeight="1" x14ac:dyDescent="0.25">
      <c r="A968" s="926" t="s">
        <v>1386</v>
      </c>
      <c r="B968" s="48" t="s">
        <v>123</v>
      </c>
      <c r="C968" s="100"/>
      <c r="D968" s="837" t="s">
        <v>1370</v>
      </c>
      <c r="E968" s="836"/>
      <c r="F968" s="836"/>
      <c r="G968" s="834"/>
      <c r="H968" s="131"/>
      <c r="I968" s="101"/>
      <c r="J968" s="102"/>
      <c r="K968" s="101"/>
      <c r="L968" s="101">
        <v>704334.78</v>
      </c>
      <c r="M968" s="101"/>
    </row>
    <row r="969" spans="1:17" ht="18" customHeight="1" x14ac:dyDescent="0.25">
      <c r="A969" s="926" t="s">
        <v>1386</v>
      </c>
      <c r="B969" s="48" t="s">
        <v>123</v>
      </c>
      <c r="C969" s="131"/>
      <c r="D969" s="931" t="s">
        <v>1370</v>
      </c>
      <c r="E969" s="930"/>
      <c r="F969" s="930"/>
      <c r="G969" s="928"/>
      <c r="H969" s="131"/>
      <c r="I969" s="101"/>
      <c r="J969" s="102"/>
      <c r="K969" s="101"/>
      <c r="L969" s="101">
        <v>1432449.2</v>
      </c>
      <c r="M969" s="101"/>
    </row>
    <row r="970" spans="1:17" ht="18" customHeight="1" x14ac:dyDescent="0.25">
      <c r="A970" s="926" t="s">
        <v>1386</v>
      </c>
      <c r="B970" s="48" t="s">
        <v>123</v>
      </c>
      <c r="C970" s="131"/>
      <c r="D970" s="837" t="s">
        <v>1370</v>
      </c>
      <c r="E970" s="836"/>
      <c r="F970" s="836"/>
      <c r="G970" s="834"/>
      <c r="H970" s="131"/>
      <c r="I970" s="101"/>
      <c r="J970" s="102"/>
      <c r="K970" s="101"/>
      <c r="L970" s="101">
        <v>2360794.88</v>
      </c>
      <c r="M970" s="101">
        <f>SUM(L967:L970)</f>
        <v>4539363.6899999995</v>
      </c>
    </row>
    <row r="971" spans="1:17" ht="18" customHeight="1" x14ac:dyDescent="0.25">
      <c r="A971" s="926"/>
      <c r="B971" s="48"/>
      <c r="C971" s="131"/>
      <c r="D971" s="837"/>
      <c r="E971" s="836"/>
      <c r="F971" s="836"/>
      <c r="G971" s="834"/>
      <c r="H971" s="131"/>
      <c r="I971" s="101"/>
      <c r="J971" s="102"/>
      <c r="K971" s="101"/>
      <c r="L971" s="101"/>
      <c r="M971" s="101"/>
    </row>
    <row r="972" spans="1:17" ht="18" customHeight="1" x14ac:dyDescent="0.25">
      <c r="A972" s="926"/>
      <c r="B972" s="48"/>
      <c r="C972" s="131"/>
      <c r="D972" s="837"/>
      <c r="E972" s="836"/>
      <c r="F972" s="836"/>
      <c r="G972" s="834"/>
      <c r="H972" s="131"/>
      <c r="I972" s="101"/>
      <c r="J972" s="102"/>
      <c r="K972" s="101"/>
      <c r="L972" s="101"/>
      <c r="M972" s="101"/>
    </row>
    <row r="973" spans="1:17" ht="18" customHeight="1" x14ac:dyDescent="0.25">
      <c r="A973" s="926"/>
      <c r="B973" s="48"/>
      <c r="C973" s="131"/>
      <c r="D973" s="837"/>
      <c r="E973" s="836"/>
      <c r="F973" s="836"/>
      <c r="G973" s="834"/>
      <c r="H973" s="131"/>
      <c r="I973" s="101"/>
      <c r="J973" s="102"/>
      <c r="K973" s="101"/>
      <c r="L973" s="101"/>
      <c r="M973" s="101"/>
    </row>
    <row r="974" spans="1:17" ht="18" customHeight="1" x14ac:dyDescent="0.25">
      <c r="A974" s="926" t="s">
        <v>1387</v>
      </c>
      <c r="B974" s="146" t="s">
        <v>201</v>
      </c>
      <c r="C974" s="97"/>
      <c r="D974" s="859" t="s">
        <v>229</v>
      </c>
      <c r="E974" s="844"/>
      <c r="F974" s="844"/>
      <c r="G974" s="845"/>
      <c r="H974" s="97"/>
      <c r="I974" s="105"/>
      <c r="J974" s="106"/>
      <c r="K974" s="105"/>
      <c r="L974" s="106">
        <v>50000</v>
      </c>
      <c r="M974" s="105"/>
    </row>
    <row r="975" spans="1:17" ht="18" customHeight="1" x14ac:dyDescent="0.25">
      <c r="A975" s="926" t="s">
        <v>1387</v>
      </c>
      <c r="B975" s="146" t="s">
        <v>201</v>
      </c>
      <c r="C975" s="137"/>
      <c r="D975" s="409" t="s">
        <v>230</v>
      </c>
      <c r="E975" s="555"/>
      <c r="F975" s="555"/>
      <c r="G975" s="554"/>
      <c r="H975" s="137"/>
      <c r="I975" s="138"/>
      <c r="J975" s="698"/>
      <c r="K975" s="138"/>
      <c r="L975" s="101">
        <v>160000</v>
      </c>
      <c r="M975" s="101"/>
    </row>
    <row r="976" spans="1:17" ht="18" customHeight="1" x14ac:dyDescent="0.25">
      <c r="A976" s="926" t="s">
        <v>1387</v>
      </c>
      <c r="B976" s="388" t="s">
        <v>201</v>
      </c>
      <c r="C976" s="168"/>
      <c r="D976" s="859" t="s">
        <v>476</v>
      </c>
      <c r="E976" s="859"/>
      <c r="F976" s="859"/>
      <c r="G976" s="860"/>
      <c r="H976" s="168"/>
      <c r="I976" s="102"/>
      <c r="J976" s="102"/>
      <c r="K976" s="102"/>
      <c r="L976" s="102">
        <v>80000</v>
      </c>
      <c r="M976" s="101"/>
    </row>
    <row r="977" spans="1:17" ht="18" customHeight="1" x14ac:dyDescent="0.25">
      <c r="A977" s="926" t="s">
        <v>1387</v>
      </c>
      <c r="B977" s="388" t="s">
        <v>201</v>
      </c>
      <c r="C977" s="168"/>
      <c r="D977" s="859" t="s">
        <v>477</v>
      </c>
      <c r="E977" s="859"/>
      <c r="F977" s="859"/>
      <c r="G977" s="860"/>
      <c r="H977" s="168"/>
      <c r="I977" s="102"/>
      <c r="J977" s="102"/>
      <c r="K977" s="102"/>
      <c r="L977" s="102">
        <v>375000</v>
      </c>
      <c r="M977" s="101"/>
    </row>
    <row r="978" spans="1:17" ht="18" customHeight="1" x14ac:dyDescent="0.25">
      <c r="A978" s="926" t="s">
        <v>1387</v>
      </c>
      <c r="B978" s="388" t="s">
        <v>201</v>
      </c>
      <c r="C978" s="168"/>
      <c r="D978" s="859" t="s">
        <v>478</v>
      </c>
      <c r="E978" s="859"/>
      <c r="F978" s="859"/>
      <c r="G978" s="860"/>
      <c r="H978" s="168"/>
      <c r="I978" s="102"/>
      <c r="J978" s="102"/>
      <c r="K978" s="102"/>
      <c r="L978" s="102">
        <v>480000</v>
      </c>
      <c r="M978" s="101"/>
    </row>
    <row r="979" spans="1:17" s="146" customFormat="1" ht="18" customHeight="1" x14ac:dyDescent="0.25">
      <c r="A979" s="926" t="s">
        <v>1387</v>
      </c>
      <c r="B979" s="388" t="s">
        <v>201</v>
      </c>
      <c r="C979" s="97"/>
      <c r="D979" s="837" t="s">
        <v>479</v>
      </c>
      <c r="E979" s="837"/>
      <c r="F979" s="837"/>
      <c r="G979" s="838"/>
      <c r="H979" s="97"/>
      <c r="I979" s="101"/>
      <c r="J979" s="102"/>
      <c r="K979" s="101"/>
      <c r="L979" s="102">
        <v>60000</v>
      </c>
      <c r="M979" s="101"/>
      <c r="N979" s="10"/>
      <c r="O979" s="10"/>
      <c r="P979"/>
      <c r="Q979"/>
    </row>
    <row r="980" spans="1:17" s="146" customFormat="1" ht="18" customHeight="1" x14ac:dyDescent="0.25">
      <c r="A980" s="926" t="s">
        <v>1387</v>
      </c>
      <c r="B980" s="388" t="s">
        <v>201</v>
      </c>
      <c r="C980" s="97"/>
      <c r="D980" s="837" t="s">
        <v>480</v>
      </c>
      <c r="E980" s="837"/>
      <c r="F980" s="837"/>
      <c r="G980" s="838"/>
      <c r="H980" s="97"/>
      <c r="I980" s="101"/>
      <c r="J980" s="102"/>
      <c r="K980" s="101"/>
      <c r="L980" s="102">
        <v>19000</v>
      </c>
      <c r="M980" s="101"/>
      <c r="N980" s="10"/>
      <c r="O980" s="10"/>
      <c r="P980"/>
      <c r="Q980"/>
    </row>
    <row r="981" spans="1:17" s="146" customFormat="1" ht="18" customHeight="1" x14ac:dyDescent="0.25">
      <c r="A981" s="926" t="s">
        <v>1387</v>
      </c>
      <c r="B981" s="388" t="s">
        <v>201</v>
      </c>
      <c r="C981" s="97"/>
      <c r="D981" s="837" t="s">
        <v>481</v>
      </c>
      <c r="E981" s="837"/>
      <c r="F981" s="837"/>
      <c r="G981" s="838"/>
      <c r="H981" s="97"/>
      <c r="I981" s="101"/>
      <c r="J981" s="102"/>
      <c r="K981" s="101"/>
      <c r="L981" s="102">
        <v>15300</v>
      </c>
      <c r="M981" s="101"/>
      <c r="N981" s="10"/>
      <c r="O981" s="10"/>
      <c r="P981"/>
      <c r="Q981"/>
    </row>
    <row r="982" spans="1:17" s="146" customFormat="1" ht="18" customHeight="1" x14ac:dyDescent="0.25">
      <c r="A982" s="926" t="s">
        <v>1387</v>
      </c>
      <c r="B982" s="388" t="s">
        <v>201</v>
      </c>
      <c r="C982" s="97"/>
      <c r="D982" s="837" t="s">
        <v>482</v>
      </c>
      <c r="E982" s="837"/>
      <c r="F982" s="837"/>
      <c r="G982" s="838"/>
      <c r="H982" s="97"/>
      <c r="I982" s="101"/>
      <c r="J982" s="102"/>
      <c r="K982" s="101"/>
      <c r="L982" s="102">
        <v>30000</v>
      </c>
      <c r="M982" s="101"/>
      <c r="N982" s="10"/>
      <c r="O982" s="10"/>
      <c r="P982"/>
      <c r="Q982"/>
    </row>
    <row r="983" spans="1:17" s="146" customFormat="1" ht="18" customHeight="1" x14ac:dyDescent="0.25">
      <c r="A983" s="926" t="s">
        <v>1387</v>
      </c>
      <c r="B983" s="388" t="s">
        <v>201</v>
      </c>
      <c r="C983" s="97"/>
      <c r="D983" s="837" t="s">
        <v>483</v>
      </c>
      <c r="E983" s="837"/>
      <c r="F983" s="837"/>
      <c r="G983" s="838"/>
      <c r="H983" s="97"/>
      <c r="I983" s="101"/>
      <c r="J983" s="102"/>
      <c r="K983" s="101"/>
      <c r="L983" s="102">
        <v>25000</v>
      </c>
      <c r="M983" s="101"/>
      <c r="N983" s="10"/>
      <c r="O983" s="10"/>
      <c r="P983"/>
      <c r="Q983"/>
    </row>
    <row r="984" spans="1:17" s="146" customFormat="1" ht="18" customHeight="1" x14ac:dyDescent="0.25">
      <c r="A984" s="926" t="s">
        <v>1387</v>
      </c>
      <c r="B984" s="388" t="s">
        <v>201</v>
      </c>
      <c r="C984" s="97"/>
      <c r="D984" s="837" t="s">
        <v>484</v>
      </c>
      <c r="E984" s="837"/>
      <c r="F984" s="837"/>
      <c r="G984" s="838"/>
      <c r="H984" s="97"/>
      <c r="I984" s="101"/>
      <c r="J984" s="102"/>
      <c r="K984" s="101"/>
      <c r="L984" s="102">
        <v>17850</v>
      </c>
      <c r="M984" s="101"/>
      <c r="N984" s="10"/>
      <c r="O984" s="10"/>
      <c r="P984"/>
      <c r="Q984"/>
    </row>
    <row r="985" spans="1:17" s="146" customFormat="1" ht="18" customHeight="1" x14ac:dyDescent="0.25">
      <c r="A985" s="926" t="s">
        <v>1387</v>
      </c>
      <c r="B985" s="388" t="s">
        <v>201</v>
      </c>
      <c r="C985" s="97"/>
      <c r="D985" s="837" t="s">
        <v>485</v>
      </c>
      <c r="E985" s="837"/>
      <c r="F985" s="837"/>
      <c r="G985" s="838"/>
      <c r="H985" s="97"/>
      <c r="I985" s="101"/>
      <c r="J985" s="102"/>
      <c r="K985" s="101"/>
      <c r="L985" s="106">
        <v>36000</v>
      </c>
      <c r="M985" s="101"/>
      <c r="N985" s="10"/>
      <c r="O985" s="10"/>
      <c r="P985"/>
      <c r="Q985"/>
    </row>
    <row r="986" spans="1:17" s="194" customFormat="1" ht="18" customHeight="1" x14ac:dyDescent="0.25">
      <c r="A986" s="926" t="s">
        <v>1387</v>
      </c>
      <c r="B986" s="388" t="s">
        <v>201</v>
      </c>
      <c r="C986" s="168"/>
      <c r="D986" s="858" t="s">
        <v>515</v>
      </c>
      <c r="E986" s="695"/>
      <c r="F986" s="695"/>
      <c r="G986" s="695"/>
      <c r="H986" s="168"/>
      <c r="I986" s="102"/>
      <c r="J986" s="102"/>
      <c r="K986" s="111"/>
      <c r="L986" s="145">
        <v>28000</v>
      </c>
      <c r="M986" s="112"/>
      <c r="N986" s="10"/>
      <c r="O986" s="10"/>
      <c r="P986" s="191"/>
      <c r="Q986" s="191"/>
    </row>
    <row r="987" spans="1:17" s="194" customFormat="1" ht="18" customHeight="1" x14ac:dyDescent="0.25">
      <c r="A987" s="926" t="s">
        <v>1387</v>
      </c>
      <c r="B987" s="388" t="s">
        <v>201</v>
      </c>
      <c r="C987" s="168"/>
      <c r="D987" s="859" t="s">
        <v>516</v>
      </c>
      <c r="E987" s="840"/>
      <c r="F987" s="695"/>
      <c r="G987" s="695"/>
      <c r="H987" s="168"/>
      <c r="I987" s="102"/>
      <c r="J987" s="102"/>
      <c r="K987" s="111"/>
      <c r="L987" s="102">
        <v>150000</v>
      </c>
      <c r="M987" s="112"/>
      <c r="N987" s="10"/>
      <c r="O987" s="10"/>
      <c r="P987" s="191"/>
      <c r="Q987" s="191"/>
    </row>
    <row r="988" spans="1:17" s="194" customFormat="1" ht="18" customHeight="1" x14ac:dyDescent="0.25">
      <c r="A988" s="926"/>
      <c r="B988" s="388"/>
      <c r="C988" s="168"/>
      <c r="D988" s="936"/>
      <c r="E988" s="933"/>
      <c r="F988" s="695"/>
      <c r="G988" s="695"/>
      <c r="H988" s="168"/>
      <c r="I988" s="102"/>
      <c r="J988" s="102"/>
      <c r="K988" s="111"/>
      <c r="L988" s="102"/>
      <c r="M988" s="112"/>
      <c r="N988" s="10"/>
      <c r="O988" s="10"/>
      <c r="P988" s="191"/>
      <c r="Q988" s="191"/>
    </row>
    <row r="989" spans="1:17" s="194" customFormat="1" ht="18" customHeight="1" x14ac:dyDescent="0.25">
      <c r="A989" s="926" t="s">
        <v>1387</v>
      </c>
      <c r="B989" s="48" t="s">
        <v>163</v>
      </c>
      <c r="C989" s="131" t="s">
        <v>165</v>
      </c>
      <c r="D989" s="44" t="s">
        <v>164</v>
      </c>
      <c r="E989" s="113"/>
      <c r="F989" s="938"/>
      <c r="G989" s="938"/>
      <c r="H989" s="131" t="s">
        <v>165</v>
      </c>
      <c r="I989" s="101">
        <v>2550</v>
      </c>
      <c r="J989" s="102">
        <v>15000</v>
      </c>
      <c r="K989" s="112"/>
      <c r="L989" s="101">
        <v>15000</v>
      </c>
      <c r="M989" s="112"/>
      <c r="N989" s="10"/>
      <c r="O989" s="10">
        <f>115000*2</f>
        <v>230000</v>
      </c>
      <c r="P989" s="191"/>
      <c r="Q989" s="191"/>
    </row>
    <row r="990" spans="1:17" s="194" customFormat="1" ht="18" customHeight="1" x14ac:dyDescent="0.25">
      <c r="A990" s="926" t="s">
        <v>1387</v>
      </c>
      <c r="B990" s="48" t="s">
        <v>163</v>
      </c>
      <c r="C990" s="131" t="s">
        <v>165</v>
      </c>
      <c r="D990" s="44" t="s">
        <v>164</v>
      </c>
      <c r="E990" s="113"/>
      <c r="F990" s="938"/>
      <c r="G990" s="953"/>
      <c r="H990" s="131" t="s">
        <v>165</v>
      </c>
      <c r="I990" s="101">
        <v>0</v>
      </c>
      <c r="J990" s="102">
        <v>15000</v>
      </c>
      <c r="K990" s="112"/>
      <c r="L990" s="102">
        <v>15000</v>
      </c>
      <c r="M990" s="112"/>
      <c r="N990" s="10"/>
      <c r="O990" s="10"/>
      <c r="P990" s="191"/>
      <c r="Q990" s="191"/>
    </row>
    <row r="991" spans="1:17" s="194" customFormat="1" ht="18" customHeight="1" x14ac:dyDescent="0.25">
      <c r="A991" s="926" t="s">
        <v>1387</v>
      </c>
      <c r="B991" s="48" t="s">
        <v>163</v>
      </c>
      <c r="C991" s="131" t="s">
        <v>165</v>
      </c>
      <c r="D991" s="44" t="s">
        <v>164</v>
      </c>
      <c r="E991" s="113"/>
      <c r="F991" s="113"/>
      <c r="G991" s="114"/>
      <c r="H991" s="131" t="s">
        <v>165</v>
      </c>
      <c r="I991" s="101"/>
      <c r="J991" s="102">
        <v>20000</v>
      </c>
      <c r="K991" s="112"/>
      <c r="L991" s="101">
        <v>20000</v>
      </c>
      <c r="M991" s="111"/>
      <c r="N991" s="10"/>
      <c r="O991" s="10"/>
      <c r="P991" s="191"/>
      <c r="Q991" s="191"/>
    </row>
    <row r="992" spans="1:17" s="194" customFormat="1" ht="18" customHeight="1" x14ac:dyDescent="0.25">
      <c r="A992" s="926" t="s">
        <v>1387</v>
      </c>
      <c r="B992" s="48" t="s">
        <v>163</v>
      </c>
      <c r="C992" s="131" t="s">
        <v>165</v>
      </c>
      <c r="D992" s="44" t="s">
        <v>353</v>
      </c>
      <c r="E992" s="125"/>
      <c r="F992" s="125"/>
      <c r="G992" s="134"/>
      <c r="H992" s="131" t="s">
        <v>165</v>
      </c>
      <c r="I992" s="101">
        <v>50079.32</v>
      </c>
      <c r="J992" s="102">
        <v>826000</v>
      </c>
      <c r="K992" s="112">
        <v>2380</v>
      </c>
      <c r="L992" s="101">
        <v>176000</v>
      </c>
      <c r="M992" s="111"/>
      <c r="N992" s="10"/>
      <c r="O992" s="10"/>
      <c r="P992" s="191"/>
      <c r="Q992" s="191"/>
    </row>
    <row r="993" spans="1:17" s="194" customFormat="1" ht="18" customHeight="1" x14ac:dyDescent="0.25">
      <c r="A993" s="926" t="s">
        <v>1387</v>
      </c>
      <c r="B993" s="48" t="s">
        <v>163</v>
      </c>
      <c r="C993" s="131" t="s">
        <v>165</v>
      </c>
      <c r="D993" s="44" t="s">
        <v>353</v>
      </c>
      <c r="E993" s="113"/>
      <c r="F993" s="113"/>
      <c r="G993" s="114"/>
      <c r="H993" s="131" t="s">
        <v>165</v>
      </c>
      <c r="I993" s="101">
        <v>20722</v>
      </c>
      <c r="J993" s="102">
        <v>50000</v>
      </c>
      <c r="K993" s="112">
        <v>24300</v>
      </c>
      <c r="L993" s="102">
        <v>100000</v>
      </c>
      <c r="M993" s="111">
        <f>SUM(L989:L993)</f>
        <v>326000</v>
      </c>
      <c r="N993" s="10"/>
      <c r="O993" s="10"/>
      <c r="P993" s="191"/>
      <c r="Q993" s="191"/>
    </row>
    <row r="994" spans="1:17" s="146" customFormat="1" ht="18" customHeight="1" x14ac:dyDescent="0.25">
      <c r="A994" s="926" t="s">
        <v>1387</v>
      </c>
      <c r="B994" s="48" t="s">
        <v>163</v>
      </c>
      <c r="C994" s="131" t="s">
        <v>169</v>
      </c>
      <c r="D994" s="245" t="s">
        <v>168</v>
      </c>
      <c r="E994" s="116"/>
      <c r="F994" s="116"/>
      <c r="G994" s="116"/>
      <c r="H994" s="131" t="s">
        <v>169</v>
      </c>
      <c r="I994" s="101">
        <v>34402</v>
      </c>
      <c r="J994" s="102">
        <v>54077</v>
      </c>
      <c r="K994" s="101">
        <v>18855</v>
      </c>
      <c r="L994" s="101">
        <v>54156</v>
      </c>
      <c r="M994" s="101"/>
      <c r="N994" s="10"/>
      <c r="O994" s="10"/>
      <c r="P994"/>
      <c r="Q994"/>
    </row>
    <row r="995" spans="1:17" s="146" customFormat="1" ht="18" customHeight="1" x14ac:dyDescent="0.25">
      <c r="A995" s="926" t="s">
        <v>1387</v>
      </c>
      <c r="B995" s="48" t="s">
        <v>163</v>
      </c>
      <c r="C995" s="131" t="s">
        <v>169</v>
      </c>
      <c r="D995" s="245" t="s">
        <v>168</v>
      </c>
      <c r="E995" s="116"/>
      <c r="F995" s="116"/>
      <c r="G995" s="116"/>
      <c r="H995" s="131" t="s">
        <v>169</v>
      </c>
      <c r="I995" s="101">
        <v>0</v>
      </c>
      <c r="J995" s="102">
        <v>49952</v>
      </c>
      <c r="K995" s="101">
        <v>35368</v>
      </c>
      <c r="L995" s="102">
        <v>49952</v>
      </c>
      <c r="M995" s="101"/>
      <c r="N995" s="10"/>
      <c r="O995" s="10"/>
      <c r="P995"/>
      <c r="Q995"/>
    </row>
    <row r="996" spans="1:17" s="146" customFormat="1" ht="18" customHeight="1" x14ac:dyDescent="0.25">
      <c r="A996" s="925" t="s">
        <v>1387</v>
      </c>
      <c r="B996" s="48" t="s">
        <v>163</v>
      </c>
      <c r="C996" s="131" t="s">
        <v>169</v>
      </c>
      <c r="D996" s="700" t="s">
        <v>294</v>
      </c>
      <c r="E996" s="688"/>
      <c r="F996" s="688"/>
      <c r="G996" s="688"/>
      <c r="H996" s="131" t="s">
        <v>169</v>
      </c>
      <c r="I996" s="101">
        <v>28209</v>
      </c>
      <c r="J996" s="102">
        <v>50000</v>
      </c>
      <c r="K996" s="101">
        <v>30196</v>
      </c>
      <c r="L996" s="101">
        <v>50000</v>
      </c>
      <c r="M996" s="101"/>
      <c r="N996" s="10"/>
      <c r="O996" s="10"/>
      <c r="P996"/>
      <c r="Q996"/>
    </row>
    <row r="997" spans="1:17" s="146" customFormat="1" ht="18" customHeight="1" x14ac:dyDescent="0.25">
      <c r="A997" s="925" t="s">
        <v>1387</v>
      </c>
      <c r="B997" s="48" t="s">
        <v>163</v>
      </c>
      <c r="C997" s="131" t="s">
        <v>169</v>
      </c>
      <c r="D997" s="245" t="s">
        <v>168</v>
      </c>
      <c r="E997" s="97"/>
      <c r="F997" s="97"/>
      <c r="G997" s="97"/>
      <c r="H997" s="131" t="s">
        <v>169</v>
      </c>
      <c r="I997" s="101">
        <v>564940.5</v>
      </c>
      <c r="J997" s="102">
        <v>763408</v>
      </c>
      <c r="K997" s="101">
        <v>377106.5</v>
      </c>
      <c r="L997" s="101">
        <v>1189083</v>
      </c>
      <c r="M997" s="101"/>
      <c r="N997" s="10"/>
      <c r="O997" s="10"/>
      <c r="P997"/>
      <c r="Q997"/>
    </row>
    <row r="998" spans="1:17" s="146" customFormat="1" ht="18" customHeight="1" x14ac:dyDescent="0.25">
      <c r="A998" s="926" t="s">
        <v>1387</v>
      </c>
      <c r="B998" s="48" t="s">
        <v>163</v>
      </c>
      <c r="C998" s="131" t="s">
        <v>169</v>
      </c>
      <c r="D998" s="245" t="s">
        <v>168</v>
      </c>
      <c r="E998" s="116"/>
      <c r="F998" s="116"/>
      <c r="G998" s="116"/>
      <c r="H998" s="131" t="s">
        <v>169</v>
      </c>
      <c r="I998" s="101">
        <v>84368.1</v>
      </c>
      <c r="J998" s="102">
        <v>120000</v>
      </c>
      <c r="K998" s="101">
        <v>111812.5</v>
      </c>
      <c r="L998" s="101">
        <v>138756</v>
      </c>
      <c r="M998" s="101">
        <f>SUM(L994:L998)</f>
        <v>1481947</v>
      </c>
      <c r="N998" s="10"/>
      <c r="O998" s="10"/>
      <c r="P998"/>
      <c r="Q998"/>
    </row>
    <row r="999" spans="1:17" s="146" customFormat="1" ht="18" customHeight="1" x14ac:dyDescent="0.25">
      <c r="A999" s="926" t="s">
        <v>1387</v>
      </c>
      <c r="B999" s="48" t="s">
        <v>163</v>
      </c>
      <c r="C999" s="131" t="s">
        <v>467</v>
      </c>
      <c r="D999" s="245" t="s">
        <v>466</v>
      </c>
      <c r="E999" s="97"/>
      <c r="F999" s="97"/>
      <c r="G999" s="97"/>
      <c r="H999" s="131" t="s">
        <v>467</v>
      </c>
      <c r="I999" s="101"/>
      <c r="J999" s="102"/>
      <c r="K999" s="101"/>
      <c r="L999" s="101">
        <v>17571466</v>
      </c>
      <c r="M999" s="101"/>
      <c r="N999" s="10"/>
      <c r="O999" s="10"/>
      <c r="P999"/>
      <c r="Q999"/>
    </row>
    <row r="1000" spans="1:17" s="146" customFormat="1" ht="18" x14ac:dyDescent="0.25">
      <c r="A1000" s="926" t="s">
        <v>1387</v>
      </c>
      <c r="B1000" s="48" t="s">
        <v>163</v>
      </c>
      <c r="C1000" s="131" t="s">
        <v>469</v>
      </c>
      <c r="D1000" s="44" t="s">
        <v>468</v>
      </c>
      <c r="E1000" s="125"/>
      <c r="F1000" s="125"/>
      <c r="G1000" s="134"/>
      <c r="H1000" s="131" t="s">
        <v>469</v>
      </c>
      <c r="I1000" s="101">
        <v>4463519</v>
      </c>
      <c r="J1000" s="102">
        <v>11378111</v>
      </c>
      <c r="K1000" s="101"/>
      <c r="L1000" s="101">
        <v>41354789</v>
      </c>
      <c r="M1000" s="101"/>
      <c r="N1000" s="10"/>
      <c r="O1000" s="10"/>
      <c r="P1000"/>
      <c r="Q1000"/>
    </row>
    <row r="1001" spans="1:17" s="146" customFormat="1" ht="18" customHeight="1" x14ac:dyDescent="0.25">
      <c r="A1001" s="926" t="s">
        <v>1387</v>
      </c>
      <c r="B1001" s="48" t="s">
        <v>163</v>
      </c>
      <c r="C1001" s="131" t="s">
        <v>171</v>
      </c>
      <c r="D1001" s="245" t="s">
        <v>213</v>
      </c>
      <c r="E1001" s="116"/>
      <c r="F1001" s="116"/>
      <c r="G1001" s="116"/>
      <c r="H1001" s="131" t="s">
        <v>171</v>
      </c>
      <c r="I1001" s="101"/>
      <c r="J1001" s="102"/>
      <c r="K1001" s="101"/>
      <c r="L1001" s="101">
        <v>23784</v>
      </c>
      <c r="M1001" s="101"/>
      <c r="N1001" s="10"/>
      <c r="O1001" s="10"/>
      <c r="P1001"/>
      <c r="Q1001"/>
    </row>
    <row r="1002" spans="1:17" s="146" customFormat="1" ht="18" customHeight="1" x14ac:dyDescent="0.25">
      <c r="A1002" s="926" t="s">
        <v>1387</v>
      </c>
      <c r="B1002" s="48" t="s">
        <v>163</v>
      </c>
      <c r="C1002" s="131" t="s">
        <v>171</v>
      </c>
      <c r="D1002" s="245" t="s">
        <v>288</v>
      </c>
      <c r="E1002" s="116"/>
      <c r="F1002" s="116"/>
      <c r="G1002" s="116"/>
      <c r="H1002" s="131" t="s">
        <v>171</v>
      </c>
      <c r="I1002" s="101"/>
      <c r="J1002" s="102"/>
      <c r="K1002" s="101"/>
      <c r="L1002" s="102">
        <v>33960</v>
      </c>
      <c r="M1002" s="101"/>
      <c r="N1002" s="10"/>
      <c r="O1002" s="10"/>
      <c r="P1002"/>
      <c r="Q1002"/>
    </row>
    <row r="1003" spans="1:17" s="146" customFormat="1" ht="18" customHeight="1" x14ac:dyDescent="0.25">
      <c r="A1003" s="926" t="s">
        <v>1387</v>
      </c>
      <c r="B1003" s="169" t="s">
        <v>163</v>
      </c>
      <c r="C1003" s="131" t="s">
        <v>171</v>
      </c>
      <c r="D1003" s="700" t="s">
        <v>319</v>
      </c>
      <c r="E1003" s="688"/>
      <c r="F1003" s="688"/>
      <c r="G1003" s="688"/>
      <c r="H1003" s="131" t="s">
        <v>171</v>
      </c>
      <c r="I1003" s="101"/>
      <c r="J1003" s="102"/>
      <c r="K1003" s="101"/>
      <c r="L1003" s="101">
        <v>30000</v>
      </c>
      <c r="M1003" s="101"/>
      <c r="N1003" s="10"/>
      <c r="O1003" s="10"/>
      <c r="P1003"/>
      <c r="Q1003"/>
    </row>
    <row r="1004" spans="1:17" s="146" customFormat="1" ht="18" x14ac:dyDescent="0.25">
      <c r="A1004" s="926" t="s">
        <v>1387</v>
      </c>
      <c r="B1004" s="169" t="s">
        <v>163</v>
      </c>
      <c r="C1004" s="131" t="s">
        <v>171</v>
      </c>
      <c r="D1004" s="860" t="s">
        <v>170</v>
      </c>
      <c r="E1004" s="687"/>
      <c r="F1004" s="687"/>
      <c r="G1004" s="687"/>
      <c r="H1004" s="131" t="s">
        <v>171</v>
      </c>
      <c r="I1004" s="101"/>
      <c r="J1004" s="102">
        <v>367100</v>
      </c>
      <c r="K1004" s="101"/>
      <c r="L1004" s="101">
        <v>1679955</v>
      </c>
      <c r="M1004" s="101"/>
      <c r="N1004" s="10"/>
      <c r="O1004" s="10"/>
      <c r="P1004"/>
      <c r="Q1004"/>
    </row>
    <row r="1005" spans="1:17" s="146" customFormat="1" ht="18" customHeight="1" x14ac:dyDescent="0.25">
      <c r="A1005" s="926" t="s">
        <v>1387</v>
      </c>
      <c r="B1005" s="169" t="s">
        <v>163</v>
      </c>
      <c r="C1005" s="131" t="s">
        <v>171</v>
      </c>
      <c r="D1005" s="245" t="s">
        <v>213</v>
      </c>
      <c r="E1005" s="116"/>
      <c r="F1005" s="116"/>
      <c r="G1005" s="116"/>
      <c r="H1005" s="131" t="s">
        <v>171</v>
      </c>
      <c r="I1005" s="101">
        <v>0</v>
      </c>
      <c r="J1005" s="102"/>
      <c r="K1005" s="101"/>
      <c r="L1005" s="101">
        <v>19415</v>
      </c>
      <c r="M1005" s="101">
        <f>SUM(L1001:L1005)</f>
        <v>1787114</v>
      </c>
      <c r="N1005" s="10"/>
      <c r="O1005" s="10"/>
      <c r="P1005"/>
      <c r="Q1005"/>
    </row>
    <row r="1006" spans="1:17" s="146" customFormat="1" ht="18" x14ac:dyDescent="0.25">
      <c r="A1006" s="926" t="s">
        <v>1387</v>
      </c>
      <c r="B1006" s="169" t="s">
        <v>163</v>
      </c>
      <c r="C1006" s="131" t="s">
        <v>383</v>
      </c>
      <c r="D1006" s="44" t="s">
        <v>382</v>
      </c>
      <c r="E1006" s="125"/>
      <c r="F1006" s="125"/>
      <c r="G1006" s="134"/>
      <c r="H1006" s="131" t="s">
        <v>383</v>
      </c>
      <c r="I1006" s="101">
        <v>4627.95</v>
      </c>
      <c r="J1006" s="102">
        <v>10800</v>
      </c>
      <c r="K1006" s="101">
        <v>1512</v>
      </c>
      <c r="L1006" s="101">
        <v>10800</v>
      </c>
      <c r="M1006" s="101"/>
      <c r="N1006" s="10"/>
      <c r="O1006" s="10"/>
      <c r="P1006"/>
      <c r="Q1006"/>
    </row>
    <row r="1007" spans="1:17" s="146" customFormat="1" ht="18" customHeight="1" x14ac:dyDescent="0.25">
      <c r="A1007" s="926" t="s">
        <v>1387</v>
      </c>
      <c r="B1007" s="169" t="s">
        <v>163</v>
      </c>
      <c r="C1007" s="131" t="s">
        <v>177</v>
      </c>
      <c r="D1007" s="245" t="s">
        <v>176</v>
      </c>
      <c r="E1007" s="116"/>
      <c r="F1007" s="116"/>
      <c r="G1007" s="116"/>
      <c r="H1007" s="131" t="s">
        <v>177</v>
      </c>
      <c r="I1007" s="101">
        <v>0</v>
      </c>
      <c r="J1007" s="102">
        <v>5000</v>
      </c>
      <c r="K1007" s="101"/>
      <c r="L1007" s="102">
        <v>5000</v>
      </c>
      <c r="M1007" s="101"/>
      <c r="N1007" s="10"/>
      <c r="O1007" s="10"/>
      <c r="P1007"/>
      <c r="Q1007"/>
    </row>
    <row r="1008" spans="1:17" s="146" customFormat="1" ht="18" customHeight="1" x14ac:dyDescent="0.25">
      <c r="A1008" s="926" t="s">
        <v>1387</v>
      </c>
      <c r="B1008" s="169" t="s">
        <v>163</v>
      </c>
      <c r="C1008" s="131" t="s">
        <v>177</v>
      </c>
      <c r="D1008" s="245" t="s">
        <v>296</v>
      </c>
      <c r="E1008" s="97"/>
      <c r="F1008" s="97"/>
      <c r="G1008" s="97"/>
      <c r="H1008" s="131" t="s">
        <v>177</v>
      </c>
      <c r="I1008" s="101">
        <v>0</v>
      </c>
      <c r="J1008" s="102">
        <v>3000</v>
      </c>
      <c r="K1008" s="101"/>
      <c r="L1008" s="101">
        <v>8000</v>
      </c>
      <c r="M1008" s="101"/>
      <c r="N1008" s="10"/>
      <c r="O1008" s="10"/>
      <c r="P1008"/>
      <c r="Q1008"/>
    </row>
    <row r="1009" spans="1:17" s="146" customFormat="1" ht="18" customHeight="1" x14ac:dyDescent="0.25">
      <c r="A1009" s="926" t="s">
        <v>1387</v>
      </c>
      <c r="B1009" s="169" t="s">
        <v>163</v>
      </c>
      <c r="C1009" s="131" t="s">
        <v>177</v>
      </c>
      <c r="D1009" s="245" t="s">
        <v>176</v>
      </c>
      <c r="E1009" s="116"/>
      <c r="F1009" s="116"/>
      <c r="G1009" s="116"/>
      <c r="H1009" s="131" t="s">
        <v>177</v>
      </c>
      <c r="I1009" s="101">
        <v>0</v>
      </c>
      <c r="J1009" s="102">
        <v>1000</v>
      </c>
      <c r="K1009" s="101">
        <v>200</v>
      </c>
      <c r="L1009" s="101">
        <v>1000</v>
      </c>
      <c r="M1009" s="101">
        <f>SUM(L1007:L1009)</f>
        <v>14000</v>
      </c>
      <c r="N1009" s="10"/>
      <c r="O1009" s="10"/>
      <c r="P1009"/>
      <c r="Q1009"/>
    </row>
    <row r="1010" spans="1:17" s="146" customFormat="1" ht="18" customHeight="1" x14ac:dyDescent="0.25">
      <c r="A1010" s="926" t="s">
        <v>1387</v>
      </c>
      <c r="B1010" s="229" t="s">
        <v>163</v>
      </c>
      <c r="C1010" s="131" t="s">
        <v>179</v>
      </c>
      <c r="D1010" s="245" t="s">
        <v>178</v>
      </c>
      <c r="E1010" s="116"/>
      <c r="F1010" s="116"/>
      <c r="G1010" s="116"/>
      <c r="H1010" s="131" t="s">
        <v>179</v>
      </c>
      <c r="I1010" s="101"/>
      <c r="J1010" s="102"/>
      <c r="K1010" s="101"/>
      <c r="L1010" s="101">
        <v>5000</v>
      </c>
      <c r="M1010" s="101"/>
      <c r="N1010" s="10"/>
      <c r="O1010" s="10"/>
      <c r="P1010"/>
      <c r="Q1010"/>
    </row>
    <row r="1011" spans="1:17" s="229" customFormat="1" ht="18" customHeight="1" x14ac:dyDescent="0.25">
      <c r="A1011" s="926" t="s">
        <v>1387</v>
      </c>
      <c r="B1011" s="229" t="s">
        <v>163</v>
      </c>
      <c r="C1011" s="131" t="s">
        <v>179</v>
      </c>
      <c r="D1011" s="44" t="s">
        <v>178</v>
      </c>
      <c r="E1011" s="113"/>
      <c r="F1011" s="113"/>
      <c r="G1011" s="114"/>
      <c r="H1011" s="131" t="s">
        <v>179</v>
      </c>
      <c r="I1011" s="101"/>
      <c r="J1011" s="102"/>
      <c r="K1011" s="101"/>
      <c r="L1011" s="102">
        <v>30000</v>
      </c>
      <c r="M1011" s="101"/>
      <c r="N1011" s="207"/>
      <c r="O1011" s="207"/>
      <c r="P1011" s="212"/>
      <c r="Q1011" s="212"/>
    </row>
    <row r="1012" spans="1:17" s="229" customFormat="1" ht="18" customHeight="1" x14ac:dyDescent="0.25">
      <c r="A1012" s="926" t="s">
        <v>1387</v>
      </c>
      <c r="B1012" s="229" t="s">
        <v>163</v>
      </c>
      <c r="C1012" s="131" t="s">
        <v>179</v>
      </c>
      <c r="D1012" s="206" t="s">
        <v>178</v>
      </c>
      <c r="E1012" s="184"/>
      <c r="F1012" s="184"/>
      <c r="G1012" s="185"/>
      <c r="H1012" s="131" t="s">
        <v>179</v>
      </c>
      <c r="I1012" s="101"/>
      <c r="J1012" s="102"/>
      <c r="K1012" s="101"/>
      <c r="L1012" s="101">
        <v>28800</v>
      </c>
      <c r="M1012" s="101"/>
      <c r="N1012" s="207"/>
      <c r="O1012" s="207"/>
      <c r="P1012" s="212"/>
      <c r="Q1012" s="212"/>
    </row>
    <row r="1013" spans="1:17" s="229" customFormat="1" ht="18" customHeight="1" x14ac:dyDescent="0.25">
      <c r="A1013" s="926" t="s">
        <v>1387</v>
      </c>
      <c r="B1013" s="229" t="s">
        <v>163</v>
      </c>
      <c r="C1013" s="131" t="s">
        <v>179</v>
      </c>
      <c r="D1013" s="44" t="s">
        <v>178</v>
      </c>
      <c r="E1013" s="125"/>
      <c r="F1013" s="125"/>
      <c r="G1013" s="134"/>
      <c r="H1013" s="131" t="s">
        <v>179</v>
      </c>
      <c r="I1013" s="101"/>
      <c r="J1013" s="102"/>
      <c r="K1013" s="101"/>
      <c r="L1013" s="101">
        <v>109200</v>
      </c>
      <c r="M1013" s="101"/>
      <c r="N1013" s="207"/>
      <c r="O1013" s="207"/>
      <c r="P1013" s="212"/>
      <c r="Q1013" s="212"/>
    </row>
    <row r="1014" spans="1:17" s="229" customFormat="1" ht="18" customHeight="1" x14ac:dyDescent="0.25">
      <c r="A1014" s="926" t="s">
        <v>1387</v>
      </c>
      <c r="B1014" s="229" t="s">
        <v>163</v>
      </c>
      <c r="C1014" s="131" t="s">
        <v>179</v>
      </c>
      <c r="D1014" s="44" t="s">
        <v>178</v>
      </c>
      <c r="E1014" s="113"/>
      <c r="F1014" s="113"/>
      <c r="G1014" s="114"/>
      <c r="H1014" s="131" t="s">
        <v>179</v>
      </c>
      <c r="I1014" s="101"/>
      <c r="J1014" s="102"/>
      <c r="K1014" s="101"/>
      <c r="L1014" s="101">
        <v>42000</v>
      </c>
      <c r="M1014" s="101">
        <f>SUM(L1010:L1014)</f>
        <v>215000</v>
      </c>
      <c r="N1014" s="207"/>
      <c r="O1014" s="207"/>
      <c r="P1014" s="212"/>
      <c r="Q1014" s="212"/>
    </row>
    <row r="1015" spans="1:17" s="229" customFormat="1" ht="18" customHeight="1" x14ac:dyDescent="0.25">
      <c r="A1015" s="926" t="s">
        <v>1387</v>
      </c>
      <c r="B1015" s="229" t="s">
        <v>163</v>
      </c>
      <c r="C1015" s="131" t="s">
        <v>183</v>
      </c>
      <c r="D1015" s="44" t="s">
        <v>182</v>
      </c>
      <c r="E1015" s="113"/>
      <c r="F1015" s="113"/>
      <c r="G1015" s="114"/>
      <c r="H1015" s="131" t="s">
        <v>183</v>
      </c>
      <c r="I1015" s="101">
        <v>11237.95</v>
      </c>
      <c r="J1015" s="102">
        <v>30000</v>
      </c>
      <c r="K1015" s="101">
        <v>11968.71</v>
      </c>
      <c r="L1015" s="101">
        <v>48000</v>
      </c>
      <c r="M1015" s="101"/>
      <c r="N1015" s="207"/>
      <c r="O1015" s="207"/>
      <c r="P1015" s="212"/>
      <c r="Q1015" s="212"/>
    </row>
    <row r="1016" spans="1:17" s="229" customFormat="1" ht="18" customHeight="1" x14ac:dyDescent="0.25">
      <c r="A1016" s="926" t="s">
        <v>1387</v>
      </c>
      <c r="B1016" s="229" t="s">
        <v>163</v>
      </c>
      <c r="C1016" s="131" t="s">
        <v>183</v>
      </c>
      <c r="D1016" s="206" t="s">
        <v>182</v>
      </c>
      <c r="E1016" s="184"/>
      <c r="F1016" s="184"/>
      <c r="G1016" s="185"/>
      <c r="H1016" s="131" t="s">
        <v>183</v>
      </c>
      <c r="I1016" s="101">
        <v>26389</v>
      </c>
      <c r="J1016" s="102">
        <v>67200</v>
      </c>
      <c r="K1016" s="101">
        <v>14394</v>
      </c>
      <c r="L1016" s="101">
        <v>67200</v>
      </c>
      <c r="M1016" s="101"/>
      <c r="N1016" s="207"/>
      <c r="O1016" s="207"/>
      <c r="P1016" s="212"/>
      <c r="Q1016" s="212"/>
    </row>
    <row r="1017" spans="1:17" s="229" customFormat="1" ht="18" customHeight="1" x14ac:dyDescent="0.25">
      <c r="A1017" s="926" t="s">
        <v>1387</v>
      </c>
      <c r="B1017" s="229" t="s">
        <v>163</v>
      </c>
      <c r="C1017" s="131" t="s">
        <v>183</v>
      </c>
      <c r="D1017" s="44" t="s">
        <v>182</v>
      </c>
      <c r="E1017" s="125"/>
      <c r="F1017" s="125"/>
      <c r="G1017" s="134"/>
      <c r="H1017" s="131" t="s">
        <v>183</v>
      </c>
      <c r="I1017" s="101">
        <v>58770</v>
      </c>
      <c r="J1017" s="102">
        <v>97200</v>
      </c>
      <c r="K1017" s="101">
        <v>30786</v>
      </c>
      <c r="L1017" s="101">
        <v>100000</v>
      </c>
      <c r="M1017" s="101"/>
      <c r="N1017" s="207"/>
      <c r="O1017" s="207"/>
      <c r="P1017" s="212"/>
      <c r="Q1017" s="212"/>
    </row>
    <row r="1018" spans="1:17" s="146" customFormat="1" ht="18" customHeight="1" x14ac:dyDescent="0.25">
      <c r="A1018" s="926" t="s">
        <v>1387</v>
      </c>
      <c r="B1018" s="388" t="s">
        <v>163</v>
      </c>
      <c r="C1018" s="131"/>
      <c r="D1018" s="245" t="s">
        <v>182</v>
      </c>
      <c r="E1018" s="116"/>
      <c r="F1018" s="116"/>
      <c r="G1018" s="116"/>
      <c r="H1018" s="131"/>
      <c r="I1018" s="101"/>
      <c r="J1018" s="102"/>
      <c r="K1018" s="101"/>
      <c r="L1018" s="101">
        <v>48000</v>
      </c>
      <c r="M1018" s="101">
        <f>SUM(L1015:L1018)</f>
        <v>263200</v>
      </c>
      <c r="N1018" s="10"/>
      <c r="O1018" s="10"/>
      <c r="P1018"/>
      <c r="Q1018"/>
    </row>
    <row r="1019" spans="1:17" s="146" customFormat="1" ht="18" customHeight="1" x14ac:dyDescent="0.25">
      <c r="A1019" s="926" t="s">
        <v>1387</v>
      </c>
      <c r="B1019" s="388" t="s">
        <v>163</v>
      </c>
      <c r="C1019" s="131" t="s">
        <v>218</v>
      </c>
      <c r="D1019" s="245" t="s">
        <v>472</v>
      </c>
      <c r="E1019" s="97"/>
      <c r="F1019" s="97"/>
      <c r="G1019" s="97"/>
      <c r="H1019" s="131" t="s">
        <v>218</v>
      </c>
      <c r="I1019" s="101">
        <v>6000</v>
      </c>
      <c r="J1019" s="102">
        <v>9000</v>
      </c>
      <c r="K1019" s="101">
        <v>2625</v>
      </c>
      <c r="L1019" s="101">
        <v>9000</v>
      </c>
      <c r="M1019" s="101"/>
      <c r="N1019" s="10"/>
      <c r="O1019" s="10"/>
      <c r="P1019"/>
      <c r="Q1019"/>
    </row>
    <row r="1020" spans="1:17" s="229" customFormat="1" ht="18" customHeight="1" x14ac:dyDescent="0.25">
      <c r="A1020" s="926" t="s">
        <v>1387</v>
      </c>
      <c r="B1020" s="229" t="s">
        <v>163</v>
      </c>
      <c r="C1020" s="131" t="s">
        <v>187</v>
      </c>
      <c r="D1020" s="44" t="s">
        <v>186</v>
      </c>
      <c r="E1020" s="113"/>
      <c r="F1020" s="113"/>
      <c r="G1020" s="114"/>
      <c r="H1020" s="131" t="s">
        <v>187</v>
      </c>
      <c r="I1020" s="101">
        <v>0</v>
      </c>
      <c r="J1020" s="102">
        <v>20000</v>
      </c>
      <c r="K1020" s="101"/>
      <c r="L1020" s="101">
        <v>20000</v>
      </c>
      <c r="M1020" s="101"/>
      <c r="N1020" s="207"/>
      <c r="O1020" s="207"/>
      <c r="P1020" s="212"/>
      <c r="Q1020" s="212"/>
    </row>
    <row r="1021" spans="1:17" s="229" customFormat="1" ht="18" customHeight="1" x14ac:dyDescent="0.25">
      <c r="A1021" s="926" t="s">
        <v>1387</v>
      </c>
      <c r="B1021" s="229" t="s">
        <v>163</v>
      </c>
      <c r="C1021" s="131" t="s">
        <v>187</v>
      </c>
      <c r="D1021" s="44" t="s">
        <v>186</v>
      </c>
      <c r="E1021" s="113"/>
      <c r="F1021" s="113"/>
      <c r="G1021" s="114"/>
      <c r="H1021" s="131" t="s">
        <v>187</v>
      </c>
      <c r="I1021" s="101">
        <v>0</v>
      </c>
      <c r="J1021" s="102">
        <v>5000</v>
      </c>
      <c r="K1021" s="101"/>
      <c r="L1021" s="106">
        <v>5000</v>
      </c>
      <c r="M1021" s="101"/>
      <c r="N1021" s="207"/>
      <c r="O1021" s="207"/>
      <c r="P1021" s="212"/>
      <c r="Q1021" s="212"/>
    </row>
    <row r="1022" spans="1:17" s="146" customFormat="1" ht="18" customHeight="1" x14ac:dyDescent="0.25">
      <c r="A1022" s="926" t="s">
        <v>1387</v>
      </c>
      <c r="B1022" s="229" t="s">
        <v>163</v>
      </c>
      <c r="C1022" s="131" t="s">
        <v>187</v>
      </c>
      <c r="D1022" s="206" t="s">
        <v>297</v>
      </c>
      <c r="E1022" s="184"/>
      <c r="F1022" s="184"/>
      <c r="G1022" s="185"/>
      <c r="H1022" s="131" t="s">
        <v>187</v>
      </c>
      <c r="I1022" s="101">
        <v>0</v>
      </c>
      <c r="J1022" s="102">
        <v>30000</v>
      </c>
      <c r="K1022" s="101"/>
      <c r="L1022" s="101">
        <v>30000</v>
      </c>
      <c r="M1022" s="101"/>
      <c r="N1022" s="10"/>
      <c r="O1022" s="10">
        <f>16000*2</f>
        <v>32000</v>
      </c>
      <c r="P1022"/>
      <c r="Q1022"/>
    </row>
    <row r="1023" spans="1:17" s="146" customFormat="1" ht="18" x14ac:dyDescent="0.25">
      <c r="A1023" s="926" t="s">
        <v>1387</v>
      </c>
      <c r="B1023" s="229" t="s">
        <v>163</v>
      </c>
      <c r="C1023" s="131" t="s">
        <v>356</v>
      </c>
      <c r="D1023" s="44" t="s">
        <v>186</v>
      </c>
      <c r="E1023" s="125"/>
      <c r="F1023" s="125"/>
      <c r="G1023" s="134"/>
      <c r="H1023" s="131" t="s">
        <v>356</v>
      </c>
      <c r="I1023" s="101">
        <v>0</v>
      </c>
      <c r="J1023" s="102">
        <v>215000</v>
      </c>
      <c r="K1023" s="101">
        <v>771</v>
      </c>
      <c r="L1023" s="101">
        <v>250000</v>
      </c>
      <c r="M1023" s="101">
        <f>SUM(L1020:L1023)</f>
        <v>305000</v>
      </c>
      <c r="N1023" s="10"/>
      <c r="O1023" s="10"/>
      <c r="P1023"/>
      <c r="Q1023"/>
    </row>
    <row r="1024" spans="1:17" ht="18" customHeight="1" x14ac:dyDescent="0.25">
      <c r="A1024" s="926" t="s">
        <v>1387</v>
      </c>
      <c r="B1024" s="229" t="s">
        <v>163</v>
      </c>
      <c r="C1024" s="131" t="s">
        <v>474</v>
      </c>
      <c r="D1024" s="44" t="s">
        <v>473</v>
      </c>
      <c r="E1024" s="125"/>
      <c r="F1024" s="125"/>
      <c r="G1024" s="134"/>
      <c r="H1024" s="131" t="s">
        <v>474</v>
      </c>
      <c r="I1024" s="101">
        <v>0</v>
      </c>
      <c r="J1024" s="102">
        <v>1000000</v>
      </c>
      <c r="K1024" s="101"/>
      <c r="L1024" s="101">
        <v>1000000</v>
      </c>
      <c r="M1024" s="101"/>
    </row>
    <row r="1025" spans="1:17" s="146" customFormat="1" ht="18" customHeight="1" x14ac:dyDescent="0.25">
      <c r="A1025" s="926" t="s">
        <v>1387</v>
      </c>
      <c r="B1025" s="229" t="s">
        <v>163</v>
      </c>
      <c r="C1025" s="131" t="s">
        <v>189</v>
      </c>
      <c r="D1025" s="245" t="s">
        <v>188</v>
      </c>
      <c r="E1025" s="97"/>
      <c r="F1025" s="97"/>
      <c r="G1025" s="97"/>
      <c r="H1025" s="131" t="s">
        <v>189</v>
      </c>
      <c r="I1025" s="101">
        <v>0</v>
      </c>
      <c r="J1025" s="102">
        <v>105000</v>
      </c>
      <c r="K1025" s="101"/>
      <c r="L1025" s="101">
        <v>1000000</v>
      </c>
      <c r="M1025" s="101"/>
      <c r="N1025" s="10"/>
      <c r="O1025" s="10"/>
      <c r="P1025"/>
      <c r="Q1025"/>
    </row>
    <row r="1026" spans="1:17" s="146" customFormat="1" ht="18" customHeight="1" x14ac:dyDescent="0.25">
      <c r="A1026" s="926" t="s">
        <v>1387</v>
      </c>
      <c r="B1026" s="229" t="s">
        <v>163</v>
      </c>
      <c r="C1026" s="131" t="s">
        <v>237</v>
      </c>
      <c r="D1026" s="245" t="s">
        <v>439</v>
      </c>
      <c r="E1026" s="97"/>
      <c r="F1026" s="97"/>
      <c r="G1026" s="97"/>
      <c r="H1026" s="131" t="s">
        <v>237</v>
      </c>
      <c r="I1026" s="101">
        <v>0</v>
      </c>
      <c r="J1026" s="102">
        <v>10000</v>
      </c>
      <c r="K1026" s="101"/>
      <c r="L1026" s="101">
        <v>10000</v>
      </c>
      <c r="M1026" s="101"/>
      <c r="N1026" s="10"/>
      <c r="O1026" s="10"/>
      <c r="P1026"/>
      <c r="Q1026"/>
    </row>
    <row r="1027" spans="1:17" s="146" customFormat="1" ht="15" customHeight="1" x14ac:dyDescent="0.25">
      <c r="A1027" s="926" t="s">
        <v>1387</v>
      </c>
      <c r="B1027" s="388" t="s">
        <v>163</v>
      </c>
      <c r="C1027" s="131" t="s">
        <v>199</v>
      </c>
      <c r="D1027" s="44" t="s">
        <v>198</v>
      </c>
      <c r="E1027" s="113"/>
      <c r="F1027" s="113"/>
      <c r="G1027" s="114"/>
      <c r="H1027" s="131" t="s">
        <v>199</v>
      </c>
      <c r="I1027" s="101"/>
      <c r="J1027" s="102">
        <v>203519.76</v>
      </c>
      <c r="K1027" s="101">
        <v>75348.990000000005</v>
      </c>
      <c r="L1027" s="101">
        <v>162024</v>
      </c>
      <c r="M1027" s="101"/>
      <c r="N1027" s="10"/>
      <c r="O1027" s="10"/>
      <c r="P1027"/>
      <c r="Q1027"/>
    </row>
    <row r="1028" spans="1:17" s="146" customFormat="1" ht="18" customHeight="1" x14ac:dyDescent="0.25">
      <c r="A1028" s="926" t="s">
        <v>1387</v>
      </c>
      <c r="B1028" s="388" t="s">
        <v>163</v>
      </c>
      <c r="C1028" s="131" t="s">
        <v>199</v>
      </c>
      <c r="D1028" s="245" t="s">
        <v>198</v>
      </c>
      <c r="E1028" s="116"/>
      <c r="F1028" s="116"/>
      <c r="G1028" s="116"/>
      <c r="H1028" s="131" t="s">
        <v>199</v>
      </c>
      <c r="I1028" s="101">
        <v>0</v>
      </c>
      <c r="J1028" s="102">
        <v>5000</v>
      </c>
      <c r="K1028" s="101"/>
      <c r="L1028" s="102">
        <v>5000</v>
      </c>
      <c r="M1028" s="101"/>
      <c r="N1028" s="10"/>
      <c r="O1028" s="10"/>
      <c r="P1028"/>
      <c r="Q1028"/>
    </row>
    <row r="1029" spans="1:17" s="146" customFormat="1" ht="18" x14ac:dyDescent="0.25">
      <c r="A1029" s="926" t="s">
        <v>1387</v>
      </c>
      <c r="B1029" s="388" t="s">
        <v>163</v>
      </c>
      <c r="C1029" s="131" t="s">
        <v>199</v>
      </c>
      <c r="D1029" s="700" t="s">
        <v>300</v>
      </c>
      <c r="E1029" s="688"/>
      <c r="F1029" s="688"/>
      <c r="G1029" s="688"/>
      <c r="H1029" s="131" t="s">
        <v>199</v>
      </c>
      <c r="I1029" s="101">
        <v>12664</v>
      </c>
      <c r="J1029" s="102">
        <v>33000</v>
      </c>
      <c r="K1029" s="101">
        <v>6556</v>
      </c>
      <c r="L1029" s="101">
        <v>33000</v>
      </c>
      <c r="M1029" s="101"/>
      <c r="N1029" s="10"/>
      <c r="O1029" s="10"/>
      <c r="P1029"/>
      <c r="Q1029"/>
    </row>
    <row r="1030" spans="1:17" s="146" customFormat="1" ht="18" customHeight="1" x14ac:dyDescent="0.25">
      <c r="A1030" s="926" t="s">
        <v>1387</v>
      </c>
      <c r="B1030" s="388" t="s">
        <v>163</v>
      </c>
      <c r="C1030" s="131" t="s">
        <v>199</v>
      </c>
      <c r="D1030" s="245" t="s">
        <v>198</v>
      </c>
      <c r="E1030" s="97"/>
      <c r="F1030" s="97"/>
      <c r="G1030" s="97"/>
      <c r="H1030" s="131" t="s">
        <v>199</v>
      </c>
      <c r="I1030" s="101">
        <v>1551312.8</v>
      </c>
      <c r="J1030" s="102">
        <v>2303755</v>
      </c>
      <c r="K1030" s="101">
        <v>1093411.57</v>
      </c>
      <c r="L1030" s="101">
        <v>5608932.1600000001</v>
      </c>
      <c r="M1030" s="101"/>
      <c r="N1030" s="10"/>
      <c r="O1030" s="10"/>
      <c r="P1030"/>
      <c r="Q1030"/>
    </row>
    <row r="1031" spans="1:17" s="146" customFormat="1" ht="18" x14ac:dyDescent="0.25">
      <c r="A1031" s="926" t="s">
        <v>1387</v>
      </c>
      <c r="B1031" s="388" t="s">
        <v>163</v>
      </c>
      <c r="C1031" s="131" t="s">
        <v>199</v>
      </c>
      <c r="D1031" s="44" t="s">
        <v>198</v>
      </c>
      <c r="E1031" s="114"/>
      <c r="F1031" s="116"/>
      <c r="G1031" s="116"/>
      <c r="H1031" s="131" t="s">
        <v>199</v>
      </c>
      <c r="I1031" s="101">
        <v>1144445.42</v>
      </c>
      <c r="J1031" s="102">
        <v>1051570.6399999999</v>
      </c>
      <c r="K1031" s="101">
        <v>246959.51</v>
      </c>
      <c r="L1031" s="101">
        <v>963526.56</v>
      </c>
      <c r="M1031" s="101">
        <f>SUM(L1027:L1031)</f>
        <v>6772482.7200000007</v>
      </c>
      <c r="N1031" s="10"/>
      <c r="O1031" s="10"/>
      <c r="P1031"/>
      <c r="Q1031"/>
    </row>
    <row r="1032" spans="1:17" s="146" customFormat="1" ht="18" customHeight="1" x14ac:dyDescent="0.25">
      <c r="A1032" s="926"/>
      <c r="B1032" s="388"/>
      <c r="C1032" s="131"/>
      <c r="D1032" s="245"/>
      <c r="E1032" s="116"/>
      <c r="F1032" s="116"/>
      <c r="G1032" s="116"/>
      <c r="H1032" s="131"/>
      <c r="I1032" s="101"/>
      <c r="J1032" s="102"/>
      <c r="K1032" s="101"/>
      <c r="L1032" s="101"/>
      <c r="M1032" s="101"/>
      <c r="N1032" s="10"/>
      <c r="O1032" s="10"/>
      <c r="P1032"/>
      <c r="Q1032"/>
    </row>
    <row r="1033" spans="1:17" s="146" customFormat="1" ht="18" x14ac:dyDescent="0.25">
      <c r="A1033" s="926" t="s">
        <v>1387</v>
      </c>
      <c r="B1033" s="48" t="s">
        <v>123</v>
      </c>
      <c r="C1033" s="131" t="s">
        <v>125</v>
      </c>
      <c r="D1033" s="838" t="s">
        <v>124</v>
      </c>
      <c r="E1033" s="835"/>
      <c r="F1033" s="835"/>
      <c r="G1033" s="835"/>
      <c r="H1033" s="131" t="s">
        <v>125</v>
      </c>
      <c r="I1033" s="101"/>
      <c r="J1033" s="102">
        <v>256836</v>
      </c>
      <c r="K1033" s="101"/>
      <c r="L1033" s="101">
        <v>286056</v>
      </c>
      <c r="M1033" s="101"/>
      <c r="N1033" s="10"/>
      <c r="O1033" s="10"/>
      <c r="P1033"/>
      <c r="Q1033"/>
    </row>
    <row r="1034" spans="1:17" s="146" customFormat="1" ht="18" customHeight="1" x14ac:dyDescent="0.25">
      <c r="A1034" s="926" t="s">
        <v>1387</v>
      </c>
      <c r="B1034" s="48" t="s">
        <v>123</v>
      </c>
      <c r="C1034" s="131" t="s">
        <v>125</v>
      </c>
      <c r="D1034" s="838" t="s">
        <v>124</v>
      </c>
      <c r="E1034" s="835"/>
      <c r="F1034" s="835"/>
      <c r="G1034" s="835"/>
      <c r="H1034" s="131" t="s">
        <v>125</v>
      </c>
      <c r="I1034" s="101">
        <v>0</v>
      </c>
      <c r="J1034" s="102">
        <v>430092</v>
      </c>
      <c r="K1034" s="101"/>
      <c r="L1034" s="101">
        <v>472308</v>
      </c>
      <c r="M1034" s="101"/>
      <c r="N1034" s="10"/>
      <c r="O1034" s="10"/>
      <c r="P1034"/>
      <c r="Q1034"/>
    </row>
    <row r="1035" spans="1:17" s="146" customFormat="1" ht="18" x14ac:dyDescent="0.25">
      <c r="A1035" s="926" t="s">
        <v>1387</v>
      </c>
      <c r="B1035" s="48" t="s">
        <v>123</v>
      </c>
      <c r="C1035" s="131" t="s">
        <v>125</v>
      </c>
      <c r="D1035" s="837" t="s">
        <v>124</v>
      </c>
      <c r="E1035" s="836"/>
      <c r="F1035" s="836"/>
      <c r="G1035" s="834"/>
      <c r="H1035" s="131" t="s">
        <v>125</v>
      </c>
      <c r="I1035" s="101">
        <v>230212</v>
      </c>
      <c r="J1035" s="102">
        <v>234156</v>
      </c>
      <c r="K1035" s="101">
        <v>142836</v>
      </c>
      <c r="L1035" s="101">
        <v>264132</v>
      </c>
      <c r="M1035" s="101"/>
      <c r="N1035" s="10"/>
      <c r="O1035" s="10"/>
      <c r="P1035"/>
      <c r="Q1035"/>
    </row>
    <row r="1036" spans="1:17" s="146" customFormat="1" ht="18" x14ac:dyDescent="0.25">
      <c r="A1036" s="926" t="s">
        <v>1387</v>
      </c>
      <c r="B1036" s="48" t="s">
        <v>123</v>
      </c>
      <c r="C1036" s="131" t="s">
        <v>125</v>
      </c>
      <c r="D1036" s="837" t="s">
        <v>124</v>
      </c>
      <c r="E1036" s="836"/>
      <c r="F1036" s="836"/>
      <c r="G1036" s="834"/>
      <c r="H1036" s="131" t="s">
        <v>125</v>
      </c>
      <c r="I1036" s="101">
        <v>8637059.4000000004</v>
      </c>
      <c r="J1036" s="102">
        <v>11490024</v>
      </c>
      <c r="K1036" s="101">
        <v>5343711.7699999996</v>
      </c>
      <c r="L1036" s="101">
        <v>12579936</v>
      </c>
      <c r="M1036" s="101"/>
      <c r="N1036" s="10"/>
      <c r="O1036" s="10"/>
      <c r="P1036"/>
      <c r="Q1036"/>
    </row>
    <row r="1037" spans="1:17" s="146" customFormat="1" ht="18" customHeight="1" x14ac:dyDescent="0.25">
      <c r="A1037" s="926" t="s">
        <v>1387</v>
      </c>
      <c r="B1037" s="48" t="s">
        <v>123</v>
      </c>
      <c r="C1037" s="131" t="s">
        <v>125</v>
      </c>
      <c r="D1037" s="838" t="s">
        <v>124</v>
      </c>
      <c r="E1037" s="835"/>
      <c r="F1037" s="835"/>
      <c r="G1037" s="835"/>
      <c r="H1037" s="131" t="s">
        <v>125</v>
      </c>
      <c r="I1037" s="101">
        <v>1624248</v>
      </c>
      <c r="J1037" s="102">
        <v>2100000</v>
      </c>
      <c r="K1037" s="101">
        <v>1168016.51</v>
      </c>
      <c r="L1037" s="101">
        <v>2269440</v>
      </c>
      <c r="M1037" s="101">
        <f>SUM(L1033:L1037)</f>
        <v>15871872</v>
      </c>
      <c r="N1037" s="10"/>
      <c r="O1037" s="10"/>
      <c r="P1037"/>
      <c r="Q1037"/>
    </row>
    <row r="1038" spans="1:17" s="146" customFormat="1" ht="18" customHeight="1" x14ac:dyDescent="0.25">
      <c r="A1038" s="926" t="s">
        <v>1387</v>
      </c>
      <c r="B1038" s="48" t="s">
        <v>123</v>
      </c>
      <c r="C1038" s="132" t="s">
        <v>125</v>
      </c>
      <c r="D1038" s="838" t="s">
        <v>128</v>
      </c>
      <c r="E1038" s="835"/>
      <c r="F1038" s="835"/>
      <c r="G1038" s="835"/>
      <c r="H1038" s="132" t="s">
        <v>125</v>
      </c>
      <c r="I1038" s="101">
        <v>0</v>
      </c>
      <c r="J1038" s="102">
        <v>29481</v>
      </c>
      <c r="K1038" s="101"/>
      <c r="L1038" s="101">
        <v>24171.919999999998</v>
      </c>
      <c r="M1038" s="101"/>
      <c r="N1038" s="10"/>
      <c r="O1038" s="10"/>
      <c r="P1038"/>
      <c r="Q1038"/>
    </row>
    <row r="1039" spans="1:17" s="146" customFormat="1" ht="18" customHeight="1" x14ac:dyDescent="0.25">
      <c r="A1039" s="926" t="s">
        <v>1387</v>
      </c>
      <c r="B1039" s="48" t="s">
        <v>123</v>
      </c>
      <c r="C1039" s="131" t="s">
        <v>125</v>
      </c>
      <c r="D1039" s="838" t="s">
        <v>128</v>
      </c>
      <c r="E1039" s="835"/>
      <c r="F1039" s="835"/>
      <c r="G1039" s="835"/>
      <c r="H1039" s="131" t="s">
        <v>125</v>
      </c>
      <c r="I1039" s="101"/>
      <c r="J1039" s="102">
        <v>4395</v>
      </c>
      <c r="K1039" s="101"/>
      <c r="L1039" s="101">
        <v>3173.91</v>
      </c>
      <c r="M1039" s="101">
        <f>SUM(L1038:L1039)</f>
        <v>27345.829999999998</v>
      </c>
      <c r="N1039" s="10"/>
      <c r="O1039" s="10"/>
      <c r="P1039"/>
      <c r="Q1039"/>
    </row>
    <row r="1040" spans="1:17" s="146" customFormat="1" ht="18" customHeight="1" x14ac:dyDescent="0.25">
      <c r="A1040" s="926" t="s">
        <v>1387</v>
      </c>
      <c r="B1040" s="48" t="s">
        <v>123</v>
      </c>
      <c r="C1040" s="131" t="s">
        <v>127</v>
      </c>
      <c r="D1040" s="838" t="s">
        <v>126</v>
      </c>
      <c r="E1040" s="835"/>
      <c r="F1040" s="835"/>
      <c r="G1040" s="835"/>
      <c r="H1040" s="131" t="s">
        <v>127</v>
      </c>
      <c r="I1040" s="105"/>
      <c r="J1040" s="106">
        <v>312456</v>
      </c>
      <c r="K1040" s="105"/>
      <c r="L1040" s="105">
        <v>339000</v>
      </c>
      <c r="M1040" s="105"/>
      <c r="N1040" s="10"/>
      <c r="O1040" s="10"/>
      <c r="P1040"/>
      <c r="Q1040"/>
    </row>
    <row r="1041" spans="1:17" s="229" customFormat="1" ht="18" customHeight="1" x14ac:dyDescent="0.25">
      <c r="A1041" s="926" t="s">
        <v>1387</v>
      </c>
      <c r="B1041" s="48" t="s">
        <v>123</v>
      </c>
      <c r="C1041" s="131" t="s">
        <v>127</v>
      </c>
      <c r="D1041" s="837" t="s">
        <v>126</v>
      </c>
      <c r="E1041" s="836"/>
      <c r="F1041" s="836"/>
      <c r="G1041" s="834"/>
      <c r="H1041" s="131" t="s">
        <v>127</v>
      </c>
      <c r="I1041" s="101">
        <v>580029.81999999995</v>
      </c>
      <c r="J1041" s="102">
        <v>680340</v>
      </c>
      <c r="K1041" s="101">
        <v>286774.40000000002</v>
      </c>
      <c r="L1041" s="102">
        <v>750636</v>
      </c>
      <c r="M1041" s="101"/>
      <c r="N1041" s="207"/>
      <c r="O1041" s="207"/>
      <c r="P1041" s="212"/>
      <c r="Q1041" s="212"/>
    </row>
    <row r="1042" spans="1:17" s="229" customFormat="1" ht="18" customHeight="1" x14ac:dyDescent="0.25">
      <c r="A1042" s="926" t="s">
        <v>1387</v>
      </c>
      <c r="B1042" s="48" t="s">
        <v>123</v>
      </c>
      <c r="C1042" s="131" t="s">
        <v>132</v>
      </c>
      <c r="D1042" s="936" t="s">
        <v>126</v>
      </c>
      <c r="E1042" s="836"/>
      <c r="F1042" s="836"/>
      <c r="G1042" s="928"/>
      <c r="H1042" s="131" t="s">
        <v>132</v>
      </c>
      <c r="I1042" s="101"/>
      <c r="J1042" s="102">
        <v>132552</v>
      </c>
      <c r="K1042" s="101">
        <v>70776.45</v>
      </c>
      <c r="L1042" s="101">
        <v>143928</v>
      </c>
      <c r="M1042" s="101">
        <f>SUM(L1040:L1042)</f>
        <v>1233564</v>
      </c>
      <c r="N1042" s="207"/>
      <c r="O1042" s="207"/>
      <c r="P1042" s="212"/>
      <c r="Q1042" s="212"/>
    </row>
    <row r="1043" spans="1:17" s="229" customFormat="1" ht="18" customHeight="1" x14ac:dyDescent="0.25">
      <c r="A1043" s="926" t="s">
        <v>1387</v>
      </c>
      <c r="B1043" s="48" t="s">
        <v>123</v>
      </c>
      <c r="C1043" s="132" t="s">
        <v>130</v>
      </c>
      <c r="D1043" s="931" t="s">
        <v>129</v>
      </c>
      <c r="E1043" s="836"/>
      <c r="F1043" s="836"/>
      <c r="G1043" s="930"/>
      <c r="H1043" s="132" t="s">
        <v>130</v>
      </c>
      <c r="I1043" s="101"/>
      <c r="J1043" s="102">
        <v>48000</v>
      </c>
      <c r="K1043" s="101">
        <v>12181.81</v>
      </c>
      <c r="L1043" s="101">
        <v>48000</v>
      </c>
      <c r="M1043" s="101"/>
      <c r="N1043" s="207"/>
      <c r="O1043" s="207"/>
      <c r="P1043" s="212"/>
      <c r="Q1043" s="212"/>
    </row>
    <row r="1044" spans="1:17" s="229" customFormat="1" ht="18" customHeight="1" x14ac:dyDescent="0.25">
      <c r="A1044" s="926" t="s">
        <v>1387</v>
      </c>
      <c r="B1044" s="48" t="s">
        <v>123</v>
      </c>
      <c r="C1044" s="132" t="s">
        <v>130</v>
      </c>
      <c r="D1044" s="837" t="s">
        <v>129</v>
      </c>
      <c r="E1044" s="836"/>
      <c r="F1044" s="836"/>
      <c r="G1044" s="834"/>
      <c r="H1044" s="132" t="s">
        <v>130</v>
      </c>
      <c r="I1044" s="101">
        <v>0</v>
      </c>
      <c r="J1044" s="102">
        <v>48000</v>
      </c>
      <c r="K1044" s="101"/>
      <c r="L1044" s="101">
        <v>48000</v>
      </c>
      <c r="M1044" s="101"/>
      <c r="N1044" s="207"/>
      <c r="O1044" s="207"/>
      <c r="P1044" s="212"/>
      <c r="Q1044" s="212"/>
    </row>
    <row r="1045" spans="1:17" s="229" customFormat="1" ht="18" customHeight="1" x14ac:dyDescent="0.25">
      <c r="A1045" s="926" t="s">
        <v>1387</v>
      </c>
      <c r="B1045" s="48" t="s">
        <v>123</v>
      </c>
      <c r="C1045" s="132" t="s">
        <v>130</v>
      </c>
      <c r="D1045" s="837" t="s">
        <v>129</v>
      </c>
      <c r="E1045" s="836"/>
      <c r="F1045" s="836"/>
      <c r="G1045" s="834"/>
      <c r="H1045" s="132" t="s">
        <v>130</v>
      </c>
      <c r="I1045" s="101">
        <v>24000</v>
      </c>
      <c r="J1045" s="102">
        <v>24000</v>
      </c>
      <c r="K1045" s="101">
        <v>14000</v>
      </c>
      <c r="L1045" s="101">
        <v>24000</v>
      </c>
      <c r="M1045" s="101"/>
      <c r="N1045" s="207">
        <f>2119431.45+10097.76</f>
        <v>2129529.21</v>
      </c>
      <c r="O1045" s="207"/>
      <c r="P1045" s="212"/>
      <c r="Q1045" s="212"/>
    </row>
    <row r="1046" spans="1:17" s="229" customFormat="1" ht="18" customHeight="1" x14ac:dyDescent="0.25">
      <c r="A1046" s="926" t="s">
        <v>1387</v>
      </c>
      <c r="B1046" s="48" t="s">
        <v>123</v>
      </c>
      <c r="C1046" s="132" t="s">
        <v>130</v>
      </c>
      <c r="D1046" s="837" t="s">
        <v>129</v>
      </c>
      <c r="E1046" s="836"/>
      <c r="F1046" s="836"/>
      <c r="G1046" s="834"/>
      <c r="H1046" s="132" t="s">
        <v>130</v>
      </c>
      <c r="I1046" s="101">
        <v>671817.99</v>
      </c>
      <c r="J1046" s="102">
        <v>864000</v>
      </c>
      <c r="K1046" s="101">
        <v>400909.09</v>
      </c>
      <c r="L1046" s="101">
        <v>864000</v>
      </c>
      <c r="M1046" s="101"/>
      <c r="N1046" s="207"/>
      <c r="O1046" s="207"/>
      <c r="P1046" s="212"/>
      <c r="Q1046" s="212"/>
    </row>
    <row r="1047" spans="1:17" s="229" customFormat="1" ht="18" customHeight="1" x14ac:dyDescent="0.25">
      <c r="A1047" s="926" t="s">
        <v>1387</v>
      </c>
      <c r="B1047" s="48" t="s">
        <v>123</v>
      </c>
      <c r="C1047" s="132" t="s">
        <v>130</v>
      </c>
      <c r="D1047" s="837" t="s">
        <v>129</v>
      </c>
      <c r="E1047" s="836"/>
      <c r="F1047" s="836"/>
      <c r="G1047" s="834"/>
      <c r="H1047" s="132" t="s">
        <v>130</v>
      </c>
      <c r="I1047" s="101">
        <v>162453.68</v>
      </c>
      <c r="J1047" s="102">
        <v>264000</v>
      </c>
      <c r="K1047" s="101">
        <v>124727.25</v>
      </c>
      <c r="L1047" s="101">
        <v>264000</v>
      </c>
      <c r="M1047" s="101">
        <f>SUM(L1043:L1047)</f>
        <v>1248000</v>
      </c>
      <c r="N1047" s="207"/>
      <c r="O1047" s="207"/>
      <c r="P1047" s="212"/>
      <c r="Q1047" s="212"/>
    </row>
    <row r="1048" spans="1:17" s="229" customFormat="1" ht="18" customHeight="1" x14ac:dyDescent="0.25">
      <c r="A1048" s="926" t="s">
        <v>1387</v>
      </c>
      <c r="B1048" s="48" t="s">
        <v>123</v>
      </c>
      <c r="C1048" s="131" t="s">
        <v>132</v>
      </c>
      <c r="D1048" s="837" t="s">
        <v>131</v>
      </c>
      <c r="E1048" s="836"/>
      <c r="F1048" s="836"/>
      <c r="G1048" s="834"/>
      <c r="H1048" s="131" t="s">
        <v>132</v>
      </c>
      <c r="I1048" s="101">
        <v>72000</v>
      </c>
      <c r="J1048" s="102">
        <v>85200</v>
      </c>
      <c r="K1048" s="101">
        <v>37500</v>
      </c>
      <c r="L1048" s="101">
        <v>85200</v>
      </c>
      <c r="M1048" s="101"/>
      <c r="N1048" s="207"/>
      <c r="O1048" s="207"/>
      <c r="P1048" s="212"/>
      <c r="Q1048" s="212"/>
    </row>
    <row r="1049" spans="1:17" s="229" customFormat="1" ht="18" customHeight="1" x14ac:dyDescent="0.25">
      <c r="A1049" s="926" t="s">
        <v>1387</v>
      </c>
      <c r="B1049" s="48" t="s">
        <v>123</v>
      </c>
      <c r="C1049" s="131" t="s">
        <v>132</v>
      </c>
      <c r="D1049" s="837" t="s">
        <v>131</v>
      </c>
      <c r="E1049" s="836"/>
      <c r="F1049" s="836"/>
      <c r="G1049" s="834"/>
      <c r="H1049" s="131" t="s">
        <v>132</v>
      </c>
      <c r="I1049" s="105">
        <v>72000</v>
      </c>
      <c r="J1049" s="106">
        <v>72000</v>
      </c>
      <c r="K1049" s="105">
        <v>39000</v>
      </c>
      <c r="L1049" s="105">
        <v>72000</v>
      </c>
      <c r="M1049" s="105">
        <f>SUM(L1048:L1049)</f>
        <v>157200</v>
      </c>
      <c r="N1049" s="207"/>
      <c r="O1049" s="207"/>
      <c r="P1049" s="212"/>
      <c r="Q1049" s="212"/>
    </row>
    <row r="1050" spans="1:17" s="146" customFormat="1" ht="18" customHeight="1" x14ac:dyDescent="0.25">
      <c r="A1050" s="926" t="s">
        <v>1387</v>
      </c>
      <c r="B1050" s="48" t="s">
        <v>123</v>
      </c>
      <c r="C1050" s="131" t="s">
        <v>134</v>
      </c>
      <c r="D1050" s="837" t="s">
        <v>133</v>
      </c>
      <c r="E1050" s="836"/>
      <c r="F1050" s="836"/>
      <c r="G1050" s="836"/>
      <c r="H1050" s="131" t="s">
        <v>134</v>
      </c>
      <c r="I1050" s="101">
        <v>72000</v>
      </c>
      <c r="J1050" s="102">
        <v>85200</v>
      </c>
      <c r="K1050" s="101">
        <v>37500</v>
      </c>
      <c r="L1050" s="101">
        <v>85200</v>
      </c>
      <c r="M1050" s="101"/>
      <c r="N1050" s="10"/>
      <c r="O1050" s="10"/>
      <c r="P1050"/>
      <c r="Q1050"/>
    </row>
    <row r="1051" spans="1:17" s="313" customFormat="1" ht="18.75" customHeight="1" x14ac:dyDescent="0.25">
      <c r="A1051" s="926" t="s">
        <v>1387</v>
      </c>
      <c r="B1051" s="48" t="s">
        <v>123</v>
      </c>
      <c r="C1051" s="131" t="s">
        <v>134</v>
      </c>
      <c r="D1051" s="837" t="s">
        <v>133</v>
      </c>
      <c r="E1051" s="836"/>
      <c r="F1051" s="836"/>
      <c r="G1051" s="836"/>
      <c r="H1051" s="131" t="s">
        <v>134</v>
      </c>
      <c r="I1051" s="101">
        <v>72000</v>
      </c>
      <c r="J1051" s="102">
        <v>72000</v>
      </c>
      <c r="K1051" s="101">
        <v>39000</v>
      </c>
      <c r="L1051" s="101">
        <v>72000</v>
      </c>
      <c r="M1051" s="101">
        <f>SUM(L1050:L1051)</f>
        <v>157200</v>
      </c>
      <c r="N1051" s="193"/>
      <c r="O1051" s="193"/>
      <c r="P1051" s="179"/>
      <c r="Q1051" s="179"/>
    </row>
    <row r="1052" spans="1:17" s="313" customFormat="1" ht="18" customHeight="1" x14ac:dyDescent="0.25">
      <c r="A1052" s="926" t="s">
        <v>1387</v>
      </c>
      <c r="B1052" s="48" t="s">
        <v>123</v>
      </c>
      <c r="C1052" s="131" t="s">
        <v>138</v>
      </c>
      <c r="D1052" s="837" t="s">
        <v>137</v>
      </c>
      <c r="E1052" s="836"/>
      <c r="F1052" s="836"/>
      <c r="G1052" s="836"/>
      <c r="H1052" s="131" t="s">
        <v>138</v>
      </c>
      <c r="I1052" s="101"/>
      <c r="J1052" s="102">
        <v>12000</v>
      </c>
      <c r="K1052" s="101">
        <v>6000</v>
      </c>
      <c r="L1052" s="101">
        <v>12000</v>
      </c>
      <c r="M1052" s="101"/>
      <c r="N1052" s="193"/>
      <c r="O1052" s="193"/>
      <c r="P1052" s="179"/>
      <c r="Q1052" s="179"/>
    </row>
    <row r="1053" spans="1:17" s="313" customFormat="1" ht="18" customHeight="1" x14ac:dyDescent="0.25">
      <c r="A1053" s="926" t="s">
        <v>1387</v>
      </c>
      <c r="B1053" s="48" t="s">
        <v>123</v>
      </c>
      <c r="C1053" s="131" t="s">
        <v>138</v>
      </c>
      <c r="D1053" s="837" t="s">
        <v>137</v>
      </c>
      <c r="E1053" s="836"/>
      <c r="F1053" s="836"/>
      <c r="G1053" s="836"/>
      <c r="H1053" s="131" t="s">
        <v>138</v>
      </c>
      <c r="I1053" s="101">
        <v>0</v>
      </c>
      <c r="J1053" s="102">
        <v>12000</v>
      </c>
      <c r="K1053" s="101"/>
      <c r="L1053" s="101">
        <v>12000</v>
      </c>
      <c r="M1053" s="101"/>
      <c r="N1053" s="193"/>
      <c r="O1053" s="193"/>
      <c r="P1053" s="179"/>
      <c r="Q1053" s="179"/>
    </row>
    <row r="1054" spans="1:17" s="313" customFormat="1" ht="18" customHeight="1" x14ac:dyDescent="0.25">
      <c r="A1054" s="926" t="s">
        <v>1387</v>
      </c>
      <c r="B1054" s="48" t="s">
        <v>123</v>
      </c>
      <c r="C1054" s="131" t="s">
        <v>138</v>
      </c>
      <c r="D1054" s="837" t="s">
        <v>137</v>
      </c>
      <c r="E1054" s="836"/>
      <c r="F1054" s="836"/>
      <c r="G1054" s="836"/>
      <c r="H1054" s="131" t="s">
        <v>138</v>
      </c>
      <c r="I1054" s="101">
        <v>6000</v>
      </c>
      <c r="J1054" s="102">
        <v>6000</v>
      </c>
      <c r="K1054" s="101">
        <v>6000</v>
      </c>
      <c r="L1054" s="101">
        <v>6000</v>
      </c>
      <c r="M1054" s="101"/>
      <c r="N1054" s="193"/>
      <c r="O1054" s="193"/>
      <c r="P1054" s="179"/>
      <c r="Q1054" s="179"/>
    </row>
    <row r="1055" spans="1:17" s="313" customFormat="1" ht="18.75" customHeight="1" x14ac:dyDescent="0.25">
      <c r="A1055" s="926" t="s">
        <v>1387</v>
      </c>
      <c r="B1055" s="48" t="s">
        <v>123</v>
      </c>
      <c r="C1055" s="131" t="s">
        <v>138</v>
      </c>
      <c r="D1055" s="837" t="s">
        <v>137</v>
      </c>
      <c r="E1055" s="836"/>
      <c r="F1055" s="836"/>
      <c r="G1055" s="836"/>
      <c r="H1055" s="131" t="s">
        <v>138</v>
      </c>
      <c r="I1055" s="101">
        <v>168000</v>
      </c>
      <c r="J1055" s="102">
        <v>216000</v>
      </c>
      <c r="K1055" s="101">
        <v>168000</v>
      </c>
      <c r="L1055" s="101">
        <v>216000</v>
      </c>
      <c r="M1055" s="101"/>
      <c r="N1055" s="193"/>
      <c r="O1055" s="193"/>
      <c r="P1055" s="179"/>
      <c r="Q1055" s="179"/>
    </row>
    <row r="1056" spans="1:17" s="146" customFormat="1" ht="18" customHeight="1" x14ac:dyDescent="0.25">
      <c r="A1056" s="926" t="s">
        <v>1387</v>
      </c>
      <c r="B1056" s="48" t="s">
        <v>123</v>
      </c>
      <c r="C1056" s="131" t="s">
        <v>138</v>
      </c>
      <c r="D1056" s="838" t="s">
        <v>137</v>
      </c>
      <c r="E1056" s="835"/>
      <c r="F1056" s="835"/>
      <c r="G1056" s="835"/>
      <c r="H1056" s="131" t="s">
        <v>138</v>
      </c>
      <c r="I1056" s="101">
        <v>30000</v>
      </c>
      <c r="J1056" s="102">
        <v>66000</v>
      </c>
      <c r="K1056" s="101">
        <v>48000</v>
      </c>
      <c r="L1056" s="101">
        <v>66000</v>
      </c>
      <c r="M1056" s="101">
        <f>SUM(L1052:L1056)</f>
        <v>312000</v>
      </c>
      <c r="N1056" s="10"/>
      <c r="O1056" s="10"/>
      <c r="P1056"/>
      <c r="Q1056"/>
    </row>
    <row r="1057" spans="1:17" s="146" customFormat="1" ht="18" customHeight="1" x14ac:dyDescent="0.25">
      <c r="A1057" s="926" t="s">
        <v>1387</v>
      </c>
      <c r="B1057" s="48" t="s">
        <v>123</v>
      </c>
      <c r="C1057" s="131" t="s">
        <v>464</v>
      </c>
      <c r="D1057" s="838" t="s">
        <v>210</v>
      </c>
      <c r="E1057" s="851"/>
      <c r="F1057" s="851"/>
      <c r="G1057" s="851"/>
      <c r="H1057" s="131" t="s">
        <v>464</v>
      </c>
      <c r="I1057" s="101">
        <v>335350</v>
      </c>
      <c r="J1057" s="102">
        <v>612000</v>
      </c>
      <c r="K1057" s="101">
        <v>118850</v>
      </c>
      <c r="L1057" s="101">
        <v>612000</v>
      </c>
      <c r="M1057" s="101"/>
      <c r="N1057" s="10"/>
      <c r="O1057" s="10"/>
      <c r="P1057"/>
      <c r="Q1057"/>
    </row>
    <row r="1058" spans="1:17" s="146" customFormat="1" ht="18" x14ac:dyDescent="0.25">
      <c r="A1058" s="926" t="s">
        <v>1387</v>
      </c>
      <c r="B1058" s="48" t="s">
        <v>123</v>
      </c>
      <c r="C1058" s="131" t="s">
        <v>464</v>
      </c>
      <c r="D1058" s="837" t="s">
        <v>210</v>
      </c>
      <c r="E1058" s="834"/>
      <c r="F1058" s="835"/>
      <c r="G1058" s="835"/>
      <c r="H1058" s="131" t="s">
        <v>464</v>
      </c>
      <c r="I1058" s="101">
        <v>21150</v>
      </c>
      <c r="J1058" s="102">
        <v>54000</v>
      </c>
      <c r="K1058" s="101">
        <v>8450</v>
      </c>
      <c r="L1058" s="101">
        <v>54000</v>
      </c>
      <c r="M1058" s="101">
        <f>SUM(L1057:L1058)</f>
        <v>666000</v>
      </c>
      <c r="N1058" s="10"/>
      <c r="O1058" s="10"/>
      <c r="P1058"/>
      <c r="Q1058"/>
    </row>
    <row r="1059" spans="1:17" s="146" customFormat="1" ht="18" customHeight="1" x14ac:dyDescent="0.25">
      <c r="A1059" s="926" t="s">
        <v>1387</v>
      </c>
      <c r="B1059" s="48" t="s">
        <v>123</v>
      </c>
      <c r="C1059" s="131" t="s">
        <v>212</v>
      </c>
      <c r="D1059" s="838" t="s">
        <v>211</v>
      </c>
      <c r="E1059" s="835"/>
      <c r="F1059" s="835"/>
      <c r="G1059" s="835"/>
      <c r="H1059" s="131" t="s">
        <v>212</v>
      </c>
      <c r="I1059" s="101">
        <v>46733.08</v>
      </c>
      <c r="J1059" s="102">
        <v>61200</v>
      </c>
      <c r="K1059" s="101">
        <v>16654.900000000001</v>
      </c>
      <c r="L1059" s="101">
        <v>61200</v>
      </c>
      <c r="M1059" s="101"/>
      <c r="N1059" s="10"/>
      <c r="O1059" s="10"/>
      <c r="P1059"/>
      <c r="Q1059"/>
    </row>
    <row r="1060" spans="1:17" s="146" customFormat="1" ht="18" x14ac:dyDescent="0.25">
      <c r="A1060" s="926" t="s">
        <v>1387</v>
      </c>
      <c r="B1060" s="169" t="s">
        <v>123</v>
      </c>
      <c r="C1060" s="131" t="s">
        <v>146</v>
      </c>
      <c r="D1060" s="838" t="s">
        <v>145</v>
      </c>
      <c r="E1060" s="835"/>
      <c r="F1060" s="835"/>
      <c r="G1060" s="835"/>
      <c r="H1060" s="131" t="s">
        <v>146</v>
      </c>
      <c r="I1060" s="101"/>
      <c r="J1060" s="102">
        <v>10000</v>
      </c>
      <c r="K1060" s="101"/>
      <c r="L1060" s="101">
        <v>10000</v>
      </c>
      <c r="M1060" s="101"/>
      <c r="N1060" s="10"/>
      <c r="O1060" s="10"/>
      <c r="P1060"/>
      <c r="Q1060"/>
    </row>
    <row r="1061" spans="1:17" s="146" customFormat="1" ht="18" customHeight="1" x14ac:dyDescent="0.25">
      <c r="A1061" s="926" t="s">
        <v>1387</v>
      </c>
      <c r="B1061" s="169" t="s">
        <v>123</v>
      </c>
      <c r="C1061" s="131" t="s">
        <v>146</v>
      </c>
      <c r="D1061" s="838" t="s">
        <v>145</v>
      </c>
      <c r="E1061" s="835"/>
      <c r="F1061" s="835"/>
      <c r="G1061" s="835"/>
      <c r="H1061" s="131" t="s">
        <v>146</v>
      </c>
      <c r="I1061" s="101">
        <v>0</v>
      </c>
      <c r="J1061" s="102">
        <v>10000</v>
      </c>
      <c r="K1061" s="101"/>
      <c r="L1061" s="101">
        <v>10000</v>
      </c>
      <c r="M1061" s="101"/>
      <c r="N1061" s="10"/>
      <c r="O1061" s="10"/>
      <c r="P1061"/>
      <c r="Q1061"/>
    </row>
    <row r="1062" spans="1:17" s="146" customFormat="1" ht="18" customHeight="1" x14ac:dyDescent="0.25">
      <c r="A1062" s="926" t="s">
        <v>1387</v>
      </c>
      <c r="B1062" s="169" t="s">
        <v>123</v>
      </c>
      <c r="C1062" s="131" t="s">
        <v>146</v>
      </c>
      <c r="D1062" s="838" t="s">
        <v>145</v>
      </c>
      <c r="E1062" s="835"/>
      <c r="F1062" s="835"/>
      <c r="G1062" s="835"/>
      <c r="H1062" s="131" t="s">
        <v>146</v>
      </c>
      <c r="I1062" s="101">
        <v>5000</v>
      </c>
      <c r="J1062" s="102">
        <v>5000</v>
      </c>
      <c r="K1062" s="101"/>
      <c r="L1062" s="101">
        <v>5000</v>
      </c>
      <c r="M1062" s="101"/>
      <c r="N1062" s="10"/>
      <c r="O1062" s="10"/>
      <c r="P1062"/>
      <c r="Q1062"/>
    </row>
    <row r="1063" spans="1:17" ht="18" customHeight="1" x14ac:dyDescent="0.25">
      <c r="A1063" s="926" t="s">
        <v>1387</v>
      </c>
      <c r="B1063" s="169" t="s">
        <v>123</v>
      </c>
      <c r="C1063" s="131" t="s">
        <v>146</v>
      </c>
      <c r="D1063" s="838" t="s">
        <v>145</v>
      </c>
      <c r="E1063" s="835"/>
      <c r="F1063" s="835"/>
      <c r="G1063" s="835"/>
      <c r="H1063" s="131" t="s">
        <v>146</v>
      </c>
      <c r="I1063" s="101">
        <v>140000</v>
      </c>
      <c r="J1063" s="102">
        <v>180000</v>
      </c>
      <c r="K1063" s="101"/>
      <c r="L1063" s="101">
        <v>180000</v>
      </c>
      <c r="M1063" s="101"/>
    </row>
    <row r="1064" spans="1:17" ht="18" x14ac:dyDescent="0.25">
      <c r="A1064" s="926" t="s">
        <v>1387</v>
      </c>
      <c r="B1064" s="169" t="s">
        <v>123</v>
      </c>
      <c r="C1064" s="131" t="s">
        <v>146</v>
      </c>
      <c r="D1064" s="838" t="s">
        <v>145</v>
      </c>
      <c r="E1064" s="835"/>
      <c r="F1064" s="835"/>
      <c r="G1064" s="835"/>
      <c r="H1064" s="131" t="s">
        <v>146</v>
      </c>
      <c r="I1064" s="101">
        <v>40000</v>
      </c>
      <c r="J1064" s="102">
        <v>55000</v>
      </c>
      <c r="K1064" s="101"/>
      <c r="L1064" s="101">
        <v>55000</v>
      </c>
      <c r="M1064" s="101">
        <f>SUM(L1060:L1064)</f>
        <v>260000</v>
      </c>
    </row>
    <row r="1065" spans="1:17" ht="18" customHeight="1" x14ac:dyDescent="0.25">
      <c r="A1065" s="926" t="s">
        <v>1387</v>
      </c>
      <c r="B1065" s="169" t="s">
        <v>123</v>
      </c>
      <c r="C1065" s="131" t="s">
        <v>228</v>
      </c>
      <c r="D1065" s="838" t="s">
        <v>227</v>
      </c>
      <c r="E1065" s="835"/>
      <c r="F1065" s="835"/>
      <c r="G1065" s="835"/>
      <c r="H1065" s="131" t="s">
        <v>228</v>
      </c>
      <c r="I1065" s="101"/>
      <c r="J1065" s="102"/>
      <c r="K1065" s="101"/>
      <c r="L1065" s="101">
        <v>48000</v>
      </c>
      <c r="M1065" s="101"/>
    </row>
    <row r="1066" spans="1:17" ht="18" x14ac:dyDescent="0.25">
      <c r="A1066" s="926" t="s">
        <v>1387</v>
      </c>
      <c r="B1066" s="169" t="s">
        <v>123</v>
      </c>
      <c r="C1066" s="131" t="s">
        <v>150</v>
      </c>
      <c r="D1066" s="837" t="s">
        <v>149</v>
      </c>
      <c r="E1066" s="836"/>
      <c r="F1066" s="836"/>
      <c r="G1066" s="836"/>
      <c r="H1066" s="131" t="s">
        <v>150</v>
      </c>
      <c r="I1066" s="101">
        <v>2069070.65</v>
      </c>
      <c r="J1066" s="102">
        <v>2524277.9700000002</v>
      </c>
      <c r="K1066" s="101">
        <v>871451.5</v>
      </c>
      <c r="L1066" s="101">
        <v>2810470.58</v>
      </c>
      <c r="M1066" s="101"/>
    </row>
    <row r="1067" spans="1:17" ht="18" x14ac:dyDescent="0.25">
      <c r="A1067" s="926" t="s">
        <v>1387</v>
      </c>
      <c r="B1067" s="169" t="s">
        <v>123</v>
      </c>
      <c r="C1067" s="131" t="s">
        <v>232</v>
      </c>
      <c r="D1067" s="837" t="s">
        <v>231</v>
      </c>
      <c r="E1067" s="836"/>
      <c r="F1067" s="836"/>
      <c r="G1067" s="836"/>
      <c r="H1067" s="131" t="s">
        <v>232</v>
      </c>
      <c r="I1067" s="101"/>
      <c r="J1067" s="102">
        <v>20000</v>
      </c>
      <c r="K1067" s="101"/>
      <c r="L1067" s="101">
        <v>20000</v>
      </c>
      <c r="M1067" s="101"/>
    </row>
    <row r="1068" spans="1:17" s="146" customFormat="1" ht="18" customHeight="1" x14ac:dyDescent="0.25">
      <c r="A1068" s="926" t="s">
        <v>1387</v>
      </c>
      <c r="B1068" s="169" t="s">
        <v>123</v>
      </c>
      <c r="C1068" s="131" t="s">
        <v>232</v>
      </c>
      <c r="D1068" s="837" t="s">
        <v>231</v>
      </c>
      <c r="E1068" s="836"/>
      <c r="F1068" s="836"/>
      <c r="G1068" s="834"/>
      <c r="H1068" s="131" t="s">
        <v>232</v>
      </c>
      <c r="I1068" s="101">
        <v>0</v>
      </c>
      <c r="J1068" s="102">
        <v>0</v>
      </c>
      <c r="K1068" s="101"/>
      <c r="L1068" s="101">
        <v>10000</v>
      </c>
      <c r="M1068" s="101">
        <f>SUM(L1067:L1068)</f>
        <v>30000</v>
      </c>
      <c r="N1068" s="10"/>
      <c r="O1068" s="10"/>
      <c r="P1068"/>
      <c r="Q1068"/>
    </row>
    <row r="1069" spans="1:17" s="146" customFormat="1" ht="18" x14ac:dyDescent="0.25">
      <c r="A1069" s="926" t="s">
        <v>1387</v>
      </c>
      <c r="B1069" s="169" t="s">
        <v>123</v>
      </c>
      <c r="C1069" s="131" t="s">
        <v>136</v>
      </c>
      <c r="D1069" s="837" t="s">
        <v>135</v>
      </c>
      <c r="E1069" s="836"/>
      <c r="F1069" s="836"/>
      <c r="G1069" s="834"/>
      <c r="H1069" s="131" t="s">
        <v>136</v>
      </c>
      <c r="I1069" s="101">
        <v>630991.15</v>
      </c>
      <c r="J1069" s="102">
        <v>600000</v>
      </c>
      <c r="K1069" s="101">
        <v>56896.5</v>
      </c>
      <c r="L1069" s="101">
        <v>700000</v>
      </c>
      <c r="M1069" s="101"/>
      <c r="N1069" s="10"/>
      <c r="O1069" s="10"/>
      <c r="P1069"/>
      <c r="Q1069"/>
    </row>
    <row r="1070" spans="1:17" s="146" customFormat="1" ht="18" customHeight="1" x14ac:dyDescent="0.25">
      <c r="A1070" s="926" t="s">
        <v>1387</v>
      </c>
      <c r="B1070" s="169" t="s">
        <v>123</v>
      </c>
      <c r="C1070" s="131" t="s">
        <v>136</v>
      </c>
      <c r="D1070" s="837" t="s">
        <v>135</v>
      </c>
      <c r="E1070" s="836"/>
      <c r="F1070" s="836"/>
      <c r="G1070" s="834"/>
      <c r="H1070" s="131" t="s">
        <v>136</v>
      </c>
      <c r="I1070" s="101">
        <v>56675.87</v>
      </c>
      <c r="J1070" s="102">
        <v>320640</v>
      </c>
      <c r="K1070" s="101">
        <v>2720.98</v>
      </c>
      <c r="L1070" s="102">
        <v>320640</v>
      </c>
      <c r="M1070" s="101">
        <f>SUM(L1069:L1070)</f>
        <v>1020640</v>
      </c>
      <c r="N1070" s="10"/>
      <c r="O1070" s="10"/>
      <c r="P1070"/>
      <c r="Q1070"/>
    </row>
    <row r="1071" spans="1:17" ht="18" customHeight="1" x14ac:dyDescent="0.25">
      <c r="A1071" s="926" t="s">
        <v>1387</v>
      </c>
      <c r="B1071" s="229" t="s">
        <v>123</v>
      </c>
      <c r="C1071" s="131" t="s">
        <v>142</v>
      </c>
      <c r="D1071" s="838" t="s">
        <v>141</v>
      </c>
      <c r="E1071" s="835"/>
      <c r="F1071" s="835"/>
      <c r="G1071" s="835"/>
      <c r="H1071" s="131" t="s">
        <v>142</v>
      </c>
      <c r="I1071" s="101"/>
      <c r="J1071" s="102">
        <v>32449</v>
      </c>
      <c r="K1071" s="101"/>
      <c r="L1071" s="101">
        <v>35832</v>
      </c>
      <c r="M1071" s="101"/>
    </row>
    <row r="1072" spans="1:17" ht="18" customHeight="1" x14ac:dyDescent="0.25">
      <c r="A1072" s="926" t="s">
        <v>1387</v>
      </c>
      <c r="B1072" s="229" t="s">
        <v>123</v>
      </c>
      <c r="C1072" s="131" t="s">
        <v>142</v>
      </c>
      <c r="D1072" s="838" t="s">
        <v>141</v>
      </c>
      <c r="E1072" s="835"/>
      <c r="F1072" s="835"/>
      <c r="G1072" s="835"/>
      <c r="H1072" s="131" t="s">
        <v>142</v>
      </c>
      <c r="I1072" s="101">
        <v>0</v>
      </c>
      <c r="J1072" s="102">
        <v>35841</v>
      </c>
      <c r="K1072" s="101"/>
      <c r="L1072" s="101">
        <v>37599</v>
      </c>
      <c r="M1072" s="101"/>
    </row>
    <row r="1073" spans="1:17" ht="18" customHeight="1" x14ac:dyDescent="0.25">
      <c r="A1073" s="926" t="s">
        <v>1387</v>
      </c>
      <c r="B1073" s="229" t="s">
        <v>123</v>
      </c>
      <c r="C1073" s="131" t="s">
        <v>142</v>
      </c>
      <c r="D1073" s="838" t="s">
        <v>141</v>
      </c>
      <c r="E1073" s="835"/>
      <c r="F1073" s="835"/>
      <c r="G1073" s="835"/>
      <c r="H1073" s="131" t="s">
        <v>142</v>
      </c>
      <c r="I1073" s="101">
        <v>19513</v>
      </c>
      <c r="J1073" s="102">
        <v>19513</v>
      </c>
      <c r="K1073" s="101"/>
      <c r="L1073" s="101">
        <v>22011</v>
      </c>
      <c r="M1073" s="101"/>
    </row>
    <row r="1074" spans="1:17" ht="18" customHeight="1" x14ac:dyDescent="0.25">
      <c r="A1074" s="926" t="s">
        <v>1387</v>
      </c>
      <c r="B1074" s="229" t="s">
        <v>123</v>
      </c>
      <c r="C1074" s="131" t="s">
        <v>142</v>
      </c>
      <c r="D1074" s="838" t="s">
        <v>141</v>
      </c>
      <c r="E1074" s="835"/>
      <c r="F1074" s="835"/>
      <c r="G1074" s="835"/>
      <c r="H1074" s="131" t="s">
        <v>142</v>
      </c>
      <c r="I1074" s="101">
        <v>719969</v>
      </c>
      <c r="J1074" s="102">
        <v>986788</v>
      </c>
      <c r="K1074" s="101"/>
      <c r="L1074" s="105">
        <v>1078936</v>
      </c>
      <c r="M1074" s="101"/>
    </row>
    <row r="1075" spans="1:17" s="212" customFormat="1" ht="18" customHeight="1" x14ac:dyDescent="0.25">
      <c r="A1075" s="926" t="s">
        <v>1387</v>
      </c>
      <c r="B1075" s="229" t="s">
        <v>123</v>
      </c>
      <c r="C1075" s="131" t="s">
        <v>142</v>
      </c>
      <c r="D1075" s="837" t="s">
        <v>141</v>
      </c>
      <c r="E1075" s="836"/>
      <c r="F1075" s="836"/>
      <c r="G1075" s="834"/>
      <c r="H1075" s="131" t="s">
        <v>142</v>
      </c>
      <c r="I1075" s="101">
        <v>179630</v>
      </c>
      <c r="J1075" s="102">
        <v>231821</v>
      </c>
      <c r="K1075" s="101"/>
      <c r="L1075" s="101">
        <v>251998</v>
      </c>
      <c r="M1075" s="101">
        <f>SUM(L1071:L1075)</f>
        <v>1426376</v>
      </c>
      <c r="N1075" s="207"/>
      <c r="O1075" s="207"/>
    </row>
    <row r="1076" spans="1:17" s="212" customFormat="1" ht="18" customHeight="1" x14ac:dyDescent="0.25">
      <c r="A1076" s="926" t="s">
        <v>1387</v>
      </c>
      <c r="B1076" s="229" t="s">
        <v>123</v>
      </c>
      <c r="C1076" s="131" t="s">
        <v>144</v>
      </c>
      <c r="D1076" s="837" t="s">
        <v>143</v>
      </c>
      <c r="E1076" s="836"/>
      <c r="F1076" s="836"/>
      <c r="G1076" s="834"/>
      <c r="H1076" s="131" t="s">
        <v>144</v>
      </c>
      <c r="I1076" s="101"/>
      <c r="J1076" s="102">
        <v>10000</v>
      </c>
      <c r="K1076" s="101"/>
      <c r="L1076" s="101">
        <v>10000</v>
      </c>
      <c r="M1076" s="101"/>
      <c r="N1076" s="207"/>
      <c r="O1076" s="207"/>
    </row>
    <row r="1077" spans="1:17" s="212" customFormat="1" ht="18" customHeight="1" x14ac:dyDescent="0.25">
      <c r="A1077" s="926" t="s">
        <v>1387</v>
      </c>
      <c r="B1077" s="229" t="s">
        <v>123</v>
      </c>
      <c r="C1077" s="131" t="s">
        <v>144</v>
      </c>
      <c r="D1077" s="837" t="s">
        <v>143</v>
      </c>
      <c r="E1077" s="836"/>
      <c r="F1077" s="836"/>
      <c r="G1077" s="834"/>
      <c r="H1077" s="131" t="s">
        <v>144</v>
      </c>
      <c r="I1077" s="101">
        <v>0</v>
      </c>
      <c r="J1077" s="102">
        <v>10000</v>
      </c>
      <c r="K1077" s="101"/>
      <c r="L1077" s="101">
        <v>10000</v>
      </c>
      <c r="M1077" s="101"/>
      <c r="N1077" s="207"/>
      <c r="O1077" s="207"/>
    </row>
    <row r="1078" spans="1:17" s="212" customFormat="1" ht="18" customHeight="1" x14ac:dyDescent="0.25">
      <c r="A1078" s="926" t="s">
        <v>1387</v>
      </c>
      <c r="B1078" s="229" t="s">
        <v>123</v>
      </c>
      <c r="C1078" s="131" t="s">
        <v>144</v>
      </c>
      <c r="D1078" s="837" t="s">
        <v>143</v>
      </c>
      <c r="E1078" s="836"/>
      <c r="F1078" s="836"/>
      <c r="G1078" s="834"/>
      <c r="H1078" s="131" t="s">
        <v>144</v>
      </c>
      <c r="I1078" s="101">
        <v>5000</v>
      </c>
      <c r="J1078" s="102">
        <v>5000</v>
      </c>
      <c r="K1078" s="101"/>
      <c r="L1078" s="101">
        <v>5000</v>
      </c>
      <c r="M1078" s="101"/>
      <c r="N1078" s="207"/>
      <c r="O1078" s="207"/>
    </row>
    <row r="1079" spans="1:17" s="212" customFormat="1" ht="18" customHeight="1" x14ac:dyDescent="0.25">
      <c r="A1079" s="926" t="s">
        <v>1387</v>
      </c>
      <c r="B1079" s="229" t="s">
        <v>123</v>
      </c>
      <c r="C1079" s="131" t="s">
        <v>144</v>
      </c>
      <c r="D1079" s="837" t="s">
        <v>143</v>
      </c>
      <c r="E1079" s="836"/>
      <c r="F1079" s="836"/>
      <c r="G1079" s="834"/>
      <c r="H1079" s="131" t="s">
        <v>144</v>
      </c>
      <c r="I1079" s="101">
        <v>140000</v>
      </c>
      <c r="J1079" s="102">
        <v>180000</v>
      </c>
      <c r="K1079" s="101"/>
      <c r="L1079" s="101">
        <v>180000</v>
      </c>
      <c r="M1079" s="101"/>
      <c r="N1079" s="207"/>
      <c r="O1079" s="207"/>
    </row>
    <row r="1080" spans="1:17" s="212" customFormat="1" ht="18" customHeight="1" x14ac:dyDescent="0.25">
      <c r="A1080" s="926" t="s">
        <v>1387</v>
      </c>
      <c r="B1080" s="229" t="s">
        <v>123</v>
      </c>
      <c r="C1080" s="131" t="s">
        <v>144</v>
      </c>
      <c r="D1080" s="837" t="s">
        <v>143</v>
      </c>
      <c r="E1080" s="836"/>
      <c r="F1080" s="836"/>
      <c r="G1080" s="834"/>
      <c r="H1080" s="131" t="s">
        <v>144</v>
      </c>
      <c r="I1080" s="101">
        <v>40000</v>
      </c>
      <c r="J1080" s="102">
        <v>55000</v>
      </c>
      <c r="K1080" s="101"/>
      <c r="L1080" s="101">
        <v>55000</v>
      </c>
      <c r="M1080" s="101">
        <f>SUM(L1076:L1080)</f>
        <v>260000</v>
      </c>
      <c r="N1080" s="207"/>
      <c r="O1080" s="207"/>
    </row>
    <row r="1081" spans="1:17" s="212" customFormat="1" ht="18" customHeight="1" x14ac:dyDescent="0.25">
      <c r="A1081" s="926" t="s">
        <v>1387</v>
      </c>
      <c r="B1081" s="229" t="s">
        <v>123</v>
      </c>
      <c r="C1081" s="131" t="s">
        <v>148</v>
      </c>
      <c r="D1081" s="859" t="s">
        <v>147</v>
      </c>
      <c r="E1081" s="836"/>
      <c r="F1081" s="836"/>
      <c r="G1081" s="834"/>
      <c r="H1081" s="131" t="s">
        <v>148</v>
      </c>
      <c r="I1081" s="101"/>
      <c r="J1081" s="102"/>
      <c r="K1081" s="101"/>
      <c r="L1081" s="101">
        <v>3000</v>
      </c>
      <c r="M1081" s="101"/>
      <c r="N1081" s="207"/>
      <c r="O1081" s="207"/>
    </row>
    <row r="1082" spans="1:17" s="212" customFormat="1" ht="18" customHeight="1" x14ac:dyDescent="0.25">
      <c r="A1082" s="926" t="s">
        <v>1387</v>
      </c>
      <c r="B1082" s="229" t="s">
        <v>123</v>
      </c>
      <c r="C1082" s="131" t="s">
        <v>148</v>
      </c>
      <c r="D1082" s="859" t="s">
        <v>147</v>
      </c>
      <c r="E1082" s="836"/>
      <c r="F1082" s="836"/>
      <c r="G1082" s="834"/>
      <c r="H1082" s="131" t="s">
        <v>148</v>
      </c>
      <c r="I1082" s="101"/>
      <c r="J1082" s="102"/>
      <c r="K1082" s="101"/>
      <c r="L1082" s="101">
        <v>6000</v>
      </c>
      <c r="M1082" s="101"/>
      <c r="N1082" s="207"/>
      <c r="O1082" s="207"/>
    </row>
    <row r="1083" spans="1:17" s="212" customFormat="1" ht="18" customHeight="1" x14ac:dyDescent="0.25">
      <c r="A1083" s="926" t="s">
        <v>1387</v>
      </c>
      <c r="B1083" s="229" t="s">
        <v>123</v>
      </c>
      <c r="C1083" s="131" t="s">
        <v>148</v>
      </c>
      <c r="D1083" s="859" t="s">
        <v>318</v>
      </c>
      <c r="E1083" s="836"/>
      <c r="F1083" s="836"/>
      <c r="G1083" s="834"/>
      <c r="H1083" s="131" t="s">
        <v>148</v>
      </c>
      <c r="I1083" s="101"/>
      <c r="J1083" s="102"/>
      <c r="K1083" s="101"/>
      <c r="L1083" s="101">
        <v>3000</v>
      </c>
      <c r="M1083" s="101"/>
      <c r="N1083" s="207"/>
      <c r="O1083" s="207"/>
    </row>
    <row r="1084" spans="1:17" s="212" customFormat="1" ht="18" customHeight="1" x14ac:dyDescent="0.25">
      <c r="A1084" s="926" t="s">
        <v>1387</v>
      </c>
      <c r="B1084" s="229" t="s">
        <v>123</v>
      </c>
      <c r="C1084" s="131" t="s">
        <v>148</v>
      </c>
      <c r="D1084" s="859" t="s">
        <v>147</v>
      </c>
      <c r="E1084" s="836"/>
      <c r="F1084" s="836"/>
      <c r="G1084" s="834"/>
      <c r="H1084" s="131" t="s">
        <v>148</v>
      </c>
      <c r="I1084" s="101"/>
      <c r="J1084" s="102"/>
      <c r="K1084" s="101"/>
      <c r="L1084" s="105">
        <v>108000</v>
      </c>
      <c r="M1084" s="101"/>
      <c r="N1084" s="207"/>
      <c r="O1084" s="207"/>
    </row>
    <row r="1085" spans="1:17" s="191" customFormat="1" ht="18" customHeight="1" x14ac:dyDescent="0.25">
      <c r="A1085" s="926" t="s">
        <v>1387</v>
      </c>
      <c r="B1085" s="229" t="s">
        <v>123</v>
      </c>
      <c r="C1085" s="131" t="s">
        <v>148</v>
      </c>
      <c r="D1085" s="859" t="s">
        <v>147</v>
      </c>
      <c r="E1085" s="836"/>
      <c r="F1085" s="836"/>
      <c r="G1085" s="834"/>
      <c r="H1085" s="131" t="s">
        <v>148</v>
      </c>
      <c r="I1085" s="101"/>
      <c r="J1085" s="102"/>
      <c r="K1085" s="101"/>
      <c r="L1085" s="250">
        <v>33000</v>
      </c>
      <c r="M1085" s="250">
        <f>SUM(L1081:L1085)</f>
        <v>153000</v>
      </c>
      <c r="N1085" s="10"/>
      <c r="O1085" s="10"/>
    </row>
    <row r="1086" spans="1:17" s="191" customFormat="1" ht="18" customHeight="1" x14ac:dyDescent="0.25">
      <c r="A1086" s="926" t="s">
        <v>1387</v>
      </c>
      <c r="B1086" s="229" t="s">
        <v>123</v>
      </c>
      <c r="C1086" s="131" t="s">
        <v>154</v>
      </c>
      <c r="D1086" s="837" t="s">
        <v>153</v>
      </c>
      <c r="E1086" s="836"/>
      <c r="F1086" s="836"/>
      <c r="G1086" s="834"/>
      <c r="H1086" s="131" t="s">
        <v>154</v>
      </c>
      <c r="I1086" s="101"/>
      <c r="J1086" s="102">
        <v>46726.559999999998</v>
      </c>
      <c r="K1086" s="101">
        <v>8985.6</v>
      </c>
      <c r="L1086" s="250">
        <v>51598.080000000002</v>
      </c>
      <c r="M1086" s="250"/>
      <c r="N1086" s="10"/>
      <c r="O1086" s="10"/>
    </row>
    <row r="1087" spans="1:17" s="208" customFormat="1" ht="18" x14ac:dyDescent="0.25">
      <c r="A1087" s="926" t="s">
        <v>1387</v>
      </c>
      <c r="B1087" s="229" t="s">
        <v>123</v>
      </c>
      <c r="C1087" s="131" t="s">
        <v>154</v>
      </c>
      <c r="D1087" s="837" t="s">
        <v>153</v>
      </c>
      <c r="E1087" s="836"/>
      <c r="F1087" s="836"/>
      <c r="G1087" s="834"/>
      <c r="H1087" s="131" t="s">
        <v>154</v>
      </c>
      <c r="I1087" s="101">
        <v>0</v>
      </c>
      <c r="J1087" s="102">
        <v>51611.040000000001</v>
      </c>
      <c r="K1087" s="101"/>
      <c r="L1087" s="250">
        <v>56676.959999999999</v>
      </c>
      <c r="M1087" s="250"/>
      <c r="N1087" s="207"/>
      <c r="O1087" s="207"/>
    </row>
    <row r="1088" spans="1:17" s="146" customFormat="1" ht="18" customHeight="1" x14ac:dyDescent="0.25">
      <c r="A1088" s="926" t="s">
        <v>1387</v>
      </c>
      <c r="B1088" s="229" t="s">
        <v>123</v>
      </c>
      <c r="C1088" s="131" t="s">
        <v>154</v>
      </c>
      <c r="D1088" s="838" t="s">
        <v>153</v>
      </c>
      <c r="E1088" s="835"/>
      <c r="F1088" s="835"/>
      <c r="G1088" s="835"/>
      <c r="H1088" s="131" t="s">
        <v>154</v>
      </c>
      <c r="I1088" s="101">
        <v>27625.439999999999</v>
      </c>
      <c r="J1088" s="102">
        <v>28098.720000000001</v>
      </c>
      <c r="K1088" s="112">
        <v>17140.32</v>
      </c>
      <c r="L1088" s="101">
        <v>29897.279999999999</v>
      </c>
      <c r="M1088" s="112"/>
      <c r="N1088" s="10"/>
      <c r="O1088" s="10"/>
      <c r="P1088"/>
      <c r="Q1088"/>
    </row>
    <row r="1089" spans="1:17" s="146" customFormat="1" ht="18" customHeight="1" x14ac:dyDescent="0.25">
      <c r="A1089" s="926" t="s">
        <v>1387</v>
      </c>
      <c r="B1089" s="229" t="s">
        <v>123</v>
      </c>
      <c r="C1089" s="131" t="s">
        <v>154</v>
      </c>
      <c r="D1089" s="838" t="s">
        <v>153</v>
      </c>
      <c r="E1089" s="835"/>
      <c r="F1089" s="835"/>
      <c r="G1089" s="835"/>
      <c r="H1089" s="131" t="s">
        <v>154</v>
      </c>
      <c r="I1089" s="101">
        <v>1036447.13</v>
      </c>
      <c r="J1089" s="102">
        <v>976315.32</v>
      </c>
      <c r="K1089" s="101">
        <v>640802.73</v>
      </c>
      <c r="L1089" s="101">
        <v>1064012.96</v>
      </c>
      <c r="M1089" s="101"/>
      <c r="N1089" s="10"/>
      <c r="O1089" s="10"/>
      <c r="P1089"/>
      <c r="Q1089"/>
    </row>
    <row r="1090" spans="1:17" s="146" customFormat="1" ht="18" customHeight="1" x14ac:dyDescent="0.25">
      <c r="A1090" s="926" t="s">
        <v>1387</v>
      </c>
      <c r="B1090" s="229" t="s">
        <v>123</v>
      </c>
      <c r="C1090" s="131" t="s">
        <v>154</v>
      </c>
      <c r="D1090" s="838" t="s">
        <v>153</v>
      </c>
      <c r="E1090" s="835"/>
      <c r="F1090" s="835"/>
      <c r="G1090" s="835"/>
      <c r="H1090" s="131" t="s">
        <v>154</v>
      </c>
      <c r="I1090" s="101">
        <v>235633.2</v>
      </c>
      <c r="J1090" s="102">
        <v>334168.2</v>
      </c>
      <c r="K1090" s="101">
        <v>175241.37</v>
      </c>
      <c r="L1090" s="101">
        <v>362789.99</v>
      </c>
      <c r="M1090" s="101">
        <f>SUM(L1086:L1090)</f>
        <v>1564975.27</v>
      </c>
      <c r="N1090" s="10"/>
      <c r="O1090" s="10"/>
      <c r="P1090"/>
      <c r="Q1090"/>
    </row>
    <row r="1091" spans="1:17" s="146" customFormat="1" ht="18" x14ac:dyDescent="0.25">
      <c r="A1091" s="926" t="s">
        <v>1387</v>
      </c>
      <c r="B1091" s="229" t="s">
        <v>123</v>
      </c>
      <c r="C1091" s="131" t="s">
        <v>156</v>
      </c>
      <c r="D1091" s="838" t="s">
        <v>155</v>
      </c>
      <c r="E1091" s="835"/>
      <c r="F1091" s="835"/>
      <c r="G1091" s="835"/>
      <c r="H1091" s="131" t="s">
        <v>156</v>
      </c>
      <c r="I1091" s="101"/>
      <c r="J1091" s="102">
        <v>2400</v>
      </c>
      <c r="K1091" s="101">
        <v>700</v>
      </c>
      <c r="L1091" s="101">
        <v>2400</v>
      </c>
      <c r="M1091" s="101"/>
      <c r="N1091" s="10"/>
      <c r="O1091" s="10"/>
      <c r="P1091"/>
      <c r="Q1091"/>
    </row>
    <row r="1092" spans="1:17" s="146" customFormat="1" ht="18" customHeight="1" x14ac:dyDescent="0.25">
      <c r="A1092" s="926" t="s">
        <v>1387</v>
      </c>
      <c r="B1092" s="388" t="s">
        <v>123</v>
      </c>
      <c r="C1092" s="131" t="s">
        <v>156</v>
      </c>
      <c r="D1092" s="838" t="s">
        <v>155</v>
      </c>
      <c r="E1092" s="835"/>
      <c r="F1092" s="835"/>
      <c r="G1092" s="835"/>
      <c r="H1092" s="131" t="s">
        <v>156</v>
      </c>
      <c r="I1092" s="101">
        <v>0</v>
      </c>
      <c r="J1092" s="102">
        <v>2400</v>
      </c>
      <c r="K1092" s="101"/>
      <c r="L1092" s="101">
        <v>2400</v>
      </c>
      <c r="M1092" s="101"/>
      <c r="N1092" s="10"/>
      <c r="O1092" s="10"/>
      <c r="P1092"/>
      <c r="Q1092"/>
    </row>
    <row r="1093" spans="1:17" s="146" customFormat="1" ht="18" customHeight="1" x14ac:dyDescent="0.25">
      <c r="A1093" s="926" t="s">
        <v>1387</v>
      </c>
      <c r="B1093" s="388" t="s">
        <v>123</v>
      </c>
      <c r="C1093" s="131" t="s">
        <v>156</v>
      </c>
      <c r="D1093" s="838" t="s">
        <v>155</v>
      </c>
      <c r="E1093" s="835"/>
      <c r="F1093" s="835"/>
      <c r="G1093" s="835"/>
      <c r="H1093" s="131" t="s">
        <v>156</v>
      </c>
      <c r="I1093" s="101">
        <v>1200</v>
      </c>
      <c r="J1093" s="102">
        <v>1200</v>
      </c>
      <c r="K1093" s="101">
        <v>700</v>
      </c>
      <c r="L1093" s="101">
        <v>1200</v>
      </c>
      <c r="M1093" s="101"/>
      <c r="N1093" s="10"/>
      <c r="O1093" s="10"/>
      <c r="P1093"/>
      <c r="Q1093"/>
    </row>
    <row r="1094" spans="1:17" s="146" customFormat="1" ht="18" customHeight="1" x14ac:dyDescent="0.25">
      <c r="A1094" s="926" t="s">
        <v>1387</v>
      </c>
      <c r="B1094" s="388" t="s">
        <v>123</v>
      </c>
      <c r="C1094" s="131" t="s">
        <v>156</v>
      </c>
      <c r="D1094" s="838" t="s">
        <v>155</v>
      </c>
      <c r="E1094" s="835"/>
      <c r="F1094" s="835"/>
      <c r="G1094" s="835"/>
      <c r="H1094" s="131" t="s">
        <v>156</v>
      </c>
      <c r="I1094" s="101">
        <v>33600</v>
      </c>
      <c r="J1094" s="102">
        <v>43200</v>
      </c>
      <c r="K1094" s="101">
        <v>20000</v>
      </c>
      <c r="L1094" s="101">
        <v>43200</v>
      </c>
      <c r="M1094" s="101"/>
      <c r="N1094" s="10"/>
      <c r="O1094" s="10"/>
      <c r="P1094"/>
      <c r="Q1094"/>
    </row>
    <row r="1095" spans="1:17" s="146" customFormat="1" ht="18" x14ac:dyDescent="0.25">
      <c r="A1095" s="926" t="s">
        <v>1387</v>
      </c>
      <c r="B1095" s="388" t="s">
        <v>123</v>
      </c>
      <c r="C1095" s="131" t="s">
        <v>156</v>
      </c>
      <c r="D1095" s="838" t="s">
        <v>155</v>
      </c>
      <c r="E1095" s="835"/>
      <c r="F1095" s="835"/>
      <c r="G1095" s="835"/>
      <c r="H1095" s="131" t="s">
        <v>156</v>
      </c>
      <c r="I1095" s="101">
        <v>8100</v>
      </c>
      <c r="J1095" s="102">
        <v>13200</v>
      </c>
      <c r="K1095" s="101">
        <v>6600</v>
      </c>
      <c r="L1095" s="101">
        <v>13200</v>
      </c>
      <c r="M1095" s="101">
        <f>SUM(L1091:L1095)</f>
        <v>62400</v>
      </c>
      <c r="N1095" s="10"/>
      <c r="O1095" s="10"/>
      <c r="P1095"/>
      <c r="Q1095"/>
    </row>
    <row r="1096" spans="1:17" s="146" customFormat="1" ht="18" customHeight="1" x14ac:dyDescent="0.25">
      <c r="A1096" s="926" t="s">
        <v>1387</v>
      </c>
      <c r="B1096" s="388" t="s">
        <v>123</v>
      </c>
      <c r="C1096" s="131" t="s">
        <v>158</v>
      </c>
      <c r="D1096" s="838" t="s">
        <v>157</v>
      </c>
      <c r="E1096" s="835"/>
      <c r="F1096" s="835"/>
      <c r="G1096" s="835"/>
      <c r="H1096" s="131" t="s">
        <v>158</v>
      </c>
      <c r="I1096" s="101"/>
      <c r="J1096" s="102">
        <v>6814.29</v>
      </c>
      <c r="K1096" s="101">
        <v>1209.5999999999999</v>
      </c>
      <c r="L1096" s="101">
        <v>17208</v>
      </c>
      <c r="M1096" s="101"/>
      <c r="N1096" s="10"/>
      <c r="O1096" s="10"/>
      <c r="P1096"/>
      <c r="Q1096"/>
    </row>
    <row r="1097" spans="1:17" s="146" customFormat="1" ht="18" x14ac:dyDescent="0.25">
      <c r="A1097" s="926" t="s">
        <v>1387</v>
      </c>
      <c r="B1097" s="388" t="s">
        <v>123</v>
      </c>
      <c r="C1097" s="131" t="s">
        <v>158</v>
      </c>
      <c r="D1097" s="838" t="s">
        <v>157</v>
      </c>
      <c r="E1097" s="835"/>
      <c r="F1097" s="835"/>
      <c r="G1097" s="835"/>
      <c r="H1097" s="131" t="s">
        <v>158</v>
      </c>
      <c r="I1097" s="101">
        <v>0</v>
      </c>
      <c r="J1097" s="102">
        <v>7526.61</v>
      </c>
      <c r="K1097" s="101"/>
      <c r="L1097" s="101">
        <v>18912</v>
      </c>
      <c r="M1097" s="101"/>
      <c r="N1097" s="10"/>
      <c r="O1097" s="10"/>
      <c r="P1097"/>
      <c r="Q1097"/>
    </row>
    <row r="1098" spans="1:17" s="146" customFormat="1" ht="18" customHeight="1" x14ac:dyDescent="0.25">
      <c r="A1098" s="926" t="s">
        <v>1387</v>
      </c>
      <c r="B1098" s="388" t="s">
        <v>123</v>
      </c>
      <c r="C1098" s="131" t="s">
        <v>158</v>
      </c>
      <c r="D1098" s="838" t="s">
        <v>157</v>
      </c>
      <c r="E1098" s="835"/>
      <c r="F1098" s="835"/>
      <c r="G1098" s="835"/>
      <c r="H1098" s="131" t="s">
        <v>158</v>
      </c>
      <c r="I1098" s="101">
        <v>3453.24</v>
      </c>
      <c r="J1098" s="102">
        <v>4097.7299999999996</v>
      </c>
      <c r="K1098" s="101">
        <v>2142.5500000000002</v>
      </c>
      <c r="L1098" s="101">
        <v>11000</v>
      </c>
      <c r="M1098" s="101"/>
      <c r="N1098" s="10"/>
      <c r="O1098" s="10"/>
      <c r="P1098"/>
      <c r="Q1098"/>
    </row>
    <row r="1099" spans="1:17" s="146" customFormat="1" ht="18" customHeight="1" x14ac:dyDescent="0.25">
      <c r="A1099" s="926" t="s">
        <v>1387</v>
      </c>
      <c r="B1099" s="388" t="s">
        <v>123</v>
      </c>
      <c r="C1099" s="131" t="s">
        <v>158</v>
      </c>
      <c r="D1099" s="838" t="s">
        <v>157</v>
      </c>
      <c r="E1099" s="835"/>
      <c r="F1099" s="835"/>
      <c r="G1099" s="835"/>
      <c r="H1099" s="131" t="s">
        <v>158</v>
      </c>
      <c r="I1099" s="101">
        <v>124832.06</v>
      </c>
      <c r="J1099" s="102">
        <v>197948.85</v>
      </c>
      <c r="K1099" s="101">
        <v>77183.490000000005</v>
      </c>
      <c r="L1099" s="101">
        <v>503974.24</v>
      </c>
      <c r="M1099" s="101"/>
      <c r="N1099" s="10"/>
      <c r="O1099" s="10"/>
      <c r="P1099"/>
      <c r="Q1099"/>
    </row>
    <row r="1100" spans="1:17" s="146" customFormat="1" ht="18" customHeight="1" x14ac:dyDescent="0.25">
      <c r="A1100" s="926" t="s">
        <v>1387</v>
      </c>
      <c r="B1100" s="388" t="s">
        <v>123</v>
      </c>
      <c r="C1100" s="131" t="s">
        <v>158</v>
      </c>
      <c r="D1100" s="838" t="s">
        <v>157</v>
      </c>
      <c r="E1100" s="835"/>
      <c r="F1100" s="835"/>
      <c r="G1100" s="835"/>
      <c r="H1100" s="131" t="s">
        <v>158</v>
      </c>
      <c r="I1100" s="101">
        <v>25728.51</v>
      </c>
      <c r="J1100" s="102">
        <v>46828.480000000003</v>
      </c>
      <c r="K1100" s="101">
        <v>20560.78</v>
      </c>
      <c r="L1100" s="101">
        <v>119430.96</v>
      </c>
      <c r="M1100" s="101">
        <f>SUM(L1096:L1100)</f>
        <v>670525.19999999995</v>
      </c>
      <c r="N1100" s="10"/>
      <c r="O1100" s="10"/>
      <c r="P1100"/>
      <c r="Q1100"/>
    </row>
    <row r="1101" spans="1:17" s="146" customFormat="1" ht="18" customHeight="1" x14ac:dyDescent="0.25">
      <c r="A1101" s="926" t="s">
        <v>1387</v>
      </c>
      <c r="B1101" s="388" t="s">
        <v>123</v>
      </c>
      <c r="C1101" s="131" t="s">
        <v>160</v>
      </c>
      <c r="D1101" s="838" t="s">
        <v>159</v>
      </c>
      <c r="E1101" s="835"/>
      <c r="F1101" s="835"/>
      <c r="G1101" s="835"/>
      <c r="H1101" s="131" t="s">
        <v>160</v>
      </c>
      <c r="I1101" s="105"/>
      <c r="J1101" s="106">
        <v>2400</v>
      </c>
      <c r="K1101" s="105">
        <v>700</v>
      </c>
      <c r="L1101" s="105">
        <v>2400</v>
      </c>
      <c r="M1101" s="105"/>
      <c r="N1101" s="10"/>
      <c r="O1101" s="10"/>
      <c r="P1101"/>
      <c r="Q1101"/>
    </row>
    <row r="1102" spans="1:17" s="229" customFormat="1" ht="18" customHeight="1" x14ac:dyDescent="0.25">
      <c r="A1102" s="926" t="s">
        <v>1387</v>
      </c>
      <c r="B1102" s="388" t="s">
        <v>123</v>
      </c>
      <c r="C1102" s="131" t="s">
        <v>160</v>
      </c>
      <c r="D1102" s="837" t="s">
        <v>159</v>
      </c>
      <c r="E1102" s="836"/>
      <c r="F1102" s="836"/>
      <c r="G1102" s="834"/>
      <c r="H1102" s="131" t="s">
        <v>160</v>
      </c>
      <c r="I1102" s="101">
        <v>0</v>
      </c>
      <c r="J1102" s="102">
        <v>2400</v>
      </c>
      <c r="K1102" s="101"/>
      <c r="L1102" s="101">
        <v>2400</v>
      </c>
      <c r="M1102" s="101"/>
      <c r="N1102" s="207"/>
      <c r="O1102" s="207"/>
      <c r="P1102" s="212"/>
      <c r="Q1102" s="212"/>
    </row>
    <row r="1103" spans="1:17" s="229" customFormat="1" ht="18" customHeight="1" x14ac:dyDescent="0.25">
      <c r="A1103" s="926" t="s">
        <v>1387</v>
      </c>
      <c r="B1103" s="388" t="s">
        <v>123</v>
      </c>
      <c r="C1103" s="131" t="s">
        <v>160</v>
      </c>
      <c r="D1103" s="837" t="s">
        <v>159</v>
      </c>
      <c r="E1103" s="836"/>
      <c r="F1103" s="836"/>
      <c r="G1103" s="834"/>
      <c r="H1103" s="131" t="s">
        <v>160</v>
      </c>
      <c r="I1103" s="101">
        <v>1200</v>
      </c>
      <c r="J1103" s="102">
        <v>1200</v>
      </c>
      <c r="K1103" s="101">
        <v>700</v>
      </c>
      <c r="L1103" s="101">
        <v>1200</v>
      </c>
      <c r="M1103" s="101"/>
      <c r="N1103" s="207"/>
      <c r="O1103" s="207"/>
      <c r="P1103" s="212"/>
      <c r="Q1103" s="212"/>
    </row>
    <row r="1104" spans="1:17" s="229" customFormat="1" ht="18" customHeight="1" x14ac:dyDescent="0.25">
      <c r="A1104" s="926" t="s">
        <v>1387</v>
      </c>
      <c r="B1104" s="388" t="s">
        <v>123</v>
      </c>
      <c r="C1104" s="131" t="s">
        <v>160</v>
      </c>
      <c r="D1104" s="837" t="s">
        <v>159</v>
      </c>
      <c r="E1104" s="836"/>
      <c r="F1104" s="836"/>
      <c r="G1104" s="834"/>
      <c r="H1104" s="131" t="s">
        <v>160</v>
      </c>
      <c r="I1104" s="101">
        <v>33600</v>
      </c>
      <c r="J1104" s="102">
        <v>43200</v>
      </c>
      <c r="K1104" s="101">
        <v>20000</v>
      </c>
      <c r="L1104" s="101">
        <v>43200</v>
      </c>
      <c r="M1104" s="101"/>
      <c r="N1104" s="207"/>
      <c r="O1104" s="207"/>
      <c r="P1104" s="212"/>
      <c r="Q1104" s="212"/>
    </row>
    <row r="1105" spans="1:17" s="229" customFormat="1" ht="18" customHeight="1" x14ac:dyDescent="0.25">
      <c r="A1105" s="926" t="s">
        <v>1387</v>
      </c>
      <c r="B1105" s="388" t="s">
        <v>123</v>
      </c>
      <c r="C1105" s="131" t="s">
        <v>160</v>
      </c>
      <c r="D1105" s="837" t="s">
        <v>159</v>
      </c>
      <c r="E1105" s="836"/>
      <c r="F1105" s="836"/>
      <c r="G1105" s="834"/>
      <c r="H1105" s="131" t="s">
        <v>160</v>
      </c>
      <c r="I1105" s="101">
        <v>8100</v>
      </c>
      <c r="J1105" s="102">
        <v>13200</v>
      </c>
      <c r="K1105" s="101">
        <v>6600</v>
      </c>
      <c r="L1105" s="101">
        <v>13200</v>
      </c>
      <c r="M1105" s="101">
        <f>SUM(L1101:L1105)</f>
        <v>62400</v>
      </c>
      <c r="N1105" s="207"/>
      <c r="O1105" s="207"/>
      <c r="P1105" s="212"/>
      <c r="Q1105" s="212"/>
    </row>
    <row r="1106" spans="1:17" s="229" customFormat="1" ht="18" customHeight="1" x14ac:dyDescent="0.25">
      <c r="A1106" s="926" t="s">
        <v>1387</v>
      </c>
      <c r="B1106" s="388" t="s">
        <v>123</v>
      </c>
      <c r="C1106" s="131" t="s">
        <v>140</v>
      </c>
      <c r="D1106" s="837" t="s">
        <v>139</v>
      </c>
      <c r="E1106" s="836"/>
      <c r="F1106" s="836"/>
      <c r="G1106" s="834"/>
      <c r="H1106" s="131" t="s">
        <v>140</v>
      </c>
      <c r="I1106" s="101"/>
      <c r="J1106" s="102">
        <v>32449</v>
      </c>
      <c r="K1106" s="101">
        <v>11520</v>
      </c>
      <c r="L1106" s="101">
        <v>35832</v>
      </c>
      <c r="M1106" s="101"/>
      <c r="N1106" s="207"/>
      <c r="O1106" s="207"/>
      <c r="P1106" s="212"/>
      <c r="Q1106" s="212"/>
    </row>
    <row r="1107" spans="1:17" s="229" customFormat="1" ht="18" customHeight="1" x14ac:dyDescent="0.25">
      <c r="A1107" s="926" t="s">
        <v>1387</v>
      </c>
      <c r="B1107" s="388" t="s">
        <v>123</v>
      </c>
      <c r="C1107" s="131" t="s">
        <v>140</v>
      </c>
      <c r="D1107" s="837" t="s">
        <v>139</v>
      </c>
      <c r="E1107" s="836"/>
      <c r="F1107" s="836"/>
      <c r="G1107" s="834"/>
      <c r="H1107" s="131" t="s">
        <v>140</v>
      </c>
      <c r="I1107" s="101">
        <v>0</v>
      </c>
      <c r="J1107" s="102">
        <v>35841</v>
      </c>
      <c r="K1107" s="101"/>
      <c r="L1107" s="101">
        <v>37599</v>
      </c>
      <c r="M1107" s="101"/>
      <c r="N1107" s="207"/>
      <c r="O1107" s="207"/>
      <c r="P1107" s="212"/>
      <c r="Q1107" s="212"/>
    </row>
    <row r="1108" spans="1:17" s="229" customFormat="1" ht="18" customHeight="1" x14ac:dyDescent="0.25">
      <c r="A1108" s="926" t="s">
        <v>1387</v>
      </c>
      <c r="B1108" s="388" t="s">
        <v>123</v>
      </c>
      <c r="C1108" s="131" t="s">
        <v>140</v>
      </c>
      <c r="D1108" s="837" t="s">
        <v>139</v>
      </c>
      <c r="E1108" s="836"/>
      <c r="F1108" s="836"/>
      <c r="G1108" s="834"/>
      <c r="H1108" s="131" t="s">
        <v>140</v>
      </c>
      <c r="I1108" s="101">
        <v>19513</v>
      </c>
      <c r="J1108" s="102">
        <v>19513</v>
      </c>
      <c r="K1108" s="101">
        <v>20762</v>
      </c>
      <c r="L1108" s="101">
        <v>22011</v>
      </c>
      <c r="M1108" s="101"/>
      <c r="N1108" s="207"/>
      <c r="O1108" s="207"/>
      <c r="P1108" s="212"/>
      <c r="Q1108" s="212"/>
    </row>
    <row r="1109" spans="1:17" s="146" customFormat="1" ht="18" x14ac:dyDescent="0.25">
      <c r="A1109" s="926" t="s">
        <v>1387</v>
      </c>
      <c r="B1109" s="388" t="s">
        <v>123</v>
      </c>
      <c r="C1109" s="131" t="s">
        <v>140</v>
      </c>
      <c r="D1109" s="837" t="s">
        <v>139</v>
      </c>
      <c r="E1109" s="836"/>
      <c r="F1109" s="836"/>
      <c r="G1109" s="836"/>
      <c r="H1109" s="131" t="s">
        <v>140</v>
      </c>
      <c r="I1109" s="101">
        <v>719969</v>
      </c>
      <c r="J1109" s="102">
        <v>985280</v>
      </c>
      <c r="K1109" s="101">
        <v>768580</v>
      </c>
      <c r="L1109" s="101">
        <v>1078936</v>
      </c>
      <c r="M1109" s="101"/>
      <c r="N1109" s="10"/>
      <c r="O1109" s="10"/>
      <c r="P1109"/>
      <c r="Q1109"/>
    </row>
    <row r="1110" spans="1:17" ht="18" x14ac:dyDescent="0.25">
      <c r="A1110" s="926" t="s">
        <v>1387</v>
      </c>
      <c r="B1110" s="388" t="s">
        <v>123</v>
      </c>
      <c r="C1110" s="131" t="s">
        <v>140</v>
      </c>
      <c r="D1110" s="837" t="s">
        <v>139</v>
      </c>
      <c r="E1110" s="836"/>
      <c r="F1110" s="836"/>
      <c r="G1110" s="836"/>
      <c r="H1110" s="131" t="s">
        <v>140</v>
      </c>
      <c r="I1110" s="101">
        <v>179630</v>
      </c>
      <c r="J1110" s="102">
        <v>231821</v>
      </c>
      <c r="K1110" s="101">
        <v>186601</v>
      </c>
      <c r="L1110" s="101">
        <v>251998</v>
      </c>
      <c r="M1110" s="101">
        <f>SUM(L1106:L1110)</f>
        <v>1426376</v>
      </c>
    </row>
    <row r="1111" spans="1:17" s="146" customFormat="1" x14ac:dyDescent="0.25">
      <c r="A1111" s="8"/>
      <c r="C1111" s="8"/>
      <c r="D1111" s="714"/>
      <c r="E1111" s="8"/>
      <c r="F1111" s="8"/>
      <c r="G1111" s="8"/>
      <c r="H1111" s="8"/>
      <c r="I1111" s="481"/>
      <c r="J1111" s="482" t="s">
        <v>1319</v>
      </c>
      <c r="K1111" s="483"/>
      <c r="L1111" s="480" t="e">
        <f>SUM(#REF!)</f>
        <v>#REF!</v>
      </c>
      <c r="M1111" s="483"/>
      <c r="N1111" s="10"/>
      <c r="O1111" s="10">
        <v>750428822.36000001</v>
      </c>
      <c r="P1111"/>
      <c r="Q1111"/>
    </row>
    <row r="1112" spans="1:17" s="146" customFormat="1" x14ac:dyDescent="0.25">
      <c r="A1112" s="8"/>
      <c r="C1112" s="8"/>
      <c r="D1112" s="714"/>
      <c r="E1112" s="8"/>
      <c r="F1112" s="8"/>
      <c r="G1112" s="8"/>
      <c r="H1112" s="8"/>
      <c r="I1112" s="4"/>
      <c r="J1112" s="177"/>
      <c r="K1112" s="265"/>
      <c r="L1112" s="4"/>
      <c r="M1112" s="265"/>
      <c r="N1112" s="10"/>
      <c r="O1112" s="10"/>
      <c r="P1112"/>
      <c r="Q1112"/>
    </row>
    <row r="1113" spans="1:17" s="146" customFormat="1" x14ac:dyDescent="0.25">
      <c r="A1113" s="8"/>
      <c r="C1113" s="8"/>
      <c r="D1113" s="714"/>
      <c r="E1113" s="8"/>
      <c r="F1113" s="8"/>
      <c r="G1113" s="8"/>
      <c r="H1113" s="8"/>
      <c r="I1113" s="4"/>
      <c r="J1113" s="177"/>
      <c r="K1113" s="265"/>
      <c r="L1113" s="4"/>
      <c r="M1113" s="265"/>
      <c r="N1113" s="10"/>
      <c r="O1113" s="10"/>
      <c r="P1113"/>
      <c r="Q1113"/>
    </row>
    <row r="1114" spans="1:17" s="146" customFormat="1" x14ac:dyDescent="0.25">
      <c r="A1114" s="8"/>
      <c r="C1114" s="8"/>
      <c r="D1114" s="714"/>
      <c r="E1114" s="8"/>
      <c r="F1114" s="8"/>
      <c r="G1114" s="8"/>
      <c r="H1114" s="8"/>
      <c r="I1114" s="4"/>
      <c r="J1114" s="177"/>
      <c r="K1114" s="265"/>
      <c r="L1114" s="4"/>
      <c r="M1114" s="265"/>
      <c r="N1114" s="10"/>
      <c r="O1114" s="10"/>
      <c r="P1114"/>
      <c r="Q1114"/>
    </row>
    <row r="1115" spans="1:17" s="146" customFormat="1" x14ac:dyDescent="0.25">
      <c r="A1115" s="8"/>
      <c r="C1115" s="8"/>
      <c r="D1115" s="714"/>
      <c r="E1115" s="8"/>
      <c r="F1115" s="8"/>
      <c r="G1115" s="8"/>
      <c r="H1115" s="8"/>
      <c r="I1115" s="4"/>
      <c r="J1115" s="177"/>
      <c r="K1115" s="265"/>
      <c r="L1115" s="4"/>
      <c r="M1115" s="265"/>
      <c r="N1115" s="10"/>
      <c r="O1115" s="10"/>
      <c r="P1115"/>
      <c r="Q1115"/>
    </row>
    <row r="1116" spans="1:17" s="146" customFormat="1" x14ac:dyDescent="0.25">
      <c r="A1116" s="8"/>
      <c r="C1116" s="8"/>
      <c r="D1116" s="714"/>
      <c r="E1116" s="8"/>
      <c r="F1116" s="8"/>
      <c r="G1116" s="8"/>
      <c r="H1116" s="8"/>
      <c r="I1116" s="4"/>
      <c r="J1116" s="5"/>
      <c r="K1116" s="265"/>
      <c r="L1116" s="4"/>
      <c r="M1116" s="265"/>
      <c r="N1116" s="10"/>
      <c r="O1116" s="10"/>
      <c r="P1116"/>
      <c r="Q1116"/>
    </row>
  </sheetData>
  <sortState ref="C1031:L1109">
    <sortCondition ref="C1031"/>
  </sortState>
  <mergeCells count="1">
    <mergeCell ref="M565:M566"/>
  </mergeCells>
  <pageMargins left="0.43307086614173229" right="0.15748031496062992" top="0.70866141732283472" bottom="1.5748031496062993" header="0.31496062992125984" footer="0.31496062992125984"/>
  <pageSetup paperSize="5" scale="70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33"/>
  <sheetViews>
    <sheetView view="pageBreakPreview" topLeftCell="A147" zoomScale="120" zoomScaleNormal="100" zoomScaleSheetLayoutView="120" workbookViewId="0">
      <selection activeCell="I158" sqref="I158"/>
    </sheetView>
  </sheetViews>
  <sheetFormatPr defaultRowHeight="15.75" x14ac:dyDescent="0.25"/>
  <cols>
    <col min="1" max="1" width="6.140625" style="8" customWidth="1"/>
    <col min="2" max="2" width="8.7109375" style="8" customWidth="1"/>
    <col min="3" max="3" width="7.85546875" style="8" customWidth="1"/>
    <col min="4" max="4" width="18.7109375" style="9" customWidth="1"/>
    <col min="5" max="5" width="45.5703125" style="8" customWidth="1"/>
    <col min="6" max="6" width="18.5703125" style="8" hidden="1" customWidth="1"/>
    <col min="7" max="7" width="5.28515625" style="8" hidden="1" customWidth="1"/>
    <col min="8" max="8" width="16" style="8" hidden="1" customWidth="1"/>
    <col min="9" max="9" width="16.7109375" style="4" customWidth="1"/>
    <col min="10" max="10" width="17.140625" style="5" customWidth="1"/>
    <col min="11" max="11" width="16.85546875" style="4" customWidth="1"/>
    <col min="12" max="12" width="18.28515625" style="4" customWidth="1"/>
    <col min="13" max="13" width="16.5703125" style="10" customWidth="1"/>
    <col min="14" max="14" width="19.85546875" style="10" customWidth="1"/>
  </cols>
  <sheetData>
    <row r="1" spans="1:14" s="7" customFormat="1" ht="18" hidden="1" customHeight="1" x14ac:dyDescent="0.25">
      <c r="A1" s="1" t="s">
        <v>0</v>
      </c>
      <c r="B1" s="1"/>
      <c r="C1" s="1"/>
      <c r="D1" s="2"/>
      <c r="E1" s="3"/>
      <c r="F1" s="3"/>
      <c r="G1" s="3"/>
      <c r="H1" s="3"/>
      <c r="I1" s="4"/>
      <c r="J1" s="5"/>
      <c r="K1" s="4"/>
      <c r="L1" s="4"/>
      <c r="M1" s="6"/>
      <c r="N1" s="6"/>
    </row>
    <row r="2" spans="1:14" hidden="1" x14ac:dyDescent="0.25"/>
    <row r="3" spans="1:14" ht="20.25" hidden="1" x14ac:dyDescent="0.3">
      <c r="A3" s="1584" t="s">
        <v>1</v>
      </c>
      <c r="B3" s="1584"/>
      <c r="C3" s="1584"/>
      <c r="D3" s="1584"/>
      <c r="E3" s="1584"/>
      <c r="F3" s="1584"/>
      <c r="G3" s="1584"/>
      <c r="H3" s="1584"/>
      <c r="I3" s="1584"/>
      <c r="J3" s="1584"/>
      <c r="K3" s="1584"/>
      <c r="L3" s="1584"/>
    </row>
    <row r="4" spans="1:14" ht="18" hidden="1" x14ac:dyDescent="0.25">
      <c r="A4" s="1585" t="s">
        <v>2</v>
      </c>
      <c r="B4" s="1585"/>
      <c r="C4" s="1585"/>
      <c r="D4" s="1585"/>
      <c r="E4" s="1586"/>
      <c r="F4" s="1586"/>
      <c r="G4" s="1585"/>
      <c r="H4" s="1585"/>
      <c r="I4" s="1585"/>
      <c r="J4" s="1585"/>
      <c r="K4" s="1585"/>
      <c r="L4" s="1585"/>
    </row>
    <row r="5" spans="1:14" ht="18" hidden="1" x14ac:dyDescent="0.25">
      <c r="A5" s="544"/>
      <c r="B5" s="544"/>
      <c r="C5" s="544"/>
      <c r="D5" s="544"/>
      <c r="E5" s="545" t="s">
        <v>3</v>
      </c>
      <c r="F5" s="545"/>
      <c r="G5" s="544"/>
      <c r="H5" s="544"/>
      <c r="I5" s="11"/>
      <c r="J5" s="11"/>
      <c r="K5" s="11"/>
      <c r="L5" s="11"/>
    </row>
    <row r="6" spans="1:14" ht="15" hidden="1" customHeight="1" x14ac:dyDescent="0.25">
      <c r="A6" s="1587" t="s">
        <v>4</v>
      </c>
      <c r="B6" s="1587"/>
      <c r="C6" s="1587"/>
      <c r="D6" s="1587"/>
      <c r="E6" s="1588"/>
      <c r="F6" s="1588"/>
      <c r="G6" s="1589"/>
      <c r="H6" s="1590" t="s">
        <v>5</v>
      </c>
      <c r="I6" s="1593" t="s">
        <v>6</v>
      </c>
      <c r="J6" s="1596" t="s">
        <v>7</v>
      </c>
      <c r="K6" s="547"/>
      <c r="L6" s="1599" t="s">
        <v>8</v>
      </c>
    </row>
    <row r="7" spans="1:14" ht="15" hidden="1" customHeight="1" x14ac:dyDescent="0.25">
      <c r="A7" s="1587"/>
      <c r="B7" s="1587"/>
      <c r="C7" s="1587"/>
      <c r="D7" s="1587"/>
      <c r="E7" s="1588"/>
      <c r="F7" s="1588"/>
      <c r="G7" s="1589"/>
      <c r="H7" s="1591"/>
      <c r="I7" s="1594"/>
      <c r="J7" s="1597"/>
      <c r="K7" s="538"/>
      <c r="L7" s="1600"/>
    </row>
    <row r="8" spans="1:14" ht="15" hidden="1" customHeight="1" x14ac:dyDescent="0.25">
      <c r="A8" s="1587"/>
      <c r="B8" s="1587"/>
      <c r="C8" s="1587"/>
      <c r="D8" s="1587"/>
      <c r="E8" s="1588"/>
      <c r="F8" s="1588"/>
      <c r="G8" s="1589"/>
      <c r="H8" s="1591"/>
      <c r="I8" s="1594"/>
      <c r="J8" s="1597"/>
      <c r="K8" s="538"/>
      <c r="L8" s="1600"/>
    </row>
    <row r="9" spans="1:14" ht="15" hidden="1" customHeight="1" x14ac:dyDescent="0.25">
      <c r="A9" s="1587"/>
      <c r="B9" s="1587"/>
      <c r="C9" s="1587"/>
      <c r="D9" s="1587"/>
      <c r="E9" s="1588"/>
      <c r="F9" s="1588"/>
      <c r="G9" s="1589"/>
      <c r="H9" s="1591"/>
      <c r="I9" s="1594"/>
      <c r="J9" s="1597"/>
      <c r="K9" s="538"/>
      <c r="L9" s="1600"/>
    </row>
    <row r="10" spans="1:14" ht="15" hidden="1" customHeight="1" x14ac:dyDescent="0.25">
      <c r="A10" s="1587"/>
      <c r="B10" s="1587"/>
      <c r="C10" s="1587"/>
      <c r="D10" s="1587"/>
      <c r="E10" s="1588"/>
      <c r="F10" s="1588"/>
      <c r="G10" s="1589"/>
      <c r="H10" s="1592"/>
      <c r="I10" s="1595"/>
      <c r="J10" s="1598"/>
      <c r="K10" s="539"/>
      <c r="L10" s="1601"/>
    </row>
    <row r="11" spans="1:14" ht="18" hidden="1" customHeight="1" x14ac:dyDescent="0.25">
      <c r="A11" s="1570" t="s">
        <v>9</v>
      </c>
      <c r="B11" s="1571"/>
      <c r="C11" s="1571"/>
      <c r="D11" s="1571"/>
      <c r="E11" s="1572"/>
      <c r="F11" s="1572"/>
      <c r="G11" s="1573"/>
      <c r="H11" s="548"/>
      <c r="I11" s="549"/>
      <c r="J11" s="550"/>
      <c r="K11" s="550"/>
      <c r="L11" s="550"/>
    </row>
    <row r="12" spans="1:14" ht="18" hidden="1" customHeight="1" x14ac:dyDescent="0.25">
      <c r="A12" s="12" t="s">
        <v>10</v>
      </c>
      <c r="B12" s="170"/>
      <c r="C12" s="170"/>
      <c r="D12" s="1574" t="s">
        <v>11</v>
      </c>
      <c r="E12" s="1575"/>
      <c r="F12" s="1575"/>
      <c r="G12" s="1576"/>
      <c r="H12" s="13"/>
      <c r="I12" s="14"/>
      <c r="J12" s="15">
        <f>48062338.53+20000000+3000000+2399320.06+1000000</f>
        <v>74461658.590000004</v>
      </c>
      <c r="K12" s="15"/>
      <c r="L12" s="15"/>
    </row>
    <row r="13" spans="1:14" ht="18" hidden="1" customHeight="1" x14ac:dyDescent="0.25">
      <c r="A13" s="16" t="s">
        <v>12</v>
      </c>
      <c r="B13" s="513"/>
      <c r="C13" s="513"/>
      <c r="D13" s="1574" t="s">
        <v>13</v>
      </c>
      <c r="E13" s="1575"/>
      <c r="F13" s="1575"/>
      <c r="G13" s="1576"/>
      <c r="H13" s="13"/>
      <c r="I13" s="14"/>
      <c r="J13" s="15">
        <v>14242804.09</v>
      </c>
      <c r="K13" s="15"/>
      <c r="L13" s="15"/>
    </row>
    <row r="14" spans="1:14" ht="18" hidden="1" customHeight="1" x14ac:dyDescent="0.25">
      <c r="A14" s="12" t="s">
        <v>12</v>
      </c>
      <c r="B14" s="170"/>
      <c r="C14" s="170"/>
      <c r="D14" s="1574" t="s">
        <v>14</v>
      </c>
      <c r="E14" s="1575"/>
      <c r="F14" s="1575"/>
      <c r="G14" s="1576"/>
      <c r="H14" s="13"/>
      <c r="I14" s="17"/>
      <c r="J14" s="18">
        <v>16310186.460000001</v>
      </c>
      <c r="K14" s="18"/>
      <c r="L14" s="18"/>
    </row>
    <row r="15" spans="1:14" ht="18" hidden="1" customHeight="1" x14ac:dyDescent="0.25">
      <c r="A15" s="1577" t="s">
        <v>15</v>
      </c>
      <c r="B15" s="1578"/>
      <c r="C15" s="1578"/>
      <c r="D15" s="1578"/>
      <c r="E15" s="1579"/>
      <c r="F15" s="1579"/>
      <c r="G15" s="1580"/>
      <c r="H15" s="13"/>
      <c r="I15" s="17"/>
      <c r="J15" s="19">
        <f>SUM(J12:J14)</f>
        <v>105014649.14000002</v>
      </c>
      <c r="K15" s="20"/>
      <c r="L15" s="20">
        <f>SUM(L12:L14)</f>
        <v>0</v>
      </c>
    </row>
    <row r="16" spans="1:14" ht="18" hidden="1" customHeight="1" x14ac:dyDescent="0.25">
      <c r="A16" s="1581" t="s">
        <v>16</v>
      </c>
      <c r="B16" s="1582"/>
      <c r="C16" s="1582"/>
      <c r="D16" s="1582"/>
      <c r="E16" s="1572"/>
      <c r="F16" s="1572"/>
      <c r="G16" s="1583"/>
      <c r="H16" s="13"/>
      <c r="I16" s="17"/>
      <c r="J16" s="17"/>
      <c r="K16" s="21"/>
      <c r="L16" s="20"/>
    </row>
    <row r="17" spans="1:12" ht="18" hidden="1" x14ac:dyDescent="0.25">
      <c r="A17" s="22" t="s">
        <v>17</v>
      </c>
      <c r="B17" s="23"/>
      <c r="C17" s="23"/>
      <c r="D17" s="23" t="s">
        <v>18</v>
      </c>
      <c r="E17" s="24" t="s">
        <v>19</v>
      </c>
      <c r="F17" s="24"/>
      <c r="G17" s="25"/>
      <c r="H17" s="26"/>
      <c r="I17" s="27"/>
      <c r="J17" s="27"/>
      <c r="K17" s="28"/>
      <c r="L17" s="29"/>
    </row>
    <row r="18" spans="1:12" ht="18" hidden="1" x14ac:dyDescent="0.25">
      <c r="A18" s="22"/>
      <c r="B18" s="23"/>
      <c r="C18" s="23"/>
      <c r="D18" s="23" t="s">
        <v>20</v>
      </c>
      <c r="E18" s="24" t="s">
        <v>21</v>
      </c>
      <c r="F18" s="24"/>
      <c r="G18" s="25"/>
      <c r="H18" s="26"/>
      <c r="I18" s="27"/>
      <c r="J18" s="27"/>
      <c r="K18" s="28"/>
      <c r="L18" s="29"/>
    </row>
    <row r="19" spans="1:12" ht="18" hidden="1" x14ac:dyDescent="0.25">
      <c r="A19" s="22"/>
      <c r="B19" s="23"/>
      <c r="C19" s="23"/>
      <c r="D19" s="23" t="s">
        <v>22</v>
      </c>
      <c r="E19" s="24" t="s">
        <v>23</v>
      </c>
      <c r="F19" s="24"/>
      <c r="G19" s="25"/>
      <c r="H19" s="26"/>
      <c r="I19" s="27"/>
      <c r="J19" s="27"/>
      <c r="K19" s="28"/>
      <c r="L19" s="29"/>
    </row>
    <row r="20" spans="1:12" hidden="1" x14ac:dyDescent="0.25">
      <c r="A20" s="30"/>
      <c r="B20" s="252"/>
      <c r="C20" s="252"/>
      <c r="E20" s="31" t="s">
        <v>24</v>
      </c>
      <c r="F20" s="32"/>
      <c r="G20" s="33"/>
      <c r="H20" s="26" t="s">
        <v>25</v>
      </c>
      <c r="I20" s="27"/>
      <c r="J20" s="34">
        <v>12000000</v>
      </c>
      <c r="K20" s="34"/>
      <c r="L20" s="34"/>
    </row>
    <row r="21" spans="1:12" hidden="1" x14ac:dyDescent="0.25">
      <c r="A21" s="30"/>
      <c r="B21" s="252"/>
      <c r="C21" s="252"/>
      <c r="E21" s="31" t="s">
        <v>26</v>
      </c>
      <c r="F21" s="32"/>
      <c r="G21" s="33"/>
      <c r="H21" s="26" t="s">
        <v>25</v>
      </c>
      <c r="I21" s="27"/>
      <c r="J21" s="34">
        <v>1500000</v>
      </c>
      <c r="K21" s="34"/>
      <c r="L21" s="34"/>
    </row>
    <row r="22" spans="1:12" hidden="1" x14ac:dyDescent="0.25">
      <c r="A22" s="30"/>
      <c r="B22" s="252"/>
      <c r="C22" s="252"/>
      <c r="E22" s="31" t="s">
        <v>27</v>
      </c>
      <c r="F22" s="32"/>
      <c r="G22" s="33"/>
      <c r="H22" s="26" t="s">
        <v>25</v>
      </c>
      <c r="I22" s="27"/>
      <c r="J22" s="34">
        <v>980000</v>
      </c>
      <c r="K22" s="34"/>
      <c r="L22" s="34"/>
    </row>
    <row r="23" spans="1:12" hidden="1" x14ac:dyDescent="0.25">
      <c r="A23" s="30"/>
      <c r="B23" s="252"/>
      <c r="C23" s="252"/>
      <c r="E23" s="31" t="s">
        <v>28</v>
      </c>
      <c r="F23" s="32"/>
      <c r="G23" s="33"/>
      <c r="H23" s="26" t="s">
        <v>25</v>
      </c>
      <c r="I23" s="27"/>
      <c r="J23" s="29">
        <v>650000</v>
      </c>
      <c r="K23" s="29"/>
      <c r="L23" s="29"/>
    </row>
    <row r="24" spans="1:12" hidden="1" x14ac:dyDescent="0.25">
      <c r="A24" s="30"/>
      <c r="B24" s="252"/>
      <c r="C24" s="252"/>
      <c r="E24" s="31" t="s">
        <v>29</v>
      </c>
      <c r="F24" s="32"/>
      <c r="G24" s="33"/>
      <c r="H24" s="26"/>
      <c r="I24" s="27"/>
      <c r="J24" s="29">
        <v>44000</v>
      </c>
      <c r="K24" s="29"/>
      <c r="L24" s="29"/>
    </row>
    <row r="25" spans="1:12" ht="18" hidden="1" x14ac:dyDescent="0.25">
      <c r="A25" s="35"/>
      <c r="B25" s="387"/>
      <c r="C25" s="387"/>
      <c r="D25" s="36" t="s">
        <v>30</v>
      </c>
      <c r="E25" s="32" t="s">
        <v>31</v>
      </c>
      <c r="F25" s="32"/>
      <c r="G25" s="33"/>
      <c r="H25" s="26"/>
      <c r="I25" s="27"/>
      <c r="J25" s="29"/>
      <c r="K25" s="29"/>
      <c r="L25" s="29"/>
    </row>
    <row r="26" spans="1:12" hidden="1" x14ac:dyDescent="0.25">
      <c r="A26" s="30"/>
      <c r="B26" s="252"/>
      <c r="C26" s="252"/>
      <c r="E26" s="31" t="s">
        <v>32</v>
      </c>
      <c r="F26" s="32"/>
      <c r="G26" s="33"/>
      <c r="H26" s="26" t="s">
        <v>25</v>
      </c>
      <c r="I26" s="27"/>
      <c r="J26" s="29">
        <v>100000</v>
      </c>
      <c r="K26" s="29"/>
      <c r="L26" s="29"/>
    </row>
    <row r="27" spans="1:12" hidden="1" x14ac:dyDescent="0.25">
      <c r="A27" s="30"/>
      <c r="B27" s="252"/>
      <c r="C27" s="252"/>
      <c r="E27" s="31" t="s">
        <v>33</v>
      </c>
      <c r="F27" s="32"/>
      <c r="G27" s="33"/>
      <c r="H27" s="26" t="s">
        <v>25</v>
      </c>
      <c r="I27" s="27"/>
      <c r="J27" s="29">
        <v>160000</v>
      </c>
      <c r="K27" s="29"/>
      <c r="L27" s="29"/>
    </row>
    <row r="28" spans="1:12" hidden="1" x14ac:dyDescent="0.25">
      <c r="A28" s="30"/>
      <c r="B28" s="252"/>
      <c r="C28" s="252"/>
      <c r="E28" s="31" t="s">
        <v>34</v>
      </c>
      <c r="F28" s="32"/>
      <c r="G28" s="33"/>
      <c r="H28" s="26" t="s">
        <v>25</v>
      </c>
      <c r="I28" s="27"/>
      <c r="J28" s="29">
        <v>30000</v>
      </c>
      <c r="K28" s="29"/>
      <c r="L28" s="29"/>
    </row>
    <row r="29" spans="1:12" hidden="1" x14ac:dyDescent="0.25">
      <c r="A29" s="30"/>
      <c r="B29" s="252"/>
      <c r="C29" s="252"/>
      <c r="E29" s="31" t="s">
        <v>35</v>
      </c>
      <c r="F29" s="32"/>
      <c r="G29" s="33"/>
      <c r="H29" s="26" t="s">
        <v>25</v>
      </c>
      <c r="I29" s="27"/>
      <c r="J29" s="29">
        <v>42000000</v>
      </c>
      <c r="K29" s="29"/>
      <c r="L29" s="29"/>
    </row>
    <row r="30" spans="1:12" hidden="1" x14ac:dyDescent="0.25">
      <c r="A30" s="30"/>
      <c r="B30" s="252"/>
      <c r="C30" s="252"/>
      <c r="E30" s="31" t="s">
        <v>36</v>
      </c>
      <c r="F30" s="32"/>
      <c r="G30" s="33"/>
      <c r="H30" s="26"/>
      <c r="I30" s="27"/>
      <c r="J30" s="29"/>
      <c r="K30" s="29"/>
      <c r="L30" s="29"/>
    </row>
    <row r="31" spans="1:12" hidden="1" x14ac:dyDescent="0.25">
      <c r="A31" s="30"/>
      <c r="B31" s="252"/>
      <c r="C31" s="252"/>
      <c r="E31" s="31" t="s">
        <v>37</v>
      </c>
      <c r="F31" s="32"/>
      <c r="G31" s="33"/>
      <c r="H31" s="26" t="s">
        <v>25</v>
      </c>
      <c r="I31" s="27"/>
      <c r="J31" s="29">
        <v>700000</v>
      </c>
      <c r="K31" s="29"/>
      <c r="L31" s="29"/>
    </row>
    <row r="32" spans="1:12" ht="18" hidden="1" x14ac:dyDescent="0.25">
      <c r="A32" s="37"/>
      <c r="B32" s="52"/>
      <c r="C32" s="52"/>
      <c r="D32" s="36" t="s">
        <v>38</v>
      </c>
      <c r="E32" s="32" t="s">
        <v>39</v>
      </c>
      <c r="F32" s="32"/>
      <c r="G32" s="33"/>
      <c r="H32" s="26"/>
      <c r="I32" s="27"/>
      <c r="J32" s="29"/>
      <c r="K32" s="29"/>
      <c r="L32" s="29"/>
    </row>
    <row r="33" spans="1:14" hidden="1" x14ac:dyDescent="0.25">
      <c r="A33" s="37"/>
      <c r="B33" s="52"/>
      <c r="C33" s="52"/>
      <c r="E33" s="31" t="s">
        <v>40</v>
      </c>
      <c r="F33" s="32"/>
      <c r="G33" s="33"/>
      <c r="H33" s="26" t="s">
        <v>25</v>
      </c>
      <c r="I33" s="27"/>
      <c r="J33" s="29">
        <v>130000</v>
      </c>
      <c r="K33" s="29"/>
      <c r="L33" s="29"/>
    </row>
    <row r="34" spans="1:14" hidden="1" x14ac:dyDescent="0.25">
      <c r="A34" s="37"/>
      <c r="B34" s="52"/>
      <c r="C34" s="52"/>
      <c r="E34" s="31" t="s">
        <v>41</v>
      </c>
      <c r="F34" s="32"/>
      <c r="G34" s="33"/>
      <c r="H34" s="26" t="s">
        <v>25</v>
      </c>
      <c r="I34" s="27"/>
      <c r="J34" s="29">
        <v>1500000</v>
      </c>
      <c r="K34" s="29"/>
      <c r="L34" s="29"/>
    </row>
    <row r="35" spans="1:14" ht="18" hidden="1" x14ac:dyDescent="0.25">
      <c r="A35" s="37"/>
      <c r="B35" s="52"/>
      <c r="C35" s="52"/>
      <c r="E35" s="551" t="s">
        <v>42</v>
      </c>
      <c r="F35" s="552"/>
      <c r="G35" s="33"/>
      <c r="H35" s="26" t="s">
        <v>25</v>
      </c>
      <c r="I35" s="27"/>
      <c r="J35" s="29">
        <v>5000</v>
      </c>
      <c r="K35" s="29"/>
      <c r="L35" s="29"/>
    </row>
    <row r="36" spans="1:14" ht="18" hidden="1" x14ac:dyDescent="0.25">
      <c r="A36" s="37"/>
      <c r="B36" s="52"/>
      <c r="C36" s="52"/>
      <c r="E36" s="38" t="s">
        <v>43</v>
      </c>
      <c r="F36" s="33"/>
      <c r="G36" s="33"/>
      <c r="H36" s="26"/>
      <c r="I36" s="27"/>
      <c r="J36" s="29"/>
      <c r="K36" s="29"/>
      <c r="L36" s="29"/>
    </row>
    <row r="37" spans="1:14" ht="18" hidden="1" customHeight="1" x14ac:dyDescent="0.25">
      <c r="A37" s="37"/>
      <c r="B37" s="52"/>
      <c r="C37" s="52"/>
      <c r="E37" s="39" t="s">
        <v>44</v>
      </c>
      <c r="F37" s="33"/>
      <c r="G37" s="33"/>
      <c r="H37" s="26"/>
      <c r="I37" s="27"/>
      <c r="J37" s="29"/>
      <c r="K37" s="29"/>
      <c r="L37" s="29"/>
    </row>
    <row r="38" spans="1:14" ht="18" hidden="1" x14ac:dyDescent="0.25">
      <c r="A38" s="22"/>
      <c r="B38" s="23"/>
      <c r="C38" s="23"/>
      <c r="D38" s="23" t="s">
        <v>45</v>
      </c>
      <c r="E38" s="23"/>
      <c r="F38" s="23"/>
      <c r="G38" s="25"/>
      <c r="H38" s="26"/>
      <c r="I38" s="27"/>
      <c r="J38" s="29"/>
      <c r="K38" s="29"/>
      <c r="L38" s="29"/>
    </row>
    <row r="39" spans="1:14" ht="18" hidden="1" x14ac:dyDescent="0.25">
      <c r="A39" s="40"/>
      <c r="B39" s="60"/>
      <c r="C39" s="60"/>
      <c r="D39" s="36" t="s">
        <v>46</v>
      </c>
      <c r="E39" s="41"/>
      <c r="F39" s="33"/>
      <c r="G39" s="33"/>
      <c r="H39" s="26"/>
      <c r="I39" s="27"/>
      <c r="J39" s="29"/>
      <c r="K39" s="29"/>
      <c r="L39" s="29"/>
    </row>
    <row r="40" spans="1:14" s="48" customFormat="1" ht="18" hidden="1" x14ac:dyDescent="0.25">
      <c r="A40" s="42"/>
      <c r="B40" s="601"/>
      <c r="C40" s="601"/>
      <c r="D40" s="43"/>
      <c r="E40" s="44" t="s">
        <v>47</v>
      </c>
      <c r="F40" s="45"/>
      <c r="G40" s="45"/>
      <c r="H40" s="46" t="s">
        <v>25</v>
      </c>
      <c r="I40" s="27"/>
      <c r="J40" s="29">
        <v>2200000</v>
      </c>
      <c r="K40" s="29"/>
      <c r="L40" s="29"/>
      <c r="M40" s="47"/>
      <c r="N40" s="47"/>
    </row>
    <row r="41" spans="1:14" s="48" customFormat="1" ht="18" hidden="1" x14ac:dyDescent="0.25">
      <c r="A41" s="42"/>
      <c r="B41" s="601"/>
      <c r="C41" s="601"/>
      <c r="D41" s="43"/>
      <c r="E41" s="44" t="s">
        <v>48</v>
      </c>
      <c r="F41" s="45"/>
      <c r="G41" s="45"/>
      <c r="H41" s="46"/>
      <c r="I41" s="27"/>
      <c r="J41" s="29">
        <v>75000</v>
      </c>
      <c r="K41" s="29"/>
      <c r="L41" s="29"/>
      <c r="M41" s="47"/>
      <c r="N41" s="47"/>
    </row>
    <row r="42" spans="1:14" s="48" customFormat="1" ht="18" hidden="1" x14ac:dyDescent="0.25">
      <c r="A42" s="42"/>
      <c r="B42" s="601"/>
      <c r="C42" s="601"/>
      <c r="D42" s="43"/>
      <c r="E42" s="44" t="s">
        <v>49</v>
      </c>
      <c r="F42" s="45"/>
      <c r="G42" s="45"/>
      <c r="H42" s="46" t="s">
        <v>25</v>
      </c>
      <c r="I42" s="27"/>
      <c r="J42" s="29">
        <v>1000000</v>
      </c>
      <c r="K42" s="29"/>
      <c r="L42" s="29"/>
      <c r="M42" s="47"/>
      <c r="N42" s="47"/>
    </row>
    <row r="43" spans="1:14" s="48" customFormat="1" ht="18" hidden="1" customHeight="1" x14ac:dyDescent="0.25">
      <c r="A43" s="42"/>
      <c r="B43" s="601"/>
      <c r="C43" s="601"/>
      <c r="D43" s="43"/>
      <c r="E43" s="536" t="s">
        <v>50</v>
      </c>
      <c r="F43" s="45"/>
      <c r="G43" s="45"/>
      <c r="H43" s="46" t="s">
        <v>25</v>
      </c>
      <c r="I43" s="27"/>
      <c r="J43" s="29">
        <v>2000</v>
      </c>
      <c r="K43" s="29"/>
      <c r="L43" s="29"/>
      <c r="M43" s="47"/>
      <c r="N43" s="47"/>
    </row>
    <row r="44" spans="1:14" s="48" customFormat="1" ht="18" hidden="1" x14ac:dyDescent="0.25">
      <c r="A44" s="42"/>
      <c r="B44" s="601"/>
      <c r="C44" s="601"/>
      <c r="D44" s="43"/>
      <c r="E44" s="44" t="s">
        <v>51</v>
      </c>
      <c r="F44" s="45"/>
      <c r="G44" s="45"/>
      <c r="H44" s="46" t="s">
        <v>25</v>
      </c>
      <c r="I44" s="27"/>
      <c r="J44" s="29">
        <v>60000</v>
      </c>
      <c r="K44" s="29"/>
      <c r="L44" s="29"/>
      <c r="M44" s="47"/>
      <c r="N44" s="47"/>
    </row>
    <row r="45" spans="1:14" s="48" customFormat="1" ht="18" hidden="1" x14ac:dyDescent="0.25">
      <c r="A45" s="42"/>
      <c r="B45" s="601"/>
      <c r="C45" s="601"/>
      <c r="D45" s="43"/>
      <c r="E45" s="44" t="s">
        <v>52</v>
      </c>
      <c r="F45" s="45"/>
      <c r="G45" s="45"/>
      <c r="H45" s="46" t="s">
        <v>25</v>
      </c>
      <c r="I45" s="27"/>
      <c r="J45" s="29">
        <v>72000</v>
      </c>
      <c r="K45" s="29"/>
      <c r="L45" s="29"/>
      <c r="M45" s="47"/>
      <c r="N45" s="47"/>
    </row>
    <row r="46" spans="1:14" s="48" customFormat="1" ht="18" hidden="1" x14ac:dyDescent="0.25">
      <c r="A46" s="42"/>
      <c r="B46" s="601"/>
      <c r="C46" s="601"/>
      <c r="D46" s="43"/>
      <c r="E46" s="44" t="s">
        <v>53</v>
      </c>
      <c r="F46" s="45"/>
      <c r="G46" s="45"/>
      <c r="H46" s="46" t="s">
        <v>25</v>
      </c>
      <c r="I46" s="27"/>
      <c r="J46" s="29">
        <v>9600</v>
      </c>
      <c r="K46" s="29"/>
      <c r="L46" s="29"/>
      <c r="M46" s="47"/>
      <c r="N46" s="47"/>
    </row>
    <row r="47" spans="1:14" s="48" customFormat="1" ht="18" hidden="1" x14ac:dyDescent="0.25">
      <c r="A47" s="42"/>
      <c r="B47" s="601"/>
      <c r="C47" s="601"/>
      <c r="D47" s="43"/>
      <c r="E47" s="44" t="s">
        <v>54</v>
      </c>
      <c r="F47" s="45"/>
      <c r="G47" s="45"/>
      <c r="H47" s="46" t="s">
        <v>25</v>
      </c>
      <c r="I47" s="27"/>
      <c r="J47" s="29">
        <v>1700000</v>
      </c>
      <c r="K47" s="29"/>
      <c r="L47" s="29"/>
      <c r="M47" s="47"/>
      <c r="N47" s="47"/>
    </row>
    <row r="48" spans="1:14" s="48" customFormat="1" ht="18" hidden="1" customHeight="1" x14ac:dyDescent="0.25">
      <c r="A48" s="42"/>
      <c r="B48" s="601"/>
      <c r="C48" s="601"/>
      <c r="D48" s="43"/>
      <c r="E48" s="536" t="s">
        <v>55</v>
      </c>
      <c r="F48" s="45"/>
      <c r="G48" s="45"/>
      <c r="H48" s="46" t="s">
        <v>25</v>
      </c>
      <c r="I48" s="27"/>
      <c r="J48" s="29">
        <v>1850000</v>
      </c>
      <c r="K48" s="29"/>
      <c r="L48" s="29"/>
      <c r="M48" s="47"/>
      <c r="N48" s="47"/>
    </row>
    <row r="49" spans="1:14" s="48" customFormat="1" ht="36.75" hidden="1" customHeight="1" x14ac:dyDescent="0.25">
      <c r="A49" s="42"/>
      <c r="B49" s="601"/>
      <c r="C49" s="601"/>
      <c r="D49" s="43"/>
      <c r="E49" s="1574" t="s">
        <v>56</v>
      </c>
      <c r="F49" s="1574"/>
      <c r="G49" s="1576"/>
      <c r="H49" s="46" t="s">
        <v>25</v>
      </c>
      <c r="I49" s="27"/>
      <c r="J49" s="29">
        <v>54000</v>
      </c>
      <c r="K49" s="29"/>
      <c r="L49" s="29"/>
      <c r="M49" s="47"/>
      <c r="N49" s="47"/>
    </row>
    <row r="50" spans="1:14" s="48" customFormat="1" ht="18" hidden="1" customHeight="1" x14ac:dyDescent="0.25">
      <c r="A50" s="42"/>
      <c r="B50" s="601"/>
      <c r="C50" s="601"/>
      <c r="D50" s="43"/>
      <c r="E50" s="49" t="s">
        <v>57</v>
      </c>
      <c r="F50" s="45"/>
      <c r="G50" s="45"/>
      <c r="H50" s="46" t="s">
        <v>25</v>
      </c>
      <c r="I50" s="27"/>
      <c r="J50" s="29">
        <v>20000</v>
      </c>
      <c r="K50" s="29"/>
      <c r="L50" s="29"/>
      <c r="M50" s="47"/>
      <c r="N50" s="47"/>
    </row>
    <row r="51" spans="1:14" s="48" customFormat="1" ht="34.5" hidden="1" customHeight="1" x14ac:dyDescent="0.25">
      <c r="A51" s="42"/>
      <c r="B51" s="601"/>
      <c r="C51" s="601"/>
      <c r="D51" s="43"/>
      <c r="E51" s="1574" t="s">
        <v>58</v>
      </c>
      <c r="F51" s="1574"/>
      <c r="G51" s="1576"/>
      <c r="H51" s="46" t="s">
        <v>25</v>
      </c>
      <c r="I51" s="27"/>
      <c r="J51" s="29">
        <v>15000</v>
      </c>
      <c r="K51" s="29"/>
      <c r="L51" s="29"/>
      <c r="M51" s="47"/>
      <c r="N51" s="47"/>
    </row>
    <row r="52" spans="1:14" ht="35.25" hidden="1" customHeight="1" x14ac:dyDescent="0.25">
      <c r="A52" s="37"/>
      <c r="B52" s="52"/>
      <c r="C52" s="52"/>
      <c r="E52" s="1574" t="s">
        <v>59</v>
      </c>
      <c r="F52" s="1574"/>
      <c r="G52" s="1576"/>
      <c r="H52" s="46" t="s">
        <v>25</v>
      </c>
      <c r="I52" s="27"/>
      <c r="J52" s="29">
        <v>30000</v>
      </c>
      <c r="K52" s="29"/>
      <c r="L52" s="29"/>
    </row>
    <row r="53" spans="1:14" s="48" customFormat="1" ht="18" hidden="1" customHeight="1" x14ac:dyDescent="0.25">
      <c r="A53" s="42"/>
      <c r="B53" s="601"/>
      <c r="C53" s="601"/>
      <c r="D53" s="43"/>
      <c r="E53" s="44" t="s">
        <v>60</v>
      </c>
      <c r="F53" s="45"/>
      <c r="G53" s="45"/>
      <c r="H53" s="46" t="s">
        <v>25</v>
      </c>
      <c r="I53" s="50"/>
      <c r="J53" s="29"/>
      <c r="K53" s="29"/>
      <c r="L53" s="29"/>
      <c r="M53" s="47"/>
      <c r="N53" s="47"/>
    </row>
    <row r="54" spans="1:14" s="48" customFormat="1" ht="18" hidden="1" customHeight="1" x14ac:dyDescent="0.25">
      <c r="A54" s="42"/>
      <c r="B54" s="601"/>
      <c r="C54" s="601"/>
      <c r="D54" s="43"/>
      <c r="E54" s="44" t="s">
        <v>61</v>
      </c>
      <c r="F54" s="45"/>
      <c r="G54" s="45"/>
      <c r="H54" s="46" t="s">
        <v>25</v>
      </c>
      <c r="I54" s="27"/>
      <c r="J54" s="29">
        <v>969600</v>
      </c>
      <c r="K54" s="29"/>
      <c r="L54" s="29"/>
      <c r="M54" s="47"/>
      <c r="N54" s="47"/>
    </row>
    <row r="55" spans="1:14" s="48" customFormat="1" ht="36" hidden="1" customHeight="1" x14ac:dyDescent="0.25">
      <c r="A55" s="42"/>
      <c r="B55" s="601"/>
      <c r="C55" s="601"/>
      <c r="D55" s="43"/>
      <c r="E55" s="1574" t="s">
        <v>62</v>
      </c>
      <c r="F55" s="1574"/>
      <c r="G55" s="1576"/>
      <c r="H55" s="46" t="s">
        <v>25</v>
      </c>
      <c r="I55" s="27"/>
      <c r="J55" s="29">
        <v>750000</v>
      </c>
      <c r="K55" s="29"/>
      <c r="L55" s="29"/>
      <c r="M55" s="47"/>
      <c r="N55" s="47"/>
    </row>
    <row r="56" spans="1:14" ht="18" hidden="1" customHeight="1" x14ac:dyDescent="0.25">
      <c r="A56" s="37"/>
      <c r="B56" s="52"/>
      <c r="C56" s="52"/>
      <c r="E56" s="536" t="s">
        <v>63</v>
      </c>
      <c r="F56" s="33"/>
      <c r="G56" s="33"/>
      <c r="H56" s="46" t="s">
        <v>25</v>
      </c>
      <c r="I56" s="27"/>
      <c r="J56" s="29">
        <v>25000</v>
      </c>
      <c r="K56" s="29"/>
      <c r="L56" s="29"/>
    </row>
    <row r="57" spans="1:14" ht="35.25" hidden="1" customHeight="1" x14ac:dyDescent="0.25">
      <c r="A57" s="37"/>
      <c r="B57" s="52"/>
      <c r="C57" s="52"/>
      <c r="D57" s="51"/>
      <c r="E57" s="1574" t="s">
        <v>64</v>
      </c>
      <c r="F57" s="1574"/>
      <c r="G57" s="1576"/>
      <c r="H57" s="46" t="s">
        <v>25</v>
      </c>
      <c r="I57" s="27"/>
      <c r="J57" s="29">
        <v>30000</v>
      </c>
      <c r="K57" s="29"/>
      <c r="L57" s="29"/>
    </row>
    <row r="58" spans="1:14" ht="20.25" hidden="1" customHeight="1" x14ac:dyDescent="0.25">
      <c r="A58" s="52"/>
      <c r="B58" s="52"/>
      <c r="C58" s="52"/>
      <c r="D58" s="51"/>
      <c r="E58" s="513"/>
      <c r="F58" s="513"/>
      <c r="G58" s="541"/>
      <c r="H58" s="53"/>
      <c r="I58" s="54"/>
      <c r="J58" s="54"/>
      <c r="K58" s="54"/>
      <c r="L58" s="55"/>
    </row>
    <row r="59" spans="1:14" ht="20.25" hidden="1" customHeight="1" x14ac:dyDescent="0.25">
      <c r="A59" s="52"/>
      <c r="B59" s="52"/>
      <c r="C59" s="52"/>
      <c r="D59" s="51"/>
      <c r="E59" s="513"/>
      <c r="F59" s="513"/>
      <c r="G59" s="541"/>
      <c r="H59" s="53"/>
      <c r="I59" s="54"/>
      <c r="J59" s="54"/>
      <c r="K59" s="54"/>
      <c r="L59" s="55"/>
    </row>
    <row r="60" spans="1:14" ht="20.25" hidden="1" customHeight="1" x14ac:dyDescent="0.25">
      <c r="A60" s="52"/>
      <c r="B60" s="52"/>
      <c r="C60" s="52"/>
      <c r="D60" s="51"/>
      <c r="E60" s="513"/>
      <c r="F60" s="513"/>
      <c r="G60" s="541"/>
      <c r="H60" s="53"/>
      <c r="I60" s="54"/>
      <c r="J60" s="54"/>
      <c r="K60" s="54"/>
      <c r="L60" s="55"/>
    </row>
    <row r="61" spans="1:14" ht="20.25" hidden="1" customHeight="1" x14ac:dyDescent="0.25">
      <c r="A61" s="52"/>
      <c r="B61" s="52"/>
      <c r="C61" s="52"/>
      <c r="D61" s="51"/>
      <c r="E61" s="513"/>
      <c r="F61" s="513"/>
      <c r="G61" s="541"/>
      <c r="H61" s="53"/>
      <c r="I61" s="54"/>
      <c r="J61" s="54"/>
      <c r="K61" s="54"/>
      <c r="L61" s="55"/>
    </row>
    <row r="62" spans="1:14" ht="20.25" hidden="1" customHeight="1" x14ac:dyDescent="0.25">
      <c r="A62" s="52"/>
      <c r="B62" s="52"/>
      <c r="C62" s="52"/>
      <c r="D62" s="51"/>
      <c r="E62" s="513"/>
      <c r="F62" s="513"/>
      <c r="G62" s="541"/>
      <c r="H62" s="53"/>
      <c r="I62" s="54"/>
      <c r="J62" s="54"/>
      <c r="K62" s="54"/>
      <c r="L62" s="55"/>
    </row>
    <row r="63" spans="1:14" ht="20.25" hidden="1" customHeight="1" x14ac:dyDescent="0.25">
      <c r="A63" s="52"/>
      <c r="B63" s="52"/>
      <c r="C63" s="52"/>
      <c r="D63" s="51"/>
      <c r="E63" s="513"/>
      <c r="F63" s="513"/>
      <c r="G63" s="541"/>
      <c r="H63" s="53"/>
      <c r="I63" s="54"/>
      <c r="J63" s="54"/>
      <c r="K63" s="54"/>
      <c r="L63" s="55"/>
    </row>
    <row r="64" spans="1:14" ht="20.25" hidden="1" customHeight="1" x14ac:dyDescent="0.25">
      <c r="A64" s="52"/>
      <c r="B64" s="52"/>
      <c r="C64" s="52"/>
      <c r="D64" s="51"/>
      <c r="E64" s="513"/>
      <c r="F64" s="513"/>
      <c r="G64" s="541"/>
      <c r="H64" s="53"/>
      <c r="I64" s="54"/>
      <c r="J64" s="54"/>
      <c r="K64" s="54"/>
      <c r="L64" s="55"/>
    </row>
    <row r="65" spans="1:12" ht="20.25" hidden="1" customHeight="1" x14ac:dyDescent="0.25">
      <c r="A65" s="52"/>
      <c r="B65" s="52"/>
      <c r="C65" s="52"/>
      <c r="D65" s="51"/>
      <c r="E65" s="513"/>
      <c r="F65" s="513"/>
      <c r="G65" s="541"/>
      <c r="H65" s="53"/>
      <c r="I65" s="54"/>
      <c r="J65" s="54"/>
      <c r="K65" s="54"/>
      <c r="L65" s="55"/>
    </row>
    <row r="66" spans="1:12" ht="20.25" hidden="1" customHeight="1" x14ac:dyDescent="0.25">
      <c r="A66" s="52"/>
      <c r="B66" s="52"/>
      <c r="C66" s="52"/>
      <c r="D66" s="51"/>
      <c r="E66" s="513"/>
      <c r="F66" s="513"/>
      <c r="G66" s="541"/>
      <c r="H66" s="53"/>
      <c r="I66" s="54"/>
      <c r="J66" s="54"/>
      <c r="K66" s="54"/>
      <c r="L66" s="55"/>
    </row>
    <row r="67" spans="1:12" ht="20.25" hidden="1" customHeight="1" x14ac:dyDescent="0.25">
      <c r="A67" s="52"/>
      <c r="B67" s="52"/>
      <c r="C67" s="52"/>
      <c r="D67" s="51"/>
      <c r="E67" s="513"/>
      <c r="F67" s="513"/>
      <c r="G67" s="541"/>
      <c r="H67" s="53"/>
      <c r="I67" s="54"/>
      <c r="J67" s="54"/>
      <c r="K67" s="54"/>
      <c r="L67" s="55"/>
    </row>
    <row r="68" spans="1:12" ht="20.25" hidden="1" customHeight="1" x14ac:dyDescent="0.25">
      <c r="A68" s="52"/>
      <c r="B68" s="52"/>
      <c r="C68" s="52"/>
      <c r="D68" s="51"/>
      <c r="E68" s="513"/>
      <c r="F68" s="513"/>
      <c r="G68" s="541"/>
      <c r="H68" s="53"/>
      <c r="I68" s="54"/>
      <c r="J68" s="54"/>
      <c r="K68" s="54"/>
      <c r="L68" s="55"/>
    </row>
    <row r="69" spans="1:12" ht="15" hidden="1" customHeight="1" x14ac:dyDescent="0.25">
      <c r="A69" s="1587" t="s">
        <v>4</v>
      </c>
      <c r="B69" s="1587"/>
      <c r="C69" s="1587"/>
      <c r="D69" s="1587"/>
      <c r="E69" s="1587"/>
      <c r="F69" s="1587"/>
      <c r="G69" s="1587"/>
      <c r="H69" s="1604" t="s">
        <v>5</v>
      </c>
      <c r="I69" s="1605" t="s">
        <v>65</v>
      </c>
      <c r="J69" s="1606" t="s">
        <v>66</v>
      </c>
      <c r="K69" s="553"/>
      <c r="L69" s="1607" t="s">
        <v>67</v>
      </c>
    </row>
    <row r="70" spans="1:12" ht="15" hidden="1" customHeight="1" x14ac:dyDescent="0.25">
      <c r="A70" s="1587"/>
      <c r="B70" s="1587"/>
      <c r="C70" s="1587"/>
      <c r="D70" s="1587"/>
      <c r="E70" s="1587"/>
      <c r="F70" s="1587"/>
      <c r="G70" s="1587"/>
      <c r="H70" s="1591"/>
      <c r="I70" s="1594"/>
      <c r="J70" s="1597"/>
      <c r="K70" s="538"/>
      <c r="L70" s="1600"/>
    </row>
    <row r="71" spans="1:12" ht="15" hidden="1" customHeight="1" x14ac:dyDescent="0.25">
      <c r="A71" s="1587"/>
      <c r="B71" s="1587"/>
      <c r="C71" s="1587"/>
      <c r="D71" s="1587"/>
      <c r="E71" s="1587"/>
      <c r="F71" s="1587"/>
      <c r="G71" s="1587"/>
      <c r="H71" s="1591"/>
      <c r="I71" s="1594"/>
      <c r="J71" s="1597"/>
      <c r="K71" s="538"/>
      <c r="L71" s="1600"/>
    </row>
    <row r="72" spans="1:12" ht="15" hidden="1" customHeight="1" x14ac:dyDescent="0.25">
      <c r="A72" s="1587"/>
      <c r="B72" s="1587"/>
      <c r="C72" s="1587"/>
      <c r="D72" s="1587"/>
      <c r="E72" s="1587"/>
      <c r="F72" s="1587"/>
      <c r="G72" s="1587"/>
      <c r="H72" s="1591"/>
      <c r="I72" s="1594"/>
      <c r="J72" s="1597"/>
      <c r="K72" s="538"/>
      <c r="L72" s="1600"/>
    </row>
    <row r="73" spans="1:12" ht="15" hidden="1" customHeight="1" x14ac:dyDescent="0.25">
      <c r="A73" s="1587"/>
      <c r="B73" s="1587"/>
      <c r="C73" s="1587"/>
      <c r="D73" s="1587"/>
      <c r="E73" s="1587"/>
      <c r="F73" s="1587"/>
      <c r="G73" s="1587"/>
      <c r="H73" s="1592"/>
      <c r="I73" s="1595"/>
      <c r="J73" s="1598"/>
      <c r="K73" s="539"/>
      <c r="L73" s="1601"/>
    </row>
    <row r="74" spans="1:12" ht="20.25" hidden="1" customHeight="1" x14ac:dyDescent="0.25">
      <c r="A74" s="52"/>
      <c r="B74" s="52"/>
      <c r="C74" s="52"/>
      <c r="D74" s="51"/>
      <c r="E74" s="513"/>
      <c r="F74" s="513"/>
      <c r="G74" s="541"/>
      <c r="H74" s="53"/>
      <c r="I74" s="54"/>
      <c r="J74" s="54"/>
      <c r="K74" s="54"/>
      <c r="L74" s="55"/>
    </row>
    <row r="75" spans="1:12" ht="18" hidden="1" x14ac:dyDescent="0.25">
      <c r="A75" s="56"/>
      <c r="B75" s="602"/>
      <c r="C75" s="602"/>
      <c r="D75" s="1608" t="s">
        <v>68</v>
      </c>
      <c r="E75" s="1608"/>
      <c r="F75" s="1608"/>
      <c r="G75" s="1609"/>
      <c r="H75" s="57"/>
      <c r="I75" s="58"/>
      <c r="J75" s="58"/>
      <c r="K75" s="58"/>
      <c r="L75" s="58"/>
    </row>
    <row r="76" spans="1:12" ht="18" hidden="1" x14ac:dyDescent="0.25">
      <c r="A76" s="59"/>
      <c r="B76" s="52"/>
      <c r="C76" s="52"/>
      <c r="D76" s="38" t="s">
        <v>69</v>
      </c>
      <c r="E76" s="41"/>
      <c r="F76" s="60"/>
      <c r="G76" s="61"/>
      <c r="H76" s="62" t="s">
        <v>25</v>
      </c>
      <c r="I76" s="58"/>
      <c r="J76" s="58">
        <v>80000</v>
      </c>
      <c r="K76" s="58"/>
      <c r="L76" s="58"/>
    </row>
    <row r="77" spans="1:12" ht="18" hidden="1" x14ac:dyDescent="0.25">
      <c r="A77" s="59"/>
      <c r="B77" s="52"/>
      <c r="C77" s="52"/>
      <c r="D77" s="38" t="s">
        <v>70</v>
      </c>
      <c r="E77" s="41"/>
      <c r="F77" s="60"/>
      <c r="G77" s="61"/>
      <c r="H77" s="62" t="s">
        <v>25</v>
      </c>
      <c r="I77" s="58"/>
      <c r="J77" s="58">
        <v>3000000</v>
      </c>
      <c r="K77" s="58"/>
      <c r="L77" s="58"/>
    </row>
    <row r="78" spans="1:12" ht="18" hidden="1" x14ac:dyDescent="0.25">
      <c r="A78" s="59"/>
      <c r="B78" s="52"/>
      <c r="C78" s="52"/>
      <c r="D78" s="38" t="s">
        <v>71</v>
      </c>
      <c r="E78" s="41"/>
      <c r="F78" s="60"/>
      <c r="G78" s="61"/>
      <c r="H78" s="62" t="s">
        <v>25</v>
      </c>
      <c r="I78" s="58"/>
      <c r="J78" s="58">
        <v>430000</v>
      </c>
      <c r="K78" s="58"/>
      <c r="L78" s="58"/>
    </row>
    <row r="79" spans="1:12" ht="18" hidden="1" x14ac:dyDescent="0.25">
      <c r="A79" s="59"/>
      <c r="B79" s="52"/>
      <c r="C79" s="52"/>
      <c r="D79" s="38" t="s">
        <v>72</v>
      </c>
      <c r="E79" s="41"/>
      <c r="F79" s="60"/>
      <c r="G79" s="61"/>
      <c r="H79" s="62" t="s">
        <v>25</v>
      </c>
      <c r="I79" s="58"/>
      <c r="J79" s="58">
        <v>630000</v>
      </c>
      <c r="K79" s="58"/>
      <c r="L79" s="58"/>
    </row>
    <row r="80" spans="1:12" ht="18" hidden="1" x14ac:dyDescent="0.25">
      <c r="A80" s="59"/>
      <c r="B80" s="52"/>
      <c r="C80" s="52"/>
      <c r="D80" s="38" t="s">
        <v>73</v>
      </c>
      <c r="E80" s="41"/>
      <c r="F80" s="60"/>
      <c r="G80" s="61"/>
      <c r="H80" s="62" t="s">
        <v>25</v>
      </c>
      <c r="I80" s="58"/>
      <c r="J80" s="58">
        <v>1000000</v>
      </c>
      <c r="K80" s="58"/>
      <c r="L80" s="58"/>
    </row>
    <row r="81" spans="1:12" ht="18" hidden="1" x14ac:dyDescent="0.25">
      <c r="A81" s="56"/>
      <c r="B81" s="602"/>
      <c r="C81" s="602"/>
      <c r="D81" s="36"/>
      <c r="E81" s="41"/>
      <c r="F81" s="60"/>
      <c r="G81" s="61"/>
      <c r="H81" s="62"/>
      <c r="I81" s="58"/>
      <c r="J81" s="58"/>
      <c r="K81" s="58"/>
      <c r="L81" s="58"/>
    </row>
    <row r="82" spans="1:12" ht="18" hidden="1" x14ac:dyDescent="0.25">
      <c r="A82" s="59"/>
      <c r="B82" s="52"/>
      <c r="C82" s="52"/>
      <c r="D82" s="38" t="s">
        <v>74</v>
      </c>
      <c r="E82" s="41"/>
      <c r="F82" s="60"/>
      <c r="G82" s="61"/>
      <c r="H82" s="62" t="s">
        <v>25</v>
      </c>
      <c r="I82" s="58"/>
      <c r="J82" s="58">
        <v>1000000</v>
      </c>
      <c r="K82" s="58"/>
      <c r="L82" s="58"/>
    </row>
    <row r="83" spans="1:12" ht="18" hidden="1" x14ac:dyDescent="0.25">
      <c r="A83" s="37"/>
      <c r="B83" s="52"/>
      <c r="C83" s="52"/>
      <c r="D83" s="63"/>
      <c r="E83" s="41"/>
      <c r="F83" s="60"/>
      <c r="G83" s="61"/>
      <c r="H83" s="62"/>
      <c r="I83" s="58"/>
      <c r="J83" s="58"/>
      <c r="K83" s="58"/>
      <c r="L83" s="58"/>
    </row>
    <row r="84" spans="1:12" ht="18" hidden="1" x14ac:dyDescent="0.25">
      <c r="A84" s="37"/>
      <c r="B84" s="52"/>
      <c r="C84" s="52"/>
      <c r="D84" s="38" t="s">
        <v>75</v>
      </c>
      <c r="E84" s="41"/>
      <c r="F84" s="60"/>
      <c r="G84" s="61"/>
      <c r="H84" s="62" t="s">
        <v>25</v>
      </c>
      <c r="I84" s="58"/>
      <c r="J84" s="58">
        <v>1400000</v>
      </c>
      <c r="K84" s="58"/>
      <c r="L84" s="58"/>
    </row>
    <row r="85" spans="1:12" ht="18" hidden="1" x14ac:dyDescent="0.25">
      <c r="A85" s="37"/>
      <c r="B85" s="52"/>
      <c r="C85" s="52"/>
      <c r="D85" s="38" t="s">
        <v>76</v>
      </c>
      <c r="E85" s="41"/>
      <c r="F85" s="60"/>
      <c r="G85" s="61"/>
      <c r="H85" s="62" t="s">
        <v>25</v>
      </c>
      <c r="I85" s="58"/>
      <c r="J85" s="58">
        <v>4000000</v>
      </c>
      <c r="K85" s="58"/>
      <c r="L85" s="58"/>
    </row>
    <row r="86" spans="1:12" ht="18" hidden="1" x14ac:dyDescent="0.25">
      <c r="A86" s="37"/>
      <c r="B86" s="52"/>
      <c r="C86" s="52"/>
      <c r="D86" s="38" t="s">
        <v>77</v>
      </c>
      <c r="E86" s="41"/>
      <c r="F86" s="60"/>
      <c r="G86" s="61"/>
      <c r="H86" s="62" t="s">
        <v>25</v>
      </c>
      <c r="I86" s="58"/>
      <c r="J86" s="58">
        <v>200000</v>
      </c>
      <c r="K86" s="58"/>
      <c r="L86" s="58"/>
    </row>
    <row r="87" spans="1:12" ht="18" hidden="1" x14ac:dyDescent="0.25">
      <c r="A87" s="37"/>
      <c r="B87" s="52"/>
      <c r="C87" s="52"/>
      <c r="D87" s="38" t="s">
        <v>78</v>
      </c>
      <c r="E87" s="41"/>
      <c r="F87" s="60"/>
      <c r="G87" s="61"/>
      <c r="H87" s="62" t="s">
        <v>25</v>
      </c>
      <c r="I87" s="58"/>
      <c r="J87" s="58">
        <v>5000</v>
      </c>
      <c r="K87" s="58"/>
      <c r="L87" s="58"/>
    </row>
    <row r="88" spans="1:12" ht="18" hidden="1" x14ac:dyDescent="0.25">
      <c r="A88" s="37"/>
      <c r="B88" s="52"/>
      <c r="C88" s="52"/>
      <c r="D88" s="38" t="s">
        <v>79</v>
      </c>
      <c r="E88" s="41"/>
      <c r="F88" s="60"/>
      <c r="G88" s="61"/>
      <c r="H88" s="62" t="s">
        <v>25</v>
      </c>
      <c r="I88" s="58"/>
      <c r="J88" s="58">
        <v>1000000</v>
      </c>
      <c r="K88" s="58"/>
      <c r="L88" s="58"/>
    </row>
    <row r="89" spans="1:12" ht="18" hidden="1" x14ac:dyDescent="0.25">
      <c r="A89" s="37"/>
      <c r="B89" s="52"/>
      <c r="C89" s="52"/>
      <c r="D89" s="38" t="s">
        <v>80</v>
      </c>
      <c r="E89" s="41"/>
      <c r="F89" s="60"/>
      <c r="G89" s="64"/>
      <c r="H89" s="62" t="s">
        <v>25</v>
      </c>
      <c r="I89" s="58"/>
      <c r="J89" s="65"/>
      <c r="K89" s="65"/>
      <c r="L89" s="65"/>
    </row>
    <row r="90" spans="1:12" ht="18" hidden="1" x14ac:dyDescent="0.25">
      <c r="A90" s="37"/>
      <c r="B90" s="52"/>
      <c r="C90" s="52"/>
      <c r="D90" s="38" t="s">
        <v>81</v>
      </c>
      <c r="E90" s="41"/>
      <c r="F90" s="60"/>
      <c r="G90" s="61"/>
      <c r="H90" s="62" t="s">
        <v>82</v>
      </c>
      <c r="I90" s="58"/>
      <c r="J90" s="58">
        <v>3000000</v>
      </c>
      <c r="K90" s="58"/>
      <c r="L90" s="58"/>
    </row>
    <row r="91" spans="1:12" ht="18" hidden="1" x14ac:dyDescent="0.25">
      <c r="A91" s="37"/>
      <c r="B91" s="52"/>
      <c r="C91" s="52"/>
      <c r="D91" s="36" t="s">
        <v>83</v>
      </c>
      <c r="E91" s="41"/>
      <c r="F91" s="66"/>
      <c r="G91" s="67"/>
      <c r="H91" s="62"/>
      <c r="I91" s="68">
        <f>SUM(I17:I90)</f>
        <v>0</v>
      </c>
      <c r="J91" s="68">
        <f>SUM(J17:J90)</f>
        <v>84406200</v>
      </c>
      <c r="K91" s="68"/>
      <c r="L91" s="68">
        <f>SUM(L17:L90)</f>
        <v>0</v>
      </c>
    </row>
    <row r="92" spans="1:12" ht="18" hidden="1" x14ac:dyDescent="0.25">
      <c r="A92" s="59"/>
      <c r="B92" s="52"/>
      <c r="C92" s="52"/>
      <c r="D92" s="540" t="s">
        <v>84</v>
      </c>
      <c r="E92" s="41"/>
      <c r="F92" s="60"/>
      <c r="G92" s="67"/>
      <c r="H92" s="62"/>
      <c r="I92" s="58"/>
      <c r="J92" s="68"/>
      <c r="K92" s="68"/>
      <c r="L92" s="68"/>
    </row>
    <row r="93" spans="1:12" ht="18" hidden="1" x14ac:dyDescent="0.25">
      <c r="A93" s="59"/>
      <c r="B93" s="52"/>
      <c r="C93" s="52"/>
      <c r="D93" s="36" t="s">
        <v>85</v>
      </c>
      <c r="E93" s="41"/>
      <c r="F93" s="60"/>
      <c r="G93" s="67"/>
      <c r="H93" s="62"/>
      <c r="I93" s="58"/>
      <c r="J93" s="68"/>
      <c r="K93" s="68"/>
      <c r="L93" s="68"/>
    </row>
    <row r="94" spans="1:12" ht="18" hidden="1" x14ac:dyDescent="0.25">
      <c r="A94" s="69"/>
      <c r="B94" s="252"/>
      <c r="C94" s="252"/>
      <c r="D94" s="38" t="s">
        <v>86</v>
      </c>
      <c r="E94" s="41"/>
      <c r="F94" s="60"/>
      <c r="G94" s="61"/>
      <c r="H94" s="62" t="s">
        <v>25</v>
      </c>
      <c r="I94" s="58"/>
      <c r="J94" s="58">
        <f>511558377+2283860</f>
        <v>513842237</v>
      </c>
      <c r="K94" s="58"/>
      <c r="L94" s="58"/>
    </row>
    <row r="95" spans="1:12" ht="18" hidden="1" x14ac:dyDescent="0.25">
      <c r="A95" s="70"/>
      <c r="B95" s="603"/>
      <c r="C95" s="603"/>
      <c r="D95" s="38" t="s">
        <v>87</v>
      </c>
      <c r="E95" s="41"/>
      <c r="F95" s="60"/>
      <c r="G95" s="61"/>
      <c r="H95" s="62" t="s">
        <v>25</v>
      </c>
      <c r="I95" s="58"/>
      <c r="J95" s="58"/>
      <c r="K95" s="58"/>
      <c r="L95" s="58"/>
    </row>
    <row r="96" spans="1:12" ht="18" hidden="1" x14ac:dyDescent="0.25">
      <c r="A96" s="70"/>
      <c r="B96" s="603"/>
      <c r="C96" s="603"/>
      <c r="D96" s="38" t="s">
        <v>88</v>
      </c>
      <c r="E96" s="41"/>
      <c r="F96" s="60"/>
      <c r="G96" s="61"/>
      <c r="H96" s="62"/>
      <c r="I96" s="58"/>
      <c r="J96" s="58"/>
      <c r="K96" s="58"/>
      <c r="L96" s="58"/>
    </row>
    <row r="97" spans="1:12" ht="18" hidden="1" x14ac:dyDescent="0.25">
      <c r="A97" s="70"/>
      <c r="B97" s="603"/>
      <c r="C97" s="603"/>
      <c r="D97" s="38" t="s">
        <v>89</v>
      </c>
      <c r="E97" s="41"/>
      <c r="F97" s="60"/>
      <c r="G97" s="61"/>
      <c r="H97" s="62"/>
      <c r="I97" s="58"/>
      <c r="J97" s="58"/>
      <c r="K97" s="58"/>
      <c r="L97" s="58"/>
    </row>
    <row r="98" spans="1:12" ht="18" hidden="1" x14ac:dyDescent="0.25">
      <c r="A98" s="70"/>
      <c r="B98" s="603"/>
      <c r="C98" s="603"/>
      <c r="D98" s="38" t="s">
        <v>90</v>
      </c>
      <c r="E98" s="41"/>
      <c r="F98" s="60"/>
      <c r="G98" s="64"/>
      <c r="H98" s="62" t="s">
        <v>82</v>
      </c>
      <c r="I98" s="58"/>
      <c r="J98" s="65">
        <v>0</v>
      </c>
      <c r="K98" s="65"/>
      <c r="L98" s="65"/>
    </row>
    <row r="99" spans="1:12" ht="18" hidden="1" x14ac:dyDescent="0.25">
      <c r="A99" s="59" t="s">
        <v>91</v>
      </c>
      <c r="B99" s="52"/>
      <c r="C99" s="52"/>
      <c r="D99" s="38"/>
      <c r="E99" s="41"/>
      <c r="F99" s="60"/>
      <c r="G99" s="61"/>
      <c r="H99" s="71"/>
      <c r="I99" s="58">
        <f>SUM(I94:I98)</f>
        <v>0</v>
      </c>
      <c r="J99" s="58">
        <f>SUM(J94:J98)</f>
        <v>513842237</v>
      </c>
      <c r="K99" s="58"/>
      <c r="L99" s="58">
        <f>SUM(L94:L98)</f>
        <v>0</v>
      </c>
    </row>
    <row r="100" spans="1:12" ht="18" hidden="1" x14ac:dyDescent="0.25">
      <c r="A100" s="59" t="s">
        <v>92</v>
      </c>
      <c r="B100" s="52"/>
      <c r="C100" s="52"/>
      <c r="D100" s="38"/>
      <c r="E100" s="41"/>
      <c r="F100" s="60"/>
      <c r="G100" s="61"/>
      <c r="H100" s="72"/>
      <c r="I100" s="58">
        <f>SUM(I99+I91)</f>
        <v>0</v>
      </c>
      <c r="J100" s="58">
        <f>SUM(J99+J91)</f>
        <v>598248437</v>
      </c>
      <c r="K100" s="58"/>
      <c r="L100" s="58">
        <f>SUM(L99+L91)</f>
        <v>0</v>
      </c>
    </row>
    <row r="101" spans="1:12" ht="18" hidden="1" x14ac:dyDescent="0.25">
      <c r="A101" s="73" t="s">
        <v>93</v>
      </c>
      <c r="B101" s="604"/>
      <c r="C101" s="604"/>
      <c r="D101" s="38"/>
      <c r="E101" s="41"/>
      <c r="F101" s="60"/>
      <c r="G101" s="61"/>
      <c r="H101" s="72"/>
      <c r="I101" s="58">
        <f>SUM(I100+M14)</f>
        <v>0</v>
      </c>
      <c r="J101" s="58">
        <f>SUM(J100+N11)</f>
        <v>598248437</v>
      </c>
      <c r="K101" s="58"/>
      <c r="L101" s="58">
        <f>SUM(L100+O15)</f>
        <v>0</v>
      </c>
    </row>
    <row r="102" spans="1:12" ht="18" hidden="1" x14ac:dyDescent="0.25">
      <c r="A102" s="74"/>
      <c r="B102" s="75"/>
      <c r="C102" s="75"/>
      <c r="D102" s="63"/>
      <c r="E102" s="41"/>
      <c r="F102" s="75"/>
      <c r="G102" s="76"/>
      <c r="H102" s="76"/>
      <c r="I102" s="77"/>
      <c r="J102" s="78"/>
      <c r="K102" s="77"/>
      <c r="L102" s="77"/>
    </row>
    <row r="103" spans="1:12" ht="18" hidden="1" x14ac:dyDescent="0.25">
      <c r="A103" s="59"/>
      <c r="B103" s="52"/>
      <c r="C103" s="52"/>
      <c r="D103" s="36" t="s">
        <v>94</v>
      </c>
      <c r="E103" s="41"/>
      <c r="F103" s="60"/>
      <c r="G103" s="67"/>
      <c r="H103" s="62"/>
      <c r="I103" s="58"/>
      <c r="J103" s="68"/>
      <c r="K103" s="68"/>
      <c r="L103" s="68"/>
    </row>
    <row r="104" spans="1:12" ht="18" hidden="1" x14ac:dyDescent="0.25">
      <c r="A104" s="59"/>
      <c r="B104" s="52"/>
      <c r="C104" s="52"/>
      <c r="D104" s="36"/>
      <c r="E104" s="41"/>
      <c r="F104" s="60"/>
      <c r="G104" s="67"/>
      <c r="H104" s="62"/>
      <c r="I104" s="58"/>
      <c r="J104" s="68"/>
      <c r="K104" s="68"/>
      <c r="L104" s="68"/>
    </row>
    <row r="105" spans="1:12" ht="18" hidden="1" x14ac:dyDescent="0.25">
      <c r="A105" s="59"/>
      <c r="B105" s="52"/>
      <c r="C105" s="52"/>
      <c r="D105" s="36" t="s">
        <v>95</v>
      </c>
      <c r="E105" s="41"/>
      <c r="F105" s="60"/>
      <c r="G105" s="67"/>
      <c r="H105" s="62"/>
      <c r="I105" s="58"/>
      <c r="J105" s="68"/>
      <c r="K105" s="68"/>
      <c r="L105" s="68"/>
    </row>
    <row r="106" spans="1:12" ht="18" hidden="1" x14ac:dyDescent="0.25">
      <c r="A106" s="69"/>
      <c r="B106" s="252"/>
      <c r="C106" s="252"/>
      <c r="D106" s="38" t="s">
        <v>96</v>
      </c>
      <c r="E106" s="41"/>
      <c r="F106" s="60"/>
      <c r="G106" s="61"/>
      <c r="H106" s="79" t="s">
        <v>25</v>
      </c>
      <c r="I106" s="58"/>
      <c r="J106" s="58">
        <v>20500000</v>
      </c>
      <c r="K106" s="58"/>
      <c r="L106" s="58"/>
    </row>
    <row r="107" spans="1:12" ht="18" hidden="1" x14ac:dyDescent="0.25">
      <c r="A107" s="69"/>
      <c r="B107" s="252"/>
      <c r="C107" s="252"/>
      <c r="D107" s="38" t="s">
        <v>97</v>
      </c>
      <c r="E107" s="41"/>
      <c r="F107" s="60"/>
      <c r="G107" s="61"/>
      <c r="H107" s="79" t="s">
        <v>25</v>
      </c>
      <c r="I107" s="58"/>
      <c r="J107" s="58">
        <v>1204000</v>
      </c>
      <c r="K107" s="58"/>
      <c r="L107" s="58"/>
    </row>
    <row r="108" spans="1:12" ht="18" hidden="1" x14ac:dyDescent="0.25">
      <c r="A108" s="69"/>
      <c r="B108" s="252"/>
      <c r="C108" s="252"/>
      <c r="D108" s="38" t="s">
        <v>98</v>
      </c>
      <c r="E108" s="41"/>
      <c r="F108" s="60"/>
      <c r="G108" s="61"/>
      <c r="H108" s="79"/>
      <c r="I108" s="58"/>
      <c r="J108" s="58">
        <v>30500</v>
      </c>
      <c r="K108" s="58"/>
      <c r="L108" s="58"/>
    </row>
    <row r="109" spans="1:12" ht="18" hidden="1" x14ac:dyDescent="0.25">
      <c r="A109" s="69"/>
      <c r="B109" s="252"/>
      <c r="C109" s="252"/>
      <c r="D109" s="38" t="s">
        <v>99</v>
      </c>
      <c r="E109" s="41"/>
      <c r="F109" s="60"/>
      <c r="G109" s="61"/>
      <c r="H109" s="79" t="s">
        <v>25</v>
      </c>
      <c r="I109" s="58"/>
      <c r="J109" s="58">
        <v>1850000</v>
      </c>
      <c r="K109" s="58"/>
      <c r="L109" s="58"/>
    </row>
    <row r="110" spans="1:12" ht="18" hidden="1" x14ac:dyDescent="0.25">
      <c r="A110" s="69"/>
      <c r="B110" s="252"/>
      <c r="C110" s="252"/>
      <c r="D110" s="38" t="s">
        <v>100</v>
      </c>
      <c r="E110" s="41"/>
      <c r="F110" s="60"/>
      <c r="G110" s="61"/>
      <c r="H110" s="79" t="s">
        <v>25</v>
      </c>
      <c r="I110" s="58"/>
      <c r="J110" s="58">
        <v>950000</v>
      </c>
      <c r="K110" s="58"/>
      <c r="L110" s="58"/>
    </row>
    <row r="111" spans="1:12" ht="18" hidden="1" x14ac:dyDescent="0.25">
      <c r="A111" s="69"/>
      <c r="B111" s="252"/>
      <c r="C111" s="252"/>
      <c r="D111" s="38" t="s">
        <v>101</v>
      </c>
      <c r="E111" s="41"/>
      <c r="F111" s="60"/>
      <c r="G111" s="61"/>
      <c r="H111" s="79" t="s">
        <v>25</v>
      </c>
      <c r="I111" s="58"/>
      <c r="J111" s="58">
        <v>2500000</v>
      </c>
      <c r="K111" s="58"/>
      <c r="L111" s="58"/>
    </row>
    <row r="112" spans="1:12" ht="18" hidden="1" x14ac:dyDescent="0.25">
      <c r="A112" s="69"/>
      <c r="B112" s="252"/>
      <c r="C112" s="252"/>
      <c r="D112" s="38" t="s">
        <v>102</v>
      </c>
      <c r="E112" s="41"/>
      <c r="F112" s="60"/>
      <c r="G112" s="61"/>
      <c r="H112" s="79"/>
      <c r="I112" s="58"/>
      <c r="J112" s="58"/>
      <c r="K112" s="58"/>
      <c r="L112" s="58"/>
    </row>
    <row r="113" spans="1:12" ht="18" hidden="1" x14ac:dyDescent="0.25">
      <c r="A113" s="69"/>
      <c r="B113" s="252"/>
      <c r="C113" s="252"/>
      <c r="D113" s="38"/>
      <c r="E113" s="41"/>
      <c r="F113" s="60"/>
      <c r="G113" s="67"/>
      <c r="H113" s="79"/>
      <c r="I113" s="58">
        <f>SUM(I106:I111)</f>
        <v>0</v>
      </c>
      <c r="J113" s="68">
        <f>SUM(J106:J111)</f>
        <v>27034500</v>
      </c>
      <c r="K113" s="68"/>
      <c r="L113" s="68">
        <f>SUM(L106:L111)</f>
        <v>0</v>
      </c>
    </row>
    <row r="114" spans="1:12" ht="18" hidden="1" x14ac:dyDescent="0.25">
      <c r="A114" s="69"/>
      <c r="B114" s="252"/>
      <c r="C114" s="252"/>
      <c r="D114" s="36" t="s">
        <v>103</v>
      </c>
      <c r="E114" s="41"/>
      <c r="F114" s="60"/>
      <c r="G114" s="67"/>
      <c r="H114" s="79"/>
      <c r="I114" s="58"/>
      <c r="J114" s="68"/>
      <c r="K114" s="68"/>
      <c r="L114" s="68"/>
    </row>
    <row r="115" spans="1:12" ht="18" hidden="1" x14ac:dyDescent="0.25">
      <c r="A115" s="69"/>
      <c r="B115" s="252"/>
      <c r="C115" s="252"/>
      <c r="D115" s="38" t="s">
        <v>104</v>
      </c>
      <c r="E115" s="41"/>
      <c r="F115" s="60"/>
      <c r="G115" s="61"/>
      <c r="H115" s="79" t="s">
        <v>25</v>
      </c>
      <c r="I115" s="58"/>
      <c r="J115" s="58">
        <v>1300000</v>
      </c>
      <c r="K115" s="58"/>
      <c r="L115" s="58"/>
    </row>
    <row r="116" spans="1:12" ht="18" hidden="1" x14ac:dyDescent="0.25">
      <c r="A116" s="69"/>
      <c r="B116" s="252"/>
      <c r="C116" s="252"/>
      <c r="D116" s="38" t="s">
        <v>105</v>
      </c>
      <c r="E116" s="41"/>
      <c r="F116" s="60"/>
      <c r="G116" s="61"/>
      <c r="H116" s="79" t="s">
        <v>25</v>
      </c>
      <c r="I116" s="58"/>
      <c r="J116" s="58">
        <v>700000</v>
      </c>
      <c r="K116" s="58"/>
      <c r="L116" s="58"/>
    </row>
    <row r="117" spans="1:12" ht="18" hidden="1" x14ac:dyDescent="0.25">
      <c r="A117" s="69"/>
      <c r="B117" s="252"/>
      <c r="C117" s="252"/>
      <c r="D117" s="38" t="s">
        <v>106</v>
      </c>
      <c r="E117" s="41"/>
      <c r="F117" s="60"/>
      <c r="G117" s="61"/>
      <c r="H117" s="79" t="s">
        <v>25</v>
      </c>
      <c r="I117" s="58"/>
      <c r="J117" s="58">
        <v>800000</v>
      </c>
      <c r="K117" s="58"/>
      <c r="L117" s="58"/>
    </row>
    <row r="118" spans="1:12" ht="18" hidden="1" x14ac:dyDescent="0.25">
      <c r="A118" s="69"/>
      <c r="B118" s="252"/>
      <c r="C118" s="252"/>
      <c r="D118" s="38" t="s">
        <v>107</v>
      </c>
      <c r="E118" s="41"/>
      <c r="F118" s="60"/>
      <c r="G118" s="61"/>
      <c r="H118" s="79" t="s">
        <v>25</v>
      </c>
      <c r="I118" s="58"/>
      <c r="J118" s="58">
        <v>200000</v>
      </c>
      <c r="K118" s="58"/>
      <c r="L118" s="58"/>
    </row>
    <row r="119" spans="1:12" ht="18" hidden="1" x14ac:dyDescent="0.25">
      <c r="A119" s="69"/>
      <c r="B119" s="252"/>
      <c r="C119" s="252"/>
      <c r="D119" s="38" t="s">
        <v>108</v>
      </c>
      <c r="E119" s="41"/>
      <c r="F119" s="60"/>
      <c r="G119" s="61"/>
      <c r="H119" s="79" t="s">
        <v>25</v>
      </c>
      <c r="I119" s="58"/>
      <c r="J119" s="58">
        <v>2700000</v>
      </c>
      <c r="K119" s="58"/>
      <c r="L119" s="58"/>
    </row>
    <row r="120" spans="1:12" ht="18" hidden="1" x14ac:dyDescent="0.25">
      <c r="A120" s="69"/>
      <c r="B120" s="252"/>
      <c r="C120" s="252"/>
      <c r="D120" s="38" t="s">
        <v>109</v>
      </c>
      <c r="E120" s="41"/>
      <c r="F120" s="60"/>
      <c r="G120" s="61"/>
      <c r="H120" s="79" t="s">
        <v>25</v>
      </c>
      <c r="I120" s="58"/>
      <c r="J120" s="58">
        <v>650000</v>
      </c>
      <c r="K120" s="58"/>
      <c r="L120" s="58"/>
    </row>
    <row r="121" spans="1:12" ht="18" hidden="1" x14ac:dyDescent="0.25">
      <c r="A121" s="69"/>
      <c r="B121" s="252"/>
      <c r="C121" s="252"/>
      <c r="D121" s="38" t="s">
        <v>110</v>
      </c>
      <c r="E121" s="41"/>
      <c r="F121" s="60"/>
      <c r="G121" s="61"/>
      <c r="H121" s="79" t="s">
        <v>25</v>
      </c>
      <c r="I121" s="58"/>
      <c r="J121" s="58"/>
      <c r="K121" s="58"/>
      <c r="L121" s="58"/>
    </row>
    <row r="122" spans="1:12" ht="18" hidden="1" x14ac:dyDescent="0.25">
      <c r="A122" s="69"/>
      <c r="B122" s="252"/>
      <c r="C122" s="252"/>
      <c r="D122" s="38"/>
      <c r="E122" s="41"/>
      <c r="F122" s="80"/>
      <c r="G122" s="81"/>
      <c r="H122" s="79"/>
      <c r="I122" s="82">
        <f>SUM(I115:I121)</f>
        <v>0</v>
      </c>
      <c r="J122" s="83">
        <f>SUM(J115:J121)</f>
        <v>6350000</v>
      </c>
      <c r="K122" s="83"/>
      <c r="L122" s="83">
        <f>SUM(L115:L121)</f>
        <v>0</v>
      </c>
    </row>
    <row r="123" spans="1:12" ht="18" hidden="1" x14ac:dyDescent="0.25">
      <c r="A123" s="69"/>
      <c r="B123" s="252"/>
      <c r="C123" s="252"/>
      <c r="D123" s="36" t="s">
        <v>111</v>
      </c>
      <c r="E123" s="41"/>
      <c r="F123" s="80"/>
      <c r="G123" s="84"/>
      <c r="H123" s="79"/>
      <c r="I123" s="82">
        <f>SUM(I122+I113)</f>
        <v>0</v>
      </c>
      <c r="J123" s="82">
        <f>SUM(J122+J113)</f>
        <v>33384500</v>
      </c>
      <c r="K123" s="82"/>
      <c r="L123" s="82">
        <f>SUM(L122+L113)</f>
        <v>0</v>
      </c>
    </row>
    <row r="124" spans="1:12" ht="18" hidden="1" x14ac:dyDescent="0.25">
      <c r="A124" s="85"/>
      <c r="B124" s="605"/>
      <c r="C124" s="605"/>
      <c r="D124" s="86" t="s">
        <v>93</v>
      </c>
      <c r="E124" s="41"/>
      <c r="F124" s="87"/>
      <c r="G124" s="88"/>
      <c r="H124" s="89"/>
      <c r="I124" s="90">
        <f>SUM(I101+I123)</f>
        <v>0</v>
      </c>
      <c r="J124" s="90">
        <f>SUM(J123+J101)</f>
        <v>631632937</v>
      </c>
      <c r="K124" s="90"/>
      <c r="L124" s="90">
        <f>SUM(L123+L101)</f>
        <v>0</v>
      </c>
    </row>
    <row r="125" spans="1:12" hidden="1" x14ac:dyDescent="0.25">
      <c r="F125" s="91"/>
      <c r="G125" s="92"/>
      <c r="H125" s="91"/>
    </row>
    <row r="126" spans="1:12" hidden="1" x14ac:dyDescent="0.25"/>
    <row r="127" spans="1:12" hidden="1" x14ac:dyDescent="0.25"/>
    <row r="128" spans="1:12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spans="1:14" hidden="1" x14ac:dyDescent="0.25"/>
    <row r="146" spans="1:14" hidden="1" x14ac:dyDescent="0.25"/>
    <row r="147" spans="1:14" s="48" customFormat="1" ht="17.45" customHeight="1" x14ac:dyDescent="0.25">
      <c r="A147" s="519"/>
      <c r="B147" s="499" t="s">
        <v>123</v>
      </c>
      <c r="C147" s="499" t="s">
        <v>1386</v>
      </c>
      <c r="D147" s="1602" t="s">
        <v>124</v>
      </c>
      <c r="E147" s="1603"/>
      <c r="F147" s="1603"/>
      <c r="G147" s="1603"/>
      <c r="H147" s="100" t="s">
        <v>125</v>
      </c>
      <c r="I147" s="101">
        <v>3147218.82</v>
      </c>
      <c r="J147" s="102">
        <v>3501828</v>
      </c>
      <c r="K147" s="101">
        <v>1888265.32</v>
      </c>
      <c r="L147" s="101">
        <v>3709416</v>
      </c>
      <c r="M147" s="6"/>
      <c r="N147" s="6"/>
    </row>
    <row r="148" spans="1:14" s="48" customFormat="1" ht="17.45" customHeight="1" x14ac:dyDescent="0.25">
      <c r="A148" s="519"/>
      <c r="B148" s="499" t="s">
        <v>123</v>
      </c>
      <c r="C148" s="499" t="s">
        <v>1386</v>
      </c>
      <c r="D148" s="1602" t="s">
        <v>126</v>
      </c>
      <c r="E148" s="1603"/>
      <c r="F148" s="1603"/>
      <c r="G148" s="1603"/>
      <c r="H148" s="100" t="s">
        <v>127</v>
      </c>
      <c r="I148" s="101">
        <v>1033913.74</v>
      </c>
      <c r="J148" s="102">
        <v>382512</v>
      </c>
      <c r="K148" s="101">
        <v>205139.85</v>
      </c>
      <c r="L148" s="101">
        <v>415128</v>
      </c>
      <c r="M148" s="6"/>
      <c r="N148" s="6"/>
    </row>
    <row r="149" spans="1:14" s="48" customFormat="1" ht="17.45" customHeight="1" x14ac:dyDescent="0.25">
      <c r="A149" s="519"/>
      <c r="B149" s="499" t="s">
        <v>123</v>
      </c>
      <c r="C149" s="499" t="s">
        <v>1386</v>
      </c>
      <c r="D149" s="1602" t="s">
        <v>128</v>
      </c>
      <c r="E149" s="1603"/>
      <c r="F149" s="1603"/>
      <c r="G149" s="1603"/>
      <c r="H149" s="100" t="s">
        <v>125</v>
      </c>
      <c r="I149" s="101">
        <v>0</v>
      </c>
      <c r="J149" s="102">
        <v>0</v>
      </c>
      <c r="K149" s="101"/>
      <c r="L149" s="101">
        <v>18936.91</v>
      </c>
      <c r="M149" s="6"/>
      <c r="N149" s="6"/>
    </row>
    <row r="150" spans="1:14" s="48" customFormat="1" ht="17.45" customHeight="1" x14ac:dyDescent="0.25">
      <c r="A150" s="519"/>
      <c r="B150" s="499" t="s">
        <v>123</v>
      </c>
      <c r="C150" s="499" t="s">
        <v>1386</v>
      </c>
      <c r="D150" s="1602" t="s">
        <v>129</v>
      </c>
      <c r="E150" s="1603"/>
      <c r="F150" s="1603"/>
      <c r="G150" s="1603"/>
      <c r="H150" s="103" t="s">
        <v>130</v>
      </c>
      <c r="I150" s="101">
        <v>246908.67</v>
      </c>
      <c r="J150" s="102">
        <v>264000</v>
      </c>
      <c r="K150" s="101">
        <v>120636.34</v>
      </c>
      <c r="L150" s="101">
        <v>264000</v>
      </c>
      <c r="M150" s="6"/>
      <c r="N150" s="6">
        <f>192000+72000</f>
        <v>264000</v>
      </c>
    </row>
    <row r="151" spans="1:14" s="48" customFormat="1" ht="17.45" customHeight="1" x14ac:dyDescent="0.25">
      <c r="A151" s="519"/>
      <c r="B151" s="499" t="s">
        <v>123</v>
      </c>
      <c r="C151" s="499" t="s">
        <v>1386</v>
      </c>
      <c r="D151" s="1602" t="s">
        <v>131</v>
      </c>
      <c r="E151" s="1603"/>
      <c r="F151" s="1603"/>
      <c r="G151" s="1603"/>
      <c r="H151" s="100" t="s">
        <v>132</v>
      </c>
      <c r="I151" s="101">
        <v>96000</v>
      </c>
      <c r="J151" s="102">
        <v>96000</v>
      </c>
      <c r="K151" s="101">
        <v>56000</v>
      </c>
      <c r="L151" s="101">
        <v>96000</v>
      </c>
      <c r="M151" s="6"/>
      <c r="N151" s="6"/>
    </row>
    <row r="152" spans="1:14" s="48" customFormat="1" ht="17.45" customHeight="1" x14ac:dyDescent="0.25">
      <c r="A152" s="519"/>
      <c r="B152" s="499" t="s">
        <v>123</v>
      </c>
      <c r="C152" s="499" t="s">
        <v>1386</v>
      </c>
      <c r="D152" s="1602" t="s">
        <v>133</v>
      </c>
      <c r="E152" s="1603"/>
      <c r="F152" s="1603"/>
      <c r="G152" s="1603"/>
      <c r="H152" s="100" t="s">
        <v>134</v>
      </c>
      <c r="I152" s="101">
        <v>0</v>
      </c>
      <c r="J152" s="102">
        <v>0</v>
      </c>
      <c r="K152" s="101"/>
      <c r="L152" s="101">
        <v>0</v>
      </c>
      <c r="M152" s="6"/>
      <c r="N152" s="6"/>
    </row>
    <row r="153" spans="1:14" s="48" customFormat="1" ht="17.45" customHeight="1" x14ac:dyDescent="0.25">
      <c r="A153" s="519"/>
      <c r="B153" s="499" t="s">
        <v>123</v>
      </c>
      <c r="C153" s="499" t="s">
        <v>1386</v>
      </c>
      <c r="D153" s="1602" t="s">
        <v>135</v>
      </c>
      <c r="E153" s="1603"/>
      <c r="F153" s="1603"/>
      <c r="G153" s="1603"/>
      <c r="H153" s="100" t="s">
        <v>136</v>
      </c>
      <c r="I153" s="101">
        <v>477040.65</v>
      </c>
      <c r="J153" s="102">
        <v>129892.15</v>
      </c>
      <c r="K153" s="101">
        <v>188147.95</v>
      </c>
      <c r="L153" s="102">
        <v>449366.65</v>
      </c>
      <c r="M153" s="6"/>
      <c r="N153" s="6"/>
    </row>
    <row r="154" spans="1:14" s="48" customFormat="1" ht="17.45" customHeight="1" x14ac:dyDescent="0.25">
      <c r="A154" s="519"/>
      <c r="B154" s="499" t="s">
        <v>123</v>
      </c>
      <c r="C154" s="499" t="s">
        <v>1386</v>
      </c>
      <c r="D154" s="1602" t="s">
        <v>137</v>
      </c>
      <c r="E154" s="1603"/>
      <c r="F154" s="1603"/>
      <c r="G154" s="1603"/>
      <c r="H154" s="100" t="s">
        <v>138</v>
      </c>
      <c r="I154" s="101">
        <v>36000</v>
      </c>
      <c r="J154" s="102">
        <v>66000</v>
      </c>
      <c r="K154" s="101">
        <v>54000</v>
      </c>
      <c r="L154" s="101">
        <v>66000</v>
      </c>
      <c r="M154" s="6"/>
      <c r="N154" s="6"/>
    </row>
    <row r="155" spans="1:14" s="48" customFormat="1" ht="17.45" customHeight="1" x14ac:dyDescent="0.25">
      <c r="A155" s="519"/>
      <c r="B155" s="499" t="s">
        <v>123</v>
      </c>
      <c r="C155" s="499" t="s">
        <v>1386</v>
      </c>
      <c r="D155" s="1602" t="s">
        <v>139</v>
      </c>
      <c r="E155" s="1603"/>
      <c r="F155" s="1603"/>
      <c r="G155" s="1603"/>
      <c r="H155" s="100" t="s">
        <v>140</v>
      </c>
      <c r="I155" s="101">
        <v>326902</v>
      </c>
      <c r="J155" s="102">
        <v>323695</v>
      </c>
      <c r="K155" s="101">
        <v>303083</v>
      </c>
      <c r="L155" s="101">
        <v>344152</v>
      </c>
      <c r="M155" s="6"/>
      <c r="N155" s="6">
        <f>309558+34594</f>
        <v>344152</v>
      </c>
    </row>
    <row r="156" spans="1:14" s="48" customFormat="1" ht="17.45" customHeight="1" x14ac:dyDescent="0.25">
      <c r="A156" s="519"/>
      <c r="B156" s="499" t="s">
        <v>123</v>
      </c>
      <c r="C156" s="499" t="s">
        <v>1386</v>
      </c>
      <c r="D156" s="1602" t="s">
        <v>141</v>
      </c>
      <c r="E156" s="1603"/>
      <c r="F156" s="1603"/>
      <c r="G156" s="1603"/>
      <c r="H156" s="100" t="s">
        <v>142</v>
      </c>
      <c r="I156" s="101">
        <v>338980</v>
      </c>
      <c r="J156" s="102">
        <v>323695</v>
      </c>
      <c r="K156" s="101"/>
      <c r="L156" s="101">
        <v>346616</v>
      </c>
      <c r="M156" s="6"/>
      <c r="N156" s="6">
        <f>312022+34594</f>
        <v>346616</v>
      </c>
    </row>
    <row r="157" spans="1:14" s="48" customFormat="1" ht="17.45" customHeight="1" x14ac:dyDescent="0.25">
      <c r="A157" s="519"/>
      <c r="B157" s="499" t="s">
        <v>123</v>
      </c>
      <c r="C157" s="499" t="s">
        <v>1386</v>
      </c>
      <c r="D157" s="1602" t="s">
        <v>143</v>
      </c>
      <c r="E157" s="1603"/>
      <c r="F157" s="1603"/>
      <c r="G157" s="1603"/>
      <c r="H157" s="100" t="s">
        <v>144</v>
      </c>
      <c r="I157" s="101">
        <v>65000</v>
      </c>
      <c r="J157" s="102">
        <v>55000</v>
      </c>
      <c r="K157" s="101"/>
      <c r="L157" s="101">
        <v>55000</v>
      </c>
      <c r="M157" s="6"/>
      <c r="N157" s="6"/>
    </row>
    <row r="158" spans="1:14" s="48" customFormat="1" ht="17.45" customHeight="1" x14ac:dyDescent="0.25">
      <c r="A158" s="519"/>
      <c r="B158" s="499" t="s">
        <v>123</v>
      </c>
      <c r="C158" s="499" t="s">
        <v>1386</v>
      </c>
      <c r="D158" s="1602" t="s">
        <v>145</v>
      </c>
      <c r="E158" s="1603"/>
      <c r="F158" s="1603"/>
      <c r="G158" s="1610"/>
      <c r="H158" s="100" t="s">
        <v>146</v>
      </c>
      <c r="I158" s="101">
        <v>65000</v>
      </c>
      <c r="J158" s="102">
        <v>55000</v>
      </c>
      <c r="K158" s="101"/>
      <c r="L158" s="101">
        <v>55000</v>
      </c>
      <c r="M158" s="6"/>
      <c r="N158" s="6"/>
    </row>
    <row r="159" spans="1:14" s="48" customFormat="1" ht="17.45" customHeight="1" x14ac:dyDescent="0.25">
      <c r="A159" s="519"/>
      <c r="B159" s="499" t="s">
        <v>123</v>
      </c>
      <c r="C159" s="499" t="s">
        <v>1386</v>
      </c>
      <c r="D159" s="536" t="s">
        <v>147</v>
      </c>
      <c r="E159" s="499"/>
      <c r="F159" s="499"/>
      <c r="G159" s="499"/>
      <c r="H159" s="100" t="s">
        <v>148</v>
      </c>
      <c r="I159" s="101"/>
      <c r="J159" s="102"/>
      <c r="K159" s="101"/>
      <c r="L159" s="101">
        <v>33000</v>
      </c>
      <c r="M159" s="6"/>
      <c r="N159" s="6">
        <f>24000+9000</f>
        <v>33000</v>
      </c>
    </row>
    <row r="160" spans="1:14" s="48" customFormat="1" ht="17.45" customHeight="1" x14ac:dyDescent="0.25">
      <c r="A160" s="519"/>
      <c r="B160" s="499" t="s">
        <v>123</v>
      </c>
      <c r="C160" s="499" t="s">
        <v>1386</v>
      </c>
      <c r="D160" s="513" t="s">
        <v>149</v>
      </c>
      <c r="E160" s="499"/>
      <c r="F160" s="499"/>
      <c r="G160" s="499"/>
      <c r="H160" s="100" t="s">
        <v>150</v>
      </c>
      <c r="I160" s="101">
        <v>189900</v>
      </c>
      <c r="J160" s="102"/>
      <c r="K160" s="101"/>
      <c r="L160" s="101"/>
      <c r="M160" s="6"/>
      <c r="N160" s="6"/>
    </row>
    <row r="161" spans="1:16" s="48" customFormat="1" ht="17.45" customHeight="1" x14ac:dyDescent="0.25">
      <c r="A161" s="519"/>
      <c r="B161" s="499" t="s">
        <v>123</v>
      </c>
      <c r="C161" s="499" t="s">
        <v>1386</v>
      </c>
      <c r="D161" s="1611" t="s">
        <v>151</v>
      </c>
      <c r="E161" s="1611"/>
      <c r="F161" s="1611"/>
      <c r="G161" s="1611"/>
      <c r="H161" s="100" t="s">
        <v>148</v>
      </c>
      <c r="I161" s="101">
        <v>130000</v>
      </c>
      <c r="J161" s="102">
        <v>0</v>
      </c>
      <c r="K161" s="101"/>
      <c r="L161" s="101"/>
      <c r="M161" s="6"/>
      <c r="N161" s="6"/>
    </row>
    <row r="162" spans="1:16" s="48" customFormat="1" ht="17.45" customHeight="1" x14ac:dyDescent="0.25">
      <c r="A162" s="519"/>
      <c r="B162" s="499" t="s">
        <v>123</v>
      </c>
      <c r="C162" s="499" t="s">
        <v>1386</v>
      </c>
      <c r="D162" s="1611" t="s">
        <v>152</v>
      </c>
      <c r="E162" s="1611"/>
      <c r="F162" s="1611"/>
      <c r="G162" s="1602"/>
      <c r="H162" s="100"/>
      <c r="I162" s="101"/>
      <c r="J162" s="102">
        <v>154727.96</v>
      </c>
      <c r="K162" s="101"/>
      <c r="L162" s="101"/>
      <c r="M162" s="6"/>
      <c r="N162" s="6"/>
    </row>
    <row r="163" spans="1:16" s="48" customFormat="1" ht="17.45" customHeight="1" x14ac:dyDescent="0.25">
      <c r="A163" s="519"/>
      <c r="B163" s="499" t="s">
        <v>123</v>
      </c>
      <c r="C163" s="499" t="s">
        <v>1386</v>
      </c>
      <c r="D163" s="1602" t="s">
        <v>153</v>
      </c>
      <c r="E163" s="1603"/>
      <c r="F163" s="1603"/>
      <c r="G163" s="1603"/>
      <c r="H163" s="100" t="s">
        <v>154</v>
      </c>
      <c r="I163" s="101">
        <v>447627.83</v>
      </c>
      <c r="J163" s="102">
        <v>466120.8</v>
      </c>
      <c r="K163" s="101">
        <v>252515.92</v>
      </c>
      <c r="L163" s="101">
        <v>497217.71</v>
      </c>
      <c r="M163" s="6"/>
      <c r="N163" s="6">
        <f>447402.35+49815.36</f>
        <v>497217.70999999996</v>
      </c>
    </row>
    <row r="164" spans="1:16" s="48" customFormat="1" ht="17.45" customHeight="1" x14ac:dyDescent="0.25">
      <c r="A164" s="519"/>
      <c r="B164" s="499" t="s">
        <v>123</v>
      </c>
      <c r="C164" s="499" t="s">
        <v>1386</v>
      </c>
      <c r="D164" s="1602" t="s">
        <v>155</v>
      </c>
      <c r="E164" s="1603"/>
      <c r="F164" s="1603"/>
      <c r="G164" s="1603"/>
      <c r="H164" s="100" t="s">
        <v>156</v>
      </c>
      <c r="I164" s="101">
        <v>12100</v>
      </c>
      <c r="J164" s="102">
        <v>13200</v>
      </c>
      <c r="K164" s="101">
        <v>6300</v>
      </c>
      <c r="L164" s="101">
        <v>13200</v>
      </c>
      <c r="M164" s="6"/>
      <c r="N164" s="6">
        <f>9600+3600</f>
        <v>13200</v>
      </c>
    </row>
    <row r="165" spans="1:16" s="48" customFormat="1" ht="17.45" customHeight="1" x14ac:dyDescent="0.25">
      <c r="A165" s="519"/>
      <c r="B165" s="499" t="s">
        <v>123</v>
      </c>
      <c r="C165" s="499" t="s">
        <v>1386</v>
      </c>
      <c r="D165" s="1602" t="s">
        <v>157</v>
      </c>
      <c r="E165" s="1603"/>
      <c r="F165" s="1603"/>
      <c r="G165" s="1603"/>
      <c r="H165" s="100" t="s">
        <v>158</v>
      </c>
      <c r="I165" s="101">
        <v>40065.17</v>
      </c>
      <c r="J165" s="102">
        <v>52166.52</v>
      </c>
      <c r="K165" s="101">
        <v>22569.93</v>
      </c>
      <c r="L165" s="101">
        <v>131146.12</v>
      </c>
      <c r="M165" s="6"/>
      <c r="N165" s="6">
        <f>114514.12+16632</f>
        <v>131146.12</v>
      </c>
    </row>
    <row r="166" spans="1:16" s="48" customFormat="1" ht="17.45" customHeight="1" x14ac:dyDescent="0.25">
      <c r="A166" s="519"/>
      <c r="B166" s="499" t="s">
        <v>123</v>
      </c>
      <c r="C166" s="499" t="s">
        <v>1386</v>
      </c>
      <c r="D166" s="1602" t="s">
        <v>159</v>
      </c>
      <c r="E166" s="1603"/>
      <c r="F166" s="1603"/>
      <c r="G166" s="1603"/>
      <c r="H166" s="104" t="s">
        <v>160</v>
      </c>
      <c r="I166" s="105">
        <v>12102.16</v>
      </c>
      <c r="J166" s="106">
        <v>13200</v>
      </c>
      <c r="K166" s="105">
        <v>6300</v>
      </c>
      <c r="L166" s="105">
        <v>13200</v>
      </c>
      <c r="M166" s="6"/>
      <c r="N166" s="6">
        <f>9600+3600</f>
        <v>13200</v>
      </c>
    </row>
    <row r="167" spans="1:16" s="48" customFormat="1" ht="17.45" customHeight="1" x14ac:dyDescent="0.25">
      <c r="A167" s="519"/>
      <c r="B167" s="499" t="s">
        <v>163</v>
      </c>
      <c r="C167" s="499" t="s">
        <v>1386</v>
      </c>
      <c r="D167" s="44" t="s">
        <v>164</v>
      </c>
      <c r="E167" s="113"/>
      <c r="F167" s="113"/>
      <c r="G167" s="114"/>
      <c r="H167" s="100" t="s">
        <v>165</v>
      </c>
      <c r="I167" s="101">
        <v>227196.16</v>
      </c>
      <c r="J167" s="111">
        <v>500000</v>
      </c>
      <c r="K167" s="112">
        <v>39477</v>
      </c>
      <c r="L167" s="101">
        <v>700000</v>
      </c>
      <c r="M167" s="6"/>
      <c r="N167" s="6"/>
    </row>
    <row r="168" spans="1:16" s="48" customFormat="1" ht="17.45" customHeight="1" x14ac:dyDescent="0.25">
      <c r="A168" s="519"/>
      <c r="B168" s="499" t="s">
        <v>163</v>
      </c>
      <c r="C168" s="499" t="s">
        <v>1386</v>
      </c>
      <c r="D168" s="44" t="s">
        <v>166</v>
      </c>
      <c r="E168" s="113"/>
      <c r="F168" s="113"/>
      <c r="G168" s="114"/>
      <c r="H168" s="100" t="s">
        <v>167</v>
      </c>
      <c r="I168" s="101">
        <v>0</v>
      </c>
      <c r="J168" s="111">
        <v>300000</v>
      </c>
      <c r="K168" s="112"/>
      <c r="L168" s="101">
        <v>300000</v>
      </c>
      <c r="M168" s="6"/>
      <c r="N168" s="6"/>
    </row>
    <row r="169" spans="1:16" s="48" customFormat="1" ht="17.45" customHeight="1" x14ac:dyDescent="0.25">
      <c r="A169" s="519"/>
      <c r="B169" s="499" t="s">
        <v>163</v>
      </c>
      <c r="C169" s="499" t="s">
        <v>1386</v>
      </c>
      <c r="D169" s="44" t="s">
        <v>168</v>
      </c>
      <c r="E169" s="113"/>
      <c r="F169" s="113"/>
      <c r="G169" s="114"/>
      <c r="H169" s="100" t="s">
        <v>169</v>
      </c>
      <c r="I169" s="101">
        <v>2056630.5</v>
      </c>
      <c r="J169" s="111">
        <v>2950000</v>
      </c>
      <c r="K169" s="112">
        <v>1274568.25</v>
      </c>
      <c r="L169" s="101">
        <v>3355695</v>
      </c>
      <c r="M169" s="6"/>
      <c r="N169" s="6"/>
    </row>
    <row r="170" spans="1:16" s="48" customFormat="1" ht="17.45" customHeight="1" x14ac:dyDescent="0.25">
      <c r="A170" s="519"/>
      <c r="B170" s="499" t="s">
        <v>163</v>
      </c>
      <c r="C170" s="499" t="s">
        <v>1386</v>
      </c>
      <c r="D170" s="44" t="s">
        <v>170</v>
      </c>
      <c r="E170" s="113"/>
      <c r="F170" s="113"/>
      <c r="G170" s="114"/>
      <c r="H170" s="100" t="s">
        <v>171</v>
      </c>
      <c r="I170" s="101"/>
      <c r="J170" s="111"/>
      <c r="K170" s="112"/>
      <c r="L170" s="102">
        <v>2039927</v>
      </c>
      <c r="M170" s="6"/>
      <c r="N170" s="6">
        <f>1559927+25000+450000</f>
        <v>2034927</v>
      </c>
    </row>
    <row r="171" spans="1:16" s="48" customFormat="1" ht="17.45" customHeight="1" x14ac:dyDescent="0.25">
      <c r="A171" s="519"/>
      <c r="B171" s="499" t="s">
        <v>163</v>
      </c>
      <c r="C171" s="499" t="s">
        <v>1386</v>
      </c>
      <c r="D171" s="44" t="s">
        <v>172</v>
      </c>
      <c r="E171" s="113"/>
      <c r="F171" s="113"/>
      <c r="G171" s="114"/>
      <c r="H171" s="100" t="s">
        <v>173</v>
      </c>
      <c r="I171" s="101">
        <v>514482.52</v>
      </c>
      <c r="J171" s="111">
        <v>1200000</v>
      </c>
      <c r="K171" s="112">
        <v>257974.41</v>
      </c>
      <c r="L171" s="101">
        <v>1500000</v>
      </c>
      <c r="M171" s="6"/>
      <c r="N171" s="6">
        <v>60000</v>
      </c>
      <c r="O171" s="115"/>
      <c r="P171" s="115"/>
    </row>
    <row r="172" spans="1:16" s="48" customFormat="1" ht="17.45" customHeight="1" x14ac:dyDescent="0.25">
      <c r="A172" s="519"/>
      <c r="B172" s="499" t="s">
        <v>163</v>
      </c>
      <c r="C172" s="499" t="s">
        <v>1386</v>
      </c>
      <c r="D172" s="44" t="s">
        <v>174</v>
      </c>
      <c r="E172" s="113"/>
      <c r="F172" s="113"/>
      <c r="G172" s="114"/>
      <c r="H172" s="100" t="s">
        <v>171</v>
      </c>
      <c r="I172" s="101">
        <v>380868</v>
      </c>
      <c r="J172" s="111">
        <v>880000</v>
      </c>
      <c r="K172" s="112"/>
      <c r="L172" s="101"/>
      <c r="M172" s="6"/>
      <c r="N172" s="6">
        <v>639200</v>
      </c>
    </row>
    <row r="173" spans="1:16" s="48" customFormat="1" ht="17.45" customHeight="1" x14ac:dyDescent="0.25">
      <c r="A173" s="519"/>
      <c r="B173" s="499" t="s">
        <v>163</v>
      </c>
      <c r="C173" s="499" t="s">
        <v>1386</v>
      </c>
      <c r="D173" s="536" t="s">
        <v>175</v>
      </c>
      <c r="E173" s="499"/>
      <c r="F173" s="499"/>
      <c r="G173" s="491"/>
      <c r="H173" s="100" t="s">
        <v>171</v>
      </c>
      <c r="I173" s="101"/>
      <c r="J173" s="111">
        <v>600000</v>
      </c>
      <c r="K173" s="112"/>
      <c r="L173" s="101"/>
      <c r="M173" s="6"/>
      <c r="N173" s="6">
        <v>890727</v>
      </c>
      <c r="O173" s="115"/>
      <c r="P173" s="115"/>
    </row>
    <row r="174" spans="1:16" s="48" customFormat="1" ht="17.45" customHeight="1" x14ac:dyDescent="0.25">
      <c r="A174" s="519"/>
      <c r="B174" s="499" t="s">
        <v>163</v>
      </c>
      <c r="C174" s="499" t="s">
        <v>1386</v>
      </c>
      <c r="D174" s="44" t="s">
        <v>176</v>
      </c>
      <c r="E174" s="113"/>
      <c r="F174" s="113"/>
      <c r="G174" s="114"/>
      <c r="H174" s="100" t="s">
        <v>177</v>
      </c>
      <c r="I174" s="101">
        <v>400</v>
      </c>
      <c r="J174" s="111"/>
      <c r="K174" s="112"/>
      <c r="L174" s="101"/>
      <c r="M174" s="6"/>
      <c r="N174" s="6">
        <v>450000</v>
      </c>
    </row>
    <row r="175" spans="1:16" s="48" customFormat="1" ht="17.45" customHeight="1" x14ac:dyDescent="0.25">
      <c r="A175" s="519"/>
      <c r="B175" s="499" t="s">
        <v>163</v>
      </c>
      <c r="C175" s="499" t="s">
        <v>1386</v>
      </c>
      <c r="D175" s="44" t="s">
        <v>178</v>
      </c>
      <c r="E175" s="113"/>
      <c r="F175" s="113"/>
      <c r="G175" s="114"/>
      <c r="H175" s="100" t="s">
        <v>179</v>
      </c>
      <c r="I175" s="101"/>
      <c r="J175" s="111"/>
      <c r="K175" s="112"/>
      <c r="L175" s="101">
        <f>480000+550000</f>
        <v>1030000</v>
      </c>
      <c r="M175" s="6"/>
      <c r="N175" s="6">
        <f>SUM(N171:N174)</f>
        <v>2039927</v>
      </c>
    </row>
    <row r="176" spans="1:16" s="48" customFormat="1" ht="17.45" customHeight="1" x14ac:dyDescent="0.25">
      <c r="A176" s="519"/>
      <c r="B176" s="499" t="s">
        <v>163</v>
      </c>
      <c r="C176" s="499" t="s">
        <v>1386</v>
      </c>
      <c r="D176" s="44" t="s">
        <v>180</v>
      </c>
      <c r="E176" s="113"/>
      <c r="F176" s="113"/>
      <c r="G176" s="114"/>
      <c r="H176" s="100" t="s">
        <v>179</v>
      </c>
      <c r="I176" s="101">
        <v>187182.31</v>
      </c>
      <c r="J176" s="111">
        <v>480000</v>
      </c>
      <c r="K176" s="112">
        <v>109798.26</v>
      </c>
      <c r="L176" s="101"/>
      <c r="M176" s="6"/>
      <c r="N176" s="6">
        <f>N175-N170</f>
        <v>5000</v>
      </c>
    </row>
    <row r="177" spans="1:16" s="48" customFormat="1" ht="17.45" customHeight="1" x14ac:dyDescent="0.25">
      <c r="A177" s="519"/>
      <c r="B177" s="499" t="s">
        <v>163</v>
      </c>
      <c r="C177" s="499" t="s">
        <v>1386</v>
      </c>
      <c r="D177" s="44" t="s">
        <v>181</v>
      </c>
      <c r="E177" s="113"/>
      <c r="F177" s="113"/>
      <c r="G177" s="114"/>
      <c r="H177" s="100" t="s">
        <v>179</v>
      </c>
      <c r="I177" s="101">
        <v>59988</v>
      </c>
      <c r="J177" s="111">
        <v>240000</v>
      </c>
      <c r="K177" s="112">
        <v>29994</v>
      </c>
      <c r="L177" s="101"/>
      <c r="M177" s="6"/>
      <c r="N177" s="6"/>
      <c r="O177" s="115"/>
      <c r="P177" s="115"/>
    </row>
    <row r="178" spans="1:16" s="48" customFormat="1" ht="17.45" customHeight="1" x14ac:dyDescent="0.25">
      <c r="A178" s="519"/>
      <c r="B178" s="499" t="s">
        <v>163</v>
      </c>
      <c r="C178" s="499" t="s">
        <v>1386</v>
      </c>
      <c r="D178" s="44" t="s">
        <v>182</v>
      </c>
      <c r="E178" s="113"/>
      <c r="F178" s="113"/>
      <c r="G178" s="114"/>
      <c r="H178" s="100" t="s">
        <v>183</v>
      </c>
      <c r="I178" s="101"/>
      <c r="J178" s="111"/>
      <c r="K178" s="112"/>
      <c r="L178" s="101"/>
      <c r="M178" s="6"/>
      <c r="N178" s="6"/>
      <c r="O178" s="115"/>
      <c r="P178" s="115"/>
    </row>
    <row r="179" spans="1:16" s="48" customFormat="1" ht="17.45" customHeight="1" x14ac:dyDescent="0.25">
      <c r="A179" s="519"/>
      <c r="B179" s="499" t="s">
        <v>163</v>
      </c>
      <c r="C179" s="499" t="s">
        <v>1386</v>
      </c>
      <c r="D179" s="44" t="s">
        <v>184</v>
      </c>
      <c r="E179" s="113"/>
      <c r="F179" s="113"/>
      <c r="G179" s="114"/>
      <c r="H179" s="100" t="s">
        <v>185</v>
      </c>
      <c r="I179" s="101">
        <v>0</v>
      </c>
      <c r="J179" s="111">
        <v>221605.21</v>
      </c>
      <c r="K179" s="112"/>
      <c r="L179" s="101">
        <v>232912.19</v>
      </c>
      <c r="M179" s="6"/>
      <c r="N179" s="6">
        <f>2093172.6-L179</f>
        <v>1860260.4100000001</v>
      </c>
      <c r="O179" s="115"/>
      <c r="P179" s="115"/>
    </row>
    <row r="180" spans="1:16" s="48" customFormat="1" ht="17.45" customHeight="1" x14ac:dyDescent="0.25">
      <c r="A180" s="519"/>
      <c r="B180" s="499" t="s">
        <v>163</v>
      </c>
      <c r="C180" s="499" t="s">
        <v>1386</v>
      </c>
      <c r="D180" s="44" t="s">
        <v>186</v>
      </c>
      <c r="E180" s="113"/>
      <c r="F180" s="113"/>
      <c r="G180" s="114"/>
      <c r="H180" s="100" t="s">
        <v>187</v>
      </c>
      <c r="I180" s="101"/>
      <c r="J180" s="111">
        <v>150000</v>
      </c>
      <c r="K180" s="112">
        <v>22308.16</v>
      </c>
      <c r="L180" s="101">
        <v>200000</v>
      </c>
      <c r="M180" s="6"/>
      <c r="N180" s="6"/>
      <c r="O180" s="115"/>
      <c r="P180" s="115"/>
    </row>
    <row r="181" spans="1:16" s="48" customFormat="1" ht="17.45" customHeight="1" x14ac:dyDescent="0.25">
      <c r="A181" s="519"/>
      <c r="B181" s="499" t="s">
        <v>163</v>
      </c>
      <c r="C181" s="499" t="s">
        <v>1386</v>
      </c>
      <c r="D181" s="44" t="s">
        <v>188</v>
      </c>
      <c r="E181" s="113"/>
      <c r="F181" s="113"/>
      <c r="G181" s="114"/>
      <c r="H181" s="100" t="s">
        <v>189</v>
      </c>
      <c r="I181" s="101">
        <v>178931</v>
      </c>
      <c r="J181" s="111">
        <v>1000000</v>
      </c>
      <c r="K181" s="112">
        <v>64181.86</v>
      </c>
      <c r="L181" s="101">
        <v>800000</v>
      </c>
      <c r="M181" s="6"/>
      <c r="N181" s="6">
        <f>M181-18551.14</f>
        <v>-18551.14</v>
      </c>
      <c r="O181" s="115"/>
      <c r="P181" s="115"/>
    </row>
    <row r="182" spans="1:16" s="48" customFormat="1" ht="17.45" customHeight="1" x14ac:dyDescent="0.25">
      <c r="A182" s="519"/>
      <c r="B182" s="499" t="s">
        <v>163</v>
      </c>
      <c r="C182" s="499" t="s">
        <v>1386</v>
      </c>
      <c r="D182" s="44" t="s">
        <v>190</v>
      </c>
      <c r="E182" s="113"/>
      <c r="F182" s="113"/>
      <c r="G182" s="114"/>
      <c r="H182" s="100" t="s">
        <v>191</v>
      </c>
      <c r="I182" s="101"/>
      <c r="J182" s="111">
        <v>120000</v>
      </c>
      <c r="K182" s="112"/>
      <c r="L182" s="101">
        <v>120000</v>
      </c>
      <c r="M182" s="6"/>
      <c r="N182" s="6"/>
    </row>
    <row r="183" spans="1:16" s="48" customFormat="1" ht="17.45" customHeight="1" x14ac:dyDescent="0.25">
      <c r="A183" s="519"/>
      <c r="B183" s="499" t="s">
        <v>163</v>
      </c>
      <c r="C183" s="499" t="s">
        <v>1386</v>
      </c>
      <c r="D183" s="44" t="s">
        <v>192</v>
      </c>
      <c r="E183" s="113"/>
      <c r="F183" s="113"/>
      <c r="G183" s="114"/>
      <c r="H183" s="100" t="s">
        <v>193</v>
      </c>
      <c r="I183" s="101">
        <v>817830</v>
      </c>
      <c r="J183" s="111">
        <v>2400000</v>
      </c>
      <c r="K183" s="112">
        <v>56665</v>
      </c>
      <c r="L183" s="101">
        <v>2900000</v>
      </c>
      <c r="M183" s="6"/>
      <c r="N183" s="6"/>
      <c r="O183" s="115"/>
      <c r="P183" s="115"/>
    </row>
    <row r="184" spans="1:16" s="48" customFormat="1" ht="17.45" customHeight="1" x14ac:dyDescent="0.25">
      <c r="A184" s="519"/>
      <c r="B184" s="499" t="s">
        <v>163</v>
      </c>
      <c r="C184" s="499" t="s">
        <v>1386</v>
      </c>
      <c r="D184" s="44" t="s">
        <v>194</v>
      </c>
      <c r="E184" s="113"/>
      <c r="F184" s="113"/>
      <c r="G184" s="114"/>
      <c r="H184" s="100" t="s">
        <v>195</v>
      </c>
      <c r="I184" s="101">
        <v>0</v>
      </c>
      <c r="J184" s="111">
        <v>120000</v>
      </c>
      <c r="K184" s="112"/>
      <c r="L184" s="101">
        <v>120000</v>
      </c>
      <c r="M184" s="6"/>
      <c r="N184" s="6"/>
    </row>
    <row r="185" spans="1:16" s="48" customFormat="1" ht="17.45" customHeight="1" x14ac:dyDescent="0.25">
      <c r="A185" s="519"/>
      <c r="B185" s="499" t="s">
        <v>163</v>
      </c>
      <c r="C185" s="499" t="s">
        <v>1386</v>
      </c>
      <c r="D185" s="44" t="s">
        <v>196</v>
      </c>
      <c r="E185" s="114"/>
      <c r="F185" s="116"/>
      <c r="G185" s="116"/>
      <c r="H185" s="100" t="s">
        <v>197</v>
      </c>
      <c r="I185" s="101">
        <v>180000</v>
      </c>
      <c r="J185" s="111">
        <v>250000</v>
      </c>
      <c r="K185" s="112">
        <v>180000</v>
      </c>
      <c r="L185" s="101">
        <v>300000</v>
      </c>
      <c r="M185" s="6"/>
      <c r="N185" s="6"/>
      <c r="O185" s="115"/>
      <c r="P185" s="115"/>
    </row>
    <row r="186" spans="1:16" s="48" customFormat="1" ht="17.45" customHeight="1" x14ac:dyDescent="0.25">
      <c r="A186" s="519"/>
      <c r="B186" s="499" t="s">
        <v>163</v>
      </c>
      <c r="C186" s="499" t="s">
        <v>1386</v>
      </c>
      <c r="D186" s="44" t="s">
        <v>198</v>
      </c>
      <c r="E186" s="113"/>
      <c r="F186" s="113"/>
      <c r="G186" s="114"/>
      <c r="H186" s="104" t="s">
        <v>199</v>
      </c>
      <c r="I186" s="101">
        <v>929000.65</v>
      </c>
      <c r="J186" s="117">
        <v>3000000</v>
      </c>
      <c r="K186" s="118">
        <v>444340.9</v>
      </c>
      <c r="L186" s="105">
        <v>3000000</v>
      </c>
      <c r="M186" s="6"/>
      <c r="N186" s="6"/>
      <c r="O186" s="115"/>
      <c r="P186" s="115"/>
    </row>
    <row r="187" spans="1:16" s="48" customFormat="1" ht="17.45" customHeight="1" x14ac:dyDescent="0.25">
      <c r="A187" s="495"/>
      <c r="B187" s="499" t="s">
        <v>201</v>
      </c>
      <c r="C187" s="499" t="s">
        <v>1386</v>
      </c>
      <c r="D187" s="1611" t="s">
        <v>202</v>
      </c>
      <c r="E187" s="1611"/>
      <c r="F187" s="1611"/>
      <c r="G187" s="1611"/>
      <c r="H187" s="120"/>
      <c r="I187" s="101">
        <v>530350</v>
      </c>
      <c r="J187" s="111">
        <v>2500000</v>
      </c>
      <c r="K187" s="121"/>
      <c r="L187" s="121"/>
      <c r="M187" s="6"/>
      <c r="N187" s="6"/>
      <c r="O187" s="115"/>
      <c r="P187" s="115"/>
    </row>
    <row r="188" spans="1:16" s="48" customFormat="1" ht="17.45" customHeight="1" x14ac:dyDescent="0.25">
      <c r="A188" s="495"/>
      <c r="B188" s="499" t="s">
        <v>201</v>
      </c>
      <c r="C188" s="499" t="s">
        <v>1386</v>
      </c>
      <c r="D188" s="502" t="s">
        <v>203</v>
      </c>
      <c r="E188" s="499"/>
      <c r="F188" s="499"/>
      <c r="G188" s="499"/>
      <c r="H188" s="97"/>
      <c r="I188" s="101"/>
      <c r="J188" s="122"/>
      <c r="K188" s="101"/>
      <c r="L188" s="101">
        <v>115000</v>
      </c>
      <c r="M188" s="6"/>
      <c r="N188" s="6"/>
      <c r="O188" s="115"/>
      <c r="P188" s="115"/>
    </row>
    <row r="189" spans="1:16" s="48" customFormat="1" ht="17.45" customHeight="1" x14ac:dyDescent="0.25">
      <c r="A189" s="495"/>
      <c r="B189" s="499" t="s">
        <v>201</v>
      </c>
      <c r="C189" s="499" t="s">
        <v>1386</v>
      </c>
      <c r="D189" s="502" t="s">
        <v>204</v>
      </c>
      <c r="E189" s="499"/>
      <c r="F189" s="499"/>
      <c r="G189" s="499"/>
      <c r="H189" s="97"/>
      <c r="I189" s="101"/>
      <c r="J189" s="122"/>
      <c r="K189" s="101"/>
      <c r="L189" s="101">
        <v>110000</v>
      </c>
      <c r="M189" s="6"/>
      <c r="N189" s="6"/>
      <c r="O189" s="115"/>
      <c r="P189" s="115"/>
    </row>
    <row r="190" spans="1:16" s="48" customFormat="1" ht="17.45" customHeight="1" x14ac:dyDescent="0.25">
      <c r="A190" s="495"/>
      <c r="B190" s="499" t="s">
        <v>201</v>
      </c>
      <c r="C190" s="499" t="s">
        <v>1386</v>
      </c>
      <c r="D190" s="502" t="s">
        <v>205</v>
      </c>
      <c r="E190" s="499"/>
      <c r="F190" s="499"/>
      <c r="G190" s="499"/>
      <c r="H190" s="97"/>
      <c r="I190" s="101"/>
      <c r="J190" s="122"/>
      <c r="K190" s="101"/>
      <c r="L190" s="101">
        <v>32000</v>
      </c>
      <c r="M190" s="6"/>
      <c r="N190" s="6">
        <f>16000*2</f>
        <v>32000</v>
      </c>
      <c r="O190" s="115"/>
      <c r="P190" s="115"/>
    </row>
    <row r="191" spans="1:16" s="48" customFormat="1" ht="17.45" customHeight="1" x14ac:dyDescent="0.25">
      <c r="A191" s="495"/>
      <c r="B191" s="499" t="s">
        <v>201</v>
      </c>
      <c r="C191" s="499" t="s">
        <v>1386</v>
      </c>
      <c r="D191" s="502" t="s">
        <v>206</v>
      </c>
      <c r="E191" s="499"/>
      <c r="F191" s="499"/>
      <c r="G191" s="499"/>
      <c r="H191" s="97"/>
      <c r="I191" s="101"/>
      <c r="J191" s="122"/>
      <c r="K191" s="101"/>
      <c r="L191" s="101">
        <v>40000</v>
      </c>
      <c r="M191" s="6"/>
      <c r="N191" s="6"/>
      <c r="O191" s="115"/>
      <c r="P191" s="115"/>
    </row>
    <row r="192" spans="1:16" s="48" customFormat="1" ht="17.45" customHeight="1" x14ac:dyDescent="0.25">
      <c r="A192" s="495"/>
      <c r="B192" s="499" t="s">
        <v>201</v>
      </c>
      <c r="C192" s="499" t="s">
        <v>1386</v>
      </c>
      <c r="D192" s="502" t="s">
        <v>207</v>
      </c>
      <c r="E192" s="499"/>
      <c r="F192" s="499"/>
      <c r="G192" s="491"/>
      <c r="H192" s="108"/>
      <c r="I192" s="101"/>
      <c r="J192" s="122"/>
      <c r="K192" s="105"/>
      <c r="L192" s="101">
        <v>20000</v>
      </c>
      <c r="M192" s="6"/>
      <c r="N192" s="6"/>
      <c r="O192" s="115"/>
      <c r="P192" s="115"/>
    </row>
    <row r="193" spans="1:14" s="48" customFormat="1" ht="18" customHeight="1" x14ac:dyDescent="0.25">
      <c r="A193" s="519"/>
      <c r="B193" s="499" t="s">
        <v>123</v>
      </c>
      <c r="C193" s="499" t="s">
        <v>1386</v>
      </c>
      <c r="D193" s="1602" t="s">
        <v>124</v>
      </c>
      <c r="E193" s="1603"/>
      <c r="F193" s="1603"/>
      <c r="G193" s="1603"/>
      <c r="H193" s="131" t="s">
        <v>125</v>
      </c>
      <c r="I193" s="101">
        <v>94995.56</v>
      </c>
      <c r="J193" s="102">
        <v>1818504</v>
      </c>
      <c r="K193" s="101">
        <v>114765.45</v>
      </c>
      <c r="L193" s="101">
        <v>2081280</v>
      </c>
      <c r="M193" s="6"/>
      <c r="N193" s="6"/>
    </row>
    <row r="194" spans="1:14" s="48" customFormat="1" ht="18" customHeight="1" x14ac:dyDescent="0.25">
      <c r="A194" s="519"/>
      <c r="B194" s="499" t="s">
        <v>123</v>
      </c>
      <c r="C194" s="499" t="s">
        <v>1386</v>
      </c>
      <c r="D194" s="1602" t="s">
        <v>126</v>
      </c>
      <c r="E194" s="1603"/>
      <c r="F194" s="1603"/>
      <c r="G194" s="1603"/>
      <c r="H194" s="131" t="s">
        <v>127</v>
      </c>
      <c r="I194" s="101">
        <v>1249579.1200000001</v>
      </c>
      <c r="J194" s="102">
        <v>2310216</v>
      </c>
      <c r="K194" s="101">
        <v>827059.91</v>
      </c>
      <c r="L194" s="101">
        <v>2507424</v>
      </c>
      <c r="M194" s="6"/>
      <c r="N194" s="6"/>
    </row>
    <row r="195" spans="1:14" s="48" customFormat="1" ht="18" customHeight="1" x14ac:dyDescent="0.25">
      <c r="A195" s="519"/>
      <c r="B195" s="499" t="s">
        <v>123</v>
      </c>
      <c r="C195" s="499" t="s">
        <v>1386</v>
      </c>
      <c r="D195" s="1602" t="s">
        <v>129</v>
      </c>
      <c r="E195" s="1603"/>
      <c r="F195" s="1603"/>
      <c r="G195" s="1603"/>
      <c r="H195" s="132" t="s">
        <v>130</v>
      </c>
      <c r="I195" s="101">
        <v>135000</v>
      </c>
      <c r="J195" s="102">
        <v>720000</v>
      </c>
      <c r="K195" s="101">
        <v>155909.01</v>
      </c>
      <c r="L195" s="101">
        <v>720000</v>
      </c>
      <c r="M195" s="6"/>
      <c r="N195" s="6">
        <f>288000+432000</f>
        <v>720000</v>
      </c>
    </row>
    <row r="196" spans="1:14" s="48" customFormat="1" ht="18" customHeight="1" x14ac:dyDescent="0.25">
      <c r="A196" s="519"/>
      <c r="B196" s="499" t="s">
        <v>123</v>
      </c>
      <c r="C196" s="499" t="s">
        <v>1386</v>
      </c>
      <c r="D196" s="1602" t="s">
        <v>135</v>
      </c>
      <c r="E196" s="1603"/>
      <c r="F196" s="1603"/>
      <c r="G196" s="1603"/>
      <c r="H196" s="131" t="s">
        <v>136</v>
      </c>
      <c r="I196" s="101">
        <v>176070.76</v>
      </c>
      <c r="J196" s="102">
        <v>701230</v>
      </c>
      <c r="K196" s="101">
        <v>215394.07</v>
      </c>
      <c r="L196" s="101">
        <v>625404.56000000006</v>
      </c>
      <c r="M196" s="6"/>
      <c r="N196" s="6"/>
    </row>
    <row r="197" spans="1:14" s="48" customFormat="1" ht="18" customHeight="1" x14ac:dyDescent="0.25">
      <c r="A197" s="519"/>
      <c r="B197" s="499" t="s">
        <v>123</v>
      </c>
      <c r="C197" s="499" t="s">
        <v>1386</v>
      </c>
      <c r="D197" s="1602" t="s">
        <v>137</v>
      </c>
      <c r="E197" s="1603"/>
      <c r="F197" s="1603"/>
      <c r="G197" s="1603"/>
      <c r="H197" s="131" t="s">
        <v>138</v>
      </c>
      <c r="I197" s="101">
        <v>0</v>
      </c>
      <c r="J197" s="102">
        <v>180000</v>
      </c>
      <c r="K197" s="101">
        <v>72000</v>
      </c>
      <c r="L197" s="101">
        <v>180000</v>
      </c>
      <c r="M197" s="6"/>
      <c r="N197" s="6">
        <f>108000+72000</f>
        <v>180000</v>
      </c>
    </row>
    <row r="198" spans="1:14" s="48" customFormat="1" ht="18" customHeight="1" x14ac:dyDescent="0.25">
      <c r="A198" s="519"/>
      <c r="B198" s="499" t="s">
        <v>123</v>
      </c>
      <c r="C198" s="499" t="s">
        <v>1386</v>
      </c>
      <c r="D198" s="1602" t="s">
        <v>139</v>
      </c>
      <c r="E198" s="1603"/>
      <c r="F198" s="1603"/>
      <c r="G198" s="1603"/>
      <c r="H198" s="131" t="s">
        <v>140</v>
      </c>
      <c r="I198" s="101">
        <v>94997</v>
      </c>
      <c r="J198" s="102">
        <v>344060</v>
      </c>
      <c r="K198" s="101"/>
      <c r="L198" s="101">
        <v>382392</v>
      </c>
      <c r="M198" s="6"/>
      <c r="N198" s="6">
        <f>173440+208952</f>
        <v>382392</v>
      </c>
    </row>
    <row r="199" spans="1:14" s="48" customFormat="1" ht="18" customHeight="1" x14ac:dyDescent="0.25">
      <c r="A199" s="519"/>
      <c r="B199" s="499" t="s">
        <v>123</v>
      </c>
      <c r="C199" s="499" t="s">
        <v>1386</v>
      </c>
      <c r="D199" s="1602" t="s">
        <v>141</v>
      </c>
      <c r="E199" s="1603"/>
      <c r="F199" s="1603"/>
      <c r="G199" s="1603"/>
      <c r="H199" s="131" t="s">
        <v>142</v>
      </c>
      <c r="I199" s="101">
        <v>94997</v>
      </c>
      <c r="J199" s="102">
        <v>344060</v>
      </c>
      <c r="K199" s="101">
        <v>133606</v>
      </c>
      <c r="L199" s="101">
        <v>382392</v>
      </c>
      <c r="M199" s="6"/>
      <c r="N199" s="6">
        <f>208952+173440</f>
        <v>382392</v>
      </c>
    </row>
    <row r="200" spans="1:14" s="48" customFormat="1" ht="18" customHeight="1" x14ac:dyDescent="0.25">
      <c r="A200" s="519"/>
      <c r="B200" s="499" t="s">
        <v>123</v>
      </c>
      <c r="C200" s="499" t="s">
        <v>1386</v>
      </c>
      <c r="D200" s="1602" t="s">
        <v>143</v>
      </c>
      <c r="E200" s="1603"/>
      <c r="F200" s="1603"/>
      <c r="G200" s="1603"/>
      <c r="H200" s="131" t="s">
        <v>144</v>
      </c>
      <c r="I200" s="101">
        <v>45000</v>
      </c>
      <c r="J200" s="102">
        <v>150000</v>
      </c>
      <c r="K200" s="101"/>
      <c r="L200" s="101">
        <v>150000</v>
      </c>
      <c r="M200" s="6"/>
      <c r="N200" s="6">
        <f>90000+60000</f>
        <v>150000</v>
      </c>
    </row>
    <row r="201" spans="1:14" s="48" customFormat="1" ht="18" customHeight="1" x14ac:dyDescent="0.25">
      <c r="A201" s="519"/>
      <c r="B201" s="499" t="s">
        <v>123</v>
      </c>
      <c r="C201" s="499" t="s">
        <v>1386</v>
      </c>
      <c r="D201" s="1602" t="s">
        <v>145</v>
      </c>
      <c r="E201" s="1603"/>
      <c r="F201" s="1603"/>
      <c r="G201" s="1603"/>
      <c r="H201" s="131" t="s">
        <v>146</v>
      </c>
      <c r="I201" s="101">
        <v>45000</v>
      </c>
      <c r="J201" s="102">
        <v>150000</v>
      </c>
      <c r="K201" s="101"/>
      <c r="L201" s="101">
        <v>150000</v>
      </c>
      <c r="M201" s="6"/>
      <c r="N201" s="6"/>
    </row>
    <row r="202" spans="1:14" s="48" customFormat="1" ht="18" customHeight="1" x14ac:dyDescent="0.25">
      <c r="A202" s="519"/>
      <c r="B202" s="499" t="s">
        <v>123</v>
      </c>
      <c r="C202" s="499" t="s">
        <v>1386</v>
      </c>
      <c r="D202" s="536" t="s">
        <v>147</v>
      </c>
      <c r="E202" s="499"/>
      <c r="F202" s="499"/>
      <c r="G202" s="491"/>
      <c r="H202" s="131" t="s">
        <v>148</v>
      </c>
      <c r="I202" s="101"/>
      <c r="J202" s="102"/>
      <c r="K202" s="101"/>
      <c r="L202" s="101">
        <v>84000</v>
      </c>
      <c r="M202" s="6"/>
      <c r="N202" s="6"/>
    </row>
    <row r="203" spans="1:14" s="48" customFormat="1" ht="18" customHeight="1" x14ac:dyDescent="0.25">
      <c r="A203" s="519"/>
      <c r="B203" s="499" t="s">
        <v>123</v>
      </c>
      <c r="C203" s="499" t="s">
        <v>1386</v>
      </c>
      <c r="D203" s="536" t="s">
        <v>210</v>
      </c>
      <c r="E203" s="499"/>
      <c r="F203" s="499"/>
      <c r="G203" s="491"/>
      <c r="H203" s="131" t="s">
        <v>148</v>
      </c>
      <c r="I203" s="101"/>
      <c r="J203" s="102"/>
      <c r="K203" s="101"/>
      <c r="L203" s="101">
        <v>18000</v>
      </c>
      <c r="M203" s="6"/>
      <c r="N203" s="6"/>
    </row>
    <row r="204" spans="1:14" s="48" customFormat="1" ht="18" customHeight="1" x14ac:dyDescent="0.25">
      <c r="A204" s="519"/>
      <c r="B204" s="499" t="s">
        <v>123</v>
      </c>
      <c r="C204" s="499" t="s">
        <v>1386</v>
      </c>
      <c r="D204" s="536" t="s">
        <v>211</v>
      </c>
      <c r="E204" s="499"/>
      <c r="F204" s="499"/>
      <c r="G204" s="491"/>
      <c r="H204" s="131" t="s">
        <v>212</v>
      </c>
      <c r="I204" s="101"/>
      <c r="J204" s="102"/>
      <c r="K204" s="101"/>
      <c r="L204" s="101">
        <v>1800</v>
      </c>
      <c r="M204" s="6"/>
      <c r="N204" s="6"/>
    </row>
    <row r="205" spans="1:14" s="48" customFormat="1" ht="18" customHeight="1" x14ac:dyDescent="0.25">
      <c r="A205" s="519"/>
      <c r="B205" s="499" t="s">
        <v>123</v>
      </c>
      <c r="C205" s="499" t="s">
        <v>1386</v>
      </c>
      <c r="D205" s="1611" t="s">
        <v>149</v>
      </c>
      <c r="E205" s="1611"/>
      <c r="F205" s="1611"/>
      <c r="G205" s="1602"/>
      <c r="H205" s="131" t="s">
        <v>150</v>
      </c>
      <c r="I205" s="101">
        <v>144900</v>
      </c>
      <c r="J205" s="102">
        <v>0</v>
      </c>
      <c r="K205" s="101"/>
      <c r="L205" s="101">
        <v>84234</v>
      </c>
      <c r="M205" s="6"/>
      <c r="N205" s="6"/>
    </row>
    <row r="206" spans="1:14" s="48" customFormat="1" ht="18" customHeight="1" x14ac:dyDescent="0.25">
      <c r="A206" s="519"/>
      <c r="B206" s="499" t="s">
        <v>123</v>
      </c>
      <c r="C206" s="499" t="s">
        <v>1386</v>
      </c>
      <c r="D206" s="536" t="s">
        <v>151</v>
      </c>
      <c r="E206" s="491"/>
      <c r="F206" s="492"/>
      <c r="G206" s="492"/>
      <c r="H206" s="131" t="s">
        <v>148</v>
      </c>
      <c r="I206" s="101">
        <v>90000</v>
      </c>
      <c r="J206" s="102">
        <v>0</v>
      </c>
      <c r="K206" s="101"/>
      <c r="L206" s="101"/>
      <c r="M206" s="6"/>
      <c r="N206" s="6"/>
    </row>
    <row r="207" spans="1:14" s="48" customFormat="1" ht="18" customHeight="1" x14ac:dyDescent="0.25">
      <c r="A207" s="519"/>
      <c r="B207" s="499" t="s">
        <v>123</v>
      </c>
      <c r="C207" s="499" t="s">
        <v>1386</v>
      </c>
      <c r="D207" s="1611" t="s">
        <v>152</v>
      </c>
      <c r="E207" s="1611"/>
      <c r="F207" s="1611"/>
      <c r="G207" s="1602"/>
      <c r="H207" s="131"/>
      <c r="I207" s="101"/>
      <c r="J207" s="102">
        <v>228959.5</v>
      </c>
      <c r="K207" s="101"/>
      <c r="L207" s="101"/>
      <c r="M207" s="6"/>
      <c r="N207" s="6"/>
    </row>
    <row r="208" spans="1:14" s="48" customFormat="1" ht="18" customHeight="1" x14ac:dyDescent="0.25">
      <c r="A208" s="519"/>
      <c r="B208" s="499" t="s">
        <v>123</v>
      </c>
      <c r="C208" s="499" t="s">
        <v>1386</v>
      </c>
      <c r="D208" s="1602" t="s">
        <v>153</v>
      </c>
      <c r="E208" s="1603"/>
      <c r="F208" s="1603"/>
      <c r="G208" s="1603"/>
      <c r="H208" s="131" t="s">
        <v>154</v>
      </c>
      <c r="I208" s="101">
        <v>87438.42</v>
      </c>
      <c r="J208" s="102">
        <v>495446.4</v>
      </c>
      <c r="K208" s="101">
        <v>117134.56</v>
      </c>
      <c r="L208" s="101">
        <v>550644.47999999998</v>
      </c>
      <c r="M208" s="6"/>
      <c r="N208" s="6">
        <f>300890.88+249753.6</f>
        <v>550644.47999999998</v>
      </c>
    </row>
    <row r="209" spans="1:16" s="48" customFormat="1" ht="18" customHeight="1" x14ac:dyDescent="0.25">
      <c r="A209" s="519"/>
      <c r="B209" s="499" t="s">
        <v>123</v>
      </c>
      <c r="C209" s="499" t="s">
        <v>1386</v>
      </c>
      <c r="D209" s="1602" t="s">
        <v>155</v>
      </c>
      <c r="E209" s="1603"/>
      <c r="F209" s="1603"/>
      <c r="G209" s="1603"/>
      <c r="H209" s="131" t="s">
        <v>156</v>
      </c>
      <c r="I209" s="101">
        <v>6300</v>
      </c>
      <c r="J209" s="102">
        <v>36000</v>
      </c>
      <c r="K209" s="101">
        <v>8800</v>
      </c>
      <c r="L209" s="101">
        <v>36000</v>
      </c>
      <c r="M209" s="6"/>
      <c r="N209" s="6">
        <f>14400+21600</f>
        <v>36000</v>
      </c>
    </row>
    <row r="210" spans="1:16" s="48" customFormat="1" ht="18" customHeight="1" x14ac:dyDescent="0.25">
      <c r="A210" s="519"/>
      <c r="B210" s="499" t="s">
        <v>123</v>
      </c>
      <c r="C210" s="499" t="s">
        <v>1386</v>
      </c>
      <c r="D210" s="1602" t="s">
        <v>157</v>
      </c>
      <c r="E210" s="1603"/>
      <c r="F210" s="1603"/>
      <c r="G210" s="1603"/>
      <c r="H210" s="131" t="s">
        <v>158</v>
      </c>
      <c r="I210" s="101">
        <v>10206.41</v>
      </c>
      <c r="J210" s="102">
        <v>72252.600000000006</v>
      </c>
      <c r="K210" s="101">
        <v>15880.26</v>
      </c>
      <c r="L210" s="101">
        <v>183804</v>
      </c>
      <c r="M210" s="6"/>
      <c r="N210" s="6">
        <f>100440+83364</f>
        <v>183804</v>
      </c>
    </row>
    <row r="211" spans="1:16" s="48" customFormat="1" ht="18" customHeight="1" x14ac:dyDescent="0.25">
      <c r="A211" s="519"/>
      <c r="B211" s="499" t="s">
        <v>123</v>
      </c>
      <c r="C211" s="499" t="s">
        <v>1386</v>
      </c>
      <c r="D211" s="1611" t="s">
        <v>159</v>
      </c>
      <c r="E211" s="1611"/>
      <c r="F211" s="1611"/>
      <c r="G211" s="1602"/>
      <c r="H211" s="133" t="s">
        <v>160</v>
      </c>
      <c r="I211" s="105">
        <v>6307.56</v>
      </c>
      <c r="J211" s="106">
        <v>36000</v>
      </c>
      <c r="K211" s="105">
        <v>8800</v>
      </c>
      <c r="L211" s="105">
        <v>36000</v>
      </c>
      <c r="M211" s="6"/>
      <c r="N211" s="6">
        <f>14400+21600</f>
        <v>36000</v>
      </c>
    </row>
    <row r="212" spans="1:16" s="48" customFormat="1" ht="18" customHeight="1" x14ac:dyDescent="0.25">
      <c r="A212" s="519"/>
      <c r="B212" s="499" t="s">
        <v>163</v>
      </c>
      <c r="C212" s="499" t="s">
        <v>1386</v>
      </c>
      <c r="D212" s="44" t="s">
        <v>168</v>
      </c>
      <c r="E212" s="125"/>
      <c r="F212" s="125"/>
      <c r="G212" s="134"/>
      <c r="H212" s="131" t="s">
        <v>169</v>
      </c>
      <c r="I212" s="101">
        <v>14115.5</v>
      </c>
      <c r="J212" s="102">
        <v>53305.5</v>
      </c>
      <c r="K212" s="101">
        <v>33543</v>
      </c>
      <c r="L212" s="101">
        <v>64245</v>
      </c>
      <c r="M212" s="6"/>
      <c r="N212" s="6"/>
    </row>
    <row r="213" spans="1:16" s="48" customFormat="1" ht="18" customHeight="1" x14ac:dyDescent="0.25">
      <c r="A213" s="519"/>
      <c r="B213" s="499" t="s">
        <v>163</v>
      </c>
      <c r="C213" s="499" t="s">
        <v>1386</v>
      </c>
      <c r="D213" s="44" t="s">
        <v>172</v>
      </c>
      <c r="E213" s="125"/>
      <c r="F213" s="125"/>
      <c r="G213" s="134"/>
      <c r="H213" s="131" t="s">
        <v>173</v>
      </c>
      <c r="I213" s="101">
        <v>49074.559999999998</v>
      </c>
      <c r="J213" s="111"/>
      <c r="K213" s="112"/>
      <c r="L213" s="101"/>
      <c r="M213" s="6"/>
      <c r="N213" s="6"/>
      <c r="O213" s="115"/>
      <c r="P213" s="115"/>
    </row>
    <row r="214" spans="1:16" s="48" customFormat="1" ht="18" customHeight="1" x14ac:dyDescent="0.25">
      <c r="A214" s="519"/>
      <c r="B214" s="499" t="s">
        <v>163</v>
      </c>
      <c r="C214" s="499" t="s">
        <v>1386</v>
      </c>
      <c r="D214" s="44" t="s">
        <v>174</v>
      </c>
      <c r="E214" s="125"/>
      <c r="F214" s="125"/>
      <c r="G214" s="134"/>
      <c r="H214" s="131" t="s">
        <v>171</v>
      </c>
      <c r="I214" s="101">
        <v>8148.25</v>
      </c>
      <c r="J214" s="111">
        <v>26880</v>
      </c>
      <c r="K214" s="112"/>
      <c r="L214" s="101"/>
      <c r="M214" s="6"/>
      <c r="N214" s="6"/>
    </row>
    <row r="215" spans="1:16" s="48" customFormat="1" ht="18" customHeight="1" x14ac:dyDescent="0.25">
      <c r="A215" s="519"/>
      <c r="B215" s="499" t="s">
        <v>163</v>
      </c>
      <c r="C215" s="499" t="s">
        <v>1386</v>
      </c>
      <c r="D215" s="44" t="s">
        <v>213</v>
      </c>
      <c r="E215" s="125"/>
      <c r="F215" s="125"/>
      <c r="G215" s="134"/>
      <c r="H215" s="131" t="s">
        <v>171</v>
      </c>
      <c r="I215" s="101"/>
      <c r="J215" s="111"/>
      <c r="K215" s="112"/>
      <c r="L215" s="101">
        <v>669129</v>
      </c>
      <c r="M215" s="6"/>
      <c r="N215" s="6"/>
    </row>
    <row r="216" spans="1:16" s="48" customFormat="1" ht="18" customHeight="1" x14ac:dyDescent="0.25">
      <c r="A216" s="519"/>
      <c r="B216" s="499" t="s">
        <v>163</v>
      </c>
      <c r="C216" s="499" t="s">
        <v>1386</v>
      </c>
      <c r="D216" s="44" t="s">
        <v>214</v>
      </c>
      <c r="E216" s="113"/>
      <c r="F216" s="114"/>
      <c r="H216" s="131" t="s">
        <v>171</v>
      </c>
      <c r="I216" s="101">
        <v>43150</v>
      </c>
      <c r="J216" s="111">
        <v>500000</v>
      </c>
      <c r="K216" s="112"/>
      <c r="L216" s="101"/>
      <c r="M216" s="6"/>
      <c r="N216" s="6"/>
    </row>
    <row r="217" spans="1:16" s="48" customFormat="1" ht="18" customHeight="1" x14ac:dyDescent="0.25">
      <c r="A217" s="519"/>
      <c r="B217" s="499" t="s">
        <v>163</v>
      </c>
      <c r="C217" s="499" t="s">
        <v>1386</v>
      </c>
      <c r="D217" s="536" t="s">
        <v>215</v>
      </c>
      <c r="E217" s="499"/>
      <c r="F217" s="499"/>
      <c r="G217" s="135"/>
      <c r="H217" s="131" t="s">
        <v>171</v>
      </c>
      <c r="I217" s="101"/>
      <c r="J217" s="111">
        <v>20000</v>
      </c>
      <c r="K217" s="112"/>
      <c r="L217" s="101"/>
      <c r="M217" s="6"/>
      <c r="N217" s="6"/>
    </row>
    <row r="218" spans="1:16" s="48" customFormat="1" ht="18" customHeight="1" x14ac:dyDescent="0.25">
      <c r="A218" s="519"/>
      <c r="B218" s="499" t="s">
        <v>163</v>
      </c>
      <c r="C218" s="499" t="s">
        <v>1386</v>
      </c>
      <c r="D218" s="536" t="s">
        <v>178</v>
      </c>
      <c r="E218" s="499"/>
      <c r="F218" s="499"/>
      <c r="G218" s="135"/>
      <c r="H218" s="131" t="s">
        <v>179</v>
      </c>
      <c r="I218" s="101"/>
      <c r="J218" s="111"/>
      <c r="K218" s="112"/>
      <c r="L218" s="101">
        <v>55680</v>
      </c>
      <c r="M218" s="6"/>
      <c r="N218" s="6"/>
    </row>
    <row r="219" spans="1:16" s="48" customFormat="1" ht="18" customHeight="1" x14ac:dyDescent="0.25">
      <c r="A219" s="519"/>
      <c r="B219" s="499" t="s">
        <v>163</v>
      </c>
      <c r="C219" s="499" t="s">
        <v>1386</v>
      </c>
      <c r="D219" s="44" t="s">
        <v>216</v>
      </c>
      <c r="E219" s="125"/>
      <c r="F219" s="125"/>
      <c r="G219" s="134"/>
      <c r="H219" s="131" t="s">
        <v>179</v>
      </c>
      <c r="I219" s="101">
        <v>11550.6</v>
      </c>
      <c r="J219" s="111">
        <v>28800</v>
      </c>
      <c r="K219" s="112">
        <v>5243.9</v>
      </c>
      <c r="L219" s="101"/>
      <c r="M219" s="6"/>
      <c r="N219" s="6"/>
    </row>
    <row r="220" spans="1:16" s="48" customFormat="1" ht="18" customHeight="1" x14ac:dyDescent="0.25">
      <c r="A220" s="519"/>
      <c r="B220" s="499" t="s">
        <v>163</v>
      </c>
      <c r="C220" s="499" t="s">
        <v>1386</v>
      </c>
      <c r="D220" s="44" t="s">
        <v>181</v>
      </c>
      <c r="E220" s="125"/>
      <c r="F220" s="125"/>
      <c r="G220" s="134"/>
      <c r="H220" s="131" t="s">
        <v>179</v>
      </c>
      <c r="I220" s="101">
        <v>17780</v>
      </c>
      <c r="J220" s="111">
        <v>26880</v>
      </c>
      <c r="K220" s="112">
        <v>6050</v>
      </c>
      <c r="L220" s="101"/>
      <c r="M220" s="6"/>
      <c r="N220" s="6"/>
      <c r="O220" s="115"/>
      <c r="P220" s="115"/>
    </row>
    <row r="221" spans="1:16" s="48" customFormat="1" ht="18" customHeight="1" x14ac:dyDescent="0.25">
      <c r="A221" s="519"/>
      <c r="B221" s="499" t="s">
        <v>163</v>
      </c>
      <c r="C221" s="499" t="s">
        <v>1386</v>
      </c>
      <c r="D221" s="44" t="s">
        <v>217</v>
      </c>
      <c r="E221" s="125"/>
      <c r="F221" s="134"/>
      <c r="G221" s="125"/>
      <c r="H221" s="131" t="s">
        <v>218</v>
      </c>
      <c r="I221" s="101"/>
      <c r="J221" s="111">
        <v>7200</v>
      </c>
      <c r="K221" s="112"/>
      <c r="L221" s="101">
        <v>7200</v>
      </c>
      <c r="M221" s="6"/>
      <c r="N221" s="6"/>
      <c r="O221" s="115"/>
      <c r="P221" s="115"/>
    </row>
    <row r="222" spans="1:16" s="48" customFormat="1" ht="18" customHeight="1" x14ac:dyDescent="0.25">
      <c r="A222" s="519"/>
      <c r="B222" s="499" t="s">
        <v>163</v>
      </c>
      <c r="C222" s="499" t="s">
        <v>1386</v>
      </c>
      <c r="D222" s="44" t="s">
        <v>198</v>
      </c>
      <c r="E222" s="125"/>
      <c r="F222" s="134"/>
      <c r="G222" s="134"/>
      <c r="H222" s="131" t="s">
        <v>199</v>
      </c>
      <c r="I222" s="101">
        <v>1192217.23</v>
      </c>
      <c r="J222" s="111">
        <v>2926687.92</v>
      </c>
      <c r="K222" s="112">
        <v>552261.06999999995</v>
      </c>
      <c r="L222" s="105">
        <v>3055235.04</v>
      </c>
      <c r="M222" s="6"/>
      <c r="N222" s="6"/>
      <c r="O222" s="115"/>
      <c r="P222" s="115"/>
    </row>
    <row r="223" spans="1:16" s="136" customFormat="1" ht="18" customHeight="1" x14ac:dyDescent="0.25">
      <c r="A223" s="519"/>
      <c r="B223" s="499" t="s">
        <v>201</v>
      </c>
      <c r="C223" s="499" t="s">
        <v>1386</v>
      </c>
      <c r="D223" s="536" t="s">
        <v>219</v>
      </c>
      <c r="E223" s="499"/>
      <c r="F223" s="499"/>
      <c r="G223" s="499"/>
      <c r="H223" s="97"/>
      <c r="I223" s="101"/>
      <c r="J223" s="111"/>
      <c r="K223" s="112"/>
      <c r="L223" s="121">
        <v>200000</v>
      </c>
      <c r="M223" s="6"/>
      <c r="N223" s="6"/>
      <c r="O223" s="115"/>
      <c r="P223" s="115"/>
    </row>
    <row r="224" spans="1:16" s="136" customFormat="1" ht="18" customHeight="1" x14ac:dyDescent="0.25">
      <c r="A224" s="519"/>
      <c r="B224" s="499" t="s">
        <v>201</v>
      </c>
      <c r="C224" s="499" t="s">
        <v>1386</v>
      </c>
      <c r="D224" s="536" t="s">
        <v>220</v>
      </c>
      <c r="E224" s="499"/>
      <c r="F224" s="499"/>
      <c r="G224" s="499"/>
      <c r="H224" s="97"/>
      <c r="I224" s="101"/>
      <c r="J224" s="111"/>
      <c r="K224" s="112"/>
      <c r="L224" s="101">
        <v>54000</v>
      </c>
      <c r="M224" s="6"/>
      <c r="N224" s="6"/>
      <c r="O224" s="115"/>
      <c r="P224" s="115"/>
    </row>
    <row r="225" spans="1:16" s="136" customFormat="1" ht="18" customHeight="1" x14ac:dyDescent="0.25">
      <c r="A225" s="519"/>
      <c r="B225" s="499" t="s">
        <v>201</v>
      </c>
      <c r="C225" s="499" t="s">
        <v>1386</v>
      </c>
      <c r="D225" s="536" t="s">
        <v>221</v>
      </c>
      <c r="E225" s="499"/>
      <c r="F225" s="499"/>
      <c r="G225" s="499"/>
      <c r="H225" s="97"/>
      <c r="I225" s="101"/>
      <c r="J225" s="111"/>
      <c r="K225" s="112"/>
      <c r="L225" s="101">
        <v>120000</v>
      </c>
      <c r="M225" s="6"/>
      <c r="N225" s="6"/>
      <c r="O225" s="115"/>
      <c r="P225" s="115"/>
    </row>
    <row r="226" spans="1:16" s="48" customFormat="1" ht="18" customHeight="1" x14ac:dyDescent="0.25">
      <c r="A226" s="495"/>
      <c r="B226" s="499" t="s">
        <v>201</v>
      </c>
      <c r="C226" s="499" t="s">
        <v>1386</v>
      </c>
      <c r="D226" s="536" t="s">
        <v>222</v>
      </c>
      <c r="E226" s="499"/>
      <c r="F226" s="496"/>
      <c r="G226" s="496"/>
      <c r="H226" s="97"/>
      <c r="I226" s="101"/>
      <c r="J226" s="111">
        <v>360000</v>
      </c>
      <c r="K226" s="112"/>
      <c r="L226" s="101"/>
      <c r="M226" s="6"/>
      <c r="N226" s="6"/>
      <c r="O226" s="115"/>
      <c r="P226" s="115"/>
    </row>
    <row r="227" spans="1:16" s="48" customFormat="1" ht="18" customHeight="1" x14ac:dyDescent="0.25">
      <c r="A227" s="495"/>
      <c r="B227" s="499" t="s">
        <v>201</v>
      </c>
      <c r="C227" s="499" t="s">
        <v>1386</v>
      </c>
      <c r="D227" s="1611" t="s">
        <v>223</v>
      </c>
      <c r="E227" s="1611"/>
      <c r="F227" s="1612"/>
      <c r="G227" s="1613"/>
      <c r="H227" s="97"/>
      <c r="I227" s="101">
        <v>0</v>
      </c>
      <c r="J227" s="111">
        <v>16000</v>
      </c>
      <c r="K227" s="112"/>
      <c r="L227" s="101">
        <v>15300</v>
      </c>
      <c r="M227" s="6"/>
      <c r="N227" s="6"/>
      <c r="O227" s="115"/>
      <c r="P227" s="115"/>
    </row>
    <row r="228" spans="1:16" s="48" customFormat="1" ht="18" customHeight="1" x14ac:dyDescent="0.25">
      <c r="A228" s="495"/>
      <c r="B228" s="499" t="s">
        <v>201</v>
      </c>
      <c r="C228" s="499" t="s">
        <v>1386</v>
      </c>
      <c r="D228" s="1611" t="s">
        <v>224</v>
      </c>
      <c r="E228" s="1611"/>
      <c r="F228" s="1611"/>
      <c r="G228" s="1602"/>
      <c r="H228" s="137"/>
      <c r="I228" s="138"/>
      <c r="J228" s="139">
        <v>85000</v>
      </c>
      <c r="K228" s="140"/>
      <c r="L228" s="101"/>
      <c r="M228" s="6"/>
      <c r="N228" s="6"/>
      <c r="O228" s="115"/>
      <c r="P228" s="115"/>
    </row>
    <row r="229" spans="1:16" s="48" customFormat="1" ht="18" customHeight="1" x14ac:dyDescent="0.25">
      <c r="A229" s="495"/>
      <c r="B229" s="499" t="s">
        <v>201</v>
      </c>
      <c r="C229" s="499" t="s">
        <v>1386</v>
      </c>
      <c r="D229" s="1611" t="s">
        <v>225</v>
      </c>
      <c r="E229" s="1611"/>
      <c r="F229" s="1611"/>
      <c r="G229" s="1602"/>
      <c r="H229" s="97"/>
      <c r="I229" s="101"/>
      <c r="J229" s="102">
        <v>40000</v>
      </c>
      <c r="K229" s="141"/>
      <c r="L229" s="101"/>
      <c r="M229" s="6"/>
      <c r="N229" s="6"/>
      <c r="O229" s="115"/>
      <c r="P229" s="115"/>
    </row>
    <row r="230" spans="1:16" s="48" customFormat="1" ht="18" customHeight="1" x14ac:dyDescent="0.25">
      <c r="A230" s="495"/>
      <c r="B230" s="499" t="s">
        <v>201</v>
      </c>
      <c r="C230" s="499" t="s">
        <v>1386</v>
      </c>
      <c r="D230" s="536" t="s">
        <v>226</v>
      </c>
      <c r="E230" s="499"/>
      <c r="F230" s="499"/>
      <c r="G230" s="491"/>
      <c r="H230" s="97"/>
      <c r="I230" s="101"/>
      <c r="J230" s="111">
        <v>15000</v>
      </c>
      <c r="K230" s="112"/>
      <c r="L230" s="105"/>
      <c r="M230" s="6"/>
      <c r="N230" s="6"/>
      <c r="O230" s="115"/>
      <c r="P230" s="115"/>
    </row>
    <row r="231" spans="1:16" s="48" customFormat="1" ht="18" customHeight="1" x14ac:dyDescent="0.25">
      <c r="A231" s="519"/>
      <c r="B231" s="499" t="s">
        <v>123</v>
      </c>
      <c r="C231" s="499" t="s">
        <v>1387</v>
      </c>
      <c r="D231" s="1602" t="s">
        <v>124</v>
      </c>
      <c r="E231" s="1603"/>
      <c r="F231" s="1603"/>
      <c r="G231" s="1603"/>
      <c r="H231" s="131" t="s">
        <v>125</v>
      </c>
      <c r="I231" s="101"/>
      <c r="J231" s="102">
        <v>256836</v>
      </c>
      <c r="K231" s="101"/>
      <c r="L231" s="101">
        <v>286056</v>
      </c>
      <c r="M231" s="6"/>
      <c r="N231" s="6"/>
    </row>
    <row r="232" spans="1:16" s="48" customFormat="1" ht="18" customHeight="1" x14ac:dyDescent="0.25">
      <c r="A232" s="519"/>
      <c r="B232" s="499" t="s">
        <v>123</v>
      </c>
      <c r="C232" s="499" t="s">
        <v>1387</v>
      </c>
      <c r="D232" s="536" t="s">
        <v>126</v>
      </c>
      <c r="E232" s="499"/>
      <c r="F232" s="499"/>
      <c r="G232" s="499"/>
      <c r="H232" s="143" t="s">
        <v>132</v>
      </c>
      <c r="I232" s="101"/>
      <c r="J232" s="102">
        <v>132552</v>
      </c>
      <c r="K232" s="101">
        <v>70776.45</v>
      </c>
      <c r="L232" s="101">
        <v>143928</v>
      </c>
      <c r="M232" s="6"/>
      <c r="N232" s="6"/>
    </row>
    <row r="233" spans="1:16" s="48" customFormat="1" ht="18" customHeight="1" x14ac:dyDescent="0.25">
      <c r="A233" s="519"/>
      <c r="B233" s="499" t="s">
        <v>123</v>
      </c>
      <c r="C233" s="499" t="s">
        <v>1387</v>
      </c>
      <c r="D233" s="1611" t="s">
        <v>129</v>
      </c>
      <c r="E233" s="1611"/>
      <c r="F233" s="1611"/>
      <c r="G233" s="1611"/>
      <c r="H233" s="144" t="s">
        <v>130</v>
      </c>
      <c r="I233" s="101"/>
      <c r="J233" s="102">
        <v>48000</v>
      </c>
      <c r="K233" s="101">
        <v>12181.81</v>
      </c>
      <c r="L233" s="101">
        <v>48000</v>
      </c>
      <c r="M233" s="6"/>
      <c r="N233" s="6"/>
    </row>
    <row r="234" spans="1:16" s="48" customFormat="1" ht="18" customHeight="1" x14ac:dyDescent="0.25">
      <c r="A234" s="519"/>
      <c r="B234" s="499" t="s">
        <v>123</v>
      </c>
      <c r="C234" s="499" t="s">
        <v>1387</v>
      </c>
      <c r="D234" s="1611" t="s">
        <v>137</v>
      </c>
      <c r="E234" s="1611"/>
      <c r="F234" s="1611"/>
      <c r="G234" s="1611"/>
      <c r="H234" s="143" t="s">
        <v>138</v>
      </c>
      <c r="I234" s="101"/>
      <c r="J234" s="102">
        <v>12000</v>
      </c>
      <c r="K234" s="101">
        <v>6000</v>
      </c>
      <c r="L234" s="101">
        <v>12000</v>
      </c>
      <c r="M234" s="6"/>
      <c r="N234" s="6"/>
    </row>
    <row r="235" spans="1:16" s="48" customFormat="1" ht="18" customHeight="1" x14ac:dyDescent="0.25">
      <c r="A235" s="519"/>
      <c r="B235" s="499" t="s">
        <v>123</v>
      </c>
      <c r="C235" s="499" t="s">
        <v>1387</v>
      </c>
      <c r="D235" s="1611" t="s">
        <v>139</v>
      </c>
      <c r="E235" s="1611"/>
      <c r="F235" s="1611"/>
      <c r="G235" s="1611"/>
      <c r="H235" s="143" t="s">
        <v>140</v>
      </c>
      <c r="I235" s="101"/>
      <c r="J235" s="102">
        <v>32449</v>
      </c>
      <c r="K235" s="101">
        <v>11520</v>
      </c>
      <c r="L235" s="101">
        <v>35832</v>
      </c>
      <c r="M235" s="6"/>
      <c r="N235" s="6"/>
    </row>
    <row r="236" spans="1:16" s="48" customFormat="1" ht="18" customHeight="1" x14ac:dyDescent="0.25">
      <c r="A236" s="519"/>
      <c r="B236" s="499" t="s">
        <v>123</v>
      </c>
      <c r="C236" s="499" t="s">
        <v>1387</v>
      </c>
      <c r="D236" s="499" t="s">
        <v>227</v>
      </c>
      <c r="E236" s="499"/>
      <c r="F236" s="499"/>
      <c r="G236" s="499"/>
      <c r="H236" s="143" t="s">
        <v>228</v>
      </c>
      <c r="I236" s="101"/>
      <c r="J236" s="102"/>
      <c r="K236" s="101"/>
      <c r="L236" s="101">
        <v>48000</v>
      </c>
      <c r="M236" s="6"/>
      <c r="N236" s="6"/>
    </row>
    <row r="237" spans="1:16" s="48" customFormat="1" ht="18" customHeight="1" x14ac:dyDescent="0.25">
      <c r="A237" s="519"/>
      <c r="B237" s="499" t="s">
        <v>123</v>
      </c>
      <c r="C237" s="499" t="s">
        <v>1387</v>
      </c>
      <c r="D237" s="1611" t="s">
        <v>141</v>
      </c>
      <c r="E237" s="1611"/>
      <c r="F237" s="1611"/>
      <c r="G237" s="1611"/>
      <c r="H237" s="143" t="s">
        <v>142</v>
      </c>
      <c r="I237" s="101"/>
      <c r="J237" s="102">
        <v>32449</v>
      </c>
      <c r="K237" s="101"/>
      <c r="L237" s="101">
        <v>35832</v>
      </c>
      <c r="M237" s="6"/>
      <c r="N237" s="6"/>
    </row>
    <row r="238" spans="1:16" s="48" customFormat="1" ht="18" customHeight="1" x14ac:dyDescent="0.25">
      <c r="A238" s="519"/>
      <c r="B238" s="499" t="s">
        <v>123</v>
      </c>
      <c r="C238" s="499" t="s">
        <v>1387</v>
      </c>
      <c r="D238" s="1611" t="s">
        <v>143</v>
      </c>
      <c r="E238" s="1611"/>
      <c r="F238" s="1611"/>
      <c r="G238" s="1611"/>
      <c r="H238" s="143" t="s">
        <v>144</v>
      </c>
      <c r="I238" s="101"/>
      <c r="J238" s="102">
        <v>10000</v>
      </c>
      <c r="K238" s="101"/>
      <c r="L238" s="101">
        <v>10000</v>
      </c>
      <c r="M238" s="6"/>
      <c r="N238" s="6"/>
    </row>
    <row r="239" spans="1:16" s="48" customFormat="1" ht="18" customHeight="1" x14ac:dyDescent="0.25">
      <c r="A239" s="519"/>
      <c r="B239" s="499" t="s">
        <v>123</v>
      </c>
      <c r="C239" s="499" t="s">
        <v>1387</v>
      </c>
      <c r="D239" s="1611" t="s">
        <v>145</v>
      </c>
      <c r="E239" s="1611"/>
      <c r="F239" s="1611"/>
      <c r="G239" s="1611"/>
      <c r="H239" s="143" t="s">
        <v>146</v>
      </c>
      <c r="I239" s="101"/>
      <c r="J239" s="102">
        <v>10000</v>
      </c>
      <c r="K239" s="101"/>
      <c r="L239" s="101">
        <v>10000</v>
      </c>
      <c r="M239" s="6"/>
      <c r="N239" s="6"/>
    </row>
    <row r="240" spans="1:16" s="48" customFormat="1" ht="18" customHeight="1" x14ac:dyDescent="0.25">
      <c r="A240" s="519"/>
      <c r="B240" s="499" t="s">
        <v>123</v>
      </c>
      <c r="C240" s="499" t="s">
        <v>1387</v>
      </c>
      <c r="D240" s="536" t="s">
        <v>147</v>
      </c>
      <c r="E240" s="499"/>
      <c r="F240" s="499"/>
      <c r="G240" s="499"/>
      <c r="H240" s="143" t="s">
        <v>148</v>
      </c>
      <c r="I240" s="101"/>
      <c r="J240" s="102"/>
      <c r="K240" s="101"/>
      <c r="L240" s="101">
        <v>3000</v>
      </c>
      <c r="M240" s="6"/>
      <c r="N240" s="6"/>
    </row>
    <row r="241" spans="1:16" s="48" customFormat="1" ht="18" customHeight="1" x14ac:dyDescent="0.25">
      <c r="A241" s="519"/>
      <c r="B241" s="499" t="s">
        <v>123</v>
      </c>
      <c r="C241" s="499" t="s">
        <v>1387</v>
      </c>
      <c r="D241" s="1611" t="s">
        <v>152</v>
      </c>
      <c r="E241" s="1611"/>
      <c r="F241" s="1611"/>
      <c r="G241" s="1611"/>
      <c r="H241" s="143"/>
      <c r="I241" s="101"/>
      <c r="J241" s="102">
        <v>25149.55</v>
      </c>
      <c r="K241" s="101"/>
      <c r="L241" s="101"/>
      <c r="M241" s="6"/>
      <c r="N241" s="6"/>
    </row>
    <row r="242" spans="1:16" s="48" customFormat="1" ht="18" customHeight="1" x14ac:dyDescent="0.25">
      <c r="A242" s="519"/>
      <c r="B242" s="499" t="s">
        <v>123</v>
      </c>
      <c r="C242" s="499" t="s">
        <v>1387</v>
      </c>
      <c r="D242" s="1611" t="s">
        <v>153</v>
      </c>
      <c r="E242" s="1611"/>
      <c r="F242" s="1611"/>
      <c r="G242" s="1611"/>
      <c r="H242" s="143" t="s">
        <v>154</v>
      </c>
      <c r="I242" s="101"/>
      <c r="J242" s="102">
        <v>46726.559999999998</v>
      </c>
      <c r="K242" s="101">
        <v>8985.6</v>
      </c>
      <c r="L242" s="101">
        <v>51598.080000000002</v>
      </c>
      <c r="M242" s="6"/>
      <c r="N242" s="6"/>
    </row>
    <row r="243" spans="1:16" s="48" customFormat="1" ht="18" customHeight="1" x14ac:dyDescent="0.25">
      <c r="A243" s="519"/>
      <c r="B243" s="499" t="s">
        <v>123</v>
      </c>
      <c r="C243" s="499" t="s">
        <v>1387</v>
      </c>
      <c r="D243" s="1611" t="s">
        <v>155</v>
      </c>
      <c r="E243" s="1611"/>
      <c r="F243" s="1611"/>
      <c r="G243" s="1611"/>
      <c r="H243" s="143" t="s">
        <v>156</v>
      </c>
      <c r="I243" s="101"/>
      <c r="J243" s="102">
        <v>2400</v>
      </c>
      <c r="K243" s="101">
        <v>700</v>
      </c>
      <c r="L243" s="101">
        <v>2400</v>
      </c>
      <c r="M243" s="6"/>
      <c r="N243" s="6"/>
    </row>
    <row r="244" spans="1:16" s="48" customFormat="1" ht="18" customHeight="1" x14ac:dyDescent="0.25">
      <c r="A244" s="519"/>
      <c r="B244" s="499" t="s">
        <v>123</v>
      </c>
      <c r="C244" s="499" t="s">
        <v>1387</v>
      </c>
      <c r="D244" s="1602" t="s">
        <v>157</v>
      </c>
      <c r="E244" s="1603"/>
      <c r="F244" s="1603"/>
      <c r="G244" s="1603"/>
      <c r="H244" s="131" t="s">
        <v>158</v>
      </c>
      <c r="I244" s="101"/>
      <c r="J244" s="102">
        <v>6814.29</v>
      </c>
      <c r="K244" s="101">
        <v>1209.5999999999999</v>
      </c>
      <c r="L244" s="101">
        <v>17208</v>
      </c>
      <c r="M244" s="6"/>
      <c r="N244" s="6"/>
    </row>
    <row r="245" spans="1:16" s="48" customFormat="1" ht="18" customHeight="1" x14ac:dyDescent="0.25">
      <c r="A245" s="519"/>
      <c r="B245" s="499" t="s">
        <v>123</v>
      </c>
      <c r="C245" s="499" t="s">
        <v>1387</v>
      </c>
      <c r="D245" s="1602" t="s">
        <v>159</v>
      </c>
      <c r="E245" s="1603"/>
      <c r="F245" s="1603"/>
      <c r="G245" s="1603"/>
      <c r="H245" s="133" t="s">
        <v>160</v>
      </c>
      <c r="I245" s="105"/>
      <c r="J245" s="106">
        <v>2400</v>
      </c>
      <c r="K245" s="105">
        <v>700</v>
      </c>
      <c r="L245" s="105">
        <v>2400</v>
      </c>
      <c r="M245" s="6"/>
      <c r="N245" s="6"/>
    </row>
    <row r="246" spans="1:16" s="48" customFormat="1" ht="18" customHeight="1" x14ac:dyDescent="0.25">
      <c r="A246" s="519"/>
      <c r="B246" s="499" t="s">
        <v>163</v>
      </c>
      <c r="C246" s="499" t="s">
        <v>1387</v>
      </c>
      <c r="D246" s="44" t="s">
        <v>164</v>
      </c>
      <c r="E246" s="113"/>
      <c r="F246" s="113"/>
      <c r="G246" s="114"/>
      <c r="H246" s="131" t="s">
        <v>165</v>
      </c>
      <c r="I246" s="101">
        <v>2550</v>
      </c>
      <c r="J246" s="102">
        <v>15000</v>
      </c>
      <c r="K246" s="101"/>
      <c r="L246" s="101">
        <v>15000</v>
      </c>
      <c r="M246" s="6"/>
      <c r="N246" s="6"/>
    </row>
    <row r="247" spans="1:16" s="48" customFormat="1" ht="18" customHeight="1" x14ac:dyDescent="0.25">
      <c r="A247" s="519"/>
      <c r="B247" s="499" t="s">
        <v>163</v>
      </c>
      <c r="C247" s="499" t="s">
        <v>1387</v>
      </c>
      <c r="D247" s="44" t="s">
        <v>168</v>
      </c>
      <c r="E247" s="113"/>
      <c r="F247" s="113"/>
      <c r="G247" s="114"/>
      <c r="H247" s="131" t="s">
        <v>169</v>
      </c>
      <c r="I247" s="101">
        <v>34402</v>
      </c>
      <c r="J247" s="111">
        <v>54077</v>
      </c>
      <c r="K247" s="112">
        <v>18855</v>
      </c>
      <c r="L247" s="101">
        <v>54156</v>
      </c>
      <c r="M247" s="6"/>
      <c r="N247" s="6"/>
    </row>
    <row r="248" spans="1:16" s="48" customFormat="1" ht="18" customHeight="1" x14ac:dyDescent="0.25">
      <c r="A248" s="519"/>
      <c r="B248" s="499" t="s">
        <v>163</v>
      </c>
      <c r="C248" s="499" t="s">
        <v>1387</v>
      </c>
      <c r="D248" s="44" t="s">
        <v>174</v>
      </c>
      <c r="E248" s="113"/>
      <c r="F248" s="113"/>
      <c r="G248" s="114"/>
      <c r="H248" s="131" t="s">
        <v>171</v>
      </c>
      <c r="I248" s="101">
        <v>4116</v>
      </c>
      <c r="J248" s="111">
        <v>8005</v>
      </c>
      <c r="K248" s="112"/>
      <c r="L248" s="101"/>
      <c r="M248" s="6"/>
      <c r="N248" s="6"/>
    </row>
    <row r="249" spans="1:16" s="48" customFormat="1" ht="18" customHeight="1" x14ac:dyDescent="0.25">
      <c r="A249" s="519"/>
      <c r="B249" s="499" t="s">
        <v>163</v>
      </c>
      <c r="C249" s="499" t="s">
        <v>1387</v>
      </c>
      <c r="D249" s="44" t="s">
        <v>213</v>
      </c>
      <c r="E249" s="113"/>
      <c r="F249" s="113"/>
      <c r="G249" s="114"/>
      <c r="H249" s="131" t="s">
        <v>171</v>
      </c>
      <c r="I249" s="101"/>
      <c r="J249" s="111"/>
      <c r="K249" s="112"/>
      <c r="L249" s="101">
        <v>23784</v>
      </c>
      <c r="M249" s="6"/>
      <c r="N249" s="6"/>
    </row>
    <row r="250" spans="1:16" s="48" customFormat="1" ht="18" customHeight="1" x14ac:dyDescent="0.25">
      <c r="A250" s="519"/>
      <c r="B250" s="499" t="s">
        <v>163</v>
      </c>
      <c r="C250" s="499" t="s">
        <v>1387</v>
      </c>
      <c r="D250" s="44" t="s">
        <v>214</v>
      </c>
      <c r="E250" s="113"/>
      <c r="F250" s="113"/>
      <c r="G250" s="114"/>
      <c r="H250" s="131" t="s">
        <v>171</v>
      </c>
      <c r="I250" s="101"/>
      <c r="J250" s="111">
        <v>15700</v>
      </c>
      <c r="K250" s="112"/>
      <c r="L250" s="101"/>
      <c r="M250" s="6"/>
      <c r="N250" s="6"/>
    </row>
    <row r="251" spans="1:16" s="48" customFormat="1" ht="18" customHeight="1" x14ac:dyDescent="0.25">
      <c r="A251" s="519"/>
      <c r="B251" s="499" t="s">
        <v>163</v>
      </c>
      <c r="C251" s="499" t="s">
        <v>1387</v>
      </c>
      <c r="D251" s="44" t="s">
        <v>178</v>
      </c>
      <c r="E251" s="113"/>
      <c r="F251" s="113"/>
      <c r="G251" s="114"/>
      <c r="H251" s="131" t="s">
        <v>179</v>
      </c>
      <c r="I251" s="101"/>
      <c r="J251" s="111"/>
      <c r="K251" s="112"/>
      <c r="L251" s="101">
        <v>5000</v>
      </c>
      <c r="M251" s="6"/>
      <c r="N251" s="6"/>
    </row>
    <row r="252" spans="1:16" s="48" customFormat="1" ht="18" customHeight="1" x14ac:dyDescent="0.25">
      <c r="A252" s="519"/>
      <c r="B252" s="499" t="s">
        <v>163</v>
      </c>
      <c r="C252" s="499" t="s">
        <v>1387</v>
      </c>
      <c r="D252" s="44" t="s">
        <v>181</v>
      </c>
      <c r="E252" s="113"/>
      <c r="F252" s="113"/>
      <c r="G252" s="114"/>
      <c r="H252" s="131" t="s">
        <v>179</v>
      </c>
      <c r="I252" s="101">
        <v>0</v>
      </c>
      <c r="J252" s="111">
        <v>5000</v>
      </c>
      <c r="K252" s="112"/>
      <c r="L252" s="101"/>
      <c r="M252" s="6"/>
      <c r="N252" s="6"/>
      <c r="O252" s="115"/>
      <c r="P252" s="115"/>
    </row>
    <row r="253" spans="1:16" s="48" customFormat="1" ht="18" customHeight="1" x14ac:dyDescent="0.25">
      <c r="A253" s="519"/>
      <c r="B253" s="499" t="s">
        <v>163</v>
      </c>
      <c r="C253" s="499" t="s">
        <v>1387</v>
      </c>
      <c r="D253" s="44" t="s">
        <v>182</v>
      </c>
      <c r="E253" s="113"/>
      <c r="F253" s="113"/>
      <c r="G253" s="114"/>
      <c r="H253" s="131" t="s">
        <v>183</v>
      </c>
      <c r="I253" s="101">
        <v>11237.95</v>
      </c>
      <c r="J253" s="111">
        <v>30000</v>
      </c>
      <c r="K253" s="112">
        <v>11968.71</v>
      </c>
      <c r="L253" s="101">
        <v>48000</v>
      </c>
      <c r="M253" s="6"/>
      <c r="N253" s="6"/>
    </row>
    <row r="254" spans="1:16" s="48" customFormat="1" ht="18" customHeight="1" x14ac:dyDescent="0.25">
      <c r="A254" s="519"/>
      <c r="B254" s="499" t="s">
        <v>163</v>
      </c>
      <c r="C254" s="499" t="s">
        <v>1387</v>
      </c>
      <c r="D254" s="44" t="s">
        <v>186</v>
      </c>
      <c r="E254" s="113"/>
      <c r="F254" s="113"/>
      <c r="G254" s="114"/>
      <c r="H254" s="131" t="s">
        <v>187</v>
      </c>
      <c r="I254" s="101">
        <v>0</v>
      </c>
      <c r="J254" s="111">
        <v>20000</v>
      </c>
      <c r="K254" s="112"/>
      <c r="L254" s="101">
        <v>20000</v>
      </c>
      <c r="M254" s="6"/>
      <c r="N254" s="6"/>
    </row>
    <row r="255" spans="1:16" s="48" customFormat="1" ht="18" customHeight="1" x14ac:dyDescent="0.25">
      <c r="A255" s="519"/>
      <c r="B255" s="499" t="s">
        <v>163</v>
      </c>
      <c r="C255" s="499" t="s">
        <v>1387</v>
      </c>
      <c r="D255" s="44" t="s">
        <v>198</v>
      </c>
      <c r="E255" s="113"/>
      <c r="F255" s="113"/>
      <c r="G255" s="114"/>
      <c r="H255" s="133" t="s">
        <v>199</v>
      </c>
      <c r="I255" s="105"/>
      <c r="J255" s="117">
        <v>203519.76</v>
      </c>
      <c r="K255" s="118">
        <v>75348.990000000005</v>
      </c>
      <c r="L255" s="105">
        <v>162024</v>
      </c>
      <c r="M255" s="6"/>
      <c r="N255" s="6">
        <f>210024-48000</f>
        <v>162024</v>
      </c>
      <c r="O255" s="115"/>
      <c r="P255" s="115"/>
    </row>
    <row r="256" spans="1:16" s="146" customFormat="1" ht="18" customHeight="1" x14ac:dyDescent="0.25">
      <c r="A256" s="495"/>
      <c r="B256" s="499" t="s">
        <v>201</v>
      </c>
      <c r="C256" s="499" t="s">
        <v>1387</v>
      </c>
      <c r="D256" s="536" t="s">
        <v>229</v>
      </c>
      <c r="E256" s="496"/>
      <c r="F256" s="496"/>
      <c r="G256" s="496"/>
      <c r="H256" s="97"/>
      <c r="I256" s="101"/>
      <c r="J256" s="102"/>
      <c r="K256" s="101"/>
      <c r="L256" s="145">
        <v>50000</v>
      </c>
      <c r="M256" s="10"/>
      <c r="N256" s="10"/>
      <c r="O256"/>
      <c r="P256"/>
    </row>
    <row r="257" spans="1:16" s="48" customFormat="1" ht="18" customHeight="1" x14ac:dyDescent="0.25">
      <c r="A257" s="495"/>
      <c r="B257" s="499" t="s">
        <v>201</v>
      </c>
      <c r="C257" s="499" t="s">
        <v>1387</v>
      </c>
      <c r="D257" s="409" t="s">
        <v>230</v>
      </c>
      <c r="E257" s="554"/>
      <c r="F257" s="555"/>
      <c r="G257" s="555"/>
      <c r="H257" s="147"/>
      <c r="I257" s="148"/>
      <c r="J257" s="149"/>
      <c r="K257" s="140"/>
      <c r="L257" s="105">
        <v>160000</v>
      </c>
      <c r="M257" s="6"/>
      <c r="N257" s="6"/>
      <c r="O257" s="115"/>
      <c r="P257" s="115"/>
    </row>
    <row r="258" spans="1:16" s="48" customFormat="1" ht="18" customHeight="1" x14ac:dyDescent="0.25">
      <c r="A258" s="519"/>
      <c r="B258" s="499" t="s">
        <v>123</v>
      </c>
      <c r="C258" s="499" t="s">
        <v>1388</v>
      </c>
      <c r="D258" s="1602" t="s">
        <v>124</v>
      </c>
      <c r="E258" s="1603"/>
      <c r="F258" s="1603"/>
      <c r="G258" s="1603"/>
      <c r="H258" s="131" t="s">
        <v>125</v>
      </c>
      <c r="I258" s="101">
        <v>695268</v>
      </c>
      <c r="J258" s="102">
        <v>909504</v>
      </c>
      <c r="K258" s="101">
        <v>421456</v>
      </c>
      <c r="L258" s="101">
        <v>993912</v>
      </c>
      <c r="M258" s="6"/>
      <c r="N258" s="6"/>
    </row>
    <row r="259" spans="1:16" s="48" customFormat="1" ht="18" customHeight="1" x14ac:dyDescent="0.25">
      <c r="A259" s="519"/>
      <c r="B259" s="499" t="s">
        <v>123</v>
      </c>
      <c r="C259" s="499" t="s">
        <v>1388</v>
      </c>
      <c r="D259" s="1602" t="s">
        <v>126</v>
      </c>
      <c r="E259" s="1603"/>
      <c r="F259" s="1603"/>
      <c r="G259" s="1603"/>
      <c r="H259" s="131" t="s">
        <v>127</v>
      </c>
      <c r="I259" s="101">
        <v>149929.13</v>
      </c>
      <c r="J259" s="102">
        <v>132552</v>
      </c>
      <c r="K259" s="101">
        <v>70776.45</v>
      </c>
      <c r="L259" s="101">
        <v>143928</v>
      </c>
      <c r="M259" s="6"/>
      <c r="N259" s="6"/>
    </row>
    <row r="260" spans="1:16" s="48" customFormat="1" ht="18" customHeight="1" x14ac:dyDescent="0.25">
      <c r="A260" s="519"/>
      <c r="B260" s="499" t="s">
        <v>123</v>
      </c>
      <c r="C260" s="499" t="s">
        <v>1388</v>
      </c>
      <c r="D260" s="1614" t="s">
        <v>128</v>
      </c>
      <c r="E260" s="1615"/>
      <c r="F260" s="492"/>
      <c r="G260" s="492"/>
      <c r="H260" s="131" t="s">
        <v>125</v>
      </c>
      <c r="I260" s="101"/>
      <c r="J260" s="102"/>
      <c r="K260" s="101"/>
      <c r="L260" s="101">
        <v>6070</v>
      </c>
      <c r="M260" s="6"/>
      <c r="N260" s="6"/>
    </row>
    <row r="261" spans="1:16" s="48" customFormat="1" ht="18" customHeight="1" x14ac:dyDescent="0.25">
      <c r="A261" s="519"/>
      <c r="B261" s="499" t="s">
        <v>123</v>
      </c>
      <c r="C261" s="499" t="s">
        <v>1388</v>
      </c>
      <c r="D261" s="1602" t="s">
        <v>129</v>
      </c>
      <c r="E261" s="1603"/>
      <c r="F261" s="1603"/>
      <c r="G261" s="1603"/>
      <c r="H261" s="132" t="s">
        <v>130</v>
      </c>
      <c r="I261" s="101">
        <v>86272.55</v>
      </c>
      <c r="J261" s="102">
        <v>120000</v>
      </c>
      <c r="K261" s="101">
        <v>54181.81</v>
      </c>
      <c r="L261" s="101">
        <v>120000</v>
      </c>
      <c r="M261" s="6"/>
      <c r="N261" s="6"/>
    </row>
    <row r="262" spans="1:16" s="48" customFormat="1" ht="18" customHeight="1" x14ac:dyDescent="0.25">
      <c r="A262" s="519"/>
      <c r="B262" s="499" t="s">
        <v>123</v>
      </c>
      <c r="C262" s="499" t="s">
        <v>1388</v>
      </c>
      <c r="D262" s="1602" t="s">
        <v>135</v>
      </c>
      <c r="E262" s="1603"/>
      <c r="F262" s="1603"/>
      <c r="G262" s="1603"/>
      <c r="H262" s="131" t="s">
        <v>136</v>
      </c>
      <c r="I262" s="101">
        <v>0</v>
      </c>
      <c r="J262" s="102">
        <v>204879.09</v>
      </c>
      <c r="K262" s="101"/>
      <c r="L262" s="101">
        <v>50000</v>
      </c>
      <c r="M262" s="6"/>
      <c r="N262" s="6"/>
    </row>
    <row r="263" spans="1:16" s="48" customFormat="1" ht="18" customHeight="1" x14ac:dyDescent="0.25">
      <c r="A263" s="519"/>
      <c r="B263" s="499" t="s">
        <v>123</v>
      </c>
      <c r="C263" s="499" t="s">
        <v>1388</v>
      </c>
      <c r="D263" s="1602" t="s">
        <v>137</v>
      </c>
      <c r="E263" s="1603"/>
      <c r="F263" s="1603"/>
      <c r="G263" s="1603"/>
      <c r="H263" s="131" t="s">
        <v>138</v>
      </c>
      <c r="I263" s="101">
        <v>18000</v>
      </c>
      <c r="J263" s="102">
        <v>30000</v>
      </c>
      <c r="K263" s="101">
        <v>24000</v>
      </c>
      <c r="L263" s="101">
        <v>30000</v>
      </c>
      <c r="M263" s="6"/>
      <c r="N263" s="6"/>
    </row>
    <row r="264" spans="1:16" s="48" customFormat="1" ht="18" customHeight="1" x14ac:dyDescent="0.25">
      <c r="A264" s="519"/>
      <c r="B264" s="499" t="s">
        <v>123</v>
      </c>
      <c r="C264" s="499" t="s">
        <v>1388</v>
      </c>
      <c r="D264" s="1602" t="s">
        <v>139</v>
      </c>
      <c r="E264" s="1603"/>
      <c r="F264" s="1603"/>
      <c r="G264" s="1603"/>
      <c r="H264" s="131" t="s">
        <v>140</v>
      </c>
      <c r="I264" s="101">
        <v>68985</v>
      </c>
      <c r="J264" s="102">
        <v>86838</v>
      </c>
      <c r="K264" s="101">
        <v>71728</v>
      </c>
      <c r="L264" s="101">
        <v>95427</v>
      </c>
      <c r="M264" s="6"/>
      <c r="N264" s="6"/>
    </row>
    <row r="265" spans="1:16" s="48" customFormat="1" ht="18" customHeight="1" x14ac:dyDescent="0.25">
      <c r="A265" s="519"/>
      <c r="B265" s="499" t="s">
        <v>123</v>
      </c>
      <c r="C265" s="499" t="s">
        <v>1388</v>
      </c>
      <c r="D265" s="1602" t="s">
        <v>141</v>
      </c>
      <c r="E265" s="1603"/>
      <c r="F265" s="1603"/>
      <c r="G265" s="1603"/>
      <c r="H265" s="131" t="s">
        <v>142</v>
      </c>
      <c r="I265" s="101">
        <v>68985</v>
      </c>
      <c r="J265" s="102">
        <v>86838</v>
      </c>
      <c r="K265" s="101"/>
      <c r="L265" s="101">
        <v>95427</v>
      </c>
      <c r="M265" s="6"/>
      <c r="N265" s="6"/>
    </row>
    <row r="266" spans="1:16" s="48" customFormat="1" ht="18" customHeight="1" x14ac:dyDescent="0.25">
      <c r="A266" s="519"/>
      <c r="B266" s="499" t="s">
        <v>123</v>
      </c>
      <c r="C266" s="499" t="s">
        <v>1388</v>
      </c>
      <c r="D266" s="1602" t="s">
        <v>143</v>
      </c>
      <c r="E266" s="1603"/>
      <c r="F266" s="1603"/>
      <c r="G266" s="1603"/>
      <c r="H266" s="131" t="s">
        <v>144</v>
      </c>
      <c r="I266" s="101">
        <v>20000</v>
      </c>
      <c r="J266" s="102">
        <v>25000</v>
      </c>
      <c r="K266" s="101"/>
      <c r="L266" s="101">
        <v>25000</v>
      </c>
      <c r="M266" s="6"/>
      <c r="N266" s="6"/>
    </row>
    <row r="267" spans="1:16" s="48" customFormat="1" ht="18" customHeight="1" x14ac:dyDescent="0.25">
      <c r="A267" s="519"/>
      <c r="B267" s="499" t="s">
        <v>123</v>
      </c>
      <c r="C267" s="499" t="s">
        <v>1388</v>
      </c>
      <c r="D267" s="1602" t="s">
        <v>145</v>
      </c>
      <c r="E267" s="1603"/>
      <c r="F267" s="1603"/>
      <c r="G267" s="1610"/>
      <c r="H267" s="131" t="s">
        <v>146</v>
      </c>
      <c r="I267" s="101">
        <v>20000</v>
      </c>
      <c r="J267" s="102">
        <v>25000</v>
      </c>
      <c r="K267" s="101"/>
      <c r="L267" s="101">
        <v>25000</v>
      </c>
      <c r="M267" s="6"/>
      <c r="N267" s="6"/>
    </row>
    <row r="268" spans="1:16" s="48" customFormat="1" ht="18" customHeight="1" x14ac:dyDescent="0.25">
      <c r="A268" s="519"/>
      <c r="B268" s="499" t="s">
        <v>123</v>
      </c>
      <c r="C268" s="499" t="s">
        <v>1388</v>
      </c>
      <c r="D268" s="513" t="s">
        <v>231</v>
      </c>
      <c r="E268" s="499"/>
      <c r="F268" s="499"/>
      <c r="G268" s="499"/>
      <c r="H268" s="131" t="s">
        <v>232</v>
      </c>
      <c r="I268" s="101"/>
      <c r="J268" s="102"/>
      <c r="K268" s="101"/>
      <c r="L268" s="101">
        <v>5000</v>
      </c>
      <c r="M268" s="6"/>
      <c r="N268" s="6"/>
    </row>
    <row r="269" spans="1:16" s="48" customFormat="1" ht="18" customHeight="1" x14ac:dyDescent="0.25">
      <c r="A269" s="519"/>
      <c r="B269" s="499" t="s">
        <v>123</v>
      </c>
      <c r="C269" s="499" t="s">
        <v>1388</v>
      </c>
      <c r="D269" s="536" t="s">
        <v>147</v>
      </c>
      <c r="E269" s="499"/>
      <c r="F269" s="499"/>
      <c r="G269" s="499"/>
      <c r="H269" s="131" t="s">
        <v>148</v>
      </c>
      <c r="I269" s="101"/>
      <c r="J269" s="102"/>
      <c r="K269" s="101"/>
      <c r="L269" s="101">
        <v>15000</v>
      </c>
      <c r="M269" s="6"/>
      <c r="N269" s="6"/>
    </row>
    <row r="270" spans="1:16" s="48" customFormat="1" ht="18" customHeight="1" x14ac:dyDescent="0.25">
      <c r="A270" s="519"/>
      <c r="B270" s="499" t="s">
        <v>123</v>
      </c>
      <c r="C270" s="499" t="s">
        <v>1388</v>
      </c>
      <c r="D270" s="513" t="s">
        <v>149</v>
      </c>
      <c r="E270" s="499"/>
      <c r="F270" s="499"/>
      <c r="G270" s="499"/>
      <c r="H270" s="131" t="s">
        <v>150</v>
      </c>
      <c r="I270" s="101">
        <v>18225</v>
      </c>
      <c r="J270" s="102"/>
      <c r="K270" s="101"/>
      <c r="L270" s="101"/>
      <c r="M270" s="6"/>
      <c r="N270" s="6"/>
    </row>
    <row r="271" spans="1:16" s="48" customFormat="1" ht="18" customHeight="1" x14ac:dyDescent="0.25">
      <c r="A271" s="519"/>
      <c r="B271" s="499" t="s">
        <v>123</v>
      </c>
      <c r="C271" s="499" t="s">
        <v>1388</v>
      </c>
      <c r="D271" s="1611" t="s">
        <v>151</v>
      </c>
      <c r="E271" s="1611"/>
      <c r="F271" s="1611"/>
      <c r="G271" s="1602"/>
      <c r="H271" s="131" t="s">
        <v>148</v>
      </c>
      <c r="I271" s="101">
        <v>40000</v>
      </c>
      <c r="J271" s="102">
        <v>0</v>
      </c>
      <c r="K271" s="101"/>
      <c r="L271" s="101"/>
      <c r="M271" s="6"/>
      <c r="N271" s="6"/>
    </row>
    <row r="272" spans="1:16" s="48" customFormat="1" ht="18" customHeight="1" x14ac:dyDescent="0.25">
      <c r="A272" s="519"/>
      <c r="B272" s="499" t="s">
        <v>123</v>
      </c>
      <c r="C272" s="499" t="s">
        <v>1388</v>
      </c>
      <c r="D272" s="1611" t="s">
        <v>152</v>
      </c>
      <c r="E272" s="1611"/>
      <c r="F272" s="1611"/>
      <c r="G272" s="1602"/>
      <c r="H272" s="131"/>
      <c r="I272" s="101"/>
      <c r="J272" s="102">
        <v>61144.55</v>
      </c>
      <c r="K272" s="101"/>
      <c r="L272" s="101"/>
      <c r="M272" s="6"/>
      <c r="N272" s="6"/>
    </row>
    <row r="273" spans="1:16" s="48" customFormat="1" ht="18" customHeight="1" x14ac:dyDescent="0.25">
      <c r="A273" s="519"/>
      <c r="B273" s="499" t="s">
        <v>123</v>
      </c>
      <c r="C273" s="499" t="s">
        <v>1388</v>
      </c>
      <c r="D273" s="1602" t="s">
        <v>153</v>
      </c>
      <c r="E273" s="1603"/>
      <c r="F273" s="1603"/>
      <c r="G273" s="1603"/>
      <c r="H273" s="131" t="s">
        <v>154</v>
      </c>
      <c r="I273" s="101">
        <v>93601.56</v>
      </c>
      <c r="J273" s="102">
        <v>125046.72</v>
      </c>
      <c r="K273" s="101">
        <v>59560.32</v>
      </c>
      <c r="L273" s="101">
        <v>137269.20000000001</v>
      </c>
      <c r="M273" s="6"/>
      <c r="N273" s="6"/>
    </row>
    <row r="274" spans="1:16" s="48" customFormat="1" ht="18" customHeight="1" x14ac:dyDescent="0.25">
      <c r="A274" s="519"/>
      <c r="B274" s="499" t="s">
        <v>123</v>
      </c>
      <c r="C274" s="499" t="s">
        <v>1388</v>
      </c>
      <c r="D274" s="1602" t="s">
        <v>155</v>
      </c>
      <c r="E274" s="1603"/>
      <c r="F274" s="1603"/>
      <c r="G274" s="1603"/>
      <c r="H274" s="131" t="s">
        <v>156</v>
      </c>
      <c r="I274" s="101">
        <v>4300</v>
      </c>
      <c r="J274" s="102">
        <v>6000</v>
      </c>
      <c r="K274" s="101">
        <v>2800</v>
      </c>
      <c r="L274" s="101">
        <v>6000</v>
      </c>
      <c r="M274" s="6"/>
      <c r="N274" s="6"/>
    </row>
    <row r="275" spans="1:16" s="48" customFormat="1" ht="18" customHeight="1" x14ac:dyDescent="0.25">
      <c r="A275" s="519"/>
      <c r="B275" s="499" t="s">
        <v>123</v>
      </c>
      <c r="C275" s="499" t="s">
        <v>1388</v>
      </c>
      <c r="D275" s="1602" t="s">
        <v>157</v>
      </c>
      <c r="E275" s="1603"/>
      <c r="F275" s="1603"/>
      <c r="G275" s="1603"/>
      <c r="H275" s="131" t="s">
        <v>158</v>
      </c>
      <c r="I275" s="101">
        <v>11617.43</v>
      </c>
      <c r="J275" s="102">
        <v>18235.98</v>
      </c>
      <c r="K275" s="101">
        <v>7531.49</v>
      </c>
      <c r="L275" s="101">
        <v>45782.8</v>
      </c>
      <c r="M275" s="6"/>
      <c r="N275" s="6"/>
    </row>
    <row r="276" spans="1:16" s="48" customFormat="1" ht="18" customHeight="1" x14ac:dyDescent="0.25">
      <c r="A276" s="519"/>
      <c r="B276" s="499" t="s">
        <v>123</v>
      </c>
      <c r="C276" s="499" t="s">
        <v>1388</v>
      </c>
      <c r="D276" s="1611" t="s">
        <v>159</v>
      </c>
      <c r="E276" s="1611"/>
      <c r="F276" s="1611"/>
      <c r="G276" s="1602"/>
      <c r="H276" s="133" t="s">
        <v>160</v>
      </c>
      <c r="I276" s="105">
        <v>4300</v>
      </c>
      <c r="J276" s="106">
        <v>6000</v>
      </c>
      <c r="K276" s="105">
        <v>2800</v>
      </c>
      <c r="L276" s="101">
        <v>6000</v>
      </c>
      <c r="M276" s="6"/>
      <c r="N276" s="6"/>
    </row>
    <row r="277" spans="1:16" s="48" customFormat="1" ht="18" customHeight="1" x14ac:dyDescent="0.25">
      <c r="A277" s="519"/>
      <c r="B277" s="499" t="s">
        <v>163</v>
      </c>
      <c r="C277" s="499" t="s">
        <v>1388</v>
      </c>
      <c r="D277" s="44" t="s">
        <v>164</v>
      </c>
      <c r="E277" s="113"/>
      <c r="F277" s="113"/>
      <c r="G277" s="114"/>
      <c r="H277" s="131" t="s">
        <v>165</v>
      </c>
      <c r="I277" s="101">
        <v>5060</v>
      </c>
      <c r="J277" s="111">
        <v>10000</v>
      </c>
      <c r="K277" s="112"/>
      <c r="L277" s="101">
        <v>10000</v>
      </c>
      <c r="M277" s="6"/>
      <c r="N277" s="6"/>
    </row>
    <row r="278" spans="1:16" s="48" customFormat="1" ht="18" customHeight="1" x14ac:dyDescent="0.25">
      <c r="A278" s="519"/>
      <c r="B278" s="499" t="s">
        <v>163</v>
      </c>
      <c r="C278" s="499" t="s">
        <v>1388</v>
      </c>
      <c r="D278" s="44" t="s">
        <v>168</v>
      </c>
      <c r="E278" s="113"/>
      <c r="F278" s="113"/>
      <c r="G278" s="114"/>
      <c r="H278" s="131" t="s">
        <v>169</v>
      </c>
      <c r="I278" s="101">
        <v>138447.70000000001</v>
      </c>
      <c r="J278" s="111">
        <v>90000</v>
      </c>
      <c r="K278" s="112">
        <v>85691.25</v>
      </c>
      <c r="L278" s="101">
        <v>65810</v>
      </c>
      <c r="M278" s="6"/>
      <c r="N278" s="6"/>
    </row>
    <row r="279" spans="1:16" s="48" customFormat="1" ht="17.100000000000001" customHeight="1" x14ac:dyDescent="0.25">
      <c r="A279" s="519"/>
      <c r="B279" s="499" t="s">
        <v>163</v>
      </c>
      <c r="C279" s="499" t="s">
        <v>1388</v>
      </c>
      <c r="D279" s="44" t="s">
        <v>233</v>
      </c>
      <c r="E279" s="113"/>
      <c r="F279" s="113"/>
      <c r="G279" s="114"/>
      <c r="H279" s="131" t="s">
        <v>171</v>
      </c>
      <c r="I279" s="101"/>
      <c r="J279" s="111"/>
      <c r="K279" s="112"/>
      <c r="L279" s="101">
        <v>95084</v>
      </c>
      <c r="M279" s="6"/>
      <c r="N279" s="6"/>
      <c r="O279" s="115"/>
      <c r="P279" s="115"/>
    </row>
    <row r="280" spans="1:16" s="48" customFormat="1" ht="18" customHeight="1" x14ac:dyDescent="0.25">
      <c r="A280" s="519"/>
      <c r="B280" s="499" t="s">
        <v>163</v>
      </c>
      <c r="C280" s="499" t="s">
        <v>1388</v>
      </c>
      <c r="D280" s="44" t="s">
        <v>174</v>
      </c>
      <c r="E280" s="113"/>
      <c r="F280" s="113"/>
      <c r="G280" s="114"/>
      <c r="H280" s="131" t="s">
        <v>171</v>
      </c>
      <c r="I280" s="101">
        <v>9417</v>
      </c>
      <c r="J280" s="111">
        <v>20000</v>
      </c>
      <c r="K280" s="112"/>
      <c r="L280" s="101"/>
      <c r="M280" s="6"/>
      <c r="N280" s="6"/>
    </row>
    <row r="281" spans="1:16" s="48" customFormat="1" ht="18" customHeight="1" x14ac:dyDescent="0.25">
      <c r="A281" s="519"/>
      <c r="B281" s="499" t="s">
        <v>163</v>
      </c>
      <c r="C281" s="499" t="s">
        <v>1388</v>
      </c>
      <c r="D281" s="44" t="s">
        <v>178</v>
      </c>
      <c r="E281" s="113"/>
      <c r="F281" s="113"/>
      <c r="G281" s="114"/>
      <c r="H281" s="131" t="s">
        <v>179</v>
      </c>
      <c r="I281" s="101"/>
      <c r="J281" s="111"/>
      <c r="K281" s="112"/>
      <c r="L281" s="101">
        <v>30000</v>
      </c>
      <c r="M281" s="6"/>
      <c r="N281" s="6"/>
    </row>
    <row r="282" spans="1:16" s="48" customFormat="1" ht="18" customHeight="1" x14ac:dyDescent="0.25">
      <c r="A282" s="519"/>
      <c r="B282" s="499" t="s">
        <v>163</v>
      </c>
      <c r="C282" s="499" t="s">
        <v>1388</v>
      </c>
      <c r="D282" s="44" t="s">
        <v>216</v>
      </c>
      <c r="E282" s="113"/>
      <c r="F282" s="113"/>
      <c r="G282" s="114"/>
      <c r="H282" s="131" t="s">
        <v>179</v>
      </c>
      <c r="I282" s="101">
        <v>2022.4</v>
      </c>
      <c r="J282" s="111">
        <v>30000</v>
      </c>
      <c r="K282" s="112"/>
      <c r="L282" s="101"/>
      <c r="M282" s="6"/>
      <c r="N282" s="6"/>
    </row>
    <row r="283" spans="1:16" s="48" customFormat="1" ht="18" customHeight="1" x14ac:dyDescent="0.25">
      <c r="A283" s="519"/>
      <c r="B283" s="499" t="s">
        <v>163</v>
      </c>
      <c r="C283" s="499" t="s">
        <v>1388</v>
      </c>
      <c r="D283" s="44" t="s">
        <v>234</v>
      </c>
      <c r="E283" s="113"/>
      <c r="F283" s="113"/>
      <c r="G283" s="114"/>
      <c r="H283" s="131" t="s">
        <v>179</v>
      </c>
      <c r="I283" s="101"/>
      <c r="J283" s="111"/>
      <c r="K283" s="112"/>
      <c r="L283" s="101"/>
      <c r="M283" s="6"/>
      <c r="N283" s="6"/>
    </row>
    <row r="284" spans="1:16" s="48" customFormat="1" ht="18" customHeight="1" x14ac:dyDescent="0.25">
      <c r="A284" s="519"/>
      <c r="B284" s="499" t="s">
        <v>163</v>
      </c>
      <c r="C284" s="499" t="s">
        <v>1388</v>
      </c>
      <c r="D284" s="44" t="s">
        <v>182</v>
      </c>
      <c r="E284" s="113"/>
      <c r="F284" s="113"/>
      <c r="G284" s="114"/>
      <c r="H284" s="131" t="s">
        <v>183</v>
      </c>
      <c r="I284" s="101">
        <v>22246.400000000001</v>
      </c>
      <c r="J284" s="111">
        <v>30000</v>
      </c>
      <c r="K284" s="112">
        <v>14156.8</v>
      </c>
      <c r="L284" s="101">
        <v>30000</v>
      </c>
      <c r="M284" s="6"/>
      <c r="N284" s="6"/>
    </row>
    <row r="285" spans="1:16" s="48" customFormat="1" ht="18" customHeight="1" x14ac:dyDescent="0.25">
      <c r="A285" s="519"/>
      <c r="B285" s="499" t="s">
        <v>163</v>
      </c>
      <c r="C285" s="499" t="s">
        <v>1388</v>
      </c>
      <c r="D285" s="536" t="s">
        <v>235</v>
      </c>
      <c r="E285" s="491"/>
      <c r="F285" s="492"/>
      <c r="G285" s="492"/>
      <c r="H285" s="131" t="s">
        <v>187</v>
      </c>
      <c r="I285" s="101"/>
      <c r="J285" s="111">
        <v>100000</v>
      </c>
      <c r="K285" s="112"/>
      <c r="L285" s="101">
        <v>40000</v>
      </c>
      <c r="M285" s="6"/>
      <c r="N285" s="6"/>
      <c r="O285" s="115"/>
      <c r="P285" s="115"/>
    </row>
    <row r="286" spans="1:16" s="48" customFormat="1" ht="18" customHeight="1" x14ac:dyDescent="0.25">
      <c r="A286" s="519"/>
      <c r="B286" s="499" t="s">
        <v>163</v>
      </c>
      <c r="C286" s="499" t="s">
        <v>1388</v>
      </c>
      <c r="D286" s="44" t="s">
        <v>236</v>
      </c>
      <c r="E286" s="113"/>
      <c r="F286" s="113"/>
      <c r="G286" s="114"/>
      <c r="H286" s="131" t="s">
        <v>237</v>
      </c>
      <c r="I286" s="101">
        <v>0</v>
      </c>
      <c r="J286" s="111">
        <v>5000</v>
      </c>
      <c r="K286" s="112"/>
      <c r="L286" s="101">
        <v>5000</v>
      </c>
      <c r="M286" s="6"/>
      <c r="N286" s="6"/>
    </row>
    <row r="287" spans="1:16" s="48" customFormat="1" ht="18" customHeight="1" x14ac:dyDescent="0.25">
      <c r="A287" s="519"/>
      <c r="B287" s="499" t="s">
        <v>163</v>
      </c>
      <c r="C287" s="499" t="s">
        <v>1388</v>
      </c>
      <c r="D287" s="44" t="s">
        <v>198</v>
      </c>
      <c r="E287" s="113"/>
      <c r="F287" s="113"/>
      <c r="G287" s="114"/>
      <c r="H287" s="133" t="s">
        <v>199</v>
      </c>
      <c r="I287" s="105">
        <v>264243.05</v>
      </c>
      <c r="J287" s="117">
        <v>731035.68</v>
      </c>
      <c r="K287" s="118">
        <v>163423.59</v>
      </c>
      <c r="L287" s="106">
        <v>420000</v>
      </c>
      <c r="M287" s="6"/>
      <c r="N287" s="6"/>
      <c r="O287" s="115"/>
      <c r="P287" s="115"/>
    </row>
    <row r="288" spans="1:16" s="136" customFormat="1" ht="18" customHeight="1" x14ac:dyDescent="0.25">
      <c r="A288" s="154"/>
      <c r="B288" s="499" t="s">
        <v>201</v>
      </c>
      <c r="C288" s="499" t="s">
        <v>1388</v>
      </c>
      <c r="D288" s="502" t="s">
        <v>238</v>
      </c>
      <c r="E288" s="502"/>
      <c r="F288" s="502"/>
      <c r="G288" s="503"/>
      <c r="H288" s="97"/>
      <c r="I288" s="101"/>
      <c r="J288" s="111"/>
      <c r="K288" s="112"/>
      <c r="L288" s="145">
        <v>400000</v>
      </c>
      <c r="M288" s="6"/>
      <c r="N288" s="6"/>
      <c r="O288" s="115"/>
      <c r="P288" s="115"/>
    </row>
    <row r="289" spans="1:16" s="136" customFormat="1" ht="18" customHeight="1" x14ac:dyDescent="0.25">
      <c r="A289" s="154"/>
      <c r="B289" s="499" t="s">
        <v>201</v>
      </c>
      <c r="C289" s="499" t="s">
        <v>1388</v>
      </c>
      <c r="D289" s="502" t="s">
        <v>239</v>
      </c>
      <c r="E289" s="502"/>
      <c r="F289" s="502"/>
      <c r="G289" s="503"/>
      <c r="H289" s="97"/>
      <c r="I289" s="101"/>
      <c r="J289" s="111"/>
      <c r="K289" s="112"/>
      <c r="L289" s="102">
        <v>80000</v>
      </c>
      <c r="M289" s="6"/>
      <c r="N289" s="6"/>
      <c r="O289" s="115"/>
      <c r="P289" s="115"/>
    </row>
    <row r="290" spans="1:16" s="136" customFormat="1" ht="18" customHeight="1" x14ac:dyDescent="0.25">
      <c r="A290" s="154"/>
      <c r="B290" s="499" t="s">
        <v>201</v>
      </c>
      <c r="C290" s="499" t="s">
        <v>1388</v>
      </c>
      <c r="D290" s="502" t="s">
        <v>203</v>
      </c>
      <c r="E290" s="502"/>
      <c r="F290" s="502"/>
      <c r="G290" s="503"/>
      <c r="H290" s="97"/>
      <c r="I290" s="101"/>
      <c r="J290" s="111"/>
      <c r="K290" s="112"/>
      <c r="L290" s="102">
        <v>115000</v>
      </c>
      <c r="M290" s="6"/>
      <c r="N290" s="6"/>
      <c r="O290" s="115"/>
      <c r="P290" s="115"/>
    </row>
    <row r="291" spans="1:16" s="136" customFormat="1" ht="18" customHeight="1" x14ac:dyDescent="0.25">
      <c r="A291" s="154"/>
      <c r="B291" s="499" t="s">
        <v>201</v>
      </c>
      <c r="C291" s="499" t="s">
        <v>1388</v>
      </c>
      <c r="D291" s="502" t="s">
        <v>240</v>
      </c>
      <c r="E291" s="502"/>
      <c r="F291" s="502"/>
      <c r="G291" s="503"/>
      <c r="H291" s="97"/>
      <c r="I291" s="101"/>
      <c r="J291" s="111"/>
      <c r="K291" s="112"/>
      <c r="L291" s="101">
        <v>300000</v>
      </c>
      <c r="M291" s="6"/>
      <c r="N291" s="6"/>
      <c r="O291" s="115"/>
      <c r="P291" s="115"/>
    </row>
    <row r="292" spans="1:16" s="48" customFormat="1" ht="18" customHeight="1" x14ac:dyDescent="0.25">
      <c r="A292" s="495"/>
      <c r="B292" s="499" t="s">
        <v>201</v>
      </c>
      <c r="C292" s="499" t="s">
        <v>1388</v>
      </c>
      <c r="D292" s="1602" t="s">
        <v>204</v>
      </c>
      <c r="E292" s="1603"/>
      <c r="F292" s="1603"/>
      <c r="G292" s="1603"/>
      <c r="H292" s="97"/>
      <c r="I292" s="101"/>
      <c r="J292" s="111">
        <v>100000</v>
      </c>
      <c r="K292" s="112"/>
      <c r="L292" s="101"/>
      <c r="M292" s="6"/>
      <c r="N292" s="6"/>
      <c r="O292" s="115"/>
      <c r="P292" s="115"/>
    </row>
    <row r="293" spans="1:16" s="48" customFormat="1" ht="18" customHeight="1" x14ac:dyDescent="0.25">
      <c r="A293" s="495"/>
      <c r="B293" s="499" t="s">
        <v>201</v>
      </c>
      <c r="C293" s="499" t="s">
        <v>1388</v>
      </c>
      <c r="D293" s="1602" t="s">
        <v>241</v>
      </c>
      <c r="E293" s="1603"/>
      <c r="F293" s="1603"/>
      <c r="G293" s="1603"/>
      <c r="H293" s="97"/>
      <c r="I293" s="101"/>
      <c r="J293" s="111">
        <v>45000</v>
      </c>
      <c r="K293" s="112"/>
      <c r="L293" s="101"/>
      <c r="M293" s="6"/>
      <c r="N293" s="6"/>
      <c r="O293" s="115"/>
      <c r="P293" s="115"/>
    </row>
    <row r="294" spans="1:16" s="48" customFormat="1" ht="18" customHeight="1" x14ac:dyDescent="0.25">
      <c r="A294" s="495"/>
      <c r="B294" s="499" t="s">
        <v>201</v>
      </c>
      <c r="C294" s="499" t="s">
        <v>1388</v>
      </c>
      <c r="D294" s="536" t="s">
        <v>242</v>
      </c>
      <c r="E294" s="499"/>
      <c r="F294" s="499"/>
      <c r="G294" s="491"/>
      <c r="H294" s="97"/>
      <c r="I294" s="101"/>
      <c r="J294" s="111">
        <v>80000</v>
      </c>
      <c r="K294" s="112"/>
      <c r="L294" s="101"/>
      <c r="M294" s="6"/>
      <c r="N294" s="6"/>
      <c r="O294" s="115"/>
      <c r="P294" s="115"/>
    </row>
    <row r="295" spans="1:16" s="48" customFormat="1" ht="18" customHeight="1" x14ac:dyDescent="0.25">
      <c r="A295" s="519"/>
      <c r="B295" s="499" t="s">
        <v>123</v>
      </c>
      <c r="C295" s="499" t="s">
        <v>1386</v>
      </c>
      <c r="D295" s="1602" t="s">
        <v>124</v>
      </c>
      <c r="E295" s="1603"/>
      <c r="F295" s="1603"/>
      <c r="G295" s="1603"/>
      <c r="H295" s="100" t="s">
        <v>125</v>
      </c>
      <c r="I295" s="101">
        <v>648024</v>
      </c>
      <c r="J295" s="102">
        <v>648024</v>
      </c>
      <c r="K295" s="101">
        <v>396419.55</v>
      </c>
      <c r="L295" s="101">
        <v>712428</v>
      </c>
      <c r="M295" s="6"/>
      <c r="N295" s="6"/>
    </row>
    <row r="296" spans="1:16" s="48" customFormat="1" ht="18" customHeight="1" x14ac:dyDescent="0.25">
      <c r="A296" s="519"/>
      <c r="B296" s="499" t="s">
        <v>123</v>
      </c>
      <c r="C296" s="499" t="s">
        <v>1386</v>
      </c>
      <c r="D296" s="1602" t="s">
        <v>126</v>
      </c>
      <c r="E296" s="1603"/>
      <c r="F296" s="1603"/>
      <c r="G296" s="1603"/>
      <c r="H296" s="100" t="s">
        <v>127</v>
      </c>
      <c r="I296" s="101">
        <v>147691.04999999999</v>
      </c>
      <c r="J296" s="102">
        <v>132552</v>
      </c>
      <c r="K296" s="101">
        <v>70776.45</v>
      </c>
      <c r="L296" s="101">
        <v>143928</v>
      </c>
      <c r="M296" s="6"/>
      <c r="N296" s="6"/>
    </row>
    <row r="297" spans="1:16" s="48" customFormat="1" ht="18" customHeight="1" x14ac:dyDescent="0.25">
      <c r="A297" s="519"/>
      <c r="B297" s="499" t="s">
        <v>123</v>
      </c>
      <c r="C297" s="499" t="s">
        <v>1386</v>
      </c>
      <c r="D297" s="1602" t="s">
        <v>128</v>
      </c>
      <c r="E297" s="1603"/>
      <c r="F297" s="1603"/>
      <c r="G297" s="1603"/>
      <c r="H297" s="100" t="s">
        <v>125</v>
      </c>
      <c r="I297" s="101"/>
      <c r="J297" s="102">
        <v>810</v>
      </c>
      <c r="K297" s="101"/>
      <c r="L297" s="101">
        <v>3477.64</v>
      </c>
      <c r="M297" s="6"/>
      <c r="N297" s="6"/>
    </row>
    <row r="298" spans="1:16" s="48" customFormat="1" ht="18" customHeight="1" x14ac:dyDescent="0.25">
      <c r="A298" s="519"/>
      <c r="B298" s="499" t="s">
        <v>123</v>
      </c>
      <c r="C298" s="499" t="s">
        <v>1386</v>
      </c>
      <c r="D298" s="1602" t="s">
        <v>129</v>
      </c>
      <c r="E298" s="1603"/>
      <c r="F298" s="1603"/>
      <c r="G298" s="1603"/>
      <c r="H298" s="103" t="s">
        <v>130</v>
      </c>
      <c r="I298" s="101">
        <v>86181.56</v>
      </c>
      <c r="J298" s="102">
        <v>96000</v>
      </c>
      <c r="K298" s="101">
        <v>54181.81</v>
      </c>
      <c r="L298" s="101">
        <v>96000</v>
      </c>
      <c r="M298" s="6"/>
      <c r="N298" s="6"/>
    </row>
    <row r="299" spans="1:16" s="48" customFormat="1" ht="18" customHeight="1" x14ac:dyDescent="0.25">
      <c r="A299" s="519"/>
      <c r="B299" s="499" t="s">
        <v>123</v>
      </c>
      <c r="C299" s="499" t="s">
        <v>1386</v>
      </c>
      <c r="D299" s="536" t="s">
        <v>135</v>
      </c>
      <c r="E299" s="499"/>
      <c r="F299" s="499"/>
      <c r="G299" s="491"/>
      <c r="H299" s="100" t="s">
        <v>136</v>
      </c>
      <c r="I299" s="101"/>
      <c r="J299" s="102">
        <v>62788.800000000003</v>
      </c>
      <c r="K299" s="101"/>
      <c r="L299" s="102">
        <v>62788.800000000003</v>
      </c>
      <c r="M299" s="6"/>
      <c r="N299" s="6"/>
    </row>
    <row r="300" spans="1:16" s="48" customFormat="1" ht="18" customHeight="1" x14ac:dyDescent="0.25">
      <c r="A300" s="519"/>
      <c r="B300" s="499" t="s">
        <v>123</v>
      </c>
      <c r="C300" s="499" t="s">
        <v>1386</v>
      </c>
      <c r="D300" s="1602" t="s">
        <v>137</v>
      </c>
      <c r="E300" s="1603"/>
      <c r="F300" s="1603"/>
      <c r="G300" s="1603"/>
      <c r="H300" s="100" t="s">
        <v>138</v>
      </c>
      <c r="I300" s="101">
        <v>18000</v>
      </c>
      <c r="J300" s="102">
        <v>24000</v>
      </c>
      <c r="K300" s="101">
        <v>24000</v>
      </c>
      <c r="L300" s="101">
        <v>24000</v>
      </c>
      <c r="M300" s="6"/>
      <c r="N300" s="6"/>
    </row>
    <row r="301" spans="1:16" s="48" customFormat="1" ht="18" customHeight="1" x14ac:dyDescent="0.25">
      <c r="A301" s="519"/>
      <c r="B301" s="499" t="s">
        <v>123</v>
      </c>
      <c r="C301" s="499" t="s">
        <v>1386</v>
      </c>
      <c r="D301" s="1602" t="s">
        <v>139</v>
      </c>
      <c r="E301" s="1603"/>
      <c r="F301" s="1603"/>
      <c r="G301" s="1603"/>
      <c r="H301" s="100" t="s">
        <v>140</v>
      </c>
      <c r="I301" s="101">
        <v>65048</v>
      </c>
      <c r="J301" s="102">
        <v>65048</v>
      </c>
      <c r="K301" s="101">
        <v>68132</v>
      </c>
      <c r="L301" s="101">
        <v>71779</v>
      </c>
      <c r="M301" s="6"/>
      <c r="N301" s="6"/>
    </row>
    <row r="302" spans="1:16" s="48" customFormat="1" ht="18" customHeight="1" x14ac:dyDescent="0.25">
      <c r="A302" s="519"/>
      <c r="B302" s="499" t="s">
        <v>123</v>
      </c>
      <c r="C302" s="499" t="s">
        <v>1386</v>
      </c>
      <c r="D302" s="1602" t="s">
        <v>141</v>
      </c>
      <c r="E302" s="1603"/>
      <c r="F302" s="1603"/>
      <c r="G302" s="1603"/>
      <c r="H302" s="100" t="s">
        <v>142</v>
      </c>
      <c r="I302" s="101">
        <v>65048</v>
      </c>
      <c r="J302" s="102">
        <v>65183</v>
      </c>
      <c r="K302" s="101"/>
      <c r="L302" s="101">
        <v>71779</v>
      </c>
      <c r="M302" s="6"/>
      <c r="N302" s="6"/>
    </row>
    <row r="303" spans="1:16" s="48" customFormat="1" ht="18" customHeight="1" x14ac:dyDescent="0.25">
      <c r="A303" s="519"/>
      <c r="B303" s="499" t="s">
        <v>123</v>
      </c>
      <c r="C303" s="499" t="s">
        <v>1386</v>
      </c>
      <c r="D303" s="1602" t="s">
        <v>143</v>
      </c>
      <c r="E303" s="1603"/>
      <c r="F303" s="1603"/>
      <c r="G303" s="1603"/>
      <c r="H303" s="100" t="s">
        <v>144</v>
      </c>
      <c r="I303" s="101">
        <v>20000</v>
      </c>
      <c r="J303" s="102">
        <v>20000</v>
      </c>
      <c r="K303" s="101"/>
      <c r="L303" s="101">
        <v>20000</v>
      </c>
      <c r="M303" s="6"/>
      <c r="N303" s="6"/>
    </row>
    <row r="304" spans="1:16" s="48" customFormat="1" ht="18" customHeight="1" x14ac:dyDescent="0.25">
      <c r="A304" s="519"/>
      <c r="B304" s="499" t="s">
        <v>123</v>
      </c>
      <c r="C304" s="499" t="s">
        <v>1386</v>
      </c>
      <c r="D304" s="1602" t="s">
        <v>145</v>
      </c>
      <c r="E304" s="1603"/>
      <c r="F304" s="1603"/>
      <c r="G304" s="1603"/>
      <c r="H304" s="100" t="s">
        <v>146</v>
      </c>
      <c r="I304" s="101">
        <v>20000</v>
      </c>
      <c r="J304" s="102">
        <v>20000</v>
      </c>
      <c r="K304" s="101"/>
      <c r="L304" s="101">
        <v>20000</v>
      </c>
      <c r="M304" s="6"/>
      <c r="N304" s="6"/>
    </row>
    <row r="305" spans="1:16" s="48" customFormat="1" ht="18" customHeight="1" x14ac:dyDescent="0.25">
      <c r="A305" s="519"/>
      <c r="B305" s="499" t="s">
        <v>123</v>
      </c>
      <c r="C305" s="499" t="s">
        <v>1386</v>
      </c>
      <c r="D305" s="536" t="s">
        <v>147</v>
      </c>
      <c r="E305" s="499"/>
      <c r="F305" s="499"/>
      <c r="G305" s="491"/>
      <c r="H305" s="100" t="s">
        <v>148</v>
      </c>
      <c r="I305" s="101"/>
      <c r="J305" s="102"/>
      <c r="K305" s="101"/>
      <c r="L305" s="101">
        <v>12000</v>
      </c>
      <c r="M305" s="6"/>
      <c r="N305" s="6"/>
    </row>
    <row r="306" spans="1:16" s="48" customFormat="1" ht="18" customHeight="1" x14ac:dyDescent="0.25">
      <c r="A306" s="519"/>
      <c r="B306" s="499" t="s">
        <v>123</v>
      </c>
      <c r="C306" s="499" t="s">
        <v>1386</v>
      </c>
      <c r="D306" s="513" t="s">
        <v>149</v>
      </c>
      <c r="E306" s="499"/>
      <c r="F306" s="499"/>
      <c r="G306" s="491"/>
      <c r="H306" s="100" t="s">
        <v>150</v>
      </c>
      <c r="I306" s="101">
        <v>14850</v>
      </c>
      <c r="J306" s="102"/>
      <c r="K306" s="101"/>
      <c r="L306" s="101"/>
      <c r="M306" s="6"/>
      <c r="N306" s="6"/>
    </row>
    <row r="307" spans="1:16" s="48" customFormat="1" ht="18" customHeight="1" x14ac:dyDescent="0.25">
      <c r="A307" s="519"/>
      <c r="B307" s="499" t="s">
        <v>123</v>
      </c>
      <c r="C307" s="499" t="s">
        <v>1386</v>
      </c>
      <c r="D307" s="1611" t="s">
        <v>151</v>
      </c>
      <c r="E307" s="1611"/>
      <c r="F307" s="1611"/>
      <c r="G307" s="1602"/>
      <c r="H307" s="100" t="s">
        <v>148</v>
      </c>
      <c r="I307" s="101">
        <v>40000</v>
      </c>
      <c r="J307" s="102">
        <v>0</v>
      </c>
      <c r="K307" s="101"/>
      <c r="L307" s="101"/>
      <c r="M307" s="6"/>
      <c r="N307" s="6"/>
    </row>
    <row r="308" spans="1:16" s="48" customFormat="1" ht="18" customHeight="1" x14ac:dyDescent="0.25">
      <c r="A308" s="519"/>
      <c r="B308" s="499" t="s">
        <v>123</v>
      </c>
      <c r="C308" s="499" t="s">
        <v>1386</v>
      </c>
      <c r="D308" s="1611" t="s">
        <v>152</v>
      </c>
      <c r="E308" s="1611"/>
      <c r="F308" s="1611"/>
      <c r="G308" s="1602"/>
      <c r="H308" s="100"/>
      <c r="I308" s="101"/>
      <c r="J308" s="102">
        <v>47043.9</v>
      </c>
      <c r="K308" s="101"/>
      <c r="L308" s="101"/>
      <c r="M308" s="6"/>
      <c r="N308" s="6"/>
    </row>
    <row r="309" spans="1:16" s="48" customFormat="1" ht="18" customHeight="1" x14ac:dyDescent="0.25">
      <c r="A309" s="519"/>
      <c r="B309" s="499" t="s">
        <v>123</v>
      </c>
      <c r="C309" s="499" t="s">
        <v>1386</v>
      </c>
      <c r="D309" s="1602" t="s">
        <v>231</v>
      </c>
      <c r="E309" s="1603"/>
      <c r="F309" s="1603"/>
      <c r="G309" s="1603"/>
      <c r="H309" s="100" t="s">
        <v>148</v>
      </c>
      <c r="I309" s="101">
        <v>5000</v>
      </c>
      <c r="J309" s="102"/>
      <c r="K309" s="101"/>
      <c r="L309" s="101"/>
      <c r="M309" s="6"/>
      <c r="N309" s="6"/>
    </row>
    <row r="310" spans="1:16" s="48" customFormat="1" ht="18" customHeight="1" x14ac:dyDescent="0.25">
      <c r="A310" s="519"/>
      <c r="B310" s="499" t="s">
        <v>123</v>
      </c>
      <c r="C310" s="499" t="s">
        <v>1386</v>
      </c>
      <c r="D310" s="1602" t="s">
        <v>153</v>
      </c>
      <c r="E310" s="1603"/>
      <c r="F310" s="1603"/>
      <c r="G310" s="1603"/>
      <c r="H310" s="100" t="s">
        <v>154</v>
      </c>
      <c r="I310" s="101">
        <v>87932.28</v>
      </c>
      <c r="J310" s="102">
        <v>93766.32</v>
      </c>
      <c r="K310" s="101">
        <v>56555.42</v>
      </c>
      <c r="L310" s="101">
        <v>103180.04</v>
      </c>
      <c r="M310" s="6"/>
      <c r="N310" s="6"/>
    </row>
    <row r="311" spans="1:16" s="48" customFormat="1" ht="18" customHeight="1" x14ac:dyDescent="0.25">
      <c r="A311" s="519"/>
      <c r="B311" s="499" t="s">
        <v>123</v>
      </c>
      <c r="C311" s="499" t="s">
        <v>1386</v>
      </c>
      <c r="D311" s="1602" t="s">
        <v>155</v>
      </c>
      <c r="E311" s="1603"/>
      <c r="F311" s="1603"/>
      <c r="G311" s="1603"/>
      <c r="H311" s="100" t="s">
        <v>156</v>
      </c>
      <c r="I311" s="101">
        <v>4300</v>
      </c>
      <c r="J311" s="102">
        <v>4800</v>
      </c>
      <c r="K311" s="101">
        <v>2800</v>
      </c>
      <c r="L311" s="101">
        <v>4800</v>
      </c>
      <c r="M311" s="6"/>
      <c r="N311" s="6"/>
    </row>
    <row r="312" spans="1:16" s="48" customFormat="1" ht="18" customHeight="1" x14ac:dyDescent="0.25">
      <c r="A312" s="519"/>
      <c r="B312" s="499" t="s">
        <v>123</v>
      </c>
      <c r="C312" s="499" t="s">
        <v>1386</v>
      </c>
      <c r="D312" s="1602" t="s">
        <v>157</v>
      </c>
      <c r="E312" s="1603"/>
      <c r="F312" s="1603"/>
      <c r="G312" s="1603"/>
      <c r="H312" s="100" t="s">
        <v>158</v>
      </c>
      <c r="I312" s="101">
        <v>10908.83</v>
      </c>
      <c r="J312" s="102">
        <v>13674.26</v>
      </c>
      <c r="K312" s="101">
        <v>7155.99</v>
      </c>
      <c r="L312" s="101">
        <v>34423.11</v>
      </c>
      <c r="M312" s="6"/>
      <c r="N312" s="6"/>
    </row>
    <row r="313" spans="1:16" s="48" customFormat="1" ht="18" customHeight="1" x14ac:dyDescent="0.25">
      <c r="A313" s="519"/>
      <c r="B313" s="499" t="s">
        <v>123</v>
      </c>
      <c r="C313" s="499" t="s">
        <v>1386</v>
      </c>
      <c r="D313" s="1602" t="s">
        <v>159</v>
      </c>
      <c r="E313" s="1603"/>
      <c r="F313" s="1603"/>
      <c r="G313" s="1603"/>
      <c r="H313" s="104" t="s">
        <v>160</v>
      </c>
      <c r="I313" s="105">
        <v>4300</v>
      </c>
      <c r="J313" s="106">
        <v>4800</v>
      </c>
      <c r="K313" s="105">
        <v>2800</v>
      </c>
      <c r="L313" s="105">
        <v>4800</v>
      </c>
      <c r="M313" s="6"/>
      <c r="N313" s="6"/>
    </row>
    <row r="314" spans="1:16" s="48" customFormat="1" ht="18" customHeight="1" x14ac:dyDescent="0.25">
      <c r="A314" s="519"/>
      <c r="B314" s="499" t="s">
        <v>163</v>
      </c>
      <c r="C314" s="499" t="s">
        <v>1386</v>
      </c>
      <c r="D314" s="44" t="s">
        <v>164</v>
      </c>
      <c r="E314" s="113"/>
      <c r="F314" s="113"/>
      <c r="G314" s="114"/>
      <c r="H314" s="100" t="s">
        <v>165</v>
      </c>
      <c r="I314" s="101">
        <v>0</v>
      </c>
      <c r="J314" s="111">
        <v>15000</v>
      </c>
      <c r="K314" s="112"/>
      <c r="L314" s="101">
        <v>15000</v>
      </c>
      <c r="M314" s="6"/>
      <c r="N314" s="6"/>
    </row>
    <row r="315" spans="1:16" s="48" customFormat="1" ht="18" customHeight="1" x14ac:dyDescent="0.25">
      <c r="A315" s="519"/>
      <c r="B315" s="499" t="s">
        <v>163</v>
      </c>
      <c r="C315" s="499" t="s">
        <v>1386</v>
      </c>
      <c r="D315" s="44" t="s">
        <v>168</v>
      </c>
      <c r="E315" s="113"/>
      <c r="F315" s="113"/>
      <c r="G315" s="114"/>
      <c r="H315" s="100" t="s">
        <v>169</v>
      </c>
      <c r="I315" s="101">
        <v>102559</v>
      </c>
      <c r="J315" s="111">
        <v>92000</v>
      </c>
      <c r="K315" s="112">
        <v>22037</v>
      </c>
      <c r="L315" s="101">
        <v>92714</v>
      </c>
      <c r="M315" s="6"/>
      <c r="N315" s="6"/>
    </row>
    <row r="316" spans="1:16" s="48" customFormat="1" ht="18" customHeight="1" x14ac:dyDescent="0.25">
      <c r="A316" s="519"/>
      <c r="B316" s="499" t="s">
        <v>163</v>
      </c>
      <c r="C316" s="499" t="s">
        <v>1386</v>
      </c>
      <c r="D316" s="44" t="s">
        <v>213</v>
      </c>
      <c r="E316" s="113"/>
      <c r="F316" s="113"/>
      <c r="G316" s="114"/>
      <c r="H316" s="100" t="s">
        <v>171</v>
      </c>
      <c r="I316" s="101"/>
      <c r="J316" s="111"/>
      <c r="K316" s="112"/>
      <c r="L316" s="101">
        <v>31200</v>
      </c>
      <c r="M316" s="6"/>
      <c r="N316" s="6"/>
    </row>
    <row r="317" spans="1:16" s="48" customFormat="1" ht="18" customHeight="1" x14ac:dyDescent="0.25">
      <c r="A317" s="519"/>
      <c r="B317" s="499" t="s">
        <v>163</v>
      </c>
      <c r="C317" s="499" t="s">
        <v>1386</v>
      </c>
      <c r="D317" s="44" t="s">
        <v>243</v>
      </c>
      <c r="E317" s="157"/>
      <c r="F317" s="113"/>
      <c r="G317" s="114"/>
      <c r="H317" s="100" t="s">
        <v>171</v>
      </c>
      <c r="I317" s="101"/>
      <c r="J317" s="111">
        <v>30000</v>
      </c>
      <c r="K317" s="112"/>
      <c r="L317" s="101"/>
      <c r="M317" s="6"/>
      <c r="N317" s="6"/>
    </row>
    <row r="318" spans="1:16" s="48" customFormat="1" ht="18" customHeight="1" x14ac:dyDescent="0.25">
      <c r="A318" s="519"/>
      <c r="B318" s="499" t="s">
        <v>163</v>
      </c>
      <c r="C318" s="499" t="s">
        <v>1386</v>
      </c>
      <c r="D318" s="44" t="s">
        <v>178</v>
      </c>
      <c r="E318" s="157"/>
      <c r="F318" s="113"/>
      <c r="G318" s="114"/>
      <c r="H318" s="100" t="s">
        <v>179</v>
      </c>
      <c r="I318" s="101"/>
      <c r="J318" s="111"/>
      <c r="K318" s="112"/>
      <c r="L318" s="102">
        <v>7200</v>
      </c>
      <c r="M318" s="6"/>
      <c r="N318" s="6"/>
    </row>
    <row r="319" spans="1:16" s="48" customFormat="1" ht="18" customHeight="1" x14ac:dyDescent="0.25">
      <c r="A319" s="519"/>
      <c r="B319" s="499" t="s">
        <v>163</v>
      </c>
      <c r="C319" s="499" t="s">
        <v>1386</v>
      </c>
      <c r="D319" s="44" t="s">
        <v>181</v>
      </c>
      <c r="E319" s="113"/>
      <c r="F319" s="113"/>
      <c r="G319" s="114"/>
      <c r="H319" s="100" t="s">
        <v>179</v>
      </c>
      <c r="I319" s="101">
        <v>0</v>
      </c>
      <c r="J319" s="111">
        <v>7200</v>
      </c>
      <c r="K319" s="112"/>
      <c r="L319" s="101"/>
      <c r="M319" s="6"/>
      <c r="N319" s="6"/>
      <c r="O319" s="115"/>
      <c r="P319" s="115"/>
    </row>
    <row r="320" spans="1:16" s="48" customFormat="1" ht="18" customHeight="1" x14ac:dyDescent="0.25">
      <c r="A320" s="519"/>
      <c r="B320" s="499" t="s">
        <v>163</v>
      </c>
      <c r="C320" s="499" t="s">
        <v>1386</v>
      </c>
      <c r="D320" s="44" t="s">
        <v>186</v>
      </c>
      <c r="E320" s="113"/>
      <c r="F320" s="113"/>
      <c r="G320" s="114"/>
      <c r="H320" s="100" t="s">
        <v>187</v>
      </c>
      <c r="I320" s="101">
        <v>0</v>
      </c>
      <c r="J320" s="111">
        <v>10000</v>
      </c>
      <c r="K320" s="112"/>
      <c r="L320" s="101">
        <v>10000</v>
      </c>
      <c r="M320" s="6"/>
      <c r="N320" s="6"/>
      <c r="O320" s="115"/>
      <c r="P320" s="115"/>
    </row>
    <row r="321" spans="1:16" s="48" customFormat="1" ht="18" customHeight="1" x14ac:dyDescent="0.25">
      <c r="A321" s="519"/>
      <c r="B321" s="499" t="s">
        <v>163</v>
      </c>
      <c r="C321" s="499" t="s">
        <v>1386</v>
      </c>
      <c r="D321" s="44" t="s">
        <v>198</v>
      </c>
      <c r="E321" s="113"/>
      <c r="F321" s="113"/>
      <c r="G321" s="114"/>
      <c r="H321" s="104" t="s">
        <v>199</v>
      </c>
      <c r="I321" s="101">
        <v>0</v>
      </c>
      <c r="J321" s="117">
        <v>5000</v>
      </c>
      <c r="K321" s="118"/>
      <c r="L321" s="105">
        <v>5000</v>
      </c>
      <c r="M321" s="6"/>
      <c r="N321" s="6"/>
      <c r="O321" s="115"/>
      <c r="P321" s="115"/>
    </row>
    <row r="322" spans="1:16" s="136" customFormat="1" ht="18" customHeight="1" x14ac:dyDescent="0.25">
      <c r="A322" s="519"/>
      <c r="B322" s="499" t="s">
        <v>201</v>
      </c>
      <c r="C322" s="499" t="s">
        <v>1386</v>
      </c>
      <c r="D322" s="536" t="s">
        <v>244</v>
      </c>
      <c r="E322" s="499"/>
      <c r="F322" s="499"/>
      <c r="G322" s="499"/>
      <c r="H322" s="97"/>
      <c r="I322" s="101"/>
      <c r="J322" s="111"/>
      <c r="K322" s="112"/>
      <c r="L322" s="101">
        <v>40000</v>
      </c>
      <c r="M322" s="6"/>
      <c r="N322" s="6"/>
      <c r="O322" s="115"/>
      <c r="P322" s="115"/>
    </row>
    <row r="323" spans="1:16" s="48" customFormat="1" ht="18" customHeight="1" x14ac:dyDescent="0.25">
      <c r="A323" s="495"/>
      <c r="B323" s="499" t="s">
        <v>201</v>
      </c>
      <c r="C323" s="499" t="s">
        <v>1386</v>
      </c>
      <c r="D323" s="536" t="s">
        <v>245</v>
      </c>
      <c r="E323" s="496"/>
      <c r="F323" s="496"/>
      <c r="G323" s="496"/>
      <c r="H323" s="97"/>
      <c r="I323" s="101"/>
      <c r="J323" s="111">
        <v>80000</v>
      </c>
      <c r="K323" s="112"/>
      <c r="L323" s="101"/>
      <c r="M323" s="6"/>
      <c r="N323" s="6"/>
      <c r="O323" s="115"/>
      <c r="P323" s="115"/>
    </row>
    <row r="324" spans="1:16" s="48" customFormat="1" ht="18" customHeight="1" x14ac:dyDescent="0.25">
      <c r="A324" s="495"/>
      <c r="B324" s="499" t="s">
        <v>201</v>
      </c>
      <c r="C324" s="499" t="s">
        <v>1386</v>
      </c>
      <c r="D324" s="536" t="s">
        <v>246</v>
      </c>
      <c r="E324" s="496"/>
      <c r="F324" s="496"/>
      <c r="G324" s="493"/>
      <c r="H324" s="97"/>
      <c r="I324" s="101"/>
      <c r="J324" s="111">
        <v>15000</v>
      </c>
      <c r="K324" s="112"/>
      <c r="L324" s="101"/>
      <c r="M324" s="6"/>
      <c r="N324" s="6"/>
      <c r="O324" s="115"/>
      <c r="P324" s="115"/>
    </row>
    <row r="325" spans="1:16" s="48" customFormat="1" ht="17.100000000000001" customHeight="1" x14ac:dyDescent="0.25">
      <c r="A325" s="519"/>
      <c r="B325" s="499" t="s">
        <v>123</v>
      </c>
      <c r="C325" s="499" t="s">
        <v>1386</v>
      </c>
      <c r="D325" s="1602" t="s">
        <v>124</v>
      </c>
      <c r="E325" s="1603"/>
      <c r="F325" s="1603"/>
      <c r="G325" s="1603"/>
      <c r="H325" s="100" t="s">
        <v>125</v>
      </c>
      <c r="I325" s="101">
        <v>303132</v>
      </c>
      <c r="J325" s="162">
        <v>825072</v>
      </c>
      <c r="K325" s="112">
        <v>204255.55</v>
      </c>
      <c r="L325" s="101">
        <v>908568</v>
      </c>
      <c r="M325" s="6"/>
      <c r="N325" s="6"/>
    </row>
    <row r="326" spans="1:16" s="48" customFormat="1" ht="17.100000000000001" customHeight="1" x14ac:dyDescent="0.25">
      <c r="A326" s="519"/>
      <c r="B326" s="499" t="s">
        <v>123</v>
      </c>
      <c r="C326" s="499" t="s">
        <v>1386</v>
      </c>
      <c r="D326" s="1614" t="s">
        <v>128</v>
      </c>
      <c r="E326" s="1615"/>
      <c r="F326" s="492"/>
      <c r="G326" s="492"/>
      <c r="H326" s="100" t="s">
        <v>125</v>
      </c>
      <c r="I326" s="101"/>
      <c r="J326" s="162"/>
      <c r="K326" s="112"/>
      <c r="L326" s="101">
        <v>878.18</v>
      </c>
      <c r="M326" s="6"/>
      <c r="N326" s="6"/>
    </row>
    <row r="327" spans="1:16" s="48" customFormat="1" ht="17.100000000000001" customHeight="1" x14ac:dyDescent="0.25">
      <c r="A327" s="519"/>
      <c r="B327" s="499" t="s">
        <v>123</v>
      </c>
      <c r="C327" s="499" t="s">
        <v>1386</v>
      </c>
      <c r="D327" s="1602" t="s">
        <v>129</v>
      </c>
      <c r="E327" s="1603"/>
      <c r="F327" s="1603"/>
      <c r="G327" s="1603"/>
      <c r="H327" s="103" t="s">
        <v>130</v>
      </c>
      <c r="I327" s="101">
        <v>48000</v>
      </c>
      <c r="J327" s="162">
        <v>96000</v>
      </c>
      <c r="K327" s="112">
        <v>28000</v>
      </c>
      <c r="L327" s="101">
        <v>96000</v>
      </c>
      <c r="M327" s="6"/>
      <c r="N327" s="6"/>
    </row>
    <row r="328" spans="1:16" s="48" customFormat="1" ht="17.100000000000001" customHeight="1" x14ac:dyDescent="0.25">
      <c r="A328" s="519"/>
      <c r="B328" s="499" t="s">
        <v>123</v>
      </c>
      <c r="C328" s="499" t="s">
        <v>1386</v>
      </c>
      <c r="D328" s="1602" t="s">
        <v>135</v>
      </c>
      <c r="E328" s="1603"/>
      <c r="F328" s="1603"/>
      <c r="G328" s="1603"/>
      <c r="H328" s="100" t="s">
        <v>136</v>
      </c>
      <c r="I328" s="101">
        <v>14756.63</v>
      </c>
      <c r="J328" s="162">
        <v>83000</v>
      </c>
      <c r="K328" s="112">
        <v>22218.04</v>
      </c>
      <c r="L328" s="101">
        <v>65629.69</v>
      </c>
      <c r="M328" s="6"/>
      <c r="N328" s="6"/>
    </row>
    <row r="329" spans="1:16" s="48" customFormat="1" ht="17.100000000000001" customHeight="1" x14ac:dyDescent="0.25">
      <c r="A329" s="519"/>
      <c r="B329" s="499" t="s">
        <v>123</v>
      </c>
      <c r="C329" s="499" t="s">
        <v>1386</v>
      </c>
      <c r="D329" s="1602" t="s">
        <v>137</v>
      </c>
      <c r="E329" s="1603"/>
      <c r="F329" s="1603"/>
      <c r="G329" s="1603"/>
      <c r="H329" s="100" t="s">
        <v>138</v>
      </c>
      <c r="I329" s="101">
        <v>12000</v>
      </c>
      <c r="J329" s="162">
        <v>24000</v>
      </c>
      <c r="K329" s="112">
        <v>12000</v>
      </c>
      <c r="L329" s="101">
        <v>24000</v>
      </c>
      <c r="M329" s="6"/>
      <c r="N329" s="6"/>
    </row>
    <row r="330" spans="1:16" s="48" customFormat="1" ht="17.100000000000001" customHeight="1" x14ac:dyDescent="0.25">
      <c r="A330" s="519"/>
      <c r="B330" s="499" t="s">
        <v>123</v>
      </c>
      <c r="C330" s="499" t="s">
        <v>1386</v>
      </c>
      <c r="D330" s="1602" t="s">
        <v>139</v>
      </c>
      <c r="E330" s="1603"/>
      <c r="F330" s="1603"/>
      <c r="G330" s="1603"/>
      <c r="H330" s="100" t="s">
        <v>140</v>
      </c>
      <c r="I330" s="101">
        <v>25261</v>
      </c>
      <c r="J330" s="162">
        <v>68756</v>
      </c>
      <c r="K330" s="112">
        <v>30711</v>
      </c>
      <c r="L330" s="101">
        <v>75806</v>
      </c>
      <c r="M330" s="6"/>
      <c r="N330" s="6"/>
    </row>
    <row r="331" spans="1:16" s="48" customFormat="1" ht="17.100000000000001" customHeight="1" x14ac:dyDescent="0.25">
      <c r="A331" s="519"/>
      <c r="B331" s="499" t="s">
        <v>123</v>
      </c>
      <c r="C331" s="499" t="s">
        <v>1386</v>
      </c>
      <c r="D331" s="1602" t="s">
        <v>141</v>
      </c>
      <c r="E331" s="1603"/>
      <c r="F331" s="1603"/>
      <c r="G331" s="1603"/>
      <c r="H331" s="100" t="s">
        <v>142</v>
      </c>
      <c r="I331" s="101">
        <v>25261</v>
      </c>
      <c r="J331" s="162">
        <v>68756</v>
      </c>
      <c r="K331" s="112"/>
      <c r="L331" s="101">
        <v>75806</v>
      </c>
      <c r="M331" s="6"/>
      <c r="N331" s="6"/>
    </row>
    <row r="332" spans="1:16" s="48" customFormat="1" ht="17.100000000000001" customHeight="1" x14ac:dyDescent="0.25">
      <c r="A332" s="519"/>
      <c r="B332" s="499" t="s">
        <v>123</v>
      </c>
      <c r="C332" s="499" t="s">
        <v>1386</v>
      </c>
      <c r="D332" s="1602" t="s">
        <v>143</v>
      </c>
      <c r="E332" s="1603"/>
      <c r="F332" s="1603"/>
      <c r="G332" s="1603"/>
      <c r="H332" s="100" t="s">
        <v>144</v>
      </c>
      <c r="I332" s="101">
        <v>10000</v>
      </c>
      <c r="J332" s="162">
        <v>20000</v>
      </c>
      <c r="K332" s="112"/>
      <c r="L332" s="101">
        <v>20000</v>
      </c>
      <c r="M332" s="6"/>
      <c r="N332" s="6"/>
    </row>
    <row r="333" spans="1:16" s="48" customFormat="1" ht="17.100000000000001" customHeight="1" x14ac:dyDescent="0.25">
      <c r="A333" s="519"/>
      <c r="B333" s="499" t="s">
        <v>123</v>
      </c>
      <c r="C333" s="499" t="s">
        <v>1386</v>
      </c>
      <c r="D333" s="1602" t="s">
        <v>145</v>
      </c>
      <c r="E333" s="1603"/>
      <c r="F333" s="1603"/>
      <c r="G333" s="1603"/>
      <c r="H333" s="100" t="s">
        <v>146</v>
      </c>
      <c r="I333" s="101">
        <v>10000</v>
      </c>
      <c r="J333" s="162">
        <v>20000</v>
      </c>
      <c r="K333" s="112"/>
      <c r="L333" s="101">
        <v>20000</v>
      </c>
      <c r="M333" s="6"/>
      <c r="N333" s="6"/>
    </row>
    <row r="334" spans="1:16" s="48" customFormat="1" ht="17.100000000000001" customHeight="1" x14ac:dyDescent="0.25">
      <c r="A334" s="519"/>
      <c r="B334" s="499" t="s">
        <v>123</v>
      </c>
      <c r="C334" s="499" t="s">
        <v>1386</v>
      </c>
      <c r="D334" s="536" t="s">
        <v>147</v>
      </c>
      <c r="E334" s="499"/>
      <c r="F334" s="499"/>
      <c r="G334" s="491"/>
      <c r="H334" s="100" t="s">
        <v>148</v>
      </c>
      <c r="I334" s="101"/>
      <c r="J334" s="162"/>
      <c r="K334" s="112"/>
      <c r="L334" s="101">
        <v>12000</v>
      </c>
      <c r="M334" s="6"/>
      <c r="N334" s="6"/>
    </row>
    <row r="335" spans="1:16" s="48" customFormat="1" ht="17.100000000000001" customHeight="1" x14ac:dyDescent="0.25">
      <c r="A335" s="519"/>
      <c r="B335" s="499" t="s">
        <v>123</v>
      </c>
      <c r="C335" s="499" t="s">
        <v>1386</v>
      </c>
      <c r="D335" s="513" t="s">
        <v>247</v>
      </c>
      <c r="E335" s="1675"/>
      <c r="F335" s="1675"/>
      <c r="G335" s="1676"/>
      <c r="H335" s="100" t="s">
        <v>150</v>
      </c>
      <c r="I335" s="101">
        <v>9900</v>
      </c>
      <c r="J335" s="162"/>
      <c r="K335" s="112"/>
      <c r="L335" s="101"/>
      <c r="M335" s="6"/>
      <c r="N335" s="6"/>
    </row>
    <row r="336" spans="1:16" s="48" customFormat="1" ht="17.100000000000001" customHeight="1" x14ac:dyDescent="0.25">
      <c r="A336" s="519"/>
      <c r="B336" s="499" t="s">
        <v>123</v>
      </c>
      <c r="C336" s="499" t="s">
        <v>1386</v>
      </c>
      <c r="D336" s="1611" t="s">
        <v>151</v>
      </c>
      <c r="E336" s="1611"/>
      <c r="F336" s="1611"/>
      <c r="G336" s="1602"/>
      <c r="H336" s="100" t="s">
        <v>148</v>
      </c>
      <c r="I336" s="101">
        <v>20000</v>
      </c>
      <c r="J336" s="102">
        <v>0</v>
      </c>
      <c r="K336" s="101"/>
      <c r="L336" s="101"/>
      <c r="M336" s="6"/>
      <c r="N336" s="6"/>
    </row>
    <row r="337" spans="1:14" s="48" customFormat="1" ht="17.100000000000001" customHeight="1" x14ac:dyDescent="0.25">
      <c r="A337" s="519"/>
      <c r="B337" s="499" t="s">
        <v>123</v>
      </c>
      <c r="C337" s="499" t="s">
        <v>1386</v>
      </c>
      <c r="D337" s="1611" t="s">
        <v>152</v>
      </c>
      <c r="E337" s="1611"/>
      <c r="F337" s="1611"/>
      <c r="G337" s="1602"/>
      <c r="H337" s="100"/>
      <c r="I337" s="101"/>
      <c r="J337" s="162">
        <v>55541.85</v>
      </c>
      <c r="K337" s="112"/>
      <c r="L337" s="101"/>
      <c r="M337" s="6"/>
      <c r="N337" s="6"/>
    </row>
    <row r="338" spans="1:14" s="48" customFormat="1" ht="17.100000000000001" customHeight="1" x14ac:dyDescent="0.25">
      <c r="A338" s="519"/>
      <c r="B338" s="499" t="s">
        <v>123</v>
      </c>
      <c r="C338" s="499" t="s">
        <v>1386</v>
      </c>
      <c r="D338" s="1602" t="s">
        <v>153</v>
      </c>
      <c r="E338" s="1603"/>
      <c r="F338" s="1603"/>
      <c r="G338" s="1603"/>
      <c r="H338" s="100" t="s">
        <v>154</v>
      </c>
      <c r="I338" s="101">
        <v>36375.839999999997</v>
      </c>
      <c r="J338" s="162">
        <v>99008.639999999999</v>
      </c>
      <c r="K338" s="112">
        <v>24372.32</v>
      </c>
      <c r="L338" s="101">
        <v>109133.54</v>
      </c>
      <c r="M338" s="6"/>
      <c r="N338" s="6"/>
    </row>
    <row r="339" spans="1:14" s="48" customFormat="1" ht="17.100000000000001" customHeight="1" x14ac:dyDescent="0.25">
      <c r="A339" s="519"/>
      <c r="B339" s="499" t="s">
        <v>123</v>
      </c>
      <c r="C339" s="499" t="s">
        <v>1386</v>
      </c>
      <c r="D339" s="1602" t="s">
        <v>155</v>
      </c>
      <c r="E339" s="1603"/>
      <c r="F339" s="1603"/>
      <c r="G339" s="1603"/>
      <c r="H339" s="100" t="s">
        <v>156</v>
      </c>
      <c r="I339" s="101">
        <v>2400</v>
      </c>
      <c r="J339" s="162">
        <v>4800</v>
      </c>
      <c r="K339" s="112">
        <v>1400</v>
      </c>
      <c r="L339" s="101">
        <v>4800</v>
      </c>
      <c r="M339" s="6"/>
      <c r="N339" s="6"/>
    </row>
    <row r="340" spans="1:14" s="48" customFormat="1" ht="17.100000000000001" customHeight="1" x14ac:dyDescent="0.25">
      <c r="A340" s="519"/>
      <c r="B340" s="499" t="s">
        <v>123</v>
      </c>
      <c r="C340" s="499" t="s">
        <v>1386</v>
      </c>
      <c r="D340" s="1602" t="s">
        <v>157</v>
      </c>
      <c r="E340" s="1603"/>
      <c r="F340" s="1603"/>
      <c r="G340" s="1603"/>
      <c r="H340" s="100" t="s">
        <v>158</v>
      </c>
      <c r="I340" s="101">
        <v>4547.0600000000004</v>
      </c>
      <c r="J340" s="162">
        <v>14438.76</v>
      </c>
      <c r="K340" s="112">
        <v>3093.64</v>
      </c>
      <c r="L340" s="101">
        <v>36551.129999999997</v>
      </c>
      <c r="M340" s="6"/>
      <c r="N340" s="6"/>
    </row>
    <row r="341" spans="1:14" s="48" customFormat="1" ht="17.100000000000001" customHeight="1" x14ac:dyDescent="0.25">
      <c r="A341" s="519"/>
      <c r="B341" s="499" t="s">
        <v>123</v>
      </c>
      <c r="C341" s="499" t="s">
        <v>1386</v>
      </c>
      <c r="D341" s="1602" t="s">
        <v>159</v>
      </c>
      <c r="E341" s="1603"/>
      <c r="F341" s="1603"/>
      <c r="G341" s="1603"/>
      <c r="H341" s="104" t="s">
        <v>160</v>
      </c>
      <c r="I341" s="105">
        <v>2400</v>
      </c>
      <c r="J341" s="163">
        <v>4800</v>
      </c>
      <c r="K341" s="118">
        <v>1400</v>
      </c>
      <c r="L341" s="105">
        <v>4800</v>
      </c>
      <c r="M341" s="6"/>
      <c r="N341" s="6"/>
    </row>
    <row r="342" spans="1:14" s="48" customFormat="1" ht="17.100000000000001" customHeight="1" x14ac:dyDescent="0.25">
      <c r="A342" s="519"/>
      <c r="B342" s="499" t="s">
        <v>163</v>
      </c>
      <c r="C342" s="499" t="s">
        <v>1386</v>
      </c>
      <c r="D342" s="44" t="s">
        <v>164</v>
      </c>
      <c r="E342" s="113"/>
      <c r="F342" s="113"/>
      <c r="G342" s="114"/>
      <c r="H342" s="100" t="s">
        <v>165</v>
      </c>
      <c r="I342" s="101">
        <v>0</v>
      </c>
      <c r="J342" s="162">
        <v>15000</v>
      </c>
      <c r="K342" s="112">
        <v>0</v>
      </c>
      <c r="L342" s="101">
        <v>15000</v>
      </c>
      <c r="M342" s="6"/>
      <c r="N342" s="6"/>
    </row>
    <row r="343" spans="1:14" s="48" customFormat="1" ht="17.100000000000001" customHeight="1" x14ac:dyDescent="0.25">
      <c r="A343" s="519"/>
      <c r="B343" s="499" t="s">
        <v>163</v>
      </c>
      <c r="C343" s="499" t="s">
        <v>1386</v>
      </c>
      <c r="D343" s="44" t="s">
        <v>168</v>
      </c>
      <c r="E343" s="113"/>
      <c r="F343" s="113"/>
      <c r="G343" s="114"/>
      <c r="H343" s="100" t="s">
        <v>169</v>
      </c>
      <c r="I343" s="101">
        <v>218362.2</v>
      </c>
      <c r="J343" s="162">
        <v>217261.75</v>
      </c>
      <c r="K343" s="112">
        <v>122881</v>
      </c>
      <c r="L343" s="101">
        <v>234235</v>
      </c>
      <c r="M343" s="6"/>
      <c r="N343" s="6"/>
    </row>
    <row r="344" spans="1:14" s="48" customFormat="1" ht="17.100000000000001" customHeight="1" x14ac:dyDescent="0.25">
      <c r="A344" s="519"/>
      <c r="B344" s="499" t="s">
        <v>163</v>
      </c>
      <c r="C344" s="499" t="s">
        <v>1386</v>
      </c>
      <c r="D344" s="44" t="s">
        <v>174</v>
      </c>
      <c r="E344" s="113"/>
      <c r="F344" s="113"/>
      <c r="G344" s="114"/>
      <c r="H344" s="100" t="s">
        <v>171</v>
      </c>
      <c r="I344" s="101">
        <v>9390</v>
      </c>
      <c r="J344" s="162">
        <v>14520</v>
      </c>
      <c r="K344" s="112"/>
      <c r="L344" s="101"/>
      <c r="M344" s="6"/>
      <c r="N344" s="6"/>
    </row>
    <row r="345" spans="1:14" s="48" customFormat="1" ht="17.100000000000001" customHeight="1" x14ac:dyDescent="0.25">
      <c r="A345" s="519"/>
      <c r="B345" s="499" t="s">
        <v>163</v>
      </c>
      <c r="C345" s="499" t="s">
        <v>1386</v>
      </c>
      <c r="D345" s="536" t="s">
        <v>248</v>
      </c>
      <c r="E345" s="499"/>
      <c r="F345" s="499"/>
      <c r="G345" s="491"/>
      <c r="H345" s="100" t="s">
        <v>171</v>
      </c>
      <c r="I345" s="101"/>
      <c r="J345" s="162"/>
      <c r="K345" s="112"/>
      <c r="L345" s="101">
        <v>56070</v>
      </c>
      <c r="M345" s="6"/>
      <c r="N345" s="6">
        <f>34540+8730+12800</f>
        <v>56070</v>
      </c>
    </row>
    <row r="346" spans="1:14" s="48" customFormat="1" ht="17.100000000000001" customHeight="1" x14ac:dyDescent="0.25">
      <c r="A346" s="519"/>
      <c r="B346" s="499" t="s">
        <v>163</v>
      </c>
      <c r="C346" s="499" t="s">
        <v>1386</v>
      </c>
      <c r="D346" s="536" t="s">
        <v>249</v>
      </c>
      <c r="E346" s="499"/>
      <c r="F346" s="499"/>
      <c r="G346" s="491"/>
      <c r="H346" s="100" t="s">
        <v>171</v>
      </c>
      <c r="I346" s="101"/>
      <c r="J346" s="162">
        <v>30000</v>
      </c>
      <c r="K346" s="112"/>
      <c r="L346" s="101"/>
      <c r="M346" s="6"/>
      <c r="N346" s="6"/>
    </row>
    <row r="347" spans="1:14" s="48" customFormat="1" ht="17.100000000000001" customHeight="1" x14ac:dyDescent="0.25">
      <c r="A347" s="519"/>
      <c r="B347" s="499" t="s">
        <v>163</v>
      </c>
      <c r="C347" s="499" t="s">
        <v>1386</v>
      </c>
      <c r="D347" s="44" t="s">
        <v>176</v>
      </c>
      <c r="E347" s="113"/>
      <c r="F347" s="113"/>
      <c r="G347" s="114"/>
      <c r="H347" s="100" t="s">
        <v>177</v>
      </c>
      <c r="I347" s="101">
        <v>5000</v>
      </c>
      <c r="J347" s="162">
        <v>5000</v>
      </c>
      <c r="K347" s="112"/>
      <c r="L347" s="101">
        <v>5000</v>
      </c>
      <c r="M347" s="6"/>
      <c r="N347" s="6"/>
    </row>
    <row r="348" spans="1:14" s="48" customFormat="1" ht="17.100000000000001" customHeight="1" x14ac:dyDescent="0.25">
      <c r="A348" s="519"/>
      <c r="B348" s="499" t="s">
        <v>163</v>
      </c>
      <c r="C348" s="499" t="s">
        <v>1386</v>
      </c>
      <c r="D348" s="44" t="s">
        <v>178</v>
      </c>
      <c r="E348" s="113"/>
      <c r="F348" s="113"/>
      <c r="G348" s="114"/>
      <c r="H348" s="100" t="s">
        <v>179</v>
      </c>
      <c r="I348" s="101"/>
      <c r="J348" s="162"/>
      <c r="K348" s="112"/>
      <c r="L348" s="101">
        <v>39000</v>
      </c>
      <c r="M348" s="6"/>
      <c r="N348" s="6"/>
    </row>
    <row r="349" spans="1:14" s="48" customFormat="1" ht="17.100000000000001" customHeight="1" x14ac:dyDescent="0.25">
      <c r="A349" s="519"/>
      <c r="B349" s="499" t="s">
        <v>163</v>
      </c>
      <c r="C349" s="499" t="s">
        <v>1386</v>
      </c>
      <c r="D349" s="44" t="s">
        <v>250</v>
      </c>
      <c r="E349" s="113"/>
      <c r="F349" s="113"/>
      <c r="G349" s="114"/>
      <c r="H349" s="100" t="s">
        <v>179</v>
      </c>
      <c r="I349" s="101">
        <v>12585.72</v>
      </c>
      <c r="J349" s="162">
        <v>15000</v>
      </c>
      <c r="K349" s="112">
        <v>3146.43</v>
      </c>
      <c r="L349" s="101"/>
      <c r="M349" s="6"/>
      <c r="N349" s="6"/>
    </row>
    <row r="350" spans="1:14" s="48" customFormat="1" ht="17.100000000000001" customHeight="1" x14ac:dyDescent="0.25">
      <c r="A350" s="519"/>
      <c r="B350" s="499" t="s">
        <v>163</v>
      </c>
      <c r="C350" s="499" t="s">
        <v>1386</v>
      </c>
      <c r="D350" s="44" t="s">
        <v>181</v>
      </c>
      <c r="E350" s="114"/>
      <c r="F350" s="116"/>
      <c r="G350" s="116"/>
      <c r="H350" s="100" t="s">
        <v>179</v>
      </c>
      <c r="I350" s="101">
        <v>0</v>
      </c>
      <c r="J350" s="162">
        <v>24000</v>
      </c>
      <c r="K350" s="112"/>
      <c r="L350" s="101"/>
      <c r="M350" s="6"/>
      <c r="N350" s="6"/>
    </row>
    <row r="351" spans="1:14" s="48" customFormat="1" ht="17.100000000000001" customHeight="1" x14ac:dyDescent="0.25">
      <c r="A351" s="519"/>
      <c r="B351" s="499" t="s">
        <v>163</v>
      </c>
      <c r="C351" s="499" t="s">
        <v>1386</v>
      </c>
      <c r="D351" s="44" t="s">
        <v>182</v>
      </c>
      <c r="E351" s="114"/>
      <c r="F351" s="116"/>
      <c r="G351" s="116"/>
      <c r="H351" s="100" t="s">
        <v>183</v>
      </c>
      <c r="I351" s="101"/>
      <c r="J351" s="162">
        <v>30000</v>
      </c>
      <c r="K351" s="112">
        <v>19808.71</v>
      </c>
      <c r="L351" s="101">
        <v>48000</v>
      </c>
      <c r="M351" s="6"/>
      <c r="N351" s="6"/>
    </row>
    <row r="352" spans="1:14" s="48" customFormat="1" ht="17.100000000000001" customHeight="1" x14ac:dyDescent="0.25">
      <c r="A352" s="519"/>
      <c r="B352" s="499" t="s">
        <v>163</v>
      </c>
      <c r="C352" s="499" t="s">
        <v>1386</v>
      </c>
      <c r="D352" s="44" t="s">
        <v>186</v>
      </c>
      <c r="E352" s="113"/>
      <c r="F352" s="113"/>
      <c r="G352" s="114"/>
      <c r="H352" s="100" t="s">
        <v>187</v>
      </c>
      <c r="I352" s="101">
        <v>0</v>
      </c>
      <c r="J352" s="162">
        <v>15000</v>
      </c>
      <c r="K352" s="112"/>
      <c r="L352" s="101">
        <v>15000</v>
      </c>
      <c r="M352" s="6"/>
      <c r="N352" s="6"/>
    </row>
    <row r="353" spans="1:14" s="48" customFormat="1" ht="17.100000000000001" customHeight="1" x14ac:dyDescent="0.25">
      <c r="A353" s="519"/>
      <c r="B353" s="499" t="s">
        <v>163</v>
      </c>
      <c r="C353" s="499" t="s">
        <v>1386</v>
      </c>
      <c r="D353" s="44" t="s">
        <v>198</v>
      </c>
      <c r="E353" s="113"/>
      <c r="F353" s="113"/>
      <c r="G353" s="114"/>
      <c r="H353" s="100" t="s">
        <v>199</v>
      </c>
      <c r="I353" s="101">
        <v>250723.37</v>
      </c>
      <c r="J353" s="162">
        <v>470953.44</v>
      </c>
      <c r="K353" s="112">
        <v>135125.38</v>
      </c>
      <c r="L353" s="105">
        <v>470953.44</v>
      </c>
      <c r="M353" s="6"/>
      <c r="N353" s="6"/>
    </row>
    <row r="354" spans="1:14" s="48" customFormat="1" ht="36.75" customHeight="1" x14ac:dyDescent="0.25">
      <c r="A354" s="495"/>
      <c r="B354" s="499" t="s">
        <v>201</v>
      </c>
      <c r="C354" s="499" t="s">
        <v>1386</v>
      </c>
      <c r="D354" s="1612" t="s">
        <v>251</v>
      </c>
      <c r="E354" s="1612"/>
      <c r="F354" s="499"/>
      <c r="G354" s="499"/>
      <c r="H354" s="97"/>
      <c r="I354" s="101"/>
      <c r="J354" s="111"/>
      <c r="K354" s="112"/>
      <c r="L354" s="101">
        <v>16000</v>
      </c>
      <c r="M354" s="6"/>
      <c r="N354" s="6"/>
    </row>
    <row r="355" spans="1:14" s="48" customFormat="1" ht="18" customHeight="1" x14ac:dyDescent="0.25">
      <c r="A355" s="495"/>
      <c r="B355" s="499" t="s">
        <v>201</v>
      </c>
      <c r="C355" s="499" t="s">
        <v>1386</v>
      </c>
      <c r="D355" s="536" t="s">
        <v>252</v>
      </c>
      <c r="E355" s="499"/>
      <c r="F355" s="499"/>
      <c r="G355" s="499"/>
      <c r="H355" s="97"/>
      <c r="I355" s="101"/>
      <c r="J355" s="111"/>
      <c r="K355" s="112"/>
      <c r="L355" s="101">
        <v>110000</v>
      </c>
      <c r="M355" s="6"/>
      <c r="N355" s="6"/>
    </row>
    <row r="356" spans="1:14" s="48" customFormat="1" ht="18" customHeight="1" x14ac:dyDescent="0.25">
      <c r="A356" s="495"/>
      <c r="B356" s="499" t="s">
        <v>201</v>
      </c>
      <c r="C356" s="499" t="s">
        <v>1386</v>
      </c>
      <c r="D356" s="536" t="s">
        <v>253</v>
      </c>
      <c r="E356" s="499"/>
      <c r="F356" s="499"/>
      <c r="G356" s="499"/>
      <c r="H356" s="97"/>
      <c r="I356" s="101"/>
      <c r="J356" s="111"/>
      <c r="K356" s="112"/>
      <c r="L356" s="101">
        <v>50000</v>
      </c>
      <c r="M356" s="6"/>
      <c r="N356" s="6"/>
    </row>
    <row r="357" spans="1:14" s="48" customFormat="1" ht="18" customHeight="1" x14ac:dyDescent="0.25">
      <c r="A357" s="495"/>
      <c r="B357" s="499" t="s">
        <v>201</v>
      </c>
      <c r="C357" s="499" t="s">
        <v>1386</v>
      </c>
      <c r="D357" s="536" t="s">
        <v>254</v>
      </c>
      <c r="E357" s="499"/>
      <c r="F357" s="499"/>
      <c r="G357" s="499"/>
      <c r="H357" s="97"/>
      <c r="I357" s="101"/>
      <c r="J357" s="111"/>
      <c r="K357" s="112"/>
      <c r="L357" s="101">
        <v>29200</v>
      </c>
      <c r="M357" s="6"/>
      <c r="N357" s="6"/>
    </row>
    <row r="358" spans="1:14" s="48" customFormat="1" ht="18" customHeight="1" x14ac:dyDescent="0.25">
      <c r="A358" s="495"/>
      <c r="B358" s="499" t="s">
        <v>201</v>
      </c>
      <c r="C358" s="499" t="s">
        <v>1386</v>
      </c>
      <c r="D358" s="1679" t="s">
        <v>255</v>
      </c>
      <c r="E358" s="1679"/>
      <c r="F358" s="1679"/>
      <c r="G358" s="1680"/>
      <c r="H358" s="97"/>
      <c r="I358" s="101"/>
      <c r="J358" s="111">
        <v>45000</v>
      </c>
      <c r="K358" s="112"/>
      <c r="L358" s="101"/>
      <c r="M358" s="6"/>
      <c r="N358" s="6"/>
    </row>
    <row r="359" spans="1:14" s="48" customFormat="1" ht="18" customHeight="1" x14ac:dyDescent="0.25">
      <c r="A359" s="495"/>
      <c r="B359" s="499" t="s">
        <v>201</v>
      </c>
      <c r="C359" s="499" t="s">
        <v>1386</v>
      </c>
      <c r="D359" s="1679" t="s">
        <v>256</v>
      </c>
      <c r="E359" s="1679"/>
      <c r="F359" s="1679"/>
      <c r="G359" s="1680"/>
      <c r="H359" s="108"/>
      <c r="I359" s="101">
        <v>70500</v>
      </c>
      <c r="J359" s="162"/>
      <c r="K359" s="112"/>
      <c r="L359" s="101"/>
      <c r="M359" s="6"/>
      <c r="N359" s="6"/>
    </row>
    <row r="360" spans="1:14" s="48" customFormat="1" ht="17.100000000000001" customHeight="1" x14ac:dyDescent="0.25">
      <c r="A360" s="519"/>
      <c r="B360" s="499" t="s">
        <v>123</v>
      </c>
      <c r="C360" s="499" t="s">
        <v>1386</v>
      </c>
      <c r="D360" s="1602" t="s">
        <v>124</v>
      </c>
      <c r="E360" s="1603"/>
      <c r="F360" s="1603"/>
      <c r="G360" s="1603"/>
      <c r="H360" s="131" t="s">
        <v>125</v>
      </c>
      <c r="I360" s="101">
        <v>346788</v>
      </c>
      <c r="J360" s="162">
        <v>654492</v>
      </c>
      <c r="K360" s="112">
        <v>249702.59</v>
      </c>
      <c r="L360" s="101">
        <v>726192</v>
      </c>
      <c r="M360" s="6"/>
      <c r="N360" s="6"/>
    </row>
    <row r="361" spans="1:14" s="48" customFormat="1" ht="17.100000000000001" customHeight="1" x14ac:dyDescent="0.25">
      <c r="A361" s="519"/>
      <c r="B361" s="499" t="s">
        <v>123</v>
      </c>
      <c r="C361" s="499" t="s">
        <v>1386</v>
      </c>
      <c r="D361" s="1602" t="s">
        <v>128</v>
      </c>
      <c r="E361" s="1603"/>
      <c r="F361" s="1603"/>
      <c r="G361" s="1603"/>
      <c r="H361" s="166" t="s">
        <v>125</v>
      </c>
      <c r="I361" s="101"/>
      <c r="J361" s="162">
        <v>1872</v>
      </c>
      <c r="K361" s="112"/>
      <c r="L361" s="101"/>
      <c r="M361" s="6"/>
      <c r="N361" s="6"/>
    </row>
    <row r="362" spans="1:14" s="48" customFormat="1" ht="17.100000000000001" customHeight="1" x14ac:dyDescent="0.25">
      <c r="A362" s="519"/>
      <c r="B362" s="499" t="s">
        <v>123</v>
      </c>
      <c r="C362" s="499" t="s">
        <v>1386</v>
      </c>
      <c r="D362" s="1602" t="s">
        <v>129</v>
      </c>
      <c r="E362" s="1603"/>
      <c r="F362" s="1603"/>
      <c r="G362" s="1603"/>
      <c r="H362" s="132" t="s">
        <v>130</v>
      </c>
      <c r="I362" s="101">
        <v>48000</v>
      </c>
      <c r="J362" s="162">
        <v>72000</v>
      </c>
      <c r="K362" s="112">
        <v>28000</v>
      </c>
      <c r="L362" s="101">
        <v>72000</v>
      </c>
      <c r="M362" s="6"/>
      <c r="N362" s="6"/>
    </row>
    <row r="363" spans="1:14" s="48" customFormat="1" ht="17.100000000000001" customHeight="1" x14ac:dyDescent="0.25">
      <c r="A363" s="519"/>
      <c r="B363" s="499" t="s">
        <v>123</v>
      </c>
      <c r="C363" s="499" t="s">
        <v>1386</v>
      </c>
      <c r="D363" s="1602" t="s">
        <v>135</v>
      </c>
      <c r="E363" s="1603"/>
      <c r="F363" s="1603"/>
      <c r="G363" s="1603"/>
      <c r="H363" s="131" t="s">
        <v>136</v>
      </c>
      <c r="I363" s="101">
        <v>17559</v>
      </c>
      <c r="J363" s="162">
        <v>46796.68</v>
      </c>
      <c r="K363" s="112"/>
      <c r="L363" s="102">
        <v>69927.27</v>
      </c>
      <c r="M363" s="6"/>
      <c r="N363" s="6"/>
    </row>
    <row r="364" spans="1:14" s="48" customFormat="1" ht="17.100000000000001" customHeight="1" x14ac:dyDescent="0.25">
      <c r="A364" s="519"/>
      <c r="B364" s="499" t="s">
        <v>123</v>
      </c>
      <c r="C364" s="499" t="s">
        <v>1386</v>
      </c>
      <c r="D364" s="1602" t="s">
        <v>137</v>
      </c>
      <c r="E364" s="1603"/>
      <c r="F364" s="1603"/>
      <c r="G364" s="1603"/>
      <c r="H364" s="131" t="s">
        <v>138</v>
      </c>
      <c r="I364" s="101">
        <v>12000</v>
      </c>
      <c r="J364" s="162">
        <v>18000</v>
      </c>
      <c r="K364" s="112">
        <v>12000</v>
      </c>
      <c r="L364" s="101">
        <v>18000</v>
      </c>
      <c r="M364" s="6"/>
      <c r="N364" s="6"/>
    </row>
    <row r="365" spans="1:14" s="48" customFormat="1" ht="17.100000000000001" customHeight="1" x14ac:dyDescent="0.25">
      <c r="A365" s="519"/>
      <c r="B365" s="499" t="s">
        <v>123</v>
      </c>
      <c r="C365" s="499" t="s">
        <v>1386</v>
      </c>
      <c r="D365" s="1602" t="s">
        <v>139</v>
      </c>
      <c r="E365" s="1603"/>
      <c r="F365" s="1603"/>
      <c r="G365" s="1603"/>
      <c r="H365" s="131" t="s">
        <v>140</v>
      </c>
      <c r="I365" s="101">
        <v>28899</v>
      </c>
      <c r="J365" s="162">
        <v>54541</v>
      </c>
      <c r="K365" s="112">
        <v>38380</v>
      </c>
      <c r="L365" s="101">
        <v>60516</v>
      </c>
      <c r="M365" s="6"/>
      <c r="N365" s="6"/>
    </row>
    <row r="366" spans="1:14" s="48" customFormat="1" ht="17.100000000000001" customHeight="1" x14ac:dyDescent="0.25">
      <c r="A366" s="519"/>
      <c r="B366" s="499" t="s">
        <v>123</v>
      </c>
      <c r="C366" s="499" t="s">
        <v>1386</v>
      </c>
      <c r="D366" s="1602" t="s">
        <v>141</v>
      </c>
      <c r="E366" s="1603"/>
      <c r="F366" s="1603"/>
      <c r="G366" s="1603"/>
      <c r="H366" s="131" t="s">
        <v>142</v>
      </c>
      <c r="I366" s="101">
        <v>28899</v>
      </c>
      <c r="J366" s="162">
        <v>54853</v>
      </c>
      <c r="K366" s="112"/>
      <c r="L366" s="101">
        <v>60516</v>
      </c>
      <c r="M366" s="6"/>
      <c r="N366" s="6"/>
    </row>
    <row r="367" spans="1:14" s="48" customFormat="1" ht="17.100000000000001" customHeight="1" x14ac:dyDescent="0.25">
      <c r="A367" s="519"/>
      <c r="B367" s="499" t="s">
        <v>123</v>
      </c>
      <c r="C367" s="499" t="s">
        <v>1386</v>
      </c>
      <c r="D367" s="1602" t="s">
        <v>143</v>
      </c>
      <c r="E367" s="1603"/>
      <c r="F367" s="1603"/>
      <c r="G367" s="1603"/>
      <c r="H367" s="131" t="s">
        <v>144</v>
      </c>
      <c r="I367" s="101">
        <v>10000</v>
      </c>
      <c r="J367" s="162">
        <v>15000</v>
      </c>
      <c r="K367" s="112"/>
      <c r="L367" s="101">
        <v>15000</v>
      </c>
      <c r="M367" s="6"/>
      <c r="N367" s="6"/>
    </row>
    <row r="368" spans="1:14" s="48" customFormat="1" ht="17.100000000000001" customHeight="1" x14ac:dyDescent="0.25">
      <c r="A368" s="519"/>
      <c r="B368" s="499" t="s">
        <v>123</v>
      </c>
      <c r="C368" s="499" t="s">
        <v>1386</v>
      </c>
      <c r="D368" s="1602" t="s">
        <v>145</v>
      </c>
      <c r="E368" s="1603"/>
      <c r="F368" s="1603"/>
      <c r="G368" s="1603"/>
      <c r="H368" s="131" t="s">
        <v>146</v>
      </c>
      <c r="I368" s="101">
        <v>10000</v>
      </c>
      <c r="J368" s="162">
        <v>15000</v>
      </c>
      <c r="K368" s="112"/>
      <c r="L368" s="101">
        <v>15000</v>
      </c>
      <c r="M368" s="6"/>
      <c r="N368" s="6"/>
    </row>
    <row r="369" spans="1:14" s="48" customFormat="1" ht="17.100000000000001" customHeight="1" x14ac:dyDescent="0.25">
      <c r="A369" s="519"/>
      <c r="B369" s="499" t="s">
        <v>123</v>
      </c>
      <c r="C369" s="499" t="s">
        <v>1386</v>
      </c>
      <c r="D369" s="536" t="s">
        <v>147</v>
      </c>
      <c r="E369" s="499"/>
      <c r="F369" s="499"/>
      <c r="G369" s="491"/>
      <c r="H369" s="131" t="s">
        <v>148</v>
      </c>
      <c r="I369" s="101"/>
      <c r="J369" s="162"/>
      <c r="K369" s="112"/>
      <c r="L369" s="101">
        <v>9000</v>
      </c>
      <c r="M369" s="6"/>
      <c r="N369" s="6"/>
    </row>
    <row r="370" spans="1:14" s="48" customFormat="1" ht="17.100000000000001" customHeight="1" x14ac:dyDescent="0.25">
      <c r="A370" s="519"/>
      <c r="B370" s="499" t="s">
        <v>123</v>
      </c>
      <c r="C370" s="499" t="s">
        <v>1386</v>
      </c>
      <c r="D370" s="513" t="s">
        <v>149</v>
      </c>
      <c r="E370" s="1675"/>
      <c r="F370" s="1675"/>
      <c r="G370" s="1676"/>
      <c r="H370" s="131" t="s">
        <v>150</v>
      </c>
      <c r="I370" s="101">
        <v>34200</v>
      </c>
      <c r="J370" s="162"/>
      <c r="K370" s="112"/>
      <c r="L370" s="101"/>
      <c r="M370" s="6"/>
      <c r="N370" s="6"/>
    </row>
    <row r="371" spans="1:14" s="48" customFormat="1" ht="17.100000000000001" customHeight="1" x14ac:dyDescent="0.25">
      <c r="A371" s="519"/>
      <c r="B371" s="499" t="s">
        <v>123</v>
      </c>
      <c r="C371" s="499" t="s">
        <v>1386</v>
      </c>
      <c r="D371" s="1611" t="s">
        <v>151</v>
      </c>
      <c r="E371" s="1611"/>
      <c r="F371" s="1611"/>
      <c r="G371" s="1602"/>
      <c r="H371" s="131" t="s">
        <v>150</v>
      </c>
      <c r="I371" s="101">
        <v>20000</v>
      </c>
      <c r="J371" s="102">
        <v>0</v>
      </c>
      <c r="K371" s="101"/>
      <c r="L371" s="101"/>
      <c r="M371" s="6"/>
      <c r="N371" s="6"/>
    </row>
    <row r="372" spans="1:14" s="48" customFormat="1" ht="17.100000000000001" customHeight="1" x14ac:dyDescent="0.25">
      <c r="A372" s="519"/>
      <c r="B372" s="499" t="s">
        <v>123</v>
      </c>
      <c r="C372" s="499" t="s">
        <v>1386</v>
      </c>
      <c r="D372" s="513" t="s">
        <v>231</v>
      </c>
      <c r="E372" s="499"/>
      <c r="F372" s="499"/>
      <c r="G372" s="491"/>
      <c r="H372" s="131" t="s">
        <v>232</v>
      </c>
      <c r="I372" s="101"/>
      <c r="J372" s="162">
        <v>10000</v>
      </c>
      <c r="K372" s="112"/>
      <c r="L372" s="101"/>
      <c r="M372" s="6"/>
      <c r="N372" s="6"/>
    </row>
    <row r="373" spans="1:14" s="48" customFormat="1" ht="17.100000000000001" customHeight="1" x14ac:dyDescent="0.25">
      <c r="A373" s="519"/>
      <c r="B373" s="499" t="s">
        <v>123</v>
      </c>
      <c r="C373" s="499" t="s">
        <v>1386</v>
      </c>
      <c r="D373" s="1611" t="s">
        <v>152</v>
      </c>
      <c r="E373" s="1611"/>
      <c r="F373" s="1611"/>
      <c r="G373" s="1602"/>
      <c r="H373" s="131"/>
      <c r="I373" s="101"/>
      <c r="J373" s="162">
        <v>46089.25</v>
      </c>
      <c r="K373" s="112"/>
      <c r="L373" s="101"/>
      <c r="M373" s="6"/>
      <c r="N373" s="6"/>
    </row>
    <row r="374" spans="1:14" s="48" customFormat="1" ht="17.100000000000001" customHeight="1" x14ac:dyDescent="0.25">
      <c r="A374" s="519"/>
      <c r="B374" s="499" t="s">
        <v>123</v>
      </c>
      <c r="C374" s="499" t="s">
        <v>1386</v>
      </c>
      <c r="D374" s="1602" t="s">
        <v>153</v>
      </c>
      <c r="E374" s="1603"/>
      <c r="F374" s="1603"/>
      <c r="G374" s="1603"/>
      <c r="H374" s="131" t="s">
        <v>154</v>
      </c>
      <c r="I374" s="101">
        <v>41614.559999999998</v>
      </c>
      <c r="J374" s="162">
        <v>78763.679999999993</v>
      </c>
      <c r="K374" s="112">
        <v>29718.28</v>
      </c>
      <c r="L374" s="101">
        <v>87143.039999999994</v>
      </c>
      <c r="M374" s="6"/>
      <c r="N374" s="6"/>
    </row>
    <row r="375" spans="1:14" s="48" customFormat="1" ht="17.100000000000001" customHeight="1" x14ac:dyDescent="0.25">
      <c r="A375" s="519"/>
      <c r="B375" s="499" t="s">
        <v>123</v>
      </c>
      <c r="C375" s="499" t="s">
        <v>1386</v>
      </c>
      <c r="D375" s="1602" t="s">
        <v>155</v>
      </c>
      <c r="E375" s="1603"/>
      <c r="F375" s="1603"/>
      <c r="G375" s="1603"/>
      <c r="H375" s="131" t="s">
        <v>156</v>
      </c>
      <c r="I375" s="101">
        <v>2400</v>
      </c>
      <c r="J375" s="162">
        <v>3600</v>
      </c>
      <c r="K375" s="112">
        <v>1400</v>
      </c>
      <c r="L375" s="101">
        <v>3600</v>
      </c>
      <c r="M375" s="6"/>
      <c r="N375" s="6"/>
    </row>
    <row r="376" spans="1:14" s="48" customFormat="1" ht="17.100000000000001" customHeight="1" x14ac:dyDescent="0.25">
      <c r="A376" s="519"/>
      <c r="B376" s="499" t="s">
        <v>123</v>
      </c>
      <c r="C376" s="499" t="s">
        <v>1386</v>
      </c>
      <c r="D376" s="1602" t="s">
        <v>157</v>
      </c>
      <c r="E376" s="1603"/>
      <c r="F376" s="1603"/>
      <c r="G376" s="1603"/>
      <c r="H376" s="131" t="s">
        <v>158</v>
      </c>
      <c r="I376" s="101">
        <v>5201.8999999999996</v>
      </c>
      <c r="J376" s="162">
        <v>11486.37</v>
      </c>
      <c r="K376" s="112">
        <v>3798.5</v>
      </c>
      <c r="L376" s="101">
        <v>29220</v>
      </c>
      <c r="M376" s="6"/>
      <c r="N376" s="6"/>
    </row>
    <row r="377" spans="1:14" s="48" customFormat="1" ht="17.100000000000001" customHeight="1" x14ac:dyDescent="0.25">
      <c r="A377" s="519"/>
      <c r="B377" s="499" t="s">
        <v>123</v>
      </c>
      <c r="C377" s="499" t="s">
        <v>1386</v>
      </c>
      <c r="D377" s="1602" t="s">
        <v>159</v>
      </c>
      <c r="E377" s="1603"/>
      <c r="F377" s="1603"/>
      <c r="G377" s="1603"/>
      <c r="H377" s="133" t="s">
        <v>160</v>
      </c>
      <c r="I377" s="105">
        <v>2400</v>
      </c>
      <c r="J377" s="163">
        <v>3600</v>
      </c>
      <c r="K377" s="118">
        <v>1400</v>
      </c>
      <c r="L377" s="101">
        <v>3600</v>
      </c>
      <c r="M377" s="6"/>
      <c r="N377" s="6"/>
    </row>
    <row r="378" spans="1:14" s="48" customFormat="1" ht="17.100000000000001" customHeight="1" x14ac:dyDescent="0.25">
      <c r="A378" s="519"/>
      <c r="B378" s="499" t="s">
        <v>163</v>
      </c>
      <c r="C378" s="499" t="s">
        <v>1386</v>
      </c>
      <c r="D378" s="44" t="s">
        <v>164</v>
      </c>
      <c r="E378" s="113"/>
      <c r="F378" s="113"/>
      <c r="G378" s="114"/>
      <c r="H378" s="131" t="s">
        <v>165</v>
      </c>
      <c r="I378" s="101"/>
      <c r="J378" s="162">
        <v>20000</v>
      </c>
      <c r="K378" s="112"/>
      <c r="L378" s="101">
        <v>20000</v>
      </c>
      <c r="M378" s="6"/>
      <c r="N378" s="6"/>
    </row>
    <row r="379" spans="1:14" s="48" customFormat="1" ht="17.100000000000001" customHeight="1" x14ac:dyDescent="0.25">
      <c r="A379" s="519"/>
      <c r="B379" s="499" t="s">
        <v>163</v>
      </c>
      <c r="C379" s="499" t="s">
        <v>1386</v>
      </c>
      <c r="D379" s="44" t="s">
        <v>168</v>
      </c>
      <c r="E379" s="113"/>
      <c r="F379" s="113"/>
      <c r="G379" s="114"/>
      <c r="H379" s="131" t="s">
        <v>169</v>
      </c>
      <c r="I379" s="101">
        <v>74511</v>
      </c>
      <c r="J379" s="162">
        <v>381751.5</v>
      </c>
      <c r="K379" s="112">
        <v>304584</v>
      </c>
      <c r="L379" s="101">
        <v>543095.1</v>
      </c>
      <c r="M379" s="6"/>
      <c r="N379" s="6"/>
    </row>
    <row r="380" spans="1:14" s="48" customFormat="1" ht="17.100000000000001" customHeight="1" x14ac:dyDescent="0.25">
      <c r="A380" s="519"/>
      <c r="B380" s="499" t="s">
        <v>163</v>
      </c>
      <c r="C380" s="499" t="s">
        <v>1386</v>
      </c>
      <c r="D380" s="44" t="s">
        <v>213</v>
      </c>
      <c r="E380" s="113"/>
      <c r="F380" s="113"/>
      <c r="G380" s="114"/>
      <c r="H380" s="131" t="s">
        <v>171</v>
      </c>
      <c r="I380" s="101"/>
      <c r="J380" s="162"/>
      <c r="K380" s="112"/>
      <c r="L380" s="101">
        <f>10380+12000</f>
        <v>22380</v>
      </c>
      <c r="M380" s="6"/>
      <c r="N380" s="6"/>
    </row>
    <row r="381" spans="1:14" s="48" customFormat="1" ht="17.100000000000001" customHeight="1" x14ac:dyDescent="0.25">
      <c r="A381" s="519"/>
      <c r="B381" s="499" t="s">
        <v>163</v>
      </c>
      <c r="C381" s="499" t="s">
        <v>1386</v>
      </c>
      <c r="D381" s="44" t="s">
        <v>174</v>
      </c>
      <c r="E381" s="113"/>
      <c r="F381" s="113"/>
      <c r="G381" s="114"/>
      <c r="H381" s="131" t="s">
        <v>171</v>
      </c>
      <c r="I381" s="101"/>
      <c r="J381" s="162">
        <v>5480</v>
      </c>
      <c r="K381" s="112"/>
      <c r="L381" s="101"/>
      <c r="M381" s="6"/>
      <c r="N381" s="6"/>
    </row>
    <row r="382" spans="1:14" s="48" customFormat="1" ht="17.100000000000001" customHeight="1" x14ac:dyDescent="0.25">
      <c r="A382" s="519"/>
      <c r="B382" s="499" t="s">
        <v>163</v>
      </c>
      <c r="C382" s="499" t="s">
        <v>1386</v>
      </c>
      <c r="D382" s="44" t="s">
        <v>178</v>
      </c>
      <c r="E382" s="113"/>
      <c r="F382" s="113"/>
      <c r="G382" s="114"/>
      <c r="H382" s="131" t="s">
        <v>179</v>
      </c>
      <c r="I382" s="101"/>
      <c r="J382" s="162"/>
      <c r="K382" s="112"/>
      <c r="L382" s="102">
        <v>18000</v>
      </c>
      <c r="M382" s="6"/>
      <c r="N382" s="6"/>
    </row>
    <row r="383" spans="1:14" s="48" customFormat="1" ht="17.100000000000001" customHeight="1" x14ac:dyDescent="0.25">
      <c r="A383" s="519"/>
      <c r="B383" s="499" t="s">
        <v>163</v>
      </c>
      <c r="C383" s="499" t="s">
        <v>1386</v>
      </c>
      <c r="D383" s="44" t="s">
        <v>181</v>
      </c>
      <c r="E383" s="113"/>
      <c r="F383" s="113"/>
      <c r="G383" s="114"/>
      <c r="H383" s="131" t="s">
        <v>179</v>
      </c>
      <c r="I383" s="101">
        <v>0</v>
      </c>
      <c r="J383" s="162">
        <v>18000</v>
      </c>
      <c r="K383" s="112"/>
      <c r="L383" s="102"/>
      <c r="M383" s="6"/>
      <c r="N383" s="6"/>
    </row>
    <row r="384" spans="1:14" s="48" customFormat="1" ht="17.100000000000001" customHeight="1" x14ac:dyDescent="0.25">
      <c r="A384" s="519"/>
      <c r="B384" s="499" t="s">
        <v>163</v>
      </c>
      <c r="C384" s="499" t="s">
        <v>1386</v>
      </c>
      <c r="D384" s="44" t="s">
        <v>250</v>
      </c>
      <c r="E384" s="113"/>
      <c r="F384" s="113"/>
      <c r="G384" s="114"/>
      <c r="H384" s="131" t="s">
        <v>179</v>
      </c>
      <c r="I384" s="101">
        <v>0</v>
      </c>
      <c r="J384" s="162">
        <v>0</v>
      </c>
      <c r="K384" s="112"/>
      <c r="L384" s="102"/>
      <c r="M384" s="6"/>
      <c r="N384" s="6"/>
    </row>
    <row r="385" spans="1:14" s="48" customFormat="1" ht="17.100000000000001" customHeight="1" x14ac:dyDescent="0.25">
      <c r="A385" s="519"/>
      <c r="B385" s="499" t="s">
        <v>163</v>
      </c>
      <c r="C385" s="499" t="s">
        <v>1386</v>
      </c>
      <c r="D385" s="44" t="s">
        <v>182</v>
      </c>
      <c r="E385" s="113"/>
      <c r="F385" s="113"/>
      <c r="G385" s="114"/>
      <c r="H385" s="131" t="s">
        <v>183</v>
      </c>
      <c r="I385" s="101">
        <v>0</v>
      </c>
      <c r="J385" s="162">
        <v>42000</v>
      </c>
      <c r="K385" s="112"/>
      <c r="L385" s="102">
        <v>42000</v>
      </c>
      <c r="M385" s="6"/>
      <c r="N385" s="6"/>
    </row>
    <row r="386" spans="1:14" s="48" customFormat="1" ht="17.100000000000001" customHeight="1" x14ac:dyDescent="0.25">
      <c r="A386" s="519"/>
      <c r="B386" s="499" t="s">
        <v>163</v>
      </c>
      <c r="C386" s="499" t="s">
        <v>1386</v>
      </c>
      <c r="D386" s="44" t="s">
        <v>186</v>
      </c>
      <c r="E386" s="113"/>
      <c r="F386" s="113"/>
      <c r="G386" s="114"/>
      <c r="H386" s="131" t="s">
        <v>187</v>
      </c>
      <c r="I386" s="101">
        <v>0</v>
      </c>
      <c r="J386" s="162">
        <v>30000</v>
      </c>
      <c r="K386" s="112"/>
      <c r="L386" s="101">
        <v>110000</v>
      </c>
      <c r="M386" s="6"/>
      <c r="N386" s="6"/>
    </row>
    <row r="387" spans="1:14" s="48" customFormat="1" ht="17.100000000000001" customHeight="1" x14ac:dyDescent="0.25">
      <c r="A387" s="519"/>
      <c r="B387" s="499" t="s">
        <v>163</v>
      </c>
      <c r="C387" s="499" t="s">
        <v>1386</v>
      </c>
      <c r="D387" s="44" t="s">
        <v>198</v>
      </c>
      <c r="E387" s="113"/>
      <c r="F387" s="113"/>
      <c r="G387" s="114"/>
      <c r="H387" s="131" t="s">
        <v>199</v>
      </c>
      <c r="I387" s="101">
        <v>212843.66</v>
      </c>
      <c r="J387" s="162">
        <v>470953.44</v>
      </c>
      <c r="K387" s="112">
        <v>118466.51</v>
      </c>
      <c r="L387" s="105">
        <v>615600</v>
      </c>
      <c r="M387" s="6"/>
      <c r="N387" s="6"/>
    </row>
    <row r="388" spans="1:14" s="136" customFormat="1" ht="18" customHeight="1" x14ac:dyDescent="0.25">
      <c r="A388" s="154"/>
      <c r="B388" s="499" t="s">
        <v>201</v>
      </c>
      <c r="C388" s="499" t="s">
        <v>1386</v>
      </c>
      <c r="D388" s="502" t="s">
        <v>257</v>
      </c>
      <c r="E388" s="502"/>
      <c r="F388" s="502"/>
      <c r="G388" s="502"/>
      <c r="H388" s="97"/>
      <c r="I388" s="101"/>
      <c r="J388" s="111"/>
      <c r="K388" s="112"/>
      <c r="L388" s="101">
        <v>51200</v>
      </c>
      <c r="M388" s="6"/>
      <c r="N388" s="6"/>
    </row>
    <row r="389" spans="1:14" s="136" customFormat="1" ht="18" customHeight="1" x14ac:dyDescent="0.25">
      <c r="A389" s="154"/>
      <c r="B389" s="499" t="s">
        <v>201</v>
      </c>
      <c r="C389" s="499" t="s">
        <v>1386</v>
      </c>
      <c r="D389" s="502" t="s">
        <v>258</v>
      </c>
      <c r="E389" s="502"/>
      <c r="F389" s="502"/>
      <c r="G389" s="502"/>
      <c r="H389" s="97"/>
      <c r="I389" s="101"/>
      <c r="J389" s="111"/>
      <c r="K389" s="112"/>
      <c r="L389" s="101">
        <v>26000</v>
      </c>
      <c r="M389" s="6"/>
      <c r="N389" s="6"/>
    </row>
    <row r="390" spans="1:14" s="136" customFormat="1" ht="18" customHeight="1" x14ac:dyDescent="0.25">
      <c r="A390" s="154"/>
      <c r="B390" s="499" t="s">
        <v>201</v>
      </c>
      <c r="C390" s="499" t="s">
        <v>1386</v>
      </c>
      <c r="D390" s="167" t="s">
        <v>259</v>
      </c>
      <c r="E390" s="502"/>
      <c r="F390" s="502"/>
      <c r="G390" s="502"/>
      <c r="H390" s="97"/>
      <c r="I390" s="101"/>
      <c r="J390" s="111"/>
      <c r="K390" s="112"/>
      <c r="L390" s="101">
        <v>20000</v>
      </c>
      <c r="M390" s="6"/>
      <c r="N390" s="6"/>
    </row>
    <row r="391" spans="1:14" s="136" customFormat="1" ht="18" customHeight="1" x14ac:dyDescent="0.25">
      <c r="A391" s="154"/>
      <c r="B391" s="499" t="s">
        <v>201</v>
      </c>
      <c r="C391" s="499" t="s">
        <v>1386</v>
      </c>
      <c r="D391" s="502" t="s">
        <v>260</v>
      </c>
      <c r="E391" s="502"/>
      <c r="F391" s="502"/>
      <c r="G391" s="502"/>
      <c r="H391" s="97"/>
      <c r="I391" s="101"/>
      <c r="J391" s="111"/>
      <c r="K391" s="112"/>
      <c r="L391" s="101">
        <v>48000</v>
      </c>
      <c r="M391" s="6"/>
      <c r="N391" s="6"/>
    </row>
    <row r="392" spans="1:14" s="136" customFormat="1" ht="18" customHeight="1" x14ac:dyDescent="0.25">
      <c r="A392" s="154"/>
      <c r="B392" s="499" t="s">
        <v>201</v>
      </c>
      <c r="C392" s="499" t="s">
        <v>1386</v>
      </c>
      <c r="D392" s="502" t="s">
        <v>261</v>
      </c>
      <c r="E392" s="502"/>
      <c r="F392" s="502"/>
      <c r="G392" s="502"/>
      <c r="H392" s="97"/>
      <c r="I392" s="101"/>
      <c r="J392" s="111"/>
      <c r="K392" s="112"/>
      <c r="L392" s="101">
        <v>25000</v>
      </c>
      <c r="M392" s="6"/>
      <c r="N392" s="6"/>
    </row>
    <row r="393" spans="1:14" s="136" customFormat="1" ht="18" customHeight="1" x14ac:dyDescent="0.25">
      <c r="A393" s="154"/>
      <c r="B393" s="499" t="s">
        <v>201</v>
      </c>
      <c r="C393" s="499" t="s">
        <v>1386</v>
      </c>
      <c r="D393" s="502" t="s">
        <v>262</v>
      </c>
      <c r="E393" s="502"/>
      <c r="F393" s="502"/>
      <c r="G393" s="502"/>
      <c r="H393" s="97"/>
      <c r="I393" s="101"/>
      <c r="J393" s="111"/>
      <c r="K393" s="112"/>
      <c r="L393" s="101">
        <v>20000</v>
      </c>
      <c r="M393" s="6"/>
      <c r="N393" s="6"/>
    </row>
    <row r="394" spans="1:14" s="136" customFormat="1" ht="18" customHeight="1" x14ac:dyDescent="0.25">
      <c r="A394" s="154"/>
      <c r="B394" s="499" t="s">
        <v>201</v>
      </c>
      <c r="C394" s="499" t="s">
        <v>1386</v>
      </c>
      <c r="D394" s="536" t="s">
        <v>263</v>
      </c>
      <c r="E394" s="536"/>
      <c r="F394" s="536"/>
      <c r="G394" s="536"/>
      <c r="H394" s="168"/>
      <c r="I394" s="102"/>
      <c r="J394" s="111"/>
      <c r="K394" s="111"/>
      <c r="L394" s="102">
        <v>220000</v>
      </c>
      <c r="M394" s="6"/>
      <c r="N394" s="6"/>
    </row>
    <row r="395" spans="1:14" s="169" customFormat="1" ht="18" customHeight="1" x14ac:dyDescent="0.25">
      <c r="A395" s="522"/>
      <c r="B395" s="499" t="s">
        <v>201</v>
      </c>
      <c r="C395" s="499" t="s">
        <v>1386</v>
      </c>
      <c r="D395" s="536" t="s">
        <v>264</v>
      </c>
      <c r="E395" s="536"/>
      <c r="F395" s="536"/>
      <c r="G395" s="537"/>
      <c r="H395" s="168"/>
      <c r="I395" s="102"/>
      <c r="J395" s="111">
        <v>2000000</v>
      </c>
      <c r="K395" s="111"/>
      <c r="L395" s="102"/>
      <c r="M395" s="6"/>
      <c r="N395" s="6"/>
    </row>
    <row r="396" spans="1:14" s="48" customFormat="1" ht="18" customHeight="1" x14ac:dyDescent="0.25">
      <c r="A396" s="495"/>
      <c r="B396" s="499" t="s">
        <v>201</v>
      </c>
      <c r="C396" s="499" t="s">
        <v>1386</v>
      </c>
      <c r="D396" s="536" t="s">
        <v>265</v>
      </c>
      <c r="E396" s="536"/>
      <c r="F396" s="536"/>
      <c r="G396" s="537"/>
      <c r="H396" s="97"/>
      <c r="I396" s="101"/>
      <c r="J396" s="111">
        <v>25000</v>
      </c>
      <c r="K396" s="112"/>
      <c r="L396" s="101"/>
      <c r="M396" s="6"/>
      <c r="N396" s="6"/>
    </row>
    <row r="397" spans="1:14" s="48" customFormat="1" ht="18" customHeight="1" x14ac:dyDescent="0.25">
      <c r="A397" s="495"/>
      <c r="B397" s="499" t="s">
        <v>201</v>
      </c>
      <c r="C397" s="499" t="s">
        <v>1386</v>
      </c>
      <c r="D397" s="536" t="s">
        <v>266</v>
      </c>
      <c r="E397" s="536"/>
      <c r="F397" s="536"/>
      <c r="G397" s="537"/>
      <c r="H397" s="97"/>
      <c r="I397" s="101"/>
      <c r="J397" s="111">
        <v>50000</v>
      </c>
      <c r="K397" s="112"/>
      <c r="L397" s="101"/>
      <c r="M397" s="6"/>
      <c r="N397" s="6"/>
    </row>
    <row r="398" spans="1:14" s="48" customFormat="1" ht="18" customHeight="1" x14ac:dyDescent="0.25">
      <c r="A398" s="495"/>
      <c r="B398" s="499" t="s">
        <v>201</v>
      </c>
      <c r="C398" s="499" t="s">
        <v>1386</v>
      </c>
      <c r="D398" s="536" t="s">
        <v>267</v>
      </c>
      <c r="E398" s="536"/>
      <c r="F398" s="536"/>
      <c r="G398" s="537"/>
      <c r="H398" s="97"/>
      <c r="I398" s="101"/>
      <c r="J398" s="111">
        <v>70000</v>
      </c>
      <c r="K398" s="112"/>
      <c r="L398" s="101"/>
      <c r="M398" s="6"/>
      <c r="N398" s="6"/>
    </row>
    <row r="399" spans="1:14" s="48" customFormat="1" ht="18" customHeight="1" x14ac:dyDescent="0.25">
      <c r="A399" s="495"/>
      <c r="B399" s="499" t="s">
        <v>201</v>
      </c>
      <c r="C399" s="499" t="s">
        <v>1386</v>
      </c>
      <c r="D399" s="536" t="s">
        <v>268</v>
      </c>
      <c r="E399" s="536"/>
      <c r="F399" s="536"/>
      <c r="G399" s="537"/>
      <c r="H399" s="97"/>
      <c r="I399" s="101"/>
      <c r="J399" s="111">
        <v>16000</v>
      </c>
      <c r="K399" s="112"/>
      <c r="L399" s="101"/>
      <c r="M399" s="6"/>
      <c r="N399" s="6"/>
    </row>
    <row r="400" spans="1:14" s="48" customFormat="1" ht="18" customHeight="1" x14ac:dyDescent="0.25">
      <c r="A400" s="495"/>
      <c r="B400" s="499" t="s">
        <v>201</v>
      </c>
      <c r="C400" s="499" t="s">
        <v>1386</v>
      </c>
      <c r="D400" s="536" t="s">
        <v>269</v>
      </c>
      <c r="E400" s="536"/>
      <c r="F400" s="536"/>
      <c r="G400" s="537"/>
      <c r="H400" s="97"/>
      <c r="I400" s="101"/>
      <c r="J400" s="111">
        <v>10000</v>
      </c>
      <c r="K400" s="112"/>
      <c r="L400" s="101"/>
      <c r="M400" s="6"/>
      <c r="N400" s="6"/>
    </row>
    <row r="401" spans="1:14" s="48" customFormat="1" ht="18" customHeight="1" x14ac:dyDescent="0.25">
      <c r="A401" s="495"/>
      <c r="B401" s="499" t="s">
        <v>201</v>
      </c>
      <c r="C401" s="499" t="s">
        <v>1386</v>
      </c>
      <c r="D401" s="536" t="s">
        <v>270</v>
      </c>
      <c r="E401" s="536"/>
      <c r="F401" s="536"/>
      <c r="G401" s="537"/>
      <c r="H401" s="97"/>
      <c r="I401" s="101"/>
      <c r="J401" s="111">
        <v>85000</v>
      </c>
      <c r="K401" s="112"/>
      <c r="L401" s="101"/>
      <c r="M401" s="6"/>
      <c r="N401" s="6"/>
    </row>
    <row r="402" spans="1:14" s="48" customFormat="1" ht="18" customHeight="1" x14ac:dyDescent="0.25">
      <c r="A402" s="495"/>
      <c r="B402" s="499" t="s">
        <v>201</v>
      </c>
      <c r="C402" s="499" t="s">
        <v>1386</v>
      </c>
      <c r="D402" s="536" t="s">
        <v>271</v>
      </c>
      <c r="E402" s="536"/>
      <c r="F402" s="536"/>
      <c r="G402" s="537"/>
      <c r="H402" s="97"/>
      <c r="I402" s="101"/>
      <c r="J402" s="111">
        <v>45000</v>
      </c>
      <c r="K402" s="112"/>
      <c r="L402" s="101"/>
      <c r="M402" s="6"/>
      <c r="N402" s="6"/>
    </row>
    <row r="403" spans="1:14" s="48" customFormat="1" ht="18" customHeight="1" x14ac:dyDescent="0.25">
      <c r="A403" s="495"/>
      <c r="B403" s="499" t="s">
        <v>201</v>
      </c>
      <c r="C403" s="499" t="s">
        <v>1386</v>
      </c>
      <c r="D403" s="536" t="s">
        <v>272</v>
      </c>
      <c r="E403" s="536"/>
      <c r="F403" s="536"/>
      <c r="G403" s="537"/>
      <c r="H403" s="97"/>
      <c r="I403" s="101"/>
      <c r="J403" s="111">
        <v>10000</v>
      </c>
      <c r="K403" s="112"/>
      <c r="L403" s="101"/>
      <c r="M403" s="6"/>
      <c r="N403" s="6"/>
    </row>
    <row r="404" spans="1:14" s="48" customFormat="1" ht="18" customHeight="1" x14ac:dyDescent="0.25">
      <c r="A404" s="495"/>
      <c r="B404" s="499" t="s">
        <v>201</v>
      </c>
      <c r="C404" s="499" t="s">
        <v>1386</v>
      </c>
      <c r="D404" s="536" t="s">
        <v>273</v>
      </c>
      <c r="E404" s="536"/>
      <c r="F404" s="536"/>
      <c r="G404" s="537"/>
      <c r="H404" s="97"/>
      <c r="I404" s="101"/>
      <c r="J404" s="111">
        <v>26000</v>
      </c>
      <c r="K404" s="112"/>
      <c r="L404" s="101"/>
      <c r="M404" s="6"/>
      <c r="N404" s="6"/>
    </row>
    <row r="405" spans="1:14" s="48" customFormat="1" ht="18" customHeight="1" x14ac:dyDescent="0.25">
      <c r="A405" s="519"/>
      <c r="B405" s="499" t="s">
        <v>123</v>
      </c>
      <c r="C405" s="499" t="s">
        <v>1388</v>
      </c>
      <c r="D405" s="1602" t="s">
        <v>124</v>
      </c>
      <c r="E405" s="1603"/>
      <c r="F405" s="1603"/>
      <c r="G405" s="1603"/>
      <c r="H405" s="131" t="s">
        <v>125</v>
      </c>
      <c r="I405" s="101">
        <v>214236</v>
      </c>
      <c r="J405" s="102">
        <v>654492</v>
      </c>
      <c r="K405" s="101">
        <v>133714</v>
      </c>
      <c r="L405" s="101">
        <v>725076</v>
      </c>
      <c r="M405" s="6"/>
      <c r="N405" s="6"/>
    </row>
    <row r="406" spans="1:14" s="48" customFormat="1" ht="18" customHeight="1" x14ac:dyDescent="0.25">
      <c r="A406" s="519"/>
      <c r="B406" s="499" t="s">
        <v>123</v>
      </c>
      <c r="C406" s="499" t="s">
        <v>1388</v>
      </c>
      <c r="D406" s="1611" t="s">
        <v>128</v>
      </c>
      <c r="E406" s="1602"/>
      <c r="F406" s="492"/>
      <c r="G406" s="492"/>
      <c r="H406" s="131" t="s">
        <v>125</v>
      </c>
      <c r="I406" s="101"/>
      <c r="J406" s="102"/>
      <c r="K406" s="101"/>
      <c r="L406" s="101">
        <v>2270</v>
      </c>
      <c r="M406" s="6"/>
      <c r="N406" s="6"/>
    </row>
    <row r="407" spans="1:14" s="48" customFormat="1" ht="18" customHeight="1" x14ac:dyDescent="0.25">
      <c r="A407" s="519"/>
      <c r="B407" s="499" t="s">
        <v>123</v>
      </c>
      <c r="C407" s="499" t="s">
        <v>1388</v>
      </c>
      <c r="D407" s="1602" t="s">
        <v>129</v>
      </c>
      <c r="E407" s="1603"/>
      <c r="F407" s="1603"/>
      <c r="G407" s="1603"/>
      <c r="H407" s="132" t="s">
        <v>130</v>
      </c>
      <c r="I407" s="101">
        <v>24000</v>
      </c>
      <c r="J407" s="102">
        <v>72000</v>
      </c>
      <c r="K407" s="101">
        <v>14000</v>
      </c>
      <c r="L407" s="101">
        <v>72000</v>
      </c>
      <c r="M407" s="6"/>
      <c r="N407" s="6"/>
    </row>
    <row r="408" spans="1:14" s="48" customFormat="1" ht="18" customHeight="1" x14ac:dyDescent="0.25">
      <c r="A408" s="519"/>
      <c r="B408" s="499" t="s">
        <v>123</v>
      </c>
      <c r="C408" s="499" t="s">
        <v>1388</v>
      </c>
      <c r="D408" s="513" t="s">
        <v>135</v>
      </c>
      <c r="E408" s="499"/>
      <c r="F408" s="499"/>
      <c r="G408" s="491"/>
      <c r="H408" s="131" t="s">
        <v>136</v>
      </c>
      <c r="I408" s="101"/>
      <c r="J408" s="102">
        <v>20186.060000000001</v>
      </c>
      <c r="K408" s="101">
        <v>7949.84</v>
      </c>
      <c r="L408" s="102">
        <v>20000</v>
      </c>
      <c r="M408" s="6"/>
      <c r="N408" s="6"/>
    </row>
    <row r="409" spans="1:14" s="48" customFormat="1" ht="18" customHeight="1" x14ac:dyDescent="0.25">
      <c r="A409" s="519"/>
      <c r="B409" s="499" t="s">
        <v>123</v>
      </c>
      <c r="C409" s="499" t="s">
        <v>1388</v>
      </c>
      <c r="D409" s="1602" t="s">
        <v>137</v>
      </c>
      <c r="E409" s="1603"/>
      <c r="F409" s="1603"/>
      <c r="G409" s="1603"/>
      <c r="H409" s="131" t="s">
        <v>138</v>
      </c>
      <c r="I409" s="101">
        <v>6000</v>
      </c>
      <c r="J409" s="102">
        <v>18000</v>
      </c>
      <c r="K409" s="101">
        <v>6000</v>
      </c>
      <c r="L409" s="101">
        <v>18000</v>
      </c>
      <c r="M409" s="6"/>
      <c r="N409" s="6"/>
    </row>
    <row r="410" spans="1:14" s="48" customFormat="1" ht="18" customHeight="1" x14ac:dyDescent="0.25">
      <c r="A410" s="519"/>
      <c r="B410" s="499" t="s">
        <v>123</v>
      </c>
      <c r="C410" s="499" t="s">
        <v>1388</v>
      </c>
      <c r="D410" s="1602" t="s">
        <v>139</v>
      </c>
      <c r="E410" s="1603"/>
      <c r="F410" s="1603"/>
      <c r="G410" s="1603"/>
      <c r="H410" s="131" t="s">
        <v>140</v>
      </c>
      <c r="I410" s="101">
        <v>17853</v>
      </c>
      <c r="J410" s="102">
        <v>54541</v>
      </c>
      <c r="K410" s="101">
        <v>19102</v>
      </c>
      <c r="L410" s="101">
        <v>60650</v>
      </c>
      <c r="M410" s="6"/>
      <c r="N410" s="6"/>
    </row>
    <row r="411" spans="1:14" s="48" customFormat="1" ht="18" customHeight="1" x14ac:dyDescent="0.25">
      <c r="A411" s="519"/>
      <c r="B411" s="499" t="s">
        <v>123</v>
      </c>
      <c r="C411" s="499" t="s">
        <v>1388</v>
      </c>
      <c r="D411" s="1602" t="s">
        <v>141</v>
      </c>
      <c r="E411" s="1603"/>
      <c r="F411" s="1603"/>
      <c r="G411" s="1603"/>
      <c r="H411" s="131" t="s">
        <v>142</v>
      </c>
      <c r="I411" s="101">
        <v>17853</v>
      </c>
      <c r="J411" s="102">
        <v>54541</v>
      </c>
      <c r="K411" s="101"/>
      <c r="L411" s="101">
        <v>60650</v>
      </c>
      <c r="M411" s="6"/>
      <c r="N411" s="6"/>
    </row>
    <row r="412" spans="1:14" s="48" customFormat="1" ht="18" customHeight="1" x14ac:dyDescent="0.25">
      <c r="A412" s="519"/>
      <c r="B412" s="499" t="s">
        <v>123</v>
      </c>
      <c r="C412" s="499" t="s">
        <v>1388</v>
      </c>
      <c r="D412" s="1602" t="s">
        <v>143</v>
      </c>
      <c r="E412" s="1603"/>
      <c r="F412" s="1603"/>
      <c r="G412" s="1603"/>
      <c r="H412" s="131" t="s">
        <v>144</v>
      </c>
      <c r="I412" s="101">
        <v>5000</v>
      </c>
      <c r="J412" s="102">
        <v>15000</v>
      </c>
      <c r="K412" s="101"/>
      <c r="L412" s="101">
        <v>15000</v>
      </c>
      <c r="M412" s="6"/>
      <c r="N412" s="6"/>
    </row>
    <row r="413" spans="1:14" s="48" customFormat="1" ht="18" customHeight="1" x14ac:dyDescent="0.25">
      <c r="A413" s="519"/>
      <c r="B413" s="499" t="s">
        <v>123</v>
      </c>
      <c r="C413" s="499" t="s">
        <v>1388</v>
      </c>
      <c r="D413" s="1602" t="s">
        <v>145</v>
      </c>
      <c r="E413" s="1603"/>
      <c r="F413" s="1603"/>
      <c r="G413" s="1603"/>
      <c r="H413" s="131" t="s">
        <v>146</v>
      </c>
      <c r="I413" s="101">
        <v>5000</v>
      </c>
      <c r="J413" s="102">
        <v>15000</v>
      </c>
      <c r="K413" s="101"/>
      <c r="L413" s="101">
        <v>15000</v>
      </c>
      <c r="M413" s="6"/>
      <c r="N413" s="6"/>
    </row>
    <row r="414" spans="1:14" s="48" customFormat="1" ht="18" customHeight="1" x14ac:dyDescent="0.25">
      <c r="A414" s="519"/>
      <c r="B414" s="499" t="s">
        <v>123</v>
      </c>
      <c r="C414" s="499" t="s">
        <v>1388</v>
      </c>
      <c r="D414" s="536" t="s">
        <v>147</v>
      </c>
      <c r="E414" s="499"/>
      <c r="F414" s="499"/>
      <c r="G414" s="491"/>
      <c r="H414" s="131" t="s">
        <v>148</v>
      </c>
      <c r="I414" s="101"/>
      <c r="J414" s="102"/>
      <c r="K414" s="101"/>
      <c r="L414" s="101">
        <v>9000</v>
      </c>
      <c r="M414" s="6"/>
      <c r="N414" s="6"/>
    </row>
    <row r="415" spans="1:14" s="48" customFormat="1" ht="18" customHeight="1" x14ac:dyDescent="0.25">
      <c r="A415" s="519"/>
      <c r="B415" s="499" t="s">
        <v>123</v>
      </c>
      <c r="C415" s="499" t="s">
        <v>1388</v>
      </c>
      <c r="D415" s="513" t="s">
        <v>149</v>
      </c>
      <c r="E415" s="499"/>
      <c r="F415" s="499"/>
      <c r="G415" s="491"/>
      <c r="H415" s="131" t="s">
        <v>150</v>
      </c>
      <c r="I415" s="101">
        <v>6750</v>
      </c>
      <c r="J415" s="102"/>
      <c r="K415" s="101"/>
      <c r="L415" s="101"/>
      <c r="M415" s="6"/>
      <c r="N415" s="6"/>
    </row>
    <row r="416" spans="1:14" s="48" customFormat="1" ht="18" customHeight="1" x14ac:dyDescent="0.25">
      <c r="A416" s="519"/>
      <c r="B416" s="499" t="s">
        <v>123</v>
      </c>
      <c r="C416" s="499" t="s">
        <v>1388</v>
      </c>
      <c r="D416" s="1611" t="s">
        <v>274</v>
      </c>
      <c r="E416" s="1611"/>
      <c r="F416" s="1611"/>
      <c r="G416" s="1602"/>
      <c r="H416" s="131" t="s">
        <v>148</v>
      </c>
      <c r="I416" s="101">
        <v>10000</v>
      </c>
      <c r="J416" s="102">
        <v>0</v>
      </c>
      <c r="K416" s="101"/>
      <c r="L416" s="101"/>
      <c r="M416" s="6"/>
      <c r="N416" s="6"/>
    </row>
    <row r="417" spans="1:16" s="48" customFormat="1" ht="18" customHeight="1" x14ac:dyDescent="0.25">
      <c r="A417" s="519"/>
      <c r="B417" s="499" t="s">
        <v>123</v>
      </c>
      <c r="C417" s="499" t="s">
        <v>1388</v>
      </c>
      <c r="D417" s="1611" t="s">
        <v>152</v>
      </c>
      <c r="E417" s="1611"/>
      <c r="F417" s="1611"/>
      <c r="G417" s="1602"/>
      <c r="H417" s="131"/>
      <c r="I417" s="101"/>
      <c r="J417" s="102">
        <v>46026.65</v>
      </c>
      <c r="K417" s="101"/>
      <c r="L417" s="101"/>
      <c r="M417" s="6"/>
      <c r="N417" s="6"/>
    </row>
    <row r="418" spans="1:16" s="48" customFormat="1" ht="18" customHeight="1" x14ac:dyDescent="0.25">
      <c r="A418" s="519"/>
      <c r="B418" s="499" t="s">
        <v>123</v>
      </c>
      <c r="C418" s="499" t="s">
        <v>1388</v>
      </c>
      <c r="D418" s="1602" t="s">
        <v>153</v>
      </c>
      <c r="E418" s="1603"/>
      <c r="F418" s="1603"/>
      <c r="G418" s="1603"/>
      <c r="H418" s="131" t="s">
        <v>154</v>
      </c>
      <c r="I418" s="101">
        <v>25708.32</v>
      </c>
      <c r="J418" s="102">
        <v>78539.039999999994</v>
      </c>
      <c r="K418" s="101">
        <v>16045.68</v>
      </c>
      <c r="L418" s="101">
        <v>87281.52</v>
      </c>
      <c r="M418" s="6"/>
      <c r="N418" s="6"/>
    </row>
    <row r="419" spans="1:16" s="48" customFormat="1" ht="18" customHeight="1" x14ac:dyDescent="0.25">
      <c r="A419" s="519"/>
      <c r="B419" s="499" t="s">
        <v>123</v>
      </c>
      <c r="C419" s="499" t="s">
        <v>1388</v>
      </c>
      <c r="D419" s="1602" t="s">
        <v>155</v>
      </c>
      <c r="E419" s="1603"/>
      <c r="F419" s="1603"/>
      <c r="G419" s="1603"/>
      <c r="H419" s="131" t="s">
        <v>156</v>
      </c>
      <c r="I419" s="101">
        <v>1200</v>
      </c>
      <c r="J419" s="102">
        <v>3600</v>
      </c>
      <c r="K419" s="101">
        <v>700</v>
      </c>
      <c r="L419" s="101">
        <v>3600</v>
      </c>
      <c r="M419" s="6"/>
      <c r="N419" s="6"/>
    </row>
    <row r="420" spans="1:16" s="48" customFormat="1" ht="18" customHeight="1" x14ac:dyDescent="0.25">
      <c r="A420" s="519"/>
      <c r="B420" s="499" t="s">
        <v>123</v>
      </c>
      <c r="C420" s="499" t="s">
        <v>1388</v>
      </c>
      <c r="D420" s="1602" t="s">
        <v>157</v>
      </c>
      <c r="E420" s="1603"/>
      <c r="F420" s="1603"/>
      <c r="G420" s="1603"/>
      <c r="H420" s="131" t="s">
        <v>158</v>
      </c>
      <c r="I420" s="101">
        <v>3213.6</v>
      </c>
      <c r="J420" s="102">
        <v>11453.61</v>
      </c>
      <c r="K420" s="101">
        <v>2005.71</v>
      </c>
      <c r="L420" s="101">
        <v>29262.799999999999</v>
      </c>
      <c r="M420" s="6"/>
      <c r="N420" s="6"/>
    </row>
    <row r="421" spans="1:16" s="48" customFormat="1" ht="18" customHeight="1" x14ac:dyDescent="0.25">
      <c r="A421" s="519"/>
      <c r="B421" s="499" t="s">
        <v>123</v>
      </c>
      <c r="C421" s="499" t="s">
        <v>1388</v>
      </c>
      <c r="D421" s="1602" t="s">
        <v>159</v>
      </c>
      <c r="E421" s="1603"/>
      <c r="F421" s="1603"/>
      <c r="G421" s="1603"/>
      <c r="H421" s="133" t="s">
        <v>160</v>
      </c>
      <c r="I421" s="105">
        <v>1200</v>
      </c>
      <c r="J421" s="106">
        <v>3600</v>
      </c>
      <c r="K421" s="105">
        <v>700</v>
      </c>
      <c r="L421" s="105">
        <v>3600</v>
      </c>
      <c r="M421" s="6"/>
      <c r="N421" s="6"/>
    </row>
    <row r="422" spans="1:16" s="48" customFormat="1" ht="18" customHeight="1" x14ac:dyDescent="0.25">
      <c r="A422" s="519"/>
      <c r="B422" s="499" t="s">
        <v>163</v>
      </c>
      <c r="C422" s="499" t="s">
        <v>1388</v>
      </c>
      <c r="D422" s="44" t="s">
        <v>164</v>
      </c>
      <c r="E422" s="113"/>
      <c r="F422" s="113"/>
      <c r="G422" s="114"/>
      <c r="H422" s="131" t="s">
        <v>165</v>
      </c>
      <c r="I422" s="101">
        <v>9426</v>
      </c>
      <c r="J422" s="102">
        <v>20000</v>
      </c>
      <c r="K422" s="101"/>
      <c r="L422" s="101">
        <v>20000</v>
      </c>
      <c r="M422" s="6"/>
      <c r="N422" s="6"/>
    </row>
    <row r="423" spans="1:16" s="48" customFormat="1" ht="18" customHeight="1" x14ac:dyDescent="0.25">
      <c r="A423" s="519"/>
      <c r="B423" s="499" t="s">
        <v>163</v>
      </c>
      <c r="C423" s="499" t="s">
        <v>1388</v>
      </c>
      <c r="D423" s="44" t="s">
        <v>178</v>
      </c>
      <c r="E423" s="170"/>
      <c r="F423" s="170"/>
      <c r="G423" s="171"/>
      <c r="H423" s="172" t="s">
        <v>167</v>
      </c>
      <c r="I423" s="102"/>
      <c r="J423" s="102"/>
      <c r="K423" s="102"/>
      <c r="L423" s="102">
        <v>30000</v>
      </c>
      <c r="M423" s="6"/>
      <c r="N423" s="6"/>
    </row>
    <row r="424" spans="1:16" s="48" customFormat="1" ht="18" customHeight="1" x14ac:dyDescent="0.25">
      <c r="A424" s="519"/>
      <c r="B424" s="499" t="s">
        <v>163</v>
      </c>
      <c r="C424" s="499" t="s">
        <v>1388</v>
      </c>
      <c r="D424" s="44" t="s">
        <v>168</v>
      </c>
      <c r="E424" s="113"/>
      <c r="F424" s="113"/>
      <c r="G424" s="114"/>
      <c r="H424" s="131" t="s">
        <v>169</v>
      </c>
      <c r="I424" s="101">
        <v>22308.25</v>
      </c>
      <c r="J424" s="102">
        <v>33681</v>
      </c>
      <c r="K424" s="101">
        <v>23056.5</v>
      </c>
      <c r="L424" s="101">
        <v>20000</v>
      </c>
      <c r="M424" s="6"/>
      <c r="N424" s="6"/>
    </row>
    <row r="425" spans="1:16" s="48" customFormat="1" ht="18" customHeight="1" x14ac:dyDescent="0.25">
      <c r="A425" s="519"/>
      <c r="B425" s="499" t="s">
        <v>163</v>
      </c>
      <c r="C425" s="499" t="s">
        <v>1388</v>
      </c>
      <c r="D425" s="44" t="s">
        <v>213</v>
      </c>
      <c r="E425" s="113"/>
      <c r="F425" s="113"/>
      <c r="G425" s="114"/>
      <c r="H425" s="131" t="s">
        <v>171</v>
      </c>
      <c r="I425" s="101"/>
      <c r="J425" s="102"/>
      <c r="K425" s="101"/>
      <c r="L425" s="101">
        <v>113350</v>
      </c>
      <c r="M425" s="6"/>
      <c r="N425" s="6"/>
    </row>
    <row r="426" spans="1:16" s="48" customFormat="1" ht="18" customHeight="1" x14ac:dyDescent="0.25">
      <c r="A426" s="519"/>
      <c r="B426" s="499" t="s">
        <v>163</v>
      </c>
      <c r="C426" s="499" t="s">
        <v>1388</v>
      </c>
      <c r="D426" s="44" t="s">
        <v>275</v>
      </c>
      <c r="F426" s="125"/>
      <c r="G426" s="134"/>
      <c r="H426" s="131" t="s">
        <v>171</v>
      </c>
      <c r="I426" s="101">
        <v>22620</v>
      </c>
      <c r="J426" s="102">
        <v>120000</v>
      </c>
      <c r="K426" s="101"/>
      <c r="L426" s="101"/>
      <c r="M426" s="6"/>
      <c r="N426" s="6"/>
    </row>
    <row r="427" spans="1:16" s="48" customFormat="1" ht="18" customHeight="1" x14ac:dyDescent="0.25">
      <c r="A427" s="519"/>
      <c r="B427" s="499" t="s">
        <v>163</v>
      </c>
      <c r="C427" s="499" t="s">
        <v>1388</v>
      </c>
      <c r="D427" s="536" t="s">
        <v>276</v>
      </c>
      <c r="F427" s="502"/>
      <c r="G427" s="503"/>
      <c r="H427" s="131" t="s">
        <v>171</v>
      </c>
      <c r="I427" s="101"/>
      <c r="J427" s="102">
        <v>10000</v>
      </c>
      <c r="K427" s="101"/>
      <c r="L427" s="101"/>
      <c r="M427" s="6"/>
      <c r="N427" s="6"/>
    </row>
    <row r="428" spans="1:16" s="48" customFormat="1" ht="18" customHeight="1" x14ac:dyDescent="0.25">
      <c r="A428" s="519"/>
      <c r="B428" s="499" t="s">
        <v>163</v>
      </c>
      <c r="C428" s="499" t="s">
        <v>1388</v>
      </c>
      <c r="D428" s="44" t="s">
        <v>174</v>
      </c>
      <c r="E428" s="113"/>
      <c r="F428" s="113"/>
      <c r="G428" s="114"/>
      <c r="H428" s="131" t="s">
        <v>171</v>
      </c>
      <c r="I428" s="101">
        <v>7767</v>
      </c>
      <c r="J428" s="102">
        <v>28195</v>
      </c>
      <c r="K428" s="101"/>
      <c r="L428" s="101"/>
      <c r="M428" s="6"/>
      <c r="N428" s="6"/>
    </row>
    <row r="429" spans="1:16" s="179" customFormat="1" ht="39" customHeight="1" x14ac:dyDescent="0.25">
      <c r="A429" s="173"/>
      <c r="B429" s="499" t="s">
        <v>163</v>
      </c>
      <c r="C429" s="499" t="s">
        <v>1388</v>
      </c>
      <c r="D429" s="1622" t="s">
        <v>277</v>
      </c>
      <c r="E429" s="1622"/>
      <c r="F429" s="174"/>
      <c r="G429" s="175"/>
      <c r="H429" s="176" t="s">
        <v>187</v>
      </c>
      <c r="I429" s="101">
        <v>0</v>
      </c>
      <c r="J429" s="102">
        <v>500000</v>
      </c>
      <c r="K429" s="101"/>
      <c r="L429" s="101"/>
      <c r="M429" s="177"/>
      <c r="N429" s="177"/>
      <c r="O429" s="178"/>
      <c r="P429" s="178"/>
    </row>
    <row r="430" spans="1:16" s="179" customFormat="1" ht="39" customHeight="1" x14ac:dyDescent="0.25">
      <c r="A430" s="173"/>
      <c r="B430" s="499" t="s">
        <v>163</v>
      </c>
      <c r="C430" s="499" t="s">
        <v>1388</v>
      </c>
      <c r="D430" s="1622" t="s">
        <v>278</v>
      </c>
      <c r="E430" s="1622"/>
      <c r="F430" s="174"/>
      <c r="G430" s="175"/>
      <c r="H430" s="176" t="s">
        <v>187</v>
      </c>
      <c r="I430" s="101"/>
      <c r="J430" s="102">
        <v>300000</v>
      </c>
      <c r="K430" s="101"/>
      <c r="L430" s="101"/>
      <c r="M430" s="177"/>
      <c r="N430" s="177"/>
    </row>
    <row r="431" spans="1:16" s="179" customFormat="1" ht="34.5" customHeight="1" x14ac:dyDescent="0.25">
      <c r="A431" s="173"/>
      <c r="B431" s="499" t="s">
        <v>163</v>
      </c>
      <c r="C431" s="499" t="s">
        <v>1388</v>
      </c>
      <c r="D431" s="1622" t="s">
        <v>279</v>
      </c>
      <c r="E431" s="1622"/>
      <c r="F431" s="174"/>
      <c r="G431" s="175"/>
      <c r="H431" s="176" t="s">
        <v>280</v>
      </c>
      <c r="I431" s="101">
        <v>0</v>
      </c>
      <c r="J431" s="111">
        <v>100000</v>
      </c>
      <c r="K431" s="112"/>
      <c r="L431" s="101"/>
      <c r="M431" s="177"/>
      <c r="N431" s="177"/>
    </row>
    <row r="432" spans="1:16" s="179" customFormat="1" ht="21.75" customHeight="1" x14ac:dyDescent="0.25">
      <c r="A432" s="173"/>
      <c r="B432" s="499" t="s">
        <v>163</v>
      </c>
      <c r="C432" s="499" t="s">
        <v>1388</v>
      </c>
      <c r="D432" s="180" t="s">
        <v>281</v>
      </c>
      <c r="E432" s="174"/>
      <c r="F432" s="174"/>
      <c r="G432" s="175"/>
      <c r="H432" s="176" t="s">
        <v>282</v>
      </c>
      <c r="I432" s="101">
        <v>4200</v>
      </c>
      <c r="J432" s="162">
        <v>15000</v>
      </c>
      <c r="K432" s="112"/>
      <c r="L432" s="101">
        <v>15000</v>
      </c>
      <c r="M432" s="177"/>
      <c r="N432" s="177"/>
    </row>
    <row r="433" spans="1:16" s="179" customFormat="1" ht="18" customHeight="1" x14ac:dyDescent="0.25">
      <c r="A433" s="173"/>
      <c r="B433" s="499" t="s">
        <v>163</v>
      </c>
      <c r="C433" s="499" t="s">
        <v>1388</v>
      </c>
      <c r="D433" s="180" t="s">
        <v>198</v>
      </c>
      <c r="E433" s="174"/>
      <c r="F433" s="174"/>
      <c r="G433" s="175"/>
      <c r="H433" s="181" t="s">
        <v>199</v>
      </c>
      <c r="I433" s="105">
        <v>495365.91</v>
      </c>
      <c r="J433" s="106">
        <v>1435820.88</v>
      </c>
      <c r="K433" s="105">
        <v>354493</v>
      </c>
      <c r="L433" s="105">
        <v>1493678.16</v>
      </c>
      <c r="M433" s="177"/>
      <c r="N433" s="177">
        <f>1435820.88+276480</f>
        <v>1712300.88</v>
      </c>
      <c r="O433" s="178"/>
      <c r="P433" s="178"/>
    </row>
    <row r="434" spans="1:16" s="136" customFormat="1" ht="18" customHeight="1" x14ac:dyDescent="0.25">
      <c r="A434" s="519"/>
      <c r="B434" s="499" t="s">
        <v>201</v>
      </c>
      <c r="C434" s="499" t="s">
        <v>1388</v>
      </c>
      <c r="D434" s="502" t="s">
        <v>283</v>
      </c>
      <c r="E434" s="499"/>
      <c r="F434" s="499"/>
      <c r="G434" s="499"/>
      <c r="H434" s="97"/>
      <c r="I434" s="101"/>
      <c r="J434" s="102"/>
      <c r="K434" s="101"/>
      <c r="L434" s="101">
        <v>66000</v>
      </c>
      <c r="M434" s="6"/>
      <c r="N434" s="6"/>
      <c r="O434" s="115"/>
      <c r="P434" s="115"/>
    </row>
    <row r="435" spans="1:16" s="136" customFormat="1" ht="18" customHeight="1" x14ac:dyDescent="0.25">
      <c r="A435" s="519"/>
      <c r="B435" s="499" t="s">
        <v>201</v>
      </c>
      <c r="C435" s="499" t="s">
        <v>1388</v>
      </c>
      <c r="D435" s="1611" t="s">
        <v>284</v>
      </c>
      <c r="E435" s="1611"/>
      <c r="F435" s="1611"/>
      <c r="G435" s="1602"/>
      <c r="H435" s="97"/>
      <c r="I435" s="101"/>
      <c r="J435" s="102">
        <v>35000</v>
      </c>
      <c r="K435" s="101"/>
      <c r="L435" s="101"/>
      <c r="M435" s="6"/>
      <c r="N435" s="6"/>
      <c r="O435" s="115"/>
      <c r="P435" s="115"/>
    </row>
    <row r="436" spans="1:16" s="136" customFormat="1" ht="18" customHeight="1" x14ac:dyDescent="0.25">
      <c r="A436" s="519"/>
      <c r="B436" s="499" t="s">
        <v>201</v>
      </c>
      <c r="C436" s="499" t="s">
        <v>1388</v>
      </c>
      <c r="D436" s="1611" t="s">
        <v>285</v>
      </c>
      <c r="E436" s="1611"/>
      <c r="F436" s="1611"/>
      <c r="G436" s="1602"/>
      <c r="H436" s="97"/>
      <c r="I436" s="101"/>
      <c r="J436" s="102">
        <v>17000</v>
      </c>
      <c r="K436" s="101"/>
      <c r="L436" s="101"/>
      <c r="M436" s="6"/>
      <c r="N436" s="6"/>
      <c r="O436" s="115"/>
      <c r="P436" s="115"/>
    </row>
    <row r="437" spans="1:16" s="136" customFormat="1" ht="18" customHeight="1" x14ac:dyDescent="0.25">
      <c r="A437" s="519"/>
      <c r="B437" s="499" t="s">
        <v>201</v>
      </c>
      <c r="C437" s="499" t="s">
        <v>1388</v>
      </c>
      <c r="D437" s="1611" t="s">
        <v>286</v>
      </c>
      <c r="E437" s="1611"/>
      <c r="F437" s="1611"/>
      <c r="G437" s="1602"/>
      <c r="H437" s="97"/>
      <c r="I437" s="101"/>
      <c r="J437" s="102">
        <v>30000</v>
      </c>
      <c r="K437" s="101"/>
      <c r="L437" s="101"/>
      <c r="M437" s="6"/>
      <c r="N437" s="6"/>
      <c r="O437" s="115"/>
      <c r="P437" s="115"/>
    </row>
    <row r="438" spans="1:16" s="136" customFormat="1" ht="18" customHeight="1" x14ac:dyDescent="0.25">
      <c r="A438" s="519"/>
      <c r="B438" s="499" t="s">
        <v>201</v>
      </c>
      <c r="C438" s="499" t="s">
        <v>1388</v>
      </c>
      <c r="D438" s="536" t="s">
        <v>287</v>
      </c>
      <c r="E438" s="499"/>
      <c r="F438" s="499"/>
      <c r="G438" s="491"/>
      <c r="H438" s="97"/>
      <c r="I438" s="101"/>
      <c r="J438" s="102">
        <v>85000</v>
      </c>
      <c r="K438" s="101"/>
      <c r="L438" s="101">
        <v>80000</v>
      </c>
      <c r="M438" s="6"/>
      <c r="N438" s="6"/>
      <c r="O438" s="115"/>
      <c r="P438" s="115"/>
    </row>
    <row r="439" spans="1:16" s="48" customFormat="1" ht="17.100000000000001" customHeight="1" x14ac:dyDescent="0.25">
      <c r="A439" s="519"/>
      <c r="B439" s="499" t="s">
        <v>123</v>
      </c>
      <c r="C439" s="499" t="s">
        <v>1387</v>
      </c>
      <c r="D439" s="1602" t="s">
        <v>124</v>
      </c>
      <c r="E439" s="1603"/>
      <c r="F439" s="1603"/>
      <c r="G439" s="1603"/>
      <c r="H439" s="131" t="s">
        <v>125</v>
      </c>
      <c r="I439" s="101">
        <v>0</v>
      </c>
      <c r="J439" s="162">
        <v>430092</v>
      </c>
      <c r="K439" s="112"/>
      <c r="L439" s="101">
        <v>472308</v>
      </c>
      <c r="M439" s="6"/>
      <c r="N439" s="6"/>
    </row>
    <row r="440" spans="1:16" s="48" customFormat="1" ht="17.100000000000001" customHeight="1" x14ac:dyDescent="0.25">
      <c r="A440" s="519"/>
      <c r="B440" s="499" t="s">
        <v>123</v>
      </c>
      <c r="C440" s="499" t="s">
        <v>1387</v>
      </c>
      <c r="D440" s="1602" t="s">
        <v>129</v>
      </c>
      <c r="E440" s="1603"/>
      <c r="F440" s="1603"/>
      <c r="G440" s="1603"/>
      <c r="H440" s="132" t="s">
        <v>130</v>
      </c>
      <c r="I440" s="101">
        <v>0</v>
      </c>
      <c r="J440" s="162">
        <v>48000</v>
      </c>
      <c r="K440" s="112"/>
      <c r="L440" s="101">
        <v>48000</v>
      </c>
      <c r="M440" s="6"/>
      <c r="N440" s="6"/>
    </row>
    <row r="441" spans="1:16" s="48" customFormat="1" ht="17.100000000000001" customHeight="1" x14ac:dyDescent="0.25">
      <c r="A441" s="519"/>
      <c r="B441" s="499" t="s">
        <v>123</v>
      </c>
      <c r="C441" s="499" t="s">
        <v>1387</v>
      </c>
      <c r="D441" s="1602" t="s">
        <v>135</v>
      </c>
      <c r="E441" s="1603"/>
      <c r="F441" s="1603"/>
      <c r="G441" s="1603"/>
      <c r="H441" s="131" t="s">
        <v>136</v>
      </c>
      <c r="I441" s="101">
        <v>0</v>
      </c>
      <c r="J441" s="162">
        <v>0</v>
      </c>
      <c r="K441" s="112"/>
      <c r="L441" s="101"/>
      <c r="M441" s="6"/>
      <c r="N441" s="6"/>
    </row>
    <row r="442" spans="1:16" s="48" customFormat="1" ht="17.100000000000001" customHeight="1" x14ac:dyDescent="0.25">
      <c r="A442" s="519"/>
      <c r="B442" s="499" t="s">
        <v>123</v>
      </c>
      <c r="C442" s="499" t="s">
        <v>1387</v>
      </c>
      <c r="D442" s="1602" t="s">
        <v>137</v>
      </c>
      <c r="E442" s="1603"/>
      <c r="F442" s="1603"/>
      <c r="G442" s="1603"/>
      <c r="H442" s="131" t="s">
        <v>138</v>
      </c>
      <c r="I442" s="101">
        <v>0</v>
      </c>
      <c r="J442" s="162">
        <v>12000</v>
      </c>
      <c r="K442" s="112"/>
      <c r="L442" s="101">
        <v>12000</v>
      </c>
      <c r="M442" s="6"/>
      <c r="N442" s="6"/>
    </row>
    <row r="443" spans="1:16" s="48" customFormat="1" ht="17.100000000000001" customHeight="1" x14ac:dyDescent="0.25">
      <c r="A443" s="519"/>
      <c r="B443" s="499" t="s">
        <v>123</v>
      </c>
      <c r="C443" s="499" t="s">
        <v>1387</v>
      </c>
      <c r="D443" s="1602" t="s">
        <v>139</v>
      </c>
      <c r="E443" s="1603"/>
      <c r="F443" s="1603"/>
      <c r="G443" s="1603"/>
      <c r="H443" s="131" t="s">
        <v>140</v>
      </c>
      <c r="I443" s="101">
        <v>0</v>
      </c>
      <c r="J443" s="162">
        <v>35841</v>
      </c>
      <c r="K443" s="112"/>
      <c r="L443" s="101">
        <v>37599</v>
      </c>
      <c r="M443" s="6"/>
      <c r="N443" s="6"/>
    </row>
    <row r="444" spans="1:16" s="48" customFormat="1" ht="17.100000000000001" customHeight="1" x14ac:dyDescent="0.25">
      <c r="A444" s="519"/>
      <c r="B444" s="499" t="s">
        <v>123</v>
      </c>
      <c r="C444" s="499" t="s">
        <v>1387</v>
      </c>
      <c r="D444" s="1602" t="s">
        <v>141</v>
      </c>
      <c r="E444" s="1603"/>
      <c r="F444" s="1603"/>
      <c r="G444" s="1603"/>
      <c r="H444" s="131" t="s">
        <v>142</v>
      </c>
      <c r="I444" s="101">
        <v>0</v>
      </c>
      <c r="J444" s="162">
        <v>35841</v>
      </c>
      <c r="K444" s="112"/>
      <c r="L444" s="101">
        <v>37599</v>
      </c>
      <c r="M444" s="6"/>
      <c r="N444" s="6"/>
    </row>
    <row r="445" spans="1:16" s="48" customFormat="1" ht="17.100000000000001" customHeight="1" x14ac:dyDescent="0.25">
      <c r="A445" s="519"/>
      <c r="B445" s="499" t="s">
        <v>123</v>
      </c>
      <c r="C445" s="499" t="s">
        <v>1387</v>
      </c>
      <c r="D445" s="1602" t="s">
        <v>143</v>
      </c>
      <c r="E445" s="1603"/>
      <c r="F445" s="1603"/>
      <c r="G445" s="1603"/>
      <c r="H445" s="131" t="s">
        <v>144</v>
      </c>
      <c r="I445" s="101">
        <v>0</v>
      </c>
      <c r="J445" s="162">
        <v>10000</v>
      </c>
      <c r="K445" s="112"/>
      <c r="L445" s="101">
        <v>10000</v>
      </c>
      <c r="M445" s="6"/>
      <c r="N445" s="6"/>
    </row>
    <row r="446" spans="1:16" s="48" customFormat="1" ht="17.100000000000001" customHeight="1" x14ac:dyDescent="0.25">
      <c r="A446" s="519"/>
      <c r="B446" s="499" t="s">
        <v>123</v>
      </c>
      <c r="C446" s="499" t="s">
        <v>1387</v>
      </c>
      <c r="D446" s="1602" t="s">
        <v>145</v>
      </c>
      <c r="E446" s="1603"/>
      <c r="F446" s="1603"/>
      <c r="G446" s="1603"/>
      <c r="H446" s="131" t="s">
        <v>146</v>
      </c>
      <c r="I446" s="101">
        <v>0</v>
      </c>
      <c r="J446" s="162">
        <v>10000</v>
      </c>
      <c r="K446" s="112"/>
      <c r="L446" s="101">
        <v>10000</v>
      </c>
      <c r="M446" s="6"/>
      <c r="N446" s="6"/>
    </row>
    <row r="447" spans="1:16" s="48" customFormat="1" ht="17.100000000000001" customHeight="1" x14ac:dyDescent="0.25">
      <c r="A447" s="519"/>
      <c r="B447" s="499" t="s">
        <v>123</v>
      </c>
      <c r="C447" s="499" t="s">
        <v>1387</v>
      </c>
      <c r="D447" s="536" t="s">
        <v>147</v>
      </c>
      <c r="E447" s="499"/>
      <c r="F447" s="499"/>
      <c r="G447" s="491"/>
      <c r="H447" s="131" t="s">
        <v>148</v>
      </c>
      <c r="I447" s="101"/>
      <c r="J447" s="162"/>
      <c r="K447" s="112"/>
      <c r="L447" s="101">
        <v>6000</v>
      </c>
      <c r="M447" s="6"/>
      <c r="N447" s="6"/>
    </row>
    <row r="448" spans="1:16" s="48" customFormat="1" ht="17.100000000000001" customHeight="1" x14ac:dyDescent="0.25">
      <c r="A448" s="519"/>
      <c r="B448" s="499" t="s">
        <v>123</v>
      </c>
      <c r="C448" s="499" t="s">
        <v>1387</v>
      </c>
      <c r="D448" s="1611" t="s">
        <v>152</v>
      </c>
      <c r="E448" s="1611"/>
      <c r="F448" s="1611"/>
      <c r="G448" s="1602"/>
      <c r="H448" s="131"/>
      <c r="I448" s="101"/>
      <c r="J448" s="162">
        <v>27512.7</v>
      </c>
      <c r="K448" s="112"/>
      <c r="L448" s="101"/>
      <c r="M448" s="6"/>
      <c r="N448" s="6"/>
    </row>
    <row r="449" spans="1:14" s="48" customFormat="1" ht="17.100000000000001" customHeight="1" x14ac:dyDescent="0.25">
      <c r="A449" s="519"/>
      <c r="B449" s="499" t="s">
        <v>123</v>
      </c>
      <c r="C449" s="499" t="s">
        <v>1387</v>
      </c>
      <c r="D449" s="1602" t="s">
        <v>153</v>
      </c>
      <c r="E449" s="1603"/>
      <c r="F449" s="1603"/>
      <c r="G449" s="1603"/>
      <c r="H449" s="131" t="s">
        <v>154</v>
      </c>
      <c r="I449" s="101">
        <v>0</v>
      </c>
      <c r="J449" s="162">
        <v>51611.040000000001</v>
      </c>
      <c r="K449" s="112"/>
      <c r="L449" s="101">
        <v>56676.959999999999</v>
      </c>
      <c r="M449" s="6"/>
      <c r="N449" s="6"/>
    </row>
    <row r="450" spans="1:14" s="48" customFormat="1" ht="17.100000000000001" customHeight="1" x14ac:dyDescent="0.25">
      <c r="A450" s="519"/>
      <c r="B450" s="499" t="s">
        <v>123</v>
      </c>
      <c r="C450" s="499" t="s">
        <v>1387</v>
      </c>
      <c r="D450" s="1602" t="s">
        <v>155</v>
      </c>
      <c r="E450" s="1603"/>
      <c r="F450" s="1603"/>
      <c r="G450" s="1603"/>
      <c r="H450" s="131" t="s">
        <v>156</v>
      </c>
      <c r="I450" s="101">
        <v>0</v>
      </c>
      <c r="J450" s="162">
        <v>2400</v>
      </c>
      <c r="K450" s="112"/>
      <c r="L450" s="101">
        <v>2400</v>
      </c>
      <c r="M450" s="6"/>
      <c r="N450" s="6"/>
    </row>
    <row r="451" spans="1:14" s="48" customFormat="1" ht="17.100000000000001" customHeight="1" x14ac:dyDescent="0.25">
      <c r="A451" s="519"/>
      <c r="B451" s="499" t="s">
        <v>123</v>
      </c>
      <c r="C451" s="499" t="s">
        <v>1387</v>
      </c>
      <c r="D451" s="1602" t="s">
        <v>157</v>
      </c>
      <c r="E451" s="1603"/>
      <c r="F451" s="1603"/>
      <c r="G451" s="1603"/>
      <c r="H451" s="131" t="s">
        <v>158</v>
      </c>
      <c r="I451" s="101">
        <v>0</v>
      </c>
      <c r="J451" s="162">
        <v>7526.61</v>
      </c>
      <c r="K451" s="112"/>
      <c r="L451" s="101">
        <v>18912</v>
      </c>
      <c r="M451" s="6"/>
      <c r="N451" s="6"/>
    </row>
    <row r="452" spans="1:14" s="48" customFormat="1" ht="17.100000000000001" customHeight="1" x14ac:dyDescent="0.25">
      <c r="A452" s="519"/>
      <c r="B452" s="499" t="s">
        <v>123</v>
      </c>
      <c r="C452" s="499" t="s">
        <v>1387</v>
      </c>
      <c r="D452" s="1602" t="s">
        <v>159</v>
      </c>
      <c r="E452" s="1603"/>
      <c r="F452" s="1603"/>
      <c r="G452" s="1603"/>
      <c r="H452" s="133" t="s">
        <v>160</v>
      </c>
      <c r="I452" s="105">
        <v>0</v>
      </c>
      <c r="J452" s="163">
        <v>2400</v>
      </c>
      <c r="K452" s="118"/>
      <c r="L452" s="105">
        <v>2400</v>
      </c>
      <c r="M452" s="6"/>
      <c r="N452" s="6"/>
    </row>
    <row r="453" spans="1:14" s="48" customFormat="1" ht="17.100000000000001" customHeight="1" x14ac:dyDescent="0.25">
      <c r="A453" s="519"/>
      <c r="B453" s="499" t="s">
        <v>163</v>
      </c>
      <c r="C453" s="499" t="s">
        <v>1387</v>
      </c>
      <c r="D453" s="44" t="s">
        <v>164</v>
      </c>
      <c r="E453" s="113"/>
      <c r="F453" s="113"/>
      <c r="G453" s="114"/>
      <c r="H453" s="131" t="s">
        <v>165</v>
      </c>
      <c r="I453" s="101">
        <v>0</v>
      </c>
      <c r="J453" s="162">
        <v>15000</v>
      </c>
      <c r="K453" s="112"/>
      <c r="L453" s="162">
        <v>15000</v>
      </c>
      <c r="M453" s="6"/>
      <c r="N453" s="6"/>
    </row>
    <row r="454" spans="1:14" s="48" customFormat="1" ht="17.100000000000001" customHeight="1" x14ac:dyDescent="0.25">
      <c r="A454" s="519"/>
      <c r="B454" s="499" t="s">
        <v>163</v>
      </c>
      <c r="C454" s="499" t="s">
        <v>1387</v>
      </c>
      <c r="D454" s="44" t="s">
        <v>168</v>
      </c>
      <c r="E454" s="113"/>
      <c r="F454" s="113"/>
      <c r="G454" s="114"/>
      <c r="H454" s="131" t="s">
        <v>169</v>
      </c>
      <c r="I454" s="101">
        <v>0</v>
      </c>
      <c r="J454" s="162">
        <v>49952</v>
      </c>
      <c r="K454" s="112">
        <v>35368</v>
      </c>
      <c r="L454" s="162">
        <v>49952</v>
      </c>
      <c r="M454" s="6"/>
      <c r="N454" s="6"/>
    </row>
    <row r="455" spans="1:14" s="48" customFormat="1" ht="17.100000000000001" customHeight="1" x14ac:dyDescent="0.25">
      <c r="A455" s="519"/>
      <c r="B455" s="499" t="s">
        <v>163</v>
      </c>
      <c r="C455" s="499" t="s">
        <v>1387</v>
      </c>
      <c r="D455" s="44" t="s">
        <v>174</v>
      </c>
      <c r="E455" s="113"/>
      <c r="F455" s="113"/>
      <c r="G455" s="114"/>
      <c r="H455" s="131" t="s">
        <v>171</v>
      </c>
      <c r="I455" s="101"/>
      <c r="J455" s="162">
        <v>3960</v>
      </c>
      <c r="K455" s="112"/>
      <c r="L455" s="162"/>
      <c r="M455" s="6"/>
      <c r="N455" s="6"/>
    </row>
    <row r="456" spans="1:14" s="48" customFormat="1" ht="17.100000000000001" customHeight="1" x14ac:dyDescent="0.25">
      <c r="A456" s="519"/>
      <c r="B456" s="499" t="s">
        <v>163</v>
      </c>
      <c r="C456" s="499" t="s">
        <v>1387</v>
      </c>
      <c r="D456" s="44" t="s">
        <v>288</v>
      </c>
      <c r="E456" s="113"/>
      <c r="F456" s="113"/>
      <c r="G456" s="114"/>
      <c r="H456" s="131" t="s">
        <v>171</v>
      </c>
      <c r="I456" s="101"/>
      <c r="J456" s="162"/>
      <c r="K456" s="112"/>
      <c r="L456" s="162">
        <v>3960</v>
      </c>
      <c r="M456" s="6"/>
      <c r="N456" s="6"/>
    </row>
    <row r="457" spans="1:14" s="48" customFormat="1" ht="17.100000000000001" customHeight="1" x14ac:dyDescent="0.25">
      <c r="A457" s="519"/>
      <c r="B457" s="499" t="s">
        <v>163</v>
      </c>
      <c r="C457" s="499" t="s">
        <v>1387</v>
      </c>
      <c r="D457" s="44" t="s">
        <v>214</v>
      </c>
      <c r="E457" s="113"/>
      <c r="F457" s="113"/>
      <c r="G457" s="114"/>
      <c r="H457" s="131" t="s">
        <v>171</v>
      </c>
      <c r="I457" s="101"/>
      <c r="J457" s="162">
        <v>30000</v>
      </c>
      <c r="K457" s="112"/>
      <c r="L457" s="162">
        <v>30000</v>
      </c>
      <c r="M457" s="6"/>
      <c r="N457" s="6"/>
    </row>
    <row r="458" spans="1:14" s="48" customFormat="1" ht="17.100000000000001" customHeight="1" x14ac:dyDescent="0.25">
      <c r="A458" s="519"/>
      <c r="B458" s="499" t="s">
        <v>163</v>
      </c>
      <c r="C458" s="499" t="s">
        <v>1387</v>
      </c>
      <c r="D458" s="44" t="s">
        <v>176</v>
      </c>
      <c r="E458" s="113"/>
      <c r="F458" s="113"/>
      <c r="G458" s="114"/>
      <c r="H458" s="131" t="s">
        <v>177</v>
      </c>
      <c r="I458" s="101">
        <v>0</v>
      </c>
      <c r="J458" s="162">
        <v>5000</v>
      </c>
      <c r="K458" s="112"/>
      <c r="L458" s="162">
        <v>5000</v>
      </c>
      <c r="M458" s="6"/>
      <c r="N458" s="6"/>
    </row>
    <row r="459" spans="1:14" s="48" customFormat="1" ht="17.100000000000001" customHeight="1" x14ac:dyDescent="0.25">
      <c r="A459" s="519"/>
      <c r="B459" s="499" t="s">
        <v>163</v>
      </c>
      <c r="C459" s="499" t="s">
        <v>1387</v>
      </c>
      <c r="D459" s="44" t="s">
        <v>178</v>
      </c>
      <c r="E459" s="113"/>
      <c r="F459" s="113"/>
      <c r="G459" s="114"/>
      <c r="H459" s="131" t="s">
        <v>179</v>
      </c>
      <c r="I459" s="101"/>
      <c r="J459" s="162"/>
      <c r="K459" s="112"/>
      <c r="L459" s="162">
        <v>30000</v>
      </c>
      <c r="M459" s="6"/>
      <c r="N459" s="6"/>
    </row>
    <row r="460" spans="1:14" s="48" customFormat="1" ht="17.100000000000001" customHeight="1" x14ac:dyDescent="0.25">
      <c r="A460" s="519"/>
      <c r="B460" s="499" t="s">
        <v>163</v>
      </c>
      <c r="C460" s="499" t="s">
        <v>1387</v>
      </c>
      <c r="D460" s="44" t="s">
        <v>289</v>
      </c>
      <c r="E460" s="113"/>
      <c r="F460" s="113"/>
      <c r="G460" s="114"/>
      <c r="H460" s="131" t="s">
        <v>179</v>
      </c>
      <c r="I460" s="101">
        <v>0</v>
      </c>
      <c r="J460" s="162">
        <v>30000</v>
      </c>
      <c r="K460" s="112"/>
      <c r="L460" s="162"/>
      <c r="M460" s="6"/>
      <c r="N460" s="6"/>
    </row>
    <row r="461" spans="1:14" s="48" customFormat="1" ht="17.100000000000001" customHeight="1" x14ac:dyDescent="0.25">
      <c r="A461" s="519"/>
      <c r="B461" s="499" t="s">
        <v>163</v>
      </c>
      <c r="C461" s="499" t="s">
        <v>1387</v>
      </c>
      <c r="D461" s="44" t="s">
        <v>186</v>
      </c>
      <c r="E461" s="113"/>
      <c r="F461" s="113"/>
      <c r="G461" s="114"/>
      <c r="H461" s="131" t="s">
        <v>187</v>
      </c>
      <c r="I461" s="101">
        <v>0</v>
      </c>
      <c r="J461" s="162">
        <v>5000</v>
      </c>
      <c r="K461" s="112"/>
      <c r="L461" s="162">
        <v>5000</v>
      </c>
      <c r="M461" s="6"/>
      <c r="N461" s="6"/>
    </row>
    <row r="462" spans="1:14" s="48" customFormat="1" ht="17.100000000000001" customHeight="1" x14ac:dyDescent="0.25">
      <c r="A462" s="519"/>
      <c r="B462" s="499" t="s">
        <v>163</v>
      </c>
      <c r="C462" s="499" t="s">
        <v>1387</v>
      </c>
      <c r="D462" s="44" t="s">
        <v>198</v>
      </c>
      <c r="E462" s="113"/>
      <c r="F462" s="113"/>
      <c r="G462" s="114"/>
      <c r="H462" s="131" t="s">
        <v>199</v>
      </c>
      <c r="I462" s="101">
        <v>0</v>
      </c>
      <c r="J462" s="162">
        <v>5000</v>
      </c>
      <c r="K462" s="112"/>
      <c r="L462" s="162">
        <v>5000</v>
      </c>
      <c r="M462" s="6"/>
      <c r="N462" s="6">
        <v>720</v>
      </c>
    </row>
    <row r="463" spans="1:14" s="48" customFormat="1" ht="18" customHeight="1" x14ac:dyDescent="0.25">
      <c r="A463" s="165"/>
      <c r="B463" s="499" t="s">
        <v>201</v>
      </c>
      <c r="C463" s="499" t="s">
        <v>1387</v>
      </c>
      <c r="D463" s="1677" t="s">
        <v>290</v>
      </c>
      <c r="E463" s="1677"/>
      <c r="F463" s="1677"/>
      <c r="G463" s="1678"/>
      <c r="H463" s="97"/>
      <c r="I463" s="101"/>
      <c r="J463" s="111">
        <v>15000</v>
      </c>
      <c r="K463" s="112"/>
      <c r="L463" s="101"/>
      <c r="M463" s="6"/>
      <c r="N463" s="6">
        <v>360</v>
      </c>
    </row>
    <row r="464" spans="1:14" s="48" customFormat="1" ht="17.100000000000001" customHeight="1" x14ac:dyDescent="0.25">
      <c r="A464" s="519"/>
      <c r="B464" s="499" t="s">
        <v>123</v>
      </c>
      <c r="C464" s="499" t="s">
        <v>1386</v>
      </c>
      <c r="D464" s="1602" t="s">
        <v>124</v>
      </c>
      <c r="E464" s="1603"/>
      <c r="F464" s="1603"/>
      <c r="G464" s="1603"/>
      <c r="H464" s="131" t="s">
        <v>125</v>
      </c>
      <c r="I464" s="101">
        <v>989760</v>
      </c>
      <c r="J464" s="162">
        <v>1157808</v>
      </c>
      <c r="K464" s="112">
        <v>644216.14</v>
      </c>
      <c r="L464" s="101">
        <v>1230660</v>
      </c>
      <c r="M464" s="6"/>
      <c r="N464" s="6"/>
    </row>
    <row r="465" spans="1:14" s="48" customFormat="1" ht="18" customHeight="1" x14ac:dyDescent="0.25">
      <c r="A465" s="519"/>
      <c r="B465" s="499" t="s">
        <v>123</v>
      </c>
      <c r="C465" s="499" t="s">
        <v>1386</v>
      </c>
      <c r="D465" s="1602" t="s">
        <v>128</v>
      </c>
      <c r="E465" s="1603"/>
      <c r="F465" s="1603"/>
      <c r="G465" s="1603"/>
      <c r="H465" s="131" t="s">
        <v>125</v>
      </c>
      <c r="I465" s="101">
        <v>0</v>
      </c>
      <c r="J465" s="102">
        <v>0</v>
      </c>
      <c r="K465" s="101"/>
      <c r="L465" s="101">
        <v>9443.59</v>
      </c>
      <c r="M465" s="6"/>
      <c r="N465" s="6"/>
    </row>
    <row r="466" spans="1:14" s="48" customFormat="1" ht="17.100000000000001" customHeight="1" x14ac:dyDescent="0.25">
      <c r="A466" s="519"/>
      <c r="B466" s="499" t="s">
        <v>123</v>
      </c>
      <c r="C466" s="499" t="s">
        <v>1386</v>
      </c>
      <c r="D466" s="1602" t="s">
        <v>129</v>
      </c>
      <c r="E466" s="1603"/>
      <c r="F466" s="1603"/>
      <c r="G466" s="1603"/>
      <c r="H466" s="132" t="s">
        <v>130</v>
      </c>
      <c r="I466" s="101">
        <v>72000</v>
      </c>
      <c r="J466" s="162">
        <v>96000</v>
      </c>
      <c r="K466" s="112">
        <v>48818.18</v>
      </c>
      <c r="L466" s="101">
        <v>96000</v>
      </c>
      <c r="M466" s="6"/>
      <c r="N466" s="6"/>
    </row>
    <row r="467" spans="1:14" s="48" customFormat="1" ht="17.100000000000001" customHeight="1" x14ac:dyDescent="0.25">
      <c r="A467" s="519"/>
      <c r="B467" s="499" t="s">
        <v>123</v>
      </c>
      <c r="C467" s="499" t="s">
        <v>1386</v>
      </c>
      <c r="D467" s="1602" t="s">
        <v>135</v>
      </c>
      <c r="E467" s="1603"/>
      <c r="F467" s="1603"/>
      <c r="G467" s="1603"/>
      <c r="H467" s="131" t="s">
        <v>136</v>
      </c>
      <c r="I467" s="101">
        <v>213798.15</v>
      </c>
      <c r="J467" s="162">
        <v>337420</v>
      </c>
      <c r="K467" s="112">
        <v>82342.039999999994</v>
      </c>
      <c r="L467" s="101">
        <v>434249.1</v>
      </c>
      <c r="M467" s="6"/>
      <c r="N467" s="6"/>
    </row>
    <row r="468" spans="1:14" s="48" customFormat="1" ht="17.100000000000001" customHeight="1" x14ac:dyDescent="0.25">
      <c r="A468" s="519"/>
      <c r="B468" s="499" t="s">
        <v>123</v>
      </c>
      <c r="C468" s="499" t="s">
        <v>1386</v>
      </c>
      <c r="D468" s="1602" t="s">
        <v>137</v>
      </c>
      <c r="E468" s="1603"/>
      <c r="F468" s="1603"/>
      <c r="G468" s="1603"/>
      <c r="H468" s="131" t="s">
        <v>138</v>
      </c>
      <c r="I468" s="101">
        <v>18000</v>
      </c>
      <c r="J468" s="162">
        <v>24000</v>
      </c>
      <c r="K468" s="112">
        <v>18000</v>
      </c>
      <c r="L468" s="101">
        <v>24000</v>
      </c>
      <c r="M468" s="6"/>
      <c r="N468" s="6"/>
    </row>
    <row r="469" spans="1:14" s="48" customFormat="1" ht="17.100000000000001" customHeight="1" x14ac:dyDescent="0.25">
      <c r="A469" s="519"/>
      <c r="B469" s="499" t="s">
        <v>123</v>
      </c>
      <c r="C469" s="499" t="s">
        <v>1386</v>
      </c>
      <c r="D469" s="1602" t="s">
        <v>139</v>
      </c>
      <c r="E469" s="1603"/>
      <c r="F469" s="1603"/>
      <c r="G469" s="1603"/>
      <c r="H469" s="131" t="s">
        <v>140</v>
      </c>
      <c r="I469" s="101">
        <v>82480</v>
      </c>
      <c r="J469" s="162">
        <v>96484</v>
      </c>
      <c r="K469" s="112">
        <v>84920</v>
      </c>
      <c r="L469" s="101">
        <v>103560</v>
      </c>
      <c r="M469" s="6"/>
      <c r="N469" s="6"/>
    </row>
    <row r="470" spans="1:14" s="48" customFormat="1" ht="17.100000000000001" customHeight="1" x14ac:dyDescent="0.25">
      <c r="A470" s="519"/>
      <c r="B470" s="499" t="s">
        <v>123</v>
      </c>
      <c r="C470" s="499" t="s">
        <v>1386</v>
      </c>
      <c r="D470" s="1602" t="s">
        <v>141</v>
      </c>
      <c r="E470" s="1603"/>
      <c r="F470" s="1603"/>
      <c r="G470" s="1603"/>
      <c r="H470" s="131" t="s">
        <v>142</v>
      </c>
      <c r="I470" s="101">
        <v>82480</v>
      </c>
      <c r="J470" s="162">
        <v>96484</v>
      </c>
      <c r="K470" s="112"/>
      <c r="L470" s="101">
        <v>103560</v>
      </c>
      <c r="M470" s="6"/>
      <c r="N470" s="6"/>
    </row>
    <row r="471" spans="1:14" s="48" customFormat="1" ht="17.100000000000001" customHeight="1" x14ac:dyDescent="0.25">
      <c r="A471" s="519"/>
      <c r="B471" s="499" t="s">
        <v>123</v>
      </c>
      <c r="C471" s="499" t="s">
        <v>1386</v>
      </c>
      <c r="D471" s="1602" t="s">
        <v>143</v>
      </c>
      <c r="E471" s="1603"/>
      <c r="F471" s="1603"/>
      <c r="G471" s="1603"/>
      <c r="H471" s="131" t="s">
        <v>144</v>
      </c>
      <c r="I471" s="101">
        <v>15000</v>
      </c>
      <c r="J471" s="162">
        <v>20000</v>
      </c>
      <c r="K471" s="112"/>
      <c r="L471" s="101">
        <v>20000</v>
      </c>
      <c r="M471" s="6"/>
      <c r="N471" s="6"/>
    </row>
    <row r="472" spans="1:14" s="48" customFormat="1" ht="17.100000000000001" customHeight="1" x14ac:dyDescent="0.25">
      <c r="A472" s="519"/>
      <c r="B472" s="499" t="s">
        <v>123</v>
      </c>
      <c r="C472" s="499" t="s">
        <v>1386</v>
      </c>
      <c r="D472" s="1602" t="s">
        <v>145</v>
      </c>
      <c r="E472" s="1603"/>
      <c r="F472" s="1603"/>
      <c r="G472" s="1603"/>
      <c r="H472" s="131" t="s">
        <v>146</v>
      </c>
      <c r="I472" s="101">
        <v>15000</v>
      </c>
      <c r="J472" s="162">
        <v>20000</v>
      </c>
      <c r="K472" s="112"/>
      <c r="L472" s="101">
        <v>20000</v>
      </c>
      <c r="M472" s="6"/>
      <c r="N472" s="6"/>
    </row>
    <row r="473" spans="1:14" s="48" customFormat="1" ht="17.100000000000001" customHeight="1" x14ac:dyDescent="0.25">
      <c r="A473" s="519"/>
      <c r="B473" s="499" t="s">
        <v>123</v>
      </c>
      <c r="C473" s="499" t="s">
        <v>1386</v>
      </c>
      <c r="D473" s="536" t="s">
        <v>147</v>
      </c>
      <c r="E473" s="499"/>
      <c r="F473" s="499"/>
      <c r="G473" s="491"/>
      <c r="H473" s="131" t="s">
        <v>148</v>
      </c>
      <c r="I473" s="101"/>
      <c r="J473" s="162"/>
      <c r="K473" s="112"/>
      <c r="L473" s="101">
        <v>12000</v>
      </c>
      <c r="M473" s="6"/>
      <c r="N473" s="6"/>
    </row>
    <row r="474" spans="1:14" s="48" customFormat="1" ht="17.100000000000001" customHeight="1" x14ac:dyDescent="0.25">
      <c r="A474" s="519"/>
      <c r="B474" s="499" t="s">
        <v>123</v>
      </c>
      <c r="C474" s="499" t="s">
        <v>1386</v>
      </c>
      <c r="D474" s="513" t="s">
        <v>149</v>
      </c>
      <c r="E474" s="1675"/>
      <c r="F474" s="1675"/>
      <c r="G474" s="1676"/>
      <c r="H474" s="131" t="s">
        <v>150</v>
      </c>
      <c r="I474" s="101">
        <v>51525</v>
      </c>
      <c r="J474" s="162"/>
      <c r="K474" s="112"/>
      <c r="L474" s="101"/>
      <c r="M474" s="6"/>
      <c r="N474" s="6"/>
    </row>
    <row r="475" spans="1:14" s="48" customFormat="1" ht="17.100000000000001" customHeight="1" x14ac:dyDescent="0.25">
      <c r="A475" s="519"/>
      <c r="B475" s="499" t="s">
        <v>123</v>
      </c>
      <c r="C475" s="499" t="s">
        <v>1386</v>
      </c>
      <c r="D475" s="1611" t="s">
        <v>151</v>
      </c>
      <c r="E475" s="1611"/>
      <c r="F475" s="1611"/>
      <c r="G475" s="1602"/>
      <c r="H475" s="131" t="s">
        <v>148</v>
      </c>
      <c r="I475" s="101">
        <v>30000</v>
      </c>
      <c r="J475" s="102">
        <v>0</v>
      </c>
      <c r="K475" s="101"/>
      <c r="L475" s="101"/>
      <c r="M475" s="6"/>
      <c r="N475" s="6"/>
    </row>
    <row r="476" spans="1:14" s="48" customFormat="1" ht="17.100000000000001" customHeight="1" x14ac:dyDescent="0.25">
      <c r="A476" s="519"/>
      <c r="B476" s="499" t="s">
        <v>123</v>
      </c>
      <c r="C476" s="499" t="s">
        <v>1386</v>
      </c>
      <c r="D476" s="1611" t="s">
        <v>152</v>
      </c>
      <c r="E476" s="1611"/>
      <c r="F476" s="1611"/>
      <c r="G476" s="1602"/>
      <c r="H476" s="131"/>
      <c r="I476" s="101"/>
      <c r="J476" s="162">
        <v>47268.88</v>
      </c>
      <c r="K476" s="112"/>
      <c r="L476" s="101"/>
      <c r="M476" s="6"/>
      <c r="N476" s="6"/>
    </row>
    <row r="477" spans="1:14" s="48" customFormat="1" ht="17.100000000000001" customHeight="1" x14ac:dyDescent="0.25">
      <c r="A477" s="519"/>
      <c r="B477" s="499" t="s">
        <v>123</v>
      </c>
      <c r="C477" s="499" t="s">
        <v>1386</v>
      </c>
      <c r="D477" s="1602" t="s">
        <v>153</v>
      </c>
      <c r="E477" s="1603"/>
      <c r="F477" s="1603"/>
      <c r="G477" s="1603"/>
      <c r="H477" s="131" t="s">
        <v>154</v>
      </c>
      <c r="I477" s="101">
        <v>118771.2</v>
      </c>
      <c r="J477" s="162">
        <v>138936.95999999999</v>
      </c>
      <c r="K477" s="112">
        <v>76889.740000000005</v>
      </c>
      <c r="L477" s="101">
        <v>148812.43</v>
      </c>
      <c r="M477" s="6"/>
      <c r="N477" s="6"/>
    </row>
    <row r="478" spans="1:14" s="48" customFormat="1" ht="17.100000000000001" customHeight="1" x14ac:dyDescent="0.25">
      <c r="A478" s="519"/>
      <c r="B478" s="499" t="s">
        <v>123</v>
      </c>
      <c r="C478" s="499" t="s">
        <v>1386</v>
      </c>
      <c r="D478" s="1602" t="s">
        <v>155</v>
      </c>
      <c r="E478" s="1603"/>
      <c r="F478" s="1603"/>
      <c r="G478" s="1603"/>
      <c r="H478" s="131" t="s">
        <v>156</v>
      </c>
      <c r="I478" s="101">
        <v>3600</v>
      </c>
      <c r="J478" s="162">
        <v>4800</v>
      </c>
      <c r="K478" s="112">
        <v>2500</v>
      </c>
      <c r="L478" s="101">
        <v>4800</v>
      </c>
      <c r="M478" s="6"/>
      <c r="N478" s="6"/>
    </row>
    <row r="479" spans="1:14" s="48" customFormat="1" ht="17.100000000000001" customHeight="1" x14ac:dyDescent="0.25">
      <c r="A479" s="519"/>
      <c r="B479" s="499" t="s">
        <v>123</v>
      </c>
      <c r="C479" s="499" t="s">
        <v>1386</v>
      </c>
      <c r="D479" s="1602" t="s">
        <v>157</v>
      </c>
      <c r="E479" s="1603"/>
      <c r="F479" s="1603"/>
      <c r="G479" s="1603"/>
      <c r="H479" s="131" t="s">
        <v>158</v>
      </c>
      <c r="I479" s="101">
        <v>14846.42</v>
      </c>
      <c r="J479" s="162">
        <v>20261.64</v>
      </c>
      <c r="K479" s="112">
        <v>9792.73</v>
      </c>
      <c r="L479" s="101">
        <v>49205.74</v>
      </c>
      <c r="M479" s="6"/>
      <c r="N479" s="6"/>
    </row>
    <row r="480" spans="1:14" s="48" customFormat="1" ht="17.100000000000001" customHeight="1" x14ac:dyDescent="0.25">
      <c r="A480" s="519"/>
      <c r="B480" s="499" t="s">
        <v>123</v>
      </c>
      <c r="C480" s="499" t="s">
        <v>1386</v>
      </c>
      <c r="D480" s="1602" t="s">
        <v>159</v>
      </c>
      <c r="E480" s="1603"/>
      <c r="F480" s="1603"/>
      <c r="G480" s="1603"/>
      <c r="H480" s="133" t="s">
        <v>160</v>
      </c>
      <c r="I480" s="105">
        <v>3600</v>
      </c>
      <c r="J480" s="163">
        <v>4800</v>
      </c>
      <c r="K480" s="118">
        <v>2500</v>
      </c>
      <c r="L480" s="105">
        <v>4800</v>
      </c>
      <c r="M480" s="6"/>
      <c r="N480" s="6"/>
    </row>
    <row r="481" spans="1:14" s="48" customFormat="1" ht="17.100000000000001" customHeight="1" x14ac:dyDescent="0.25">
      <c r="A481" s="519"/>
      <c r="B481" s="499" t="s">
        <v>163</v>
      </c>
      <c r="C481" s="499" t="s">
        <v>1386</v>
      </c>
      <c r="D481" s="44" t="s">
        <v>164</v>
      </c>
      <c r="E481" s="113"/>
      <c r="F481" s="113"/>
      <c r="G481" s="114"/>
      <c r="H481" s="131" t="s">
        <v>165</v>
      </c>
      <c r="I481" s="101"/>
      <c r="J481" s="162">
        <v>15000</v>
      </c>
      <c r="K481" s="112"/>
      <c r="L481" s="101">
        <v>15000</v>
      </c>
      <c r="M481" s="6"/>
      <c r="N481" s="6"/>
    </row>
    <row r="482" spans="1:14" s="48" customFormat="1" ht="17.100000000000001" customHeight="1" x14ac:dyDescent="0.25">
      <c r="A482" s="519"/>
      <c r="B482" s="499" t="s">
        <v>163</v>
      </c>
      <c r="C482" s="499" t="s">
        <v>1386</v>
      </c>
      <c r="D482" s="44" t="s">
        <v>168</v>
      </c>
      <c r="E482" s="113"/>
      <c r="F482" s="113"/>
      <c r="G482" s="114"/>
      <c r="H482" s="131" t="s">
        <v>169</v>
      </c>
      <c r="I482" s="101">
        <v>86104</v>
      </c>
      <c r="J482" s="162">
        <v>108208</v>
      </c>
      <c r="K482" s="112">
        <v>91397</v>
      </c>
      <c r="L482" s="101">
        <v>129613</v>
      </c>
      <c r="M482" s="6"/>
      <c r="N482" s="6"/>
    </row>
    <row r="483" spans="1:14" s="48" customFormat="1" ht="17.100000000000001" customHeight="1" x14ac:dyDescent="0.25">
      <c r="A483" s="519"/>
      <c r="B483" s="499" t="s">
        <v>163</v>
      </c>
      <c r="C483" s="499" t="s">
        <v>1386</v>
      </c>
      <c r="D483" s="44" t="s">
        <v>174</v>
      </c>
      <c r="E483" s="113"/>
      <c r="F483" s="113"/>
      <c r="G483" s="114"/>
      <c r="H483" s="131" t="s">
        <v>171</v>
      </c>
      <c r="I483" s="101">
        <v>20325</v>
      </c>
      <c r="J483" s="162">
        <v>183484</v>
      </c>
      <c r="K483" s="112"/>
      <c r="L483" s="101"/>
      <c r="M483" s="6"/>
      <c r="N483" s="6"/>
    </row>
    <row r="484" spans="1:14" s="48" customFormat="1" ht="17.100000000000001" customHeight="1" x14ac:dyDescent="0.25">
      <c r="A484" s="519"/>
      <c r="B484" s="499" t="s">
        <v>163</v>
      </c>
      <c r="C484" s="499" t="s">
        <v>1386</v>
      </c>
      <c r="D484" s="44" t="s">
        <v>170</v>
      </c>
      <c r="E484" s="113"/>
      <c r="F484" s="113"/>
      <c r="G484" s="114"/>
      <c r="H484" s="131" t="s">
        <v>171</v>
      </c>
      <c r="I484" s="101"/>
      <c r="J484" s="162"/>
      <c r="K484" s="112"/>
      <c r="L484" s="101">
        <v>160974</v>
      </c>
      <c r="M484" s="6"/>
      <c r="N484" s="6"/>
    </row>
    <row r="485" spans="1:14" s="48" customFormat="1" ht="17.100000000000001" customHeight="1" x14ac:dyDescent="0.25">
      <c r="A485" s="519"/>
      <c r="B485" s="499" t="s">
        <v>163</v>
      </c>
      <c r="C485" s="499" t="s">
        <v>1386</v>
      </c>
      <c r="D485" s="44" t="s">
        <v>178</v>
      </c>
      <c r="E485" s="170"/>
      <c r="F485" s="170"/>
      <c r="G485" s="171"/>
      <c r="H485" s="172"/>
      <c r="I485" s="102"/>
      <c r="J485" s="162"/>
      <c r="K485" s="111"/>
      <c r="L485" s="102">
        <v>18000</v>
      </c>
      <c r="M485" s="6"/>
      <c r="N485" s="6"/>
    </row>
    <row r="486" spans="1:14" s="48" customFormat="1" ht="17.100000000000001" customHeight="1" x14ac:dyDescent="0.25">
      <c r="A486" s="519"/>
      <c r="B486" s="499" t="s">
        <v>163</v>
      </c>
      <c r="C486" s="499" t="s">
        <v>1386</v>
      </c>
      <c r="D486" s="44" t="s">
        <v>289</v>
      </c>
      <c r="E486" s="170"/>
      <c r="F486" s="170"/>
      <c r="G486" s="171"/>
      <c r="H486" s="172" t="s">
        <v>179</v>
      </c>
      <c r="I486" s="102">
        <v>18000</v>
      </c>
      <c r="J486" s="162">
        <v>18000</v>
      </c>
      <c r="K486" s="111">
        <v>13500</v>
      </c>
      <c r="L486" s="102"/>
      <c r="M486" s="6"/>
      <c r="N486" s="6"/>
    </row>
    <row r="487" spans="1:14" s="48" customFormat="1" ht="18" customHeight="1" x14ac:dyDescent="0.25">
      <c r="A487" s="519"/>
      <c r="B487" s="499" t="s">
        <v>163</v>
      </c>
      <c r="C487" s="499" t="s">
        <v>1386</v>
      </c>
      <c r="D487" s="44" t="s">
        <v>182</v>
      </c>
      <c r="E487" s="170"/>
      <c r="F487" s="170"/>
      <c r="G487" s="171"/>
      <c r="H487" s="172" t="s">
        <v>183</v>
      </c>
      <c r="I487" s="102">
        <v>26388</v>
      </c>
      <c r="J487" s="102">
        <v>30000</v>
      </c>
      <c r="K487" s="102">
        <v>15393</v>
      </c>
      <c r="L487" s="102">
        <v>30000</v>
      </c>
      <c r="M487" s="6"/>
      <c r="N487" s="6"/>
    </row>
    <row r="488" spans="1:14" s="48" customFormat="1" ht="17.100000000000001" customHeight="1" x14ac:dyDescent="0.25">
      <c r="A488" s="519"/>
      <c r="B488" s="499" t="s">
        <v>163</v>
      </c>
      <c r="C488" s="499" t="s">
        <v>1386</v>
      </c>
      <c r="D488" s="44" t="s">
        <v>198</v>
      </c>
      <c r="E488" s="113"/>
      <c r="F488" s="113"/>
      <c r="G488" s="114"/>
      <c r="H488" s="131" t="s">
        <v>199</v>
      </c>
      <c r="I488" s="101">
        <v>276338.58</v>
      </c>
      <c r="J488" s="162">
        <v>1360194.72</v>
      </c>
      <c r="K488" s="112">
        <v>178921.72</v>
      </c>
      <c r="L488" s="105">
        <v>1360194.72</v>
      </c>
      <c r="M488" s="6"/>
      <c r="N488" s="6"/>
    </row>
    <row r="489" spans="1:14" s="48" customFormat="1" ht="18" customHeight="1" x14ac:dyDescent="0.25">
      <c r="A489" s="519"/>
      <c r="B489" s="499" t="s">
        <v>123</v>
      </c>
      <c r="C489" s="499" t="s">
        <v>1386</v>
      </c>
      <c r="D489" s="1602" t="s">
        <v>124</v>
      </c>
      <c r="E489" s="1603"/>
      <c r="F489" s="1603"/>
      <c r="G489" s="1603"/>
      <c r="H489" s="131" t="s">
        <v>125</v>
      </c>
      <c r="I489" s="101">
        <v>1421340</v>
      </c>
      <c r="J489" s="102">
        <v>1992948</v>
      </c>
      <c r="K489" s="101">
        <v>849681</v>
      </c>
      <c r="L489" s="101">
        <v>2117868</v>
      </c>
      <c r="M489" s="6"/>
      <c r="N489" s="47"/>
    </row>
    <row r="490" spans="1:14" s="48" customFormat="1" ht="18" customHeight="1" x14ac:dyDescent="0.25">
      <c r="A490" s="519"/>
      <c r="B490" s="499" t="s">
        <v>123</v>
      </c>
      <c r="C490" s="499" t="s">
        <v>1386</v>
      </c>
      <c r="D490" s="1602" t="s">
        <v>126</v>
      </c>
      <c r="E490" s="1603"/>
      <c r="F490" s="1603"/>
      <c r="G490" s="1603"/>
      <c r="H490" s="131" t="s">
        <v>127</v>
      </c>
      <c r="I490" s="101">
        <v>324211.21000000002</v>
      </c>
      <c r="J490" s="102">
        <v>298056</v>
      </c>
      <c r="K490" s="101">
        <v>159251.1</v>
      </c>
      <c r="L490" s="101">
        <v>324048</v>
      </c>
      <c r="M490" s="6"/>
      <c r="N490" s="47"/>
    </row>
    <row r="491" spans="1:14" s="48" customFormat="1" ht="18" customHeight="1" x14ac:dyDescent="0.25">
      <c r="A491" s="519"/>
      <c r="B491" s="499" t="s">
        <v>123</v>
      </c>
      <c r="C491" s="499" t="s">
        <v>1386</v>
      </c>
      <c r="D491" s="1614" t="s">
        <v>128</v>
      </c>
      <c r="E491" s="1615"/>
      <c r="F491" s="492"/>
      <c r="G491" s="492"/>
      <c r="H491" s="131"/>
      <c r="I491" s="101"/>
      <c r="J491" s="102"/>
      <c r="K491" s="101"/>
      <c r="L491" s="101">
        <v>10384</v>
      </c>
      <c r="M491" s="6"/>
      <c r="N491" s="47"/>
    </row>
    <row r="492" spans="1:14" s="48" customFormat="1" ht="18" customHeight="1" x14ac:dyDescent="0.25">
      <c r="A492" s="519"/>
      <c r="B492" s="499" t="s">
        <v>123</v>
      </c>
      <c r="C492" s="499" t="s">
        <v>1386</v>
      </c>
      <c r="D492" s="1602" t="s">
        <v>129</v>
      </c>
      <c r="E492" s="1603"/>
      <c r="F492" s="1603"/>
      <c r="G492" s="1603"/>
      <c r="H492" s="132" t="s">
        <v>130</v>
      </c>
      <c r="I492" s="101">
        <v>76363.28</v>
      </c>
      <c r="J492" s="102">
        <v>168000</v>
      </c>
      <c r="K492" s="101">
        <v>52363.62</v>
      </c>
      <c r="L492" s="101">
        <v>168000</v>
      </c>
      <c r="M492" s="6"/>
      <c r="N492" s="47"/>
    </row>
    <row r="493" spans="1:14" s="48" customFormat="1" ht="18" customHeight="1" x14ac:dyDescent="0.25">
      <c r="A493" s="519"/>
      <c r="B493" s="499" t="s">
        <v>123</v>
      </c>
      <c r="C493" s="499" t="s">
        <v>1386</v>
      </c>
      <c r="D493" s="1602" t="s">
        <v>131</v>
      </c>
      <c r="E493" s="1603"/>
      <c r="F493" s="1603"/>
      <c r="G493" s="1603"/>
      <c r="H493" s="131" t="s">
        <v>132</v>
      </c>
      <c r="I493" s="101">
        <v>86400</v>
      </c>
      <c r="J493" s="102">
        <v>86400</v>
      </c>
      <c r="K493" s="101">
        <v>50400</v>
      </c>
      <c r="L493" s="101">
        <v>86400</v>
      </c>
      <c r="M493" s="6"/>
      <c r="N493" s="47"/>
    </row>
    <row r="494" spans="1:14" s="48" customFormat="1" ht="18" customHeight="1" x14ac:dyDescent="0.25">
      <c r="A494" s="519"/>
      <c r="B494" s="499" t="s">
        <v>123</v>
      </c>
      <c r="C494" s="499" t="s">
        <v>1386</v>
      </c>
      <c r="D494" s="1602" t="s">
        <v>135</v>
      </c>
      <c r="E494" s="1603"/>
      <c r="F494" s="1603"/>
      <c r="G494" s="1603"/>
      <c r="H494" s="131" t="s">
        <v>136</v>
      </c>
      <c r="I494" s="101">
        <v>0</v>
      </c>
      <c r="J494" s="102">
        <v>30000</v>
      </c>
      <c r="K494" s="101"/>
      <c r="L494" s="101">
        <v>30000</v>
      </c>
      <c r="M494" s="6"/>
      <c r="N494" s="47"/>
    </row>
    <row r="495" spans="1:14" s="48" customFormat="1" ht="18" customHeight="1" x14ac:dyDescent="0.25">
      <c r="A495" s="519"/>
      <c r="B495" s="499" t="s">
        <v>123</v>
      </c>
      <c r="C495" s="499" t="s">
        <v>1386</v>
      </c>
      <c r="D495" s="1602" t="s">
        <v>137</v>
      </c>
      <c r="E495" s="1603"/>
      <c r="F495" s="1603"/>
      <c r="G495" s="1603"/>
      <c r="H495" s="131" t="s">
        <v>138</v>
      </c>
      <c r="I495" s="101">
        <v>6000</v>
      </c>
      <c r="J495" s="102">
        <v>42000</v>
      </c>
      <c r="K495" s="101">
        <v>24000</v>
      </c>
      <c r="L495" s="101">
        <v>42000</v>
      </c>
      <c r="M495" s="6"/>
      <c r="N495" s="47"/>
    </row>
    <row r="496" spans="1:14" s="48" customFormat="1" ht="18" customHeight="1" x14ac:dyDescent="0.25">
      <c r="A496" s="519"/>
      <c r="B496" s="499" t="s">
        <v>123</v>
      </c>
      <c r="C496" s="499" t="s">
        <v>1386</v>
      </c>
      <c r="D496" s="1602" t="s">
        <v>139</v>
      </c>
      <c r="E496" s="1603"/>
      <c r="F496" s="1603"/>
      <c r="G496" s="1603"/>
      <c r="H496" s="131" t="s">
        <v>140</v>
      </c>
      <c r="I496" s="101">
        <v>143283</v>
      </c>
      <c r="J496" s="102">
        <v>190917</v>
      </c>
      <c r="K496" s="101">
        <v>147303</v>
      </c>
      <c r="L496" s="101">
        <v>203493</v>
      </c>
      <c r="M496" s="6"/>
      <c r="N496" s="47">
        <f>27004+176489</f>
        <v>203493</v>
      </c>
    </row>
    <row r="497" spans="1:14" s="48" customFormat="1" ht="18" customHeight="1" x14ac:dyDescent="0.25">
      <c r="A497" s="519"/>
      <c r="B497" s="499" t="s">
        <v>123</v>
      </c>
      <c r="C497" s="499" t="s">
        <v>1386</v>
      </c>
      <c r="D497" s="1602" t="s">
        <v>141</v>
      </c>
      <c r="E497" s="1603"/>
      <c r="F497" s="1603"/>
      <c r="G497" s="1603"/>
      <c r="H497" s="131" t="s">
        <v>142</v>
      </c>
      <c r="I497" s="101">
        <v>143283</v>
      </c>
      <c r="J497" s="102">
        <v>190917</v>
      </c>
      <c r="K497" s="101"/>
      <c r="L497" s="101">
        <v>205346</v>
      </c>
      <c r="M497" s="6"/>
      <c r="N497" s="47">
        <f>178342+27004</f>
        <v>205346</v>
      </c>
    </row>
    <row r="498" spans="1:14" s="48" customFormat="1" ht="18" customHeight="1" x14ac:dyDescent="0.25">
      <c r="A498" s="519"/>
      <c r="B498" s="499" t="s">
        <v>123</v>
      </c>
      <c r="C498" s="499" t="s">
        <v>1386</v>
      </c>
      <c r="D498" s="1602" t="s">
        <v>143</v>
      </c>
      <c r="E498" s="1603"/>
      <c r="F498" s="1603"/>
      <c r="G498" s="1603"/>
      <c r="H498" s="131" t="s">
        <v>144</v>
      </c>
      <c r="I498" s="101">
        <v>20000</v>
      </c>
      <c r="J498" s="102">
        <v>35000</v>
      </c>
      <c r="K498" s="101"/>
      <c r="L498" s="101">
        <v>35000</v>
      </c>
      <c r="M498" s="6"/>
      <c r="N498" s="47">
        <f>25000+10000</f>
        <v>35000</v>
      </c>
    </row>
    <row r="499" spans="1:14" s="48" customFormat="1" ht="18" customHeight="1" x14ac:dyDescent="0.25">
      <c r="A499" s="519"/>
      <c r="B499" s="499" t="s">
        <v>123</v>
      </c>
      <c r="C499" s="499" t="s">
        <v>1386</v>
      </c>
      <c r="D499" s="1602" t="s">
        <v>145</v>
      </c>
      <c r="E499" s="1603"/>
      <c r="F499" s="1603"/>
      <c r="G499" s="1603"/>
      <c r="H499" s="131" t="s">
        <v>146</v>
      </c>
      <c r="I499" s="101">
        <v>20000</v>
      </c>
      <c r="J499" s="102">
        <v>35000</v>
      </c>
      <c r="K499" s="101"/>
      <c r="L499" s="101">
        <v>35000</v>
      </c>
      <c r="M499" s="6"/>
      <c r="N499" s="47"/>
    </row>
    <row r="500" spans="1:14" s="48" customFormat="1" ht="18" customHeight="1" x14ac:dyDescent="0.25">
      <c r="A500" s="519"/>
      <c r="B500" s="499" t="s">
        <v>123</v>
      </c>
      <c r="C500" s="499" t="s">
        <v>1386</v>
      </c>
      <c r="D500" s="536" t="s">
        <v>147</v>
      </c>
      <c r="E500" s="499"/>
      <c r="F500" s="499"/>
      <c r="G500" s="491"/>
      <c r="H500" s="131" t="s">
        <v>148</v>
      </c>
      <c r="I500" s="101"/>
      <c r="J500" s="102"/>
      <c r="K500" s="101"/>
      <c r="L500" s="101">
        <v>21000</v>
      </c>
      <c r="M500" s="6"/>
      <c r="N500" s="47">
        <f>15000+6000</f>
        <v>21000</v>
      </c>
    </row>
    <row r="501" spans="1:14" s="48" customFormat="1" ht="18" customHeight="1" x14ac:dyDescent="0.25">
      <c r="A501" s="519"/>
      <c r="B501" s="499" t="s">
        <v>123</v>
      </c>
      <c r="C501" s="499" t="s">
        <v>1386</v>
      </c>
      <c r="D501" s="513" t="s">
        <v>149</v>
      </c>
      <c r="E501" s="1675"/>
      <c r="F501" s="1675"/>
      <c r="G501" s="1676"/>
      <c r="H501" s="131" t="s">
        <v>150</v>
      </c>
      <c r="I501" s="101">
        <v>50400</v>
      </c>
      <c r="J501" s="102"/>
      <c r="K501" s="101"/>
      <c r="L501" s="101"/>
      <c r="M501" s="6"/>
      <c r="N501" s="47"/>
    </row>
    <row r="502" spans="1:14" s="48" customFormat="1" ht="18" customHeight="1" x14ac:dyDescent="0.25">
      <c r="A502" s="519"/>
      <c r="B502" s="499" t="s">
        <v>123</v>
      </c>
      <c r="C502" s="499" t="s">
        <v>1386</v>
      </c>
      <c r="D502" s="1611" t="s">
        <v>151</v>
      </c>
      <c r="E502" s="1611"/>
      <c r="F502" s="1611"/>
      <c r="G502" s="1602"/>
      <c r="H502" s="131" t="s">
        <v>148</v>
      </c>
      <c r="I502" s="101">
        <v>40000</v>
      </c>
      <c r="J502" s="102">
        <v>0</v>
      </c>
      <c r="K502" s="101"/>
      <c r="L502" s="101"/>
      <c r="M502" s="6"/>
      <c r="N502" s="47"/>
    </row>
    <row r="503" spans="1:14" s="48" customFormat="1" ht="18" customHeight="1" x14ac:dyDescent="0.25">
      <c r="A503" s="519"/>
      <c r="B503" s="499" t="s">
        <v>123</v>
      </c>
      <c r="C503" s="499" t="s">
        <v>1386</v>
      </c>
      <c r="D503" s="1611" t="s">
        <v>152</v>
      </c>
      <c r="E503" s="1611"/>
      <c r="F503" s="1611"/>
      <c r="G503" s="1602"/>
      <c r="H503" s="131"/>
      <c r="I503" s="101"/>
      <c r="J503" s="102">
        <v>98046</v>
      </c>
      <c r="K503" s="101"/>
      <c r="L503" s="101"/>
      <c r="M503" s="6"/>
      <c r="N503" s="47"/>
    </row>
    <row r="504" spans="1:14" s="48" customFormat="1" ht="18" customHeight="1" x14ac:dyDescent="0.25">
      <c r="A504" s="519"/>
      <c r="B504" s="499" t="s">
        <v>123</v>
      </c>
      <c r="C504" s="499" t="s">
        <v>1386</v>
      </c>
      <c r="D504" s="1602" t="s">
        <v>153</v>
      </c>
      <c r="E504" s="1603"/>
      <c r="F504" s="1603"/>
      <c r="G504" s="1603"/>
      <c r="H504" s="131" t="s">
        <v>154</v>
      </c>
      <c r="I504" s="101">
        <v>193434.36</v>
      </c>
      <c r="J504" s="102">
        <v>274920.48</v>
      </c>
      <c r="K504" s="101">
        <v>122179.32</v>
      </c>
      <c r="L504" s="101">
        <v>294276</v>
      </c>
      <c r="M504" s="6"/>
      <c r="N504" s="47">
        <f>38885.76+255390.24</f>
        <v>294276</v>
      </c>
    </row>
    <row r="505" spans="1:14" s="48" customFormat="1" ht="18" customHeight="1" x14ac:dyDescent="0.25">
      <c r="A505" s="519"/>
      <c r="B505" s="499" t="s">
        <v>123</v>
      </c>
      <c r="C505" s="499" t="s">
        <v>1386</v>
      </c>
      <c r="D505" s="1602" t="s">
        <v>155</v>
      </c>
      <c r="E505" s="1603"/>
      <c r="F505" s="1603"/>
      <c r="G505" s="1603"/>
      <c r="H505" s="131" t="s">
        <v>156</v>
      </c>
      <c r="I505" s="101">
        <v>3800</v>
      </c>
      <c r="J505" s="102">
        <v>8400</v>
      </c>
      <c r="K505" s="101">
        <v>2800</v>
      </c>
      <c r="L505" s="101">
        <v>8400</v>
      </c>
      <c r="M505" s="6"/>
      <c r="N505" s="47">
        <f>6000+2400</f>
        <v>8400</v>
      </c>
    </row>
    <row r="506" spans="1:14" s="48" customFormat="1" ht="18" customHeight="1" x14ac:dyDescent="0.25">
      <c r="A506" s="519"/>
      <c r="B506" s="499" t="s">
        <v>123</v>
      </c>
      <c r="C506" s="499" t="s">
        <v>1386</v>
      </c>
      <c r="D506" s="1602" t="s">
        <v>157</v>
      </c>
      <c r="E506" s="1603"/>
      <c r="F506" s="1603"/>
      <c r="G506" s="1603"/>
      <c r="H506" s="131" t="s">
        <v>158</v>
      </c>
      <c r="I506" s="101">
        <v>18993.54</v>
      </c>
      <c r="J506" s="102">
        <v>36381.03</v>
      </c>
      <c r="K506" s="101">
        <v>12380.46</v>
      </c>
      <c r="L506" s="101">
        <v>92446.720000000001</v>
      </c>
      <c r="M506" s="6"/>
      <c r="N506" s="47">
        <f>12984+79462.72</f>
        <v>92446.720000000001</v>
      </c>
    </row>
    <row r="507" spans="1:14" s="48" customFormat="1" ht="18" customHeight="1" x14ac:dyDescent="0.25">
      <c r="A507" s="519"/>
      <c r="B507" s="499" t="s">
        <v>123</v>
      </c>
      <c r="C507" s="499" t="s">
        <v>1386</v>
      </c>
      <c r="D507" s="1602" t="s">
        <v>159</v>
      </c>
      <c r="E507" s="1603"/>
      <c r="F507" s="1603"/>
      <c r="G507" s="1603"/>
      <c r="H507" s="133" t="s">
        <v>160</v>
      </c>
      <c r="I507" s="105">
        <v>3800</v>
      </c>
      <c r="J507" s="106">
        <v>8400</v>
      </c>
      <c r="K507" s="105">
        <v>2800</v>
      </c>
      <c r="L507" s="105">
        <v>8400</v>
      </c>
      <c r="M507" s="6"/>
      <c r="N507" s="47">
        <f>6000+2400</f>
        <v>8400</v>
      </c>
    </row>
    <row r="508" spans="1:14" s="48" customFormat="1" ht="18" customHeight="1" x14ac:dyDescent="0.25">
      <c r="A508" s="519"/>
      <c r="B508" s="499" t="s">
        <v>163</v>
      </c>
      <c r="C508" s="499" t="s">
        <v>1386</v>
      </c>
      <c r="D508" s="44" t="s">
        <v>164</v>
      </c>
      <c r="E508" s="113"/>
      <c r="F508" s="113"/>
      <c r="G508" s="114"/>
      <c r="H508" s="131" t="s">
        <v>292</v>
      </c>
      <c r="I508" s="101"/>
      <c r="J508" s="102">
        <v>350000</v>
      </c>
      <c r="K508" s="101"/>
      <c r="L508" s="101">
        <v>350000</v>
      </c>
      <c r="M508" s="6"/>
      <c r="N508" s="47"/>
    </row>
    <row r="509" spans="1:14" s="48" customFormat="1" ht="18" customHeight="1" x14ac:dyDescent="0.25">
      <c r="A509" s="519"/>
      <c r="B509" s="499" t="s">
        <v>163</v>
      </c>
      <c r="C509" s="499" t="s">
        <v>1386</v>
      </c>
      <c r="D509" s="38" t="s">
        <v>166</v>
      </c>
      <c r="E509" s="184"/>
      <c r="F509" s="184"/>
      <c r="G509" s="184"/>
      <c r="H509" s="131" t="s">
        <v>293</v>
      </c>
      <c r="I509" s="101">
        <v>0</v>
      </c>
      <c r="J509" s="102">
        <v>750000</v>
      </c>
      <c r="K509" s="101"/>
      <c r="L509" s="101">
        <v>750000</v>
      </c>
      <c r="M509" s="6"/>
      <c r="N509" s="47"/>
    </row>
    <row r="510" spans="1:14" s="48" customFormat="1" ht="18" customHeight="1" x14ac:dyDescent="0.25">
      <c r="A510" s="519"/>
      <c r="B510" s="499" t="s">
        <v>163</v>
      </c>
      <c r="C510" s="499" t="s">
        <v>1386</v>
      </c>
      <c r="D510" s="38" t="s">
        <v>294</v>
      </c>
      <c r="E510" s="184"/>
      <c r="F510" s="184"/>
      <c r="G510" s="184"/>
      <c r="H510" s="131" t="s">
        <v>169</v>
      </c>
      <c r="I510" s="101">
        <v>183121.55</v>
      </c>
      <c r="J510" s="102">
        <v>300000</v>
      </c>
      <c r="K510" s="101">
        <v>141068</v>
      </c>
      <c r="L510" s="101">
        <v>350000</v>
      </c>
      <c r="M510" s="6"/>
      <c r="N510" s="47"/>
    </row>
    <row r="511" spans="1:14" s="48" customFormat="1" ht="18" customHeight="1" x14ac:dyDescent="0.25">
      <c r="A511" s="519"/>
      <c r="B511" s="499" t="s">
        <v>163</v>
      </c>
      <c r="C511" s="499" t="s">
        <v>1386</v>
      </c>
      <c r="D511" s="38" t="s">
        <v>295</v>
      </c>
      <c r="E511" s="184"/>
      <c r="F511" s="184"/>
      <c r="G511" s="185"/>
      <c r="H511" s="131" t="s">
        <v>173</v>
      </c>
      <c r="I511" s="101">
        <v>94311.4</v>
      </c>
      <c r="J511" s="102">
        <v>250000</v>
      </c>
      <c r="K511" s="101">
        <v>69180.5</v>
      </c>
      <c r="L511" s="101">
        <v>250000</v>
      </c>
      <c r="M511" s="6"/>
      <c r="N511" s="47"/>
    </row>
    <row r="512" spans="1:14" s="48" customFormat="1" ht="18" customHeight="1" x14ac:dyDescent="0.25">
      <c r="A512" s="519"/>
      <c r="B512" s="499" t="s">
        <v>163</v>
      </c>
      <c r="C512" s="499" t="s">
        <v>1386</v>
      </c>
      <c r="D512" s="38" t="s">
        <v>174</v>
      </c>
      <c r="E512" s="184"/>
      <c r="F512" s="184"/>
      <c r="G512" s="184"/>
      <c r="H512" s="131" t="s">
        <v>171</v>
      </c>
      <c r="I512" s="101">
        <v>9949</v>
      </c>
      <c r="J512" s="102">
        <v>20000</v>
      </c>
      <c r="K512" s="101"/>
      <c r="L512" s="101"/>
      <c r="M512" s="6"/>
      <c r="N512" s="47"/>
    </row>
    <row r="513" spans="1:14" s="48" customFormat="1" ht="18" customHeight="1" x14ac:dyDescent="0.25">
      <c r="A513" s="519"/>
      <c r="B513" s="499" t="s">
        <v>163</v>
      </c>
      <c r="C513" s="499" t="s">
        <v>1386</v>
      </c>
      <c r="D513" s="38" t="s">
        <v>213</v>
      </c>
      <c r="E513" s="184"/>
      <c r="F513" s="184"/>
      <c r="G513" s="184"/>
      <c r="H513" s="131" t="s">
        <v>171</v>
      </c>
      <c r="I513" s="101">
        <v>203550</v>
      </c>
      <c r="J513" s="102">
        <v>300000</v>
      </c>
      <c r="K513" s="101"/>
      <c r="L513" s="101">
        <v>80000</v>
      </c>
      <c r="M513" s="6"/>
      <c r="N513" s="47"/>
    </row>
    <row r="514" spans="1:14" s="48" customFormat="1" ht="18" customHeight="1" x14ac:dyDescent="0.25">
      <c r="A514" s="519"/>
      <c r="B514" s="499" t="s">
        <v>163</v>
      </c>
      <c r="C514" s="499" t="s">
        <v>1386</v>
      </c>
      <c r="D514" s="38" t="s">
        <v>296</v>
      </c>
      <c r="E514" s="184"/>
      <c r="F514" s="184"/>
      <c r="G514" s="184"/>
      <c r="H514" s="131" t="s">
        <v>177</v>
      </c>
      <c r="I514" s="101">
        <v>0</v>
      </c>
      <c r="J514" s="102">
        <v>15000</v>
      </c>
      <c r="K514" s="101"/>
      <c r="L514" s="101">
        <v>15000</v>
      </c>
      <c r="M514" s="6"/>
      <c r="N514" s="47"/>
    </row>
    <row r="515" spans="1:14" s="48" customFormat="1" ht="18" customHeight="1" x14ac:dyDescent="0.25">
      <c r="A515" s="519"/>
      <c r="B515" s="499" t="s">
        <v>163</v>
      </c>
      <c r="C515" s="499" t="s">
        <v>1386</v>
      </c>
      <c r="D515" s="38" t="s">
        <v>178</v>
      </c>
      <c r="E515" s="184"/>
      <c r="F515" s="184"/>
      <c r="G515" s="184"/>
      <c r="H515" s="131" t="s">
        <v>179</v>
      </c>
      <c r="I515" s="101"/>
      <c r="J515" s="102"/>
      <c r="K515" s="101"/>
      <c r="L515" s="101">
        <v>88800</v>
      </c>
      <c r="M515" s="6"/>
      <c r="N515" s="47"/>
    </row>
    <row r="516" spans="1:14" s="48" customFormat="1" ht="18" customHeight="1" x14ac:dyDescent="0.25">
      <c r="A516" s="519"/>
      <c r="B516" s="499" t="s">
        <v>163</v>
      </c>
      <c r="C516" s="499" t="s">
        <v>1386</v>
      </c>
      <c r="D516" s="38" t="s">
        <v>250</v>
      </c>
      <c r="E516" s="184"/>
      <c r="F516" s="184"/>
      <c r="G516" s="184"/>
      <c r="H516" s="131" t="s">
        <v>179</v>
      </c>
      <c r="I516" s="101">
        <v>0</v>
      </c>
      <c r="J516" s="102">
        <v>28800</v>
      </c>
      <c r="K516" s="101"/>
      <c r="L516" s="101"/>
      <c r="M516" s="6"/>
      <c r="N516" s="47"/>
    </row>
    <row r="517" spans="1:14" s="48" customFormat="1" ht="18" customHeight="1" x14ac:dyDescent="0.25">
      <c r="A517" s="519"/>
      <c r="B517" s="499" t="s">
        <v>163</v>
      </c>
      <c r="C517" s="499" t="s">
        <v>1386</v>
      </c>
      <c r="D517" s="38" t="s">
        <v>181</v>
      </c>
      <c r="E517" s="184"/>
      <c r="F517" s="184"/>
      <c r="G517" s="184"/>
      <c r="H517" s="131" t="s">
        <v>179</v>
      </c>
      <c r="I517" s="101">
        <v>60000</v>
      </c>
      <c r="J517" s="102">
        <v>60000</v>
      </c>
      <c r="K517" s="101">
        <v>30000</v>
      </c>
      <c r="L517" s="101"/>
      <c r="M517" s="6"/>
      <c r="N517" s="47"/>
    </row>
    <row r="518" spans="1:14" s="48" customFormat="1" ht="18" customHeight="1" x14ac:dyDescent="0.25">
      <c r="A518" s="519"/>
      <c r="B518" s="499" t="s">
        <v>163</v>
      </c>
      <c r="C518" s="499" t="s">
        <v>1386</v>
      </c>
      <c r="D518" s="44" t="s">
        <v>182</v>
      </c>
      <c r="E518" s="113"/>
      <c r="F518" s="113"/>
      <c r="G518" s="113"/>
      <c r="H518" s="131" t="s">
        <v>183</v>
      </c>
      <c r="I518" s="101">
        <v>38401.5</v>
      </c>
      <c r="J518" s="102">
        <v>72000</v>
      </c>
      <c r="K518" s="101">
        <v>33172.68</v>
      </c>
      <c r="L518" s="101">
        <v>72000</v>
      </c>
      <c r="M518" s="6"/>
      <c r="N518" s="47"/>
    </row>
    <row r="519" spans="1:14" s="48" customFormat="1" ht="18" customHeight="1" x14ac:dyDescent="0.25">
      <c r="A519" s="519"/>
      <c r="B519" s="499" t="s">
        <v>163</v>
      </c>
      <c r="C519" s="499" t="s">
        <v>1386</v>
      </c>
      <c r="D519" s="38" t="s">
        <v>297</v>
      </c>
      <c r="E519" s="184"/>
      <c r="F519" s="184"/>
      <c r="G519" s="184"/>
      <c r="H519" s="131" t="s">
        <v>187</v>
      </c>
      <c r="I519" s="101"/>
      <c r="J519" s="102">
        <v>100000</v>
      </c>
      <c r="K519" s="101"/>
      <c r="L519" s="101">
        <v>100000</v>
      </c>
      <c r="M519" s="6"/>
      <c r="N519" s="47"/>
    </row>
    <row r="520" spans="1:14" s="48" customFormat="1" ht="18" customHeight="1" x14ac:dyDescent="0.25">
      <c r="A520" s="519"/>
      <c r="B520" s="499" t="s">
        <v>163</v>
      </c>
      <c r="C520" s="499" t="s">
        <v>1386</v>
      </c>
      <c r="D520" s="38" t="s">
        <v>298</v>
      </c>
      <c r="E520" s="184"/>
      <c r="F520" s="184"/>
      <c r="G520" s="184"/>
      <c r="H520" s="131" t="s">
        <v>189</v>
      </c>
      <c r="I520" s="101">
        <v>180668.74</v>
      </c>
      <c r="J520" s="102">
        <v>350000</v>
      </c>
      <c r="K520" s="101">
        <v>5775</v>
      </c>
      <c r="L520" s="101">
        <v>350000</v>
      </c>
      <c r="M520" s="6"/>
      <c r="N520" s="47"/>
    </row>
    <row r="521" spans="1:14" s="48" customFormat="1" ht="18" customHeight="1" x14ac:dyDescent="0.25">
      <c r="A521" s="519"/>
      <c r="B521" s="499" t="s">
        <v>163</v>
      </c>
      <c r="C521" s="499" t="s">
        <v>1386</v>
      </c>
      <c r="D521" s="38" t="s">
        <v>190</v>
      </c>
      <c r="E521" s="184"/>
      <c r="F521" s="184"/>
      <c r="G521" s="184"/>
      <c r="H521" s="131" t="s">
        <v>191</v>
      </c>
      <c r="I521" s="101">
        <v>5000</v>
      </c>
      <c r="J521" s="102">
        <v>150000</v>
      </c>
      <c r="K521" s="101"/>
      <c r="L521" s="101">
        <v>150000</v>
      </c>
      <c r="M521" s="6"/>
      <c r="N521" s="47"/>
    </row>
    <row r="522" spans="1:14" s="48" customFormat="1" ht="18" customHeight="1" x14ac:dyDescent="0.25">
      <c r="A522" s="519"/>
      <c r="B522" s="499" t="s">
        <v>163</v>
      </c>
      <c r="C522" s="499" t="s">
        <v>1386</v>
      </c>
      <c r="D522" s="38" t="s">
        <v>192</v>
      </c>
      <c r="E522" s="184"/>
      <c r="F522" s="184"/>
      <c r="G522" s="184"/>
      <c r="H522" s="131" t="s">
        <v>193</v>
      </c>
      <c r="I522" s="101">
        <v>30600</v>
      </c>
      <c r="J522" s="102">
        <v>300000</v>
      </c>
      <c r="K522" s="101"/>
      <c r="L522" s="101">
        <v>300000</v>
      </c>
      <c r="M522" s="6"/>
      <c r="N522" s="47"/>
    </row>
    <row r="523" spans="1:14" s="48" customFormat="1" ht="18" customHeight="1" x14ac:dyDescent="0.25">
      <c r="A523" s="519"/>
      <c r="B523" s="499" t="s">
        <v>163</v>
      </c>
      <c r="C523" s="499" t="s">
        <v>1386</v>
      </c>
      <c r="D523" s="38" t="s">
        <v>299</v>
      </c>
      <c r="E523" s="184"/>
      <c r="F523" s="184"/>
      <c r="G523" s="184"/>
      <c r="H523" s="131" t="s">
        <v>237</v>
      </c>
      <c r="I523" s="101">
        <v>0</v>
      </c>
      <c r="J523" s="102">
        <v>20000</v>
      </c>
      <c r="K523" s="101"/>
      <c r="L523" s="101">
        <v>20000</v>
      </c>
      <c r="M523" s="6"/>
      <c r="N523" s="47"/>
    </row>
    <row r="524" spans="1:14" s="48" customFormat="1" ht="18" customHeight="1" x14ac:dyDescent="0.25">
      <c r="A524" s="519"/>
      <c r="B524" s="499" t="s">
        <v>163</v>
      </c>
      <c r="C524" s="499" t="s">
        <v>1386</v>
      </c>
      <c r="D524" s="38" t="s">
        <v>300</v>
      </c>
      <c r="E524" s="184"/>
      <c r="F524" s="184"/>
      <c r="G524" s="184"/>
      <c r="H524" s="131" t="s">
        <v>199</v>
      </c>
      <c r="I524" s="101"/>
      <c r="J524" s="102">
        <v>1000000</v>
      </c>
      <c r="K524" s="101"/>
      <c r="L524" s="101">
        <v>1000000</v>
      </c>
      <c r="M524" s="6"/>
      <c r="N524" s="47"/>
    </row>
    <row r="525" spans="1:14" s="48" customFormat="1" ht="18" customHeight="1" x14ac:dyDescent="0.25">
      <c r="A525" s="519"/>
      <c r="B525" s="499" t="s">
        <v>163</v>
      </c>
      <c r="C525" s="499" t="s">
        <v>1386</v>
      </c>
      <c r="D525" s="38" t="s">
        <v>301</v>
      </c>
      <c r="E525" s="184"/>
      <c r="F525" s="184"/>
      <c r="G525" s="184"/>
      <c r="H525" s="131"/>
      <c r="I525" s="105">
        <v>0</v>
      </c>
      <c r="J525" s="106">
        <v>750000</v>
      </c>
      <c r="K525" s="105"/>
      <c r="L525" s="105">
        <v>750000</v>
      </c>
      <c r="M525" s="6"/>
      <c r="N525" s="47"/>
    </row>
    <row r="526" spans="1:14" s="48" customFormat="1" ht="18" customHeight="1" x14ac:dyDescent="0.25">
      <c r="A526" s="495"/>
      <c r="B526" s="499" t="s">
        <v>201</v>
      </c>
      <c r="C526" s="499" t="s">
        <v>1386</v>
      </c>
      <c r="D526" s="38" t="s">
        <v>302</v>
      </c>
      <c r="E526" s="184"/>
      <c r="F526" s="184"/>
      <c r="G526" s="184"/>
      <c r="H526" s="97"/>
      <c r="I526" s="101"/>
      <c r="J526" s="111">
        <v>1000000</v>
      </c>
      <c r="K526" s="112"/>
      <c r="L526" s="121"/>
      <c r="M526" s="6"/>
      <c r="N526" s="47"/>
    </row>
    <row r="527" spans="1:14" s="48" customFormat="1" ht="18" customHeight="1" x14ac:dyDescent="0.25">
      <c r="A527" s="495"/>
      <c r="B527" s="499" t="s">
        <v>201</v>
      </c>
      <c r="C527" s="499" t="s">
        <v>1386</v>
      </c>
      <c r="D527" s="1602" t="s">
        <v>303</v>
      </c>
      <c r="E527" s="1603"/>
      <c r="F527" s="1603"/>
      <c r="G527" s="1603"/>
      <c r="H527" s="97"/>
      <c r="I527" s="101"/>
      <c r="J527" s="102">
        <v>70000</v>
      </c>
      <c r="K527" s="101"/>
      <c r="L527" s="101"/>
      <c r="M527" s="6"/>
      <c r="N527" s="47"/>
    </row>
    <row r="528" spans="1:14" s="48" customFormat="1" ht="18" customHeight="1" x14ac:dyDescent="0.25">
      <c r="A528" s="495"/>
      <c r="B528" s="499" t="s">
        <v>201</v>
      </c>
      <c r="C528" s="499" t="s">
        <v>1386</v>
      </c>
      <c r="D528" s="38" t="s">
        <v>304</v>
      </c>
      <c r="E528" s="184"/>
      <c r="F528" s="184"/>
      <c r="G528" s="184"/>
      <c r="H528" s="97"/>
      <c r="I528" s="101">
        <v>230000</v>
      </c>
      <c r="J528" s="102"/>
      <c r="K528" s="101"/>
      <c r="L528" s="105"/>
      <c r="M528" s="6"/>
      <c r="N528" s="47"/>
    </row>
    <row r="529" spans="1:16" s="146" customFormat="1" ht="18" customHeight="1" x14ac:dyDescent="0.25">
      <c r="A529" s="519"/>
      <c r="B529" s="499" t="s">
        <v>123</v>
      </c>
      <c r="C529" s="499" t="s">
        <v>1386</v>
      </c>
      <c r="D529" s="1602" t="s">
        <v>124</v>
      </c>
      <c r="E529" s="1603"/>
      <c r="F529" s="1603"/>
      <c r="G529" s="1603"/>
      <c r="H529" s="131" t="s">
        <v>125</v>
      </c>
      <c r="I529" s="101">
        <v>11279299.199999999</v>
      </c>
      <c r="J529" s="102">
        <v>11325852</v>
      </c>
      <c r="K529" s="101">
        <v>6736268</v>
      </c>
      <c r="L529" s="101">
        <v>11769948</v>
      </c>
      <c r="M529" s="10"/>
      <c r="N529" s="10"/>
      <c r="O529"/>
      <c r="P529"/>
    </row>
    <row r="530" spans="1:16" s="146" customFormat="1" ht="18" customHeight="1" x14ac:dyDescent="0.25">
      <c r="A530" s="519"/>
      <c r="B530" s="499" t="s">
        <v>123</v>
      </c>
      <c r="C530" s="499" t="s">
        <v>1386</v>
      </c>
      <c r="D530" s="1602" t="s">
        <v>128</v>
      </c>
      <c r="E530" s="1603"/>
      <c r="F530" s="1603"/>
      <c r="G530" s="1603"/>
      <c r="H530" s="131"/>
      <c r="I530" s="101"/>
      <c r="J530" s="102"/>
      <c r="K530" s="101"/>
      <c r="L530" s="101">
        <v>87768</v>
      </c>
      <c r="M530" s="10"/>
      <c r="N530" s="10"/>
      <c r="O530"/>
      <c r="P530"/>
    </row>
    <row r="531" spans="1:16" s="146" customFormat="1" ht="18" customHeight="1" x14ac:dyDescent="0.25">
      <c r="A531" s="519"/>
      <c r="B531" s="499" t="s">
        <v>123</v>
      </c>
      <c r="C531" s="499" t="s">
        <v>1386</v>
      </c>
      <c r="D531" s="1602" t="s">
        <v>126</v>
      </c>
      <c r="E531" s="1603"/>
      <c r="F531" s="1603"/>
      <c r="G531" s="1603"/>
      <c r="H531" s="131" t="s">
        <v>127</v>
      </c>
      <c r="I531" s="101">
        <v>3235998.63</v>
      </c>
      <c r="J531" s="102">
        <v>3031836</v>
      </c>
      <c r="K531" s="101">
        <v>1540600.2</v>
      </c>
      <c r="L531" s="101">
        <v>3295536</v>
      </c>
      <c r="M531" s="10"/>
      <c r="N531" s="10"/>
      <c r="O531"/>
      <c r="P531"/>
    </row>
    <row r="532" spans="1:16" s="146" customFormat="1" ht="18" customHeight="1" x14ac:dyDescent="0.25">
      <c r="A532" s="519"/>
      <c r="B532" s="499" t="s">
        <v>123</v>
      </c>
      <c r="C532" s="499" t="s">
        <v>1386</v>
      </c>
      <c r="D532" s="1602" t="s">
        <v>129</v>
      </c>
      <c r="E532" s="1603"/>
      <c r="F532" s="1603"/>
      <c r="G532" s="1603"/>
      <c r="H532" s="132" t="s">
        <v>130</v>
      </c>
      <c r="I532" s="101">
        <v>620131.31000000006</v>
      </c>
      <c r="J532" s="102">
        <v>888000</v>
      </c>
      <c r="K532" s="101">
        <v>457636.19</v>
      </c>
      <c r="L532" s="101">
        <v>888000</v>
      </c>
      <c r="M532" s="10"/>
      <c r="N532" s="10">
        <f>600000+288000</f>
        <v>888000</v>
      </c>
      <c r="O532"/>
      <c r="P532"/>
    </row>
    <row r="533" spans="1:16" s="146" customFormat="1" ht="18" customHeight="1" x14ac:dyDescent="0.25">
      <c r="A533" s="519"/>
      <c r="B533" s="499" t="s">
        <v>123</v>
      </c>
      <c r="C533" s="499" t="s">
        <v>1386</v>
      </c>
      <c r="D533" s="1602" t="s">
        <v>131</v>
      </c>
      <c r="E533" s="1603"/>
      <c r="F533" s="1603"/>
      <c r="G533" s="1603"/>
      <c r="H533" s="131" t="s">
        <v>132</v>
      </c>
      <c r="I533" s="101">
        <v>853500</v>
      </c>
      <c r="J533" s="102">
        <v>864000</v>
      </c>
      <c r="K533" s="101">
        <v>492000</v>
      </c>
      <c r="L533" s="101">
        <v>864000</v>
      </c>
      <c r="M533" s="10"/>
      <c r="N533" s="10"/>
      <c r="O533"/>
      <c r="P533"/>
    </row>
    <row r="534" spans="1:16" s="146" customFormat="1" ht="18" customHeight="1" x14ac:dyDescent="0.25">
      <c r="A534" s="519"/>
      <c r="B534" s="499" t="s">
        <v>123</v>
      </c>
      <c r="C534" s="499" t="s">
        <v>1386</v>
      </c>
      <c r="D534" s="1602" t="s">
        <v>133</v>
      </c>
      <c r="E534" s="1603"/>
      <c r="F534" s="1603"/>
      <c r="G534" s="1603"/>
      <c r="H534" s="131" t="s">
        <v>134</v>
      </c>
      <c r="I534" s="101">
        <v>853500</v>
      </c>
      <c r="J534" s="102">
        <v>864000</v>
      </c>
      <c r="K534" s="101">
        <v>492000</v>
      </c>
      <c r="L534" s="101">
        <v>864000</v>
      </c>
      <c r="M534" s="10"/>
      <c r="N534" s="10"/>
      <c r="O534"/>
      <c r="P534"/>
    </row>
    <row r="535" spans="1:16" s="146" customFormat="1" ht="18" customHeight="1" x14ac:dyDescent="0.25">
      <c r="A535" s="519"/>
      <c r="B535" s="499" t="s">
        <v>123</v>
      </c>
      <c r="C535" s="499" t="s">
        <v>1386</v>
      </c>
      <c r="D535" s="1602" t="s">
        <v>135</v>
      </c>
      <c r="E535" s="1603"/>
      <c r="F535" s="1603"/>
      <c r="G535" s="1603"/>
      <c r="H535" s="131" t="s">
        <v>136</v>
      </c>
      <c r="I535" s="101"/>
      <c r="J535" s="102">
        <v>100000</v>
      </c>
      <c r="K535" s="101"/>
      <c r="L535" s="102">
        <v>50000</v>
      </c>
      <c r="M535" s="10"/>
      <c r="N535" s="10"/>
      <c r="O535"/>
      <c r="P535"/>
    </row>
    <row r="536" spans="1:16" s="146" customFormat="1" ht="18" x14ac:dyDescent="0.25">
      <c r="A536" s="519"/>
      <c r="B536" s="499" t="s">
        <v>123</v>
      </c>
      <c r="C536" s="499" t="s">
        <v>1386</v>
      </c>
      <c r="D536" s="1602" t="s">
        <v>137</v>
      </c>
      <c r="E536" s="1603"/>
      <c r="F536" s="1603"/>
      <c r="G536" s="1603"/>
      <c r="H536" s="131" t="s">
        <v>138</v>
      </c>
      <c r="I536" s="101">
        <v>72000</v>
      </c>
      <c r="J536" s="102">
        <v>222000</v>
      </c>
      <c r="K536" s="101">
        <v>198000</v>
      </c>
      <c r="L536" s="101">
        <v>222000</v>
      </c>
      <c r="M536" s="10"/>
      <c r="N536" s="10">
        <f>72000+150000</f>
        <v>222000</v>
      </c>
      <c r="O536"/>
      <c r="P536"/>
    </row>
    <row r="537" spans="1:16" s="146" customFormat="1" ht="18" customHeight="1" x14ac:dyDescent="0.25">
      <c r="A537" s="519"/>
      <c r="B537" s="499" t="s">
        <v>123</v>
      </c>
      <c r="C537" s="499" t="s">
        <v>1386</v>
      </c>
      <c r="D537" s="1602" t="s">
        <v>139</v>
      </c>
      <c r="E537" s="1603"/>
      <c r="F537" s="1603"/>
      <c r="G537" s="1603"/>
      <c r="H537" s="131" t="s">
        <v>140</v>
      </c>
      <c r="I537" s="101">
        <v>1186653</v>
      </c>
      <c r="J537" s="102">
        <v>1196474</v>
      </c>
      <c r="K537" s="101">
        <v>1205172</v>
      </c>
      <c r="L537" s="101">
        <v>1255457</v>
      </c>
      <c r="M537" s="10"/>
      <c r="N537" s="10">
        <f>980829+274628</f>
        <v>1255457</v>
      </c>
      <c r="O537"/>
      <c r="P537"/>
    </row>
    <row r="538" spans="1:16" s="146" customFormat="1" ht="18" x14ac:dyDescent="0.25">
      <c r="A538" s="519"/>
      <c r="B538" s="499" t="s">
        <v>123</v>
      </c>
      <c r="C538" s="499" t="s">
        <v>1386</v>
      </c>
      <c r="D538" s="1602" t="s">
        <v>141</v>
      </c>
      <c r="E538" s="1603"/>
      <c r="F538" s="1603"/>
      <c r="G538" s="1603"/>
      <c r="H538" s="131" t="s">
        <v>142</v>
      </c>
      <c r="I538" s="101">
        <v>1184570</v>
      </c>
      <c r="J538" s="102">
        <v>1196474</v>
      </c>
      <c r="K538" s="101"/>
      <c r="L538" s="101">
        <v>1270085</v>
      </c>
      <c r="M538" s="10"/>
      <c r="N538" s="10">
        <f>274628+995457</f>
        <v>1270085</v>
      </c>
      <c r="O538"/>
      <c r="P538"/>
    </row>
    <row r="539" spans="1:16" s="146" customFormat="1" ht="18" x14ac:dyDescent="0.25">
      <c r="A539" s="519"/>
      <c r="B539" s="499" t="s">
        <v>123</v>
      </c>
      <c r="C539" s="499" t="s">
        <v>1386</v>
      </c>
      <c r="D539" s="1602" t="s">
        <v>143</v>
      </c>
      <c r="E539" s="1603"/>
      <c r="F539" s="1603"/>
      <c r="G539" s="1603"/>
      <c r="H539" s="131" t="s">
        <v>144</v>
      </c>
      <c r="I539" s="101">
        <v>180000</v>
      </c>
      <c r="J539" s="102">
        <v>185000</v>
      </c>
      <c r="K539" s="101"/>
      <c r="L539" s="101">
        <v>185000</v>
      </c>
      <c r="M539" s="10"/>
      <c r="N539" s="10">
        <f>60000+125000</f>
        <v>185000</v>
      </c>
      <c r="O539"/>
      <c r="P539"/>
    </row>
    <row r="540" spans="1:16" s="146" customFormat="1" ht="18" customHeight="1" x14ac:dyDescent="0.25">
      <c r="A540" s="519"/>
      <c r="B540" s="499" t="s">
        <v>123</v>
      </c>
      <c r="C540" s="499" t="s">
        <v>1386</v>
      </c>
      <c r="D540" s="1602" t="s">
        <v>145</v>
      </c>
      <c r="E540" s="1603"/>
      <c r="F540" s="1603"/>
      <c r="G540" s="1603"/>
      <c r="H540" s="131" t="s">
        <v>146</v>
      </c>
      <c r="I540" s="101">
        <v>176500</v>
      </c>
      <c r="J540" s="102">
        <v>185000</v>
      </c>
      <c r="K540" s="101"/>
      <c r="L540" s="101">
        <v>185000</v>
      </c>
      <c r="M540" s="10"/>
      <c r="N540" s="10"/>
      <c r="O540"/>
      <c r="P540"/>
    </row>
    <row r="541" spans="1:16" s="146" customFormat="1" ht="18" customHeight="1" x14ac:dyDescent="0.25">
      <c r="A541" s="519"/>
      <c r="B541" s="499" t="s">
        <v>123</v>
      </c>
      <c r="C541" s="499" t="s">
        <v>1386</v>
      </c>
      <c r="D541" s="536" t="s">
        <v>147</v>
      </c>
      <c r="E541" s="499"/>
      <c r="F541" s="499"/>
      <c r="G541" s="491"/>
      <c r="H541" s="131" t="s">
        <v>148</v>
      </c>
      <c r="I541" s="101"/>
      <c r="J541" s="102"/>
      <c r="K541" s="101"/>
      <c r="L541" s="101">
        <v>111000</v>
      </c>
      <c r="M541" s="10"/>
      <c r="N541" s="10">
        <f>75000+36000</f>
        <v>111000</v>
      </c>
      <c r="O541"/>
      <c r="P541"/>
    </row>
    <row r="542" spans="1:16" s="146" customFormat="1" ht="18" x14ac:dyDescent="0.25">
      <c r="A542" s="519"/>
      <c r="B542" s="499" t="s">
        <v>123</v>
      </c>
      <c r="C542" s="499" t="s">
        <v>1386</v>
      </c>
      <c r="D542" s="513" t="s">
        <v>149</v>
      </c>
      <c r="E542" s="1675"/>
      <c r="F542" s="1675"/>
      <c r="G542" s="1676"/>
      <c r="H542" s="131" t="s">
        <v>150</v>
      </c>
      <c r="I542" s="101">
        <v>228600</v>
      </c>
      <c r="J542" s="102"/>
      <c r="K542" s="101"/>
      <c r="L542" s="101"/>
      <c r="M542" s="10"/>
      <c r="N542" s="10"/>
      <c r="O542"/>
      <c r="P542"/>
    </row>
    <row r="543" spans="1:16" s="146" customFormat="1" ht="18" customHeight="1" x14ac:dyDescent="0.25">
      <c r="A543" s="519"/>
      <c r="B543" s="499" t="s">
        <v>123</v>
      </c>
      <c r="C543" s="499" t="s">
        <v>1386</v>
      </c>
      <c r="D543" s="1611" t="s">
        <v>151</v>
      </c>
      <c r="E543" s="1611"/>
      <c r="F543" s="1611"/>
      <c r="G543" s="1602"/>
      <c r="H543" s="131" t="s">
        <v>148</v>
      </c>
      <c r="I543" s="101">
        <v>353000</v>
      </c>
      <c r="J543" s="102">
        <v>0</v>
      </c>
      <c r="K543" s="101"/>
      <c r="L543" s="101"/>
      <c r="M543" s="10"/>
      <c r="N543" s="10"/>
      <c r="O543"/>
      <c r="P543"/>
    </row>
    <row r="544" spans="1:16" s="146" customFormat="1" ht="18" customHeight="1" x14ac:dyDescent="0.25">
      <c r="A544" s="519"/>
      <c r="B544" s="499" t="s">
        <v>123</v>
      </c>
      <c r="C544" s="499" t="s">
        <v>1386</v>
      </c>
      <c r="D544" s="1611" t="s">
        <v>152</v>
      </c>
      <c r="E544" s="1611"/>
      <c r="F544" s="1611"/>
      <c r="G544" s="1602"/>
      <c r="H544" s="131"/>
      <c r="I544" s="101">
        <v>0</v>
      </c>
      <c r="J544" s="102">
        <v>453000.47</v>
      </c>
      <c r="K544" s="101"/>
      <c r="L544" s="101"/>
      <c r="M544" s="10"/>
      <c r="N544" s="10"/>
      <c r="O544"/>
      <c r="P544"/>
    </row>
    <row r="545" spans="1:16" s="146" customFormat="1" ht="18" customHeight="1" x14ac:dyDescent="0.25">
      <c r="A545" s="519"/>
      <c r="B545" s="499" t="s">
        <v>123</v>
      </c>
      <c r="C545" s="499" t="s">
        <v>1386</v>
      </c>
      <c r="D545" s="1602" t="s">
        <v>153</v>
      </c>
      <c r="E545" s="1603"/>
      <c r="F545" s="1603"/>
      <c r="G545" s="1603"/>
      <c r="H545" s="131" t="s">
        <v>154</v>
      </c>
      <c r="I545" s="101">
        <v>1459081.1</v>
      </c>
      <c r="J545" s="102">
        <v>1722922.56</v>
      </c>
      <c r="K545" s="101">
        <v>935468.33</v>
      </c>
      <c r="L545" s="101">
        <v>1818390.24</v>
      </c>
      <c r="M545" s="10"/>
      <c r="N545" s="10">
        <f>1422925.92+395464.32</f>
        <v>1818390.24</v>
      </c>
      <c r="O545"/>
      <c r="P545"/>
    </row>
    <row r="546" spans="1:16" s="146" customFormat="1" ht="18" customHeight="1" x14ac:dyDescent="0.25">
      <c r="A546" s="519"/>
      <c r="B546" s="499" t="s">
        <v>123</v>
      </c>
      <c r="C546" s="499" t="s">
        <v>1386</v>
      </c>
      <c r="D546" s="1602" t="s">
        <v>155</v>
      </c>
      <c r="E546" s="1603"/>
      <c r="F546" s="1603"/>
      <c r="G546" s="1603"/>
      <c r="H546" s="131" t="s">
        <v>156</v>
      </c>
      <c r="I546" s="101">
        <v>31000</v>
      </c>
      <c r="J546" s="102">
        <v>44400</v>
      </c>
      <c r="K546" s="101">
        <v>25100</v>
      </c>
      <c r="L546" s="101">
        <v>44400</v>
      </c>
      <c r="M546" s="10"/>
      <c r="N546" s="10">
        <f>30000+14400</f>
        <v>44400</v>
      </c>
      <c r="O546"/>
      <c r="P546"/>
    </row>
    <row r="547" spans="1:16" s="146" customFormat="1" ht="18" customHeight="1" x14ac:dyDescent="0.25">
      <c r="A547" s="519"/>
      <c r="B547" s="499" t="s">
        <v>123</v>
      </c>
      <c r="C547" s="499" t="s">
        <v>1386</v>
      </c>
      <c r="D547" s="1602" t="s">
        <v>157</v>
      </c>
      <c r="E547" s="1603"/>
      <c r="F547" s="1603"/>
      <c r="G547" s="1603"/>
      <c r="H547" s="131" t="s">
        <v>158</v>
      </c>
      <c r="I547" s="101">
        <v>155309.9</v>
      </c>
      <c r="J547" s="102">
        <v>229457.13</v>
      </c>
      <c r="K547" s="101">
        <v>102019.92</v>
      </c>
      <c r="L547" s="101">
        <v>592812</v>
      </c>
      <c r="M547" s="10"/>
      <c r="N547" s="10">
        <f>460800+132012</f>
        <v>592812</v>
      </c>
      <c r="O547"/>
      <c r="P547"/>
    </row>
    <row r="548" spans="1:16" s="146" customFormat="1" ht="18" customHeight="1" x14ac:dyDescent="0.25">
      <c r="A548" s="519"/>
      <c r="B548" s="499" t="s">
        <v>123</v>
      </c>
      <c r="C548" s="499" t="s">
        <v>1386</v>
      </c>
      <c r="D548" s="1602" t="s">
        <v>159</v>
      </c>
      <c r="E548" s="1603"/>
      <c r="F548" s="1603"/>
      <c r="G548" s="1603"/>
      <c r="H548" s="131" t="s">
        <v>160</v>
      </c>
      <c r="I548" s="105">
        <v>29860.36</v>
      </c>
      <c r="J548" s="106">
        <v>44400</v>
      </c>
      <c r="K548" s="105">
        <v>24400</v>
      </c>
      <c r="L548" s="105">
        <v>44400</v>
      </c>
      <c r="M548" s="10"/>
      <c r="N548" s="10">
        <f>30000+14400</f>
        <v>44400</v>
      </c>
      <c r="O548"/>
      <c r="P548"/>
    </row>
    <row r="549" spans="1:16" s="146" customFormat="1" ht="18" customHeight="1" x14ac:dyDescent="0.25">
      <c r="A549" s="519"/>
      <c r="B549" s="499" t="s">
        <v>163</v>
      </c>
      <c r="C549" s="499" t="s">
        <v>1386</v>
      </c>
      <c r="D549" s="44" t="s">
        <v>164</v>
      </c>
      <c r="E549" s="113"/>
      <c r="F549" s="113"/>
      <c r="G549" s="114"/>
      <c r="H549" s="131" t="s">
        <v>165</v>
      </c>
      <c r="I549" s="101">
        <v>112087</v>
      </c>
      <c r="J549" s="102">
        <v>1200000</v>
      </c>
      <c r="K549" s="101"/>
      <c r="L549" s="101">
        <v>1200000</v>
      </c>
      <c r="M549" s="10"/>
      <c r="N549" s="10"/>
      <c r="O549"/>
      <c r="P549"/>
    </row>
    <row r="550" spans="1:16" s="146" customFormat="1" ht="18" x14ac:dyDescent="0.25">
      <c r="A550" s="519"/>
      <c r="B550" s="499" t="s">
        <v>163</v>
      </c>
      <c r="C550" s="499" t="s">
        <v>1386</v>
      </c>
      <c r="D550" s="38" t="s">
        <v>166</v>
      </c>
      <c r="E550" s="184"/>
      <c r="F550" s="184"/>
      <c r="G550" s="184"/>
      <c r="H550" s="131" t="s">
        <v>293</v>
      </c>
      <c r="I550" s="101">
        <v>309500</v>
      </c>
      <c r="J550" s="102">
        <v>1000000</v>
      </c>
      <c r="K550" s="101"/>
      <c r="L550" s="101">
        <v>1000000</v>
      </c>
      <c r="M550" s="10"/>
      <c r="N550" s="10"/>
      <c r="O550"/>
      <c r="P550"/>
    </row>
    <row r="551" spans="1:16" s="146" customFormat="1" ht="18" x14ac:dyDescent="0.25">
      <c r="A551" s="519"/>
      <c r="B551" s="499" t="s">
        <v>163</v>
      </c>
      <c r="C551" s="499" t="s">
        <v>1386</v>
      </c>
      <c r="D551" s="38" t="s">
        <v>294</v>
      </c>
      <c r="E551" s="184"/>
      <c r="F551" s="184"/>
      <c r="G551" s="184"/>
      <c r="H551" s="131" t="s">
        <v>169</v>
      </c>
      <c r="I551" s="101">
        <v>1714287.2</v>
      </c>
      <c r="J551" s="102">
        <v>2400000</v>
      </c>
      <c r="K551" s="101">
        <v>1496205</v>
      </c>
      <c r="L551" s="101">
        <v>2640000</v>
      </c>
      <c r="M551" s="10"/>
      <c r="N551" s="10"/>
      <c r="O551"/>
      <c r="P551"/>
    </row>
    <row r="552" spans="1:16" s="146" customFormat="1" ht="18" customHeight="1" x14ac:dyDescent="0.25">
      <c r="A552" s="519"/>
      <c r="B552" s="499" t="s">
        <v>163</v>
      </c>
      <c r="C552" s="499" t="s">
        <v>1386</v>
      </c>
      <c r="D552" s="38" t="s">
        <v>295</v>
      </c>
      <c r="E552" s="184"/>
      <c r="F552" s="184"/>
      <c r="G552" s="185"/>
      <c r="H552" s="131" t="s">
        <v>173</v>
      </c>
      <c r="I552" s="101">
        <v>41609.61</v>
      </c>
      <c r="J552" s="102">
        <v>200000</v>
      </c>
      <c r="K552" s="101">
        <v>22232.85</v>
      </c>
      <c r="L552" s="101">
        <v>200000</v>
      </c>
      <c r="M552" s="10"/>
      <c r="N552" s="10"/>
      <c r="O552"/>
      <c r="P552"/>
    </row>
    <row r="553" spans="1:16" s="146" customFormat="1" ht="18" x14ac:dyDescent="0.25">
      <c r="A553" s="519"/>
      <c r="B553" s="499" t="s">
        <v>163</v>
      </c>
      <c r="C553" s="499" t="s">
        <v>1386</v>
      </c>
      <c r="D553" s="38" t="s">
        <v>174</v>
      </c>
      <c r="E553" s="184"/>
      <c r="F553" s="184"/>
      <c r="G553" s="184"/>
      <c r="H553" s="131" t="s">
        <v>171</v>
      </c>
      <c r="I553" s="101">
        <v>30000</v>
      </c>
      <c r="J553" s="102">
        <v>60000</v>
      </c>
      <c r="K553" s="101"/>
      <c r="L553" s="101"/>
      <c r="M553" s="10"/>
      <c r="N553" s="10"/>
      <c r="O553"/>
      <c r="P553"/>
    </row>
    <row r="554" spans="1:16" s="146" customFormat="1" ht="18" x14ac:dyDescent="0.25">
      <c r="A554" s="519"/>
      <c r="B554" s="499" t="s">
        <v>163</v>
      </c>
      <c r="C554" s="499" t="s">
        <v>1386</v>
      </c>
      <c r="D554" s="38" t="s">
        <v>213</v>
      </c>
      <c r="E554" s="184"/>
      <c r="F554" s="184"/>
      <c r="G554" s="184"/>
      <c r="H554" s="131" t="s">
        <v>171</v>
      </c>
      <c r="I554" s="101">
        <v>192050</v>
      </c>
      <c r="J554" s="102">
        <v>250000</v>
      </c>
      <c r="K554" s="101"/>
      <c r="L554" s="101">
        <v>180000</v>
      </c>
      <c r="M554" s="10"/>
      <c r="N554" s="10"/>
      <c r="O554"/>
      <c r="P554"/>
    </row>
    <row r="555" spans="1:16" s="146" customFormat="1" ht="18" x14ac:dyDescent="0.25">
      <c r="A555" s="519"/>
      <c r="B555" s="499" t="s">
        <v>163</v>
      </c>
      <c r="C555" s="499" t="s">
        <v>1386</v>
      </c>
      <c r="D555" s="38" t="s">
        <v>305</v>
      </c>
      <c r="E555" s="184"/>
      <c r="F555" s="184"/>
      <c r="G555" s="184"/>
      <c r="H555" s="131" t="s">
        <v>171</v>
      </c>
      <c r="I555" s="101">
        <v>8700</v>
      </c>
      <c r="J555" s="102"/>
      <c r="K555" s="101"/>
      <c r="L555" s="101"/>
      <c r="M555" s="10"/>
      <c r="N555" s="10"/>
      <c r="O555"/>
      <c r="P555"/>
    </row>
    <row r="556" spans="1:16" s="146" customFormat="1" ht="18" x14ac:dyDescent="0.25">
      <c r="A556" s="519"/>
      <c r="B556" s="499" t="s">
        <v>163</v>
      </c>
      <c r="C556" s="499" t="s">
        <v>1386</v>
      </c>
      <c r="D556" s="38" t="s">
        <v>306</v>
      </c>
      <c r="E556" s="190"/>
      <c r="F556" s="190"/>
      <c r="G556" s="190"/>
      <c r="H556" s="131" t="s">
        <v>171</v>
      </c>
      <c r="I556" s="101">
        <v>9800</v>
      </c>
      <c r="J556" s="102"/>
      <c r="K556" s="101"/>
      <c r="L556" s="101"/>
      <c r="M556" s="10"/>
      <c r="N556" s="10"/>
      <c r="O556"/>
      <c r="P556"/>
    </row>
    <row r="557" spans="1:16" ht="18" x14ac:dyDescent="0.25">
      <c r="A557" s="519"/>
      <c r="B557" s="499" t="s">
        <v>163</v>
      </c>
      <c r="C557" s="499" t="s">
        <v>1386</v>
      </c>
      <c r="D557" s="38" t="s">
        <v>296</v>
      </c>
      <c r="E557" s="184"/>
      <c r="F557" s="184"/>
      <c r="G557" s="184"/>
      <c r="H557" s="131" t="s">
        <v>177</v>
      </c>
      <c r="I557" s="101">
        <v>0</v>
      </c>
      <c r="J557" s="102">
        <v>15000</v>
      </c>
      <c r="K557" s="101"/>
      <c r="L557" s="101">
        <v>15000</v>
      </c>
    </row>
    <row r="558" spans="1:16" ht="18" x14ac:dyDescent="0.25">
      <c r="A558" s="519"/>
      <c r="B558" s="499" t="s">
        <v>163</v>
      </c>
      <c r="C558" s="499" t="s">
        <v>1386</v>
      </c>
      <c r="D558" s="38" t="s">
        <v>178</v>
      </c>
      <c r="E558" s="184"/>
      <c r="F558" s="184"/>
      <c r="G558" s="184"/>
      <c r="H558" s="131" t="s">
        <v>179</v>
      </c>
      <c r="I558" s="101"/>
      <c r="J558" s="102"/>
      <c r="K558" s="101"/>
      <c r="L558" s="101">
        <v>748800</v>
      </c>
    </row>
    <row r="559" spans="1:16" ht="18" x14ac:dyDescent="0.25">
      <c r="A559" s="519"/>
      <c r="B559" s="499" t="s">
        <v>163</v>
      </c>
      <c r="C559" s="499" t="s">
        <v>1386</v>
      </c>
      <c r="D559" s="38" t="s">
        <v>250</v>
      </c>
      <c r="E559" s="184"/>
      <c r="F559" s="184"/>
      <c r="G559" s="184"/>
      <c r="H559" s="131" t="s">
        <v>179</v>
      </c>
      <c r="I559" s="101">
        <v>9439.2900000000009</v>
      </c>
      <c r="J559" s="102">
        <v>28800</v>
      </c>
      <c r="K559" s="101">
        <v>6292.86</v>
      </c>
      <c r="L559" s="101"/>
    </row>
    <row r="560" spans="1:16" ht="18" x14ac:dyDescent="0.25">
      <c r="A560" s="519"/>
      <c r="B560" s="499" t="s">
        <v>163</v>
      </c>
      <c r="C560" s="499" t="s">
        <v>1386</v>
      </c>
      <c r="D560" s="38" t="s">
        <v>181</v>
      </c>
      <c r="E560" s="184"/>
      <c r="F560" s="184"/>
      <c r="G560" s="184"/>
      <c r="H560" s="131" t="s">
        <v>179</v>
      </c>
      <c r="I560" s="101">
        <v>660000</v>
      </c>
      <c r="J560" s="102">
        <v>720000</v>
      </c>
      <c r="K560" s="101">
        <v>345000</v>
      </c>
      <c r="L560" s="101"/>
    </row>
    <row r="561" spans="1:16" ht="18" x14ac:dyDescent="0.25">
      <c r="A561" s="519"/>
      <c r="B561" s="499" t="s">
        <v>163</v>
      </c>
      <c r="C561" s="499" t="s">
        <v>1386</v>
      </c>
      <c r="D561" s="44" t="s">
        <v>182</v>
      </c>
      <c r="E561" s="113"/>
      <c r="F561" s="113"/>
      <c r="G561" s="113"/>
      <c r="H561" s="131" t="s">
        <v>183</v>
      </c>
      <c r="I561" s="101">
        <v>7944.43</v>
      </c>
      <c r="J561" s="102">
        <v>72000</v>
      </c>
      <c r="K561" s="101"/>
      <c r="L561" s="101">
        <v>72000</v>
      </c>
    </row>
    <row r="562" spans="1:16" ht="18" x14ac:dyDescent="0.25">
      <c r="A562" s="519"/>
      <c r="B562" s="499" t="s">
        <v>163</v>
      </c>
      <c r="C562" s="499" t="s">
        <v>1386</v>
      </c>
      <c r="D562" s="38" t="s">
        <v>307</v>
      </c>
      <c r="E562" s="184"/>
      <c r="F562" s="184"/>
      <c r="G562" s="184"/>
      <c r="H562" s="131" t="s">
        <v>308</v>
      </c>
      <c r="I562" s="101"/>
      <c r="J562" s="102">
        <v>350000</v>
      </c>
      <c r="K562" s="101"/>
      <c r="L562" s="101">
        <v>350000</v>
      </c>
    </row>
    <row r="563" spans="1:16" ht="18" x14ac:dyDescent="0.25">
      <c r="A563" s="519"/>
      <c r="B563" s="499" t="s">
        <v>163</v>
      </c>
      <c r="C563" s="499" t="s">
        <v>1386</v>
      </c>
      <c r="D563" s="38" t="s">
        <v>297</v>
      </c>
      <c r="E563" s="184"/>
      <c r="F563" s="184"/>
      <c r="G563" s="184"/>
      <c r="H563" s="131" t="s">
        <v>187</v>
      </c>
      <c r="I563" s="101">
        <v>0</v>
      </c>
      <c r="J563" s="102">
        <v>200000</v>
      </c>
      <c r="K563" s="101">
        <v>770</v>
      </c>
      <c r="L563" s="101">
        <v>200000</v>
      </c>
    </row>
    <row r="564" spans="1:16" ht="18" x14ac:dyDescent="0.25">
      <c r="A564" s="519"/>
      <c r="B564" s="499" t="s">
        <v>163</v>
      </c>
      <c r="C564" s="499" t="s">
        <v>1386</v>
      </c>
      <c r="D564" s="38" t="s">
        <v>298</v>
      </c>
      <c r="E564" s="184"/>
      <c r="F564" s="184"/>
      <c r="G564" s="184"/>
      <c r="H564" s="131" t="s">
        <v>189</v>
      </c>
      <c r="I564" s="101"/>
      <c r="J564" s="102">
        <v>200000</v>
      </c>
      <c r="K564" s="101"/>
      <c r="L564" s="101">
        <v>200000</v>
      </c>
    </row>
    <row r="565" spans="1:16" ht="18" x14ac:dyDescent="0.25">
      <c r="A565" s="519"/>
      <c r="B565" s="499" t="s">
        <v>163</v>
      </c>
      <c r="C565" s="499" t="s">
        <v>1386</v>
      </c>
      <c r="D565" s="38" t="s">
        <v>190</v>
      </c>
      <c r="E565" s="184"/>
      <c r="F565" s="184"/>
      <c r="G565" s="184"/>
      <c r="H565" s="131" t="s">
        <v>191</v>
      </c>
      <c r="I565" s="101"/>
      <c r="J565" s="102"/>
      <c r="K565" s="101"/>
      <c r="L565" s="101">
        <v>125000</v>
      </c>
    </row>
    <row r="566" spans="1:16" ht="18" x14ac:dyDescent="0.25">
      <c r="A566" s="519"/>
      <c r="B566" s="499" t="s">
        <v>163</v>
      </c>
      <c r="C566" s="499" t="s">
        <v>1386</v>
      </c>
      <c r="D566" s="38" t="s">
        <v>309</v>
      </c>
      <c r="E566" s="184"/>
      <c r="F566" s="184"/>
      <c r="G566" s="184"/>
      <c r="H566" s="131" t="s">
        <v>282</v>
      </c>
      <c r="I566" s="101">
        <v>117100</v>
      </c>
      <c r="J566" s="102">
        <v>500000</v>
      </c>
      <c r="K566" s="101">
        <v>82500</v>
      </c>
      <c r="L566" s="101"/>
    </row>
    <row r="567" spans="1:16" ht="18" x14ac:dyDescent="0.25">
      <c r="A567" s="519"/>
      <c r="B567" s="499" t="s">
        <v>163</v>
      </c>
      <c r="C567" s="499" t="s">
        <v>1386</v>
      </c>
      <c r="D567" s="38" t="s">
        <v>192</v>
      </c>
      <c r="E567" s="184"/>
      <c r="F567" s="184"/>
      <c r="G567" s="184"/>
      <c r="H567" s="131" t="s">
        <v>193</v>
      </c>
      <c r="I567" s="101">
        <v>0</v>
      </c>
      <c r="J567" s="102">
        <v>500000</v>
      </c>
      <c r="K567" s="101">
        <v>6000</v>
      </c>
      <c r="L567" s="101">
        <v>500000</v>
      </c>
    </row>
    <row r="568" spans="1:16" ht="18" x14ac:dyDescent="0.25">
      <c r="A568" s="519"/>
      <c r="B568" s="499" t="s">
        <v>163</v>
      </c>
      <c r="C568" s="499" t="s">
        <v>1386</v>
      </c>
      <c r="D568" s="38" t="s">
        <v>299</v>
      </c>
      <c r="E568" s="184"/>
      <c r="F568" s="184"/>
      <c r="G568" s="184"/>
      <c r="H568" s="131" t="s">
        <v>237</v>
      </c>
      <c r="I568" s="101">
        <v>15000</v>
      </c>
      <c r="J568" s="102">
        <v>125000</v>
      </c>
      <c r="K568" s="101"/>
      <c r="L568" s="101">
        <v>500000</v>
      </c>
    </row>
    <row r="569" spans="1:16" ht="18" x14ac:dyDescent="0.25">
      <c r="A569" s="519"/>
      <c r="B569" s="499" t="s">
        <v>163</v>
      </c>
      <c r="C569" s="499" t="s">
        <v>1386</v>
      </c>
      <c r="D569" s="38" t="s">
        <v>301</v>
      </c>
      <c r="E569" s="184"/>
      <c r="F569" s="184"/>
      <c r="G569" s="184"/>
      <c r="H569" s="131"/>
      <c r="I569" s="105">
        <v>0</v>
      </c>
      <c r="J569" s="106">
        <v>1000000</v>
      </c>
      <c r="K569" s="105"/>
      <c r="L569" s="105">
        <v>1000000</v>
      </c>
    </row>
    <row r="570" spans="1:16" s="191" customFormat="1" ht="18" x14ac:dyDescent="0.25">
      <c r="A570" s="519"/>
      <c r="B570" s="499" t="s">
        <v>201</v>
      </c>
      <c r="C570" s="499" t="s">
        <v>1386</v>
      </c>
      <c r="D570" s="536" t="s">
        <v>310</v>
      </c>
      <c r="E570" s="499"/>
      <c r="F570" s="499"/>
      <c r="G570" s="499"/>
      <c r="H570" s="97"/>
      <c r="I570" s="101"/>
      <c r="J570" s="102">
        <v>60000</v>
      </c>
      <c r="K570" s="101"/>
      <c r="L570" s="101"/>
      <c r="M570" s="10"/>
      <c r="N570" s="10"/>
    </row>
    <row r="571" spans="1:16" s="191" customFormat="1" ht="18" x14ac:dyDescent="0.25">
      <c r="A571" s="519"/>
      <c r="B571" s="499" t="s">
        <v>201</v>
      </c>
      <c r="C571" s="499" t="s">
        <v>1386</v>
      </c>
      <c r="D571" s="536" t="s">
        <v>311</v>
      </c>
      <c r="E571" s="499"/>
      <c r="F571" s="499"/>
      <c r="G571" s="499"/>
      <c r="H571" s="97"/>
      <c r="I571" s="101"/>
      <c r="J571" s="102">
        <v>100000</v>
      </c>
      <c r="K571" s="101"/>
      <c r="L571" s="101"/>
      <c r="M571" s="10"/>
      <c r="N571" s="10"/>
    </row>
    <row r="572" spans="1:16" s="146" customFormat="1" ht="18" x14ac:dyDescent="0.25">
      <c r="A572" s="519"/>
      <c r="B572" s="499" t="s">
        <v>123</v>
      </c>
      <c r="C572" s="499" t="s">
        <v>1386</v>
      </c>
      <c r="D572" s="1602" t="s">
        <v>124</v>
      </c>
      <c r="E572" s="1603"/>
      <c r="F572" s="1603"/>
      <c r="G572" s="1603"/>
      <c r="H572" s="131" t="s">
        <v>125</v>
      </c>
      <c r="I572" s="101">
        <v>2334932</v>
      </c>
      <c r="J572" s="102">
        <v>3681852</v>
      </c>
      <c r="K572" s="101">
        <v>1413803</v>
      </c>
      <c r="L572" s="101">
        <v>3990060</v>
      </c>
      <c r="M572" s="10"/>
      <c r="N572" s="10"/>
      <c r="O572"/>
      <c r="P572"/>
    </row>
    <row r="573" spans="1:16" s="146" customFormat="1" ht="18" x14ac:dyDescent="0.25">
      <c r="A573" s="519"/>
      <c r="B573" s="499" t="s">
        <v>123</v>
      </c>
      <c r="C573" s="499" t="s">
        <v>1386</v>
      </c>
      <c r="D573" s="1602" t="s">
        <v>126</v>
      </c>
      <c r="E573" s="1603"/>
      <c r="F573" s="1603"/>
      <c r="G573" s="1603"/>
      <c r="H573" s="131" t="s">
        <v>127</v>
      </c>
      <c r="I573" s="101">
        <v>329001.84999999998</v>
      </c>
      <c r="J573" s="102">
        <v>298056</v>
      </c>
      <c r="K573" s="101">
        <v>159251.1</v>
      </c>
      <c r="L573" s="101">
        <v>324048</v>
      </c>
      <c r="M573" s="10"/>
      <c r="N573" s="10"/>
      <c r="O573"/>
      <c r="P573"/>
    </row>
    <row r="574" spans="1:16" s="146" customFormat="1" ht="18" x14ac:dyDescent="0.25">
      <c r="A574" s="519"/>
      <c r="B574" s="499" t="s">
        <v>123</v>
      </c>
      <c r="C574" s="499" t="s">
        <v>1386</v>
      </c>
      <c r="D574" s="1602" t="s">
        <v>128</v>
      </c>
      <c r="E574" s="1603"/>
      <c r="F574" s="1603"/>
      <c r="G574" s="1603"/>
      <c r="H574" s="131" t="s">
        <v>125</v>
      </c>
      <c r="I574" s="101">
        <v>0</v>
      </c>
      <c r="J574" s="102"/>
      <c r="K574" s="101"/>
      <c r="L574" s="101">
        <v>9037</v>
      </c>
      <c r="M574" s="10"/>
      <c r="N574" s="10"/>
      <c r="O574"/>
      <c r="P574"/>
    </row>
    <row r="575" spans="1:16" s="146" customFormat="1" ht="18" x14ac:dyDescent="0.25">
      <c r="A575" s="519"/>
      <c r="B575" s="499" t="s">
        <v>123</v>
      </c>
      <c r="C575" s="499" t="s">
        <v>1386</v>
      </c>
      <c r="D575" s="1602" t="s">
        <v>129</v>
      </c>
      <c r="E575" s="1603"/>
      <c r="F575" s="1603"/>
      <c r="G575" s="1603"/>
      <c r="H575" s="132" t="s">
        <v>130</v>
      </c>
      <c r="I575" s="101">
        <v>244363.28</v>
      </c>
      <c r="J575" s="102">
        <v>432000</v>
      </c>
      <c r="K575" s="101">
        <v>150363.62</v>
      </c>
      <c r="L575" s="101">
        <v>432000</v>
      </c>
      <c r="M575" s="10"/>
      <c r="N575" s="10"/>
      <c r="O575"/>
      <c r="P575"/>
    </row>
    <row r="576" spans="1:16" s="146" customFormat="1" ht="18" x14ac:dyDescent="0.25">
      <c r="A576" s="519"/>
      <c r="B576" s="499" t="s">
        <v>123</v>
      </c>
      <c r="C576" s="499" t="s">
        <v>1386</v>
      </c>
      <c r="D576" s="1602" t="s">
        <v>131</v>
      </c>
      <c r="E576" s="1603"/>
      <c r="F576" s="1603"/>
      <c r="G576" s="1603"/>
      <c r="H576" s="131" t="s">
        <v>132</v>
      </c>
      <c r="I576" s="101">
        <v>73500</v>
      </c>
      <c r="J576" s="102">
        <v>72000</v>
      </c>
      <c r="K576" s="101">
        <v>43500</v>
      </c>
      <c r="L576" s="101">
        <v>72000</v>
      </c>
      <c r="M576" s="10"/>
      <c r="N576" s="10"/>
      <c r="O576"/>
      <c r="P576"/>
    </row>
    <row r="577" spans="1:16" s="146" customFormat="1" ht="18" x14ac:dyDescent="0.25">
      <c r="A577" s="519"/>
      <c r="B577" s="499" t="s">
        <v>123</v>
      </c>
      <c r="C577" s="499" t="s">
        <v>1386</v>
      </c>
      <c r="D577" s="1602" t="s">
        <v>133</v>
      </c>
      <c r="E577" s="1603"/>
      <c r="F577" s="1603"/>
      <c r="G577" s="1603"/>
      <c r="H577" s="131" t="s">
        <v>134</v>
      </c>
      <c r="I577" s="101">
        <v>73500</v>
      </c>
      <c r="J577" s="102">
        <v>72000</v>
      </c>
      <c r="K577" s="101">
        <v>43500</v>
      </c>
      <c r="L577" s="101">
        <v>72000</v>
      </c>
      <c r="M577" s="10"/>
      <c r="N577" s="10"/>
      <c r="O577"/>
      <c r="P577"/>
    </row>
    <row r="578" spans="1:16" s="146" customFormat="1" ht="18" x14ac:dyDescent="0.25">
      <c r="A578" s="519"/>
      <c r="B578" s="499" t="s">
        <v>123</v>
      </c>
      <c r="C578" s="499" t="s">
        <v>1386</v>
      </c>
      <c r="D578" s="1602" t="s">
        <v>135</v>
      </c>
      <c r="E578" s="1603"/>
      <c r="F578" s="1603"/>
      <c r="G578" s="1603"/>
      <c r="H578" s="131" t="s">
        <v>136</v>
      </c>
      <c r="I578" s="101"/>
      <c r="J578" s="102">
        <v>100000</v>
      </c>
      <c r="K578" s="101"/>
      <c r="L578" s="102">
        <v>100000</v>
      </c>
      <c r="M578" s="10"/>
      <c r="N578" s="10"/>
      <c r="O578"/>
      <c r="P578"/>
    </row>
    <row r="579" spans="1:16" s="146" customFormat="1" ht="18" x14ac:dyDescent="0.25">
      <c r="A579" s="519"/>
      <c r="B579" s="499" t="s">
        <v>123</v>
      </c>
      <c r="C579" s="499" t="s">
        <v>1386</v>
      </c>
      <c r="D579" s="1602" t="s">
        <v>137</v>
      </c>
      <c r="E579" s="1603"/>
      <c r="F579" s="1603"/>
      <c r="G579" s="1603"/>
      <c r="H579" s="131" t="s">
        <v>138</v>
      </c>
      <c r="I579" s="101">
        <v>54000</v>
      </c>
      <c r="J579" s="102">
        <v>108000</v>
      </c>
      <c r="K579" s="101">
        <v>66000</v>
      </c>
      <c r="L579" s="101">
        <v>108000</v>
      </c>
      <c r="M579" s="10"/>
      <c r="N579" s="10"/>
      <c r="O579"/>
      <c r="P579"/>
    </row>
    <row r="580" spans="1:16" s="146" customFormat="1" ht="18" customHeight="1" x14ac:dyDescent="0.25">
      <c r="A580" s="519"/>
      <c r="B580" s="499" t="s">
        <v>123</v>
      </c>
      <c r="C580" s="499" t="s">
        <v>1386</v>
      </c>
      <c r="D580" s="1602" t="s">
        <v>139</v>
      </c>
      <c r="E580" s="1603"/>
      <c r="F580" s="1603"/>
      <c r="G580" s="1603"/>
      <c r="H580" s="131" t="s">
        <v>140</v>
      </c>
      <c r="I580" s="101">
        <v>219047</v>
      </c>
      <c r="J580" s="102">
        <v>331659</v>
      </c>
      <c r="K580" s="101">
        <v>227535</v>
      </c>
      <c r="L580" s="101">
        <v>360457</v>
      </c>
      <c r="M580" s="10"/>
      <c r="N580" s="10"/>
      <c r="O580"/>
      <c r="P580"/>
    </row>
    <row r="581" spans="1:16" s="146" customFormat="1" ht="18" x14ac:dyDescent="0.25">
      <c r="A581" s="519"/>
      <c r="B581" s="499" t="s">
        <v>123</v>
      </c>
      <c r="C581" s="499" t="s">
        <v>1386</v>
      </c>
      <c r="D581" s="1602" t="s">
        <v>141</v>
      </c>
      <c r="E581" s="1603"/>
      <c r="F581" s="1603"/>
      <c r="G581" s="1603"/>
      <c r="H581" s="131" t="s">
        <v>142</v>
      </c>
      <c r="I581" s="101">
        <v>219143</v>
      </c>
      <c r="J581" s="102">
        <v>331659</v>
      </c>
      <c r="K581" s="101"/>
      <c r="L581" s="101">
        <v>360457</v>
      </c>
      <c r="M581" s="10"/>
      <c r="N581" s="10"/>
      <c r="O581"/>
      <c r="P581"/>
    </row>
    <row r="582" spans="1:16" s="146" customFormat="1" ht="18" x14ac:dyDescent="0.25">
      <c r="A582" s="519"/>
      <c r="B582" s="499" t="s">
        <v>123</v>
      </c>
      <c r="C582" s="499" t="s">
        <v>1386</v>
      </c>
      <c r="D582" s="1602" t="s">
        <v>143</v>
      </c>
      <c r="E582" s="1603"/>
      <c r="F582" s="1603"/>
      <c r="G582" s="1603"/>
      <c r="H582" s="131" t="s">
        <v>144</v>
      </c>
      <c r="I582" s="101">
        <v>55000</v>
      </c>
      <c r="J582" s="102">
        <v>90000</v>
      </c>
      <c r="K582" s="101"/>
      <c r="L582" s="101">
        <v>90000</v>
      </c>
      <c r="M582" s="10"/>
      <c r="N582" s="10"/>
      <c r="O582"/>
      <c r="P582"/>
    </row>
    <row r="583" spans="1:16" s="146" customFormat="1" ht="18" x14ac:dyDescent="0.25">
      <c r="A583" s="519"/>
      <c r="B583" s="499" t="s">
        <v>123</v>
      </c>
      <c r="C583" s="499" t="s">
        <v>1386</v>
      </c>
      <c r="D583" s="1602" t="s">
        <v>145</v>
      </c>
      <c r="E583" s="1603"/>
      <c r="F583" s="1603"/>
      <c r="G583" s="1603"/>
      <c r="H583" s="131" t="s">
        <v>146</v>
      </c>
      <c r="I583" s="101">
        <v>55000</v>
      </c>
      <c r="J583" s="102">
        <v>90000</v>
      </c>
      <c r="K583" s="101"/>
      <c r="L583" s="101">
        <v>90000</v>
      </c>
      <c r="M583" s="10"/>
      <c r="N583" s="10"/>
      <c r="O583"/>
      <c r="P583"/>
    </row>
    <row r="584" spans="1:16" s="146" customFormat="1" ht="18" x14ac:dyDescent="0.25">
      <c r="A584" s="519"/>
      <c r="B584" s="499" t="s">
        <v>123</v>
      </c>
      <c r="C584" s="499" t="s">
        <v>1386</v>
      </c>
      <c r="D584" s="536" t="s">
        <v>231</v>
      </c>
      <c r="E584" s="499"/>
      <c r="F584" s="499"/>
      <c r="G584" s="491"/>
      <c r="H584" s="131" t="s">
        <v>232</v>
      </c>
      <c r="I584" s="101"/>
      <c r="J584" s="102"/>
      <c r="K584" s="101"/>
      <c r="L584" s="101">
        <v>35000</v>
      </c>
      <c r="M584" s="10"/>
      <c r="N584" s="10"/>
      <c r="O584"/>
      <c r="P584"/>
    </row>
    <row r="585" spans="1:16" s="146" customFormat="1" ht="18" x14ac:dyDescent="0.25">
      <c r="A585" s="527"/>
      <c r="B585" s="499" t="s">
        <v>123</v>
      </c>
      <c r="C585" s="499" t="s">
        <v>1386</v>
      </c>
      <c r="D585" s="536" t="s">
        <v>147</v>
      </c>
      <c r="E585" s="513"/>
      <c r="F585" s="513"/>
      <c r="G585" s="525"/>
      <c r="H585" s="172" t="s">
        <v>148</v>
      </c>
      <c r="I585" s="102"/>
      <c r="J585" s="102"/>
      <c r="K585" s="102"/>
      <c r="L585" s="102">
        <v>51000</v>
      </c>
      <c r="M585" s="10"/>
      <c r="N585" s="10"/>
    </row>
    <row r="586" spans="1:16" s="146" customFormat="1" ht="18" x14ac:dyDescent="0.25">
      <c r="A586" s="519"/>
      <c r="B586" s="499" t="s">
        <v>123</v>
      </c>
      <c r="C586" s="499" t="s">
        <v>1386</v>
      </c>
      <c r="D586" s="513" t="s">
        <v>247</v>
      </c>
      <c r="E586" s="499"/>
      <c r="F586" s="499"/>
      <c r="G586" s="491"/>
      <c r="H586" s="131" t="s">
        <v>150</v>
      </c>
      <c r="I586" s="101">
        <v>103275</v>
      </c>
      <c r="J586" s="102"/>
      <c r="K586" s="101"/>
      <c r="L586" s="101"/>
      <c r="M586" s="10"/>
      <c r="N586" s="10"/>
      <c r="O586"/>
      <c r="P586"/>
    </row>
    <row r="587" spans="1:16" s="146" customFormat="1" ht="18" x14ac:dyDescent="0.25">
      <c r="A587" s="519"/>
      <c r="B587" s="499" t="s">
        <v>123</v>
      </c>
      <c r="C587" s="499" t="s">
        <v>1386</v>
      </c>
      <c r="D587" s="1602" t="s">
        <v>151</v>
      </c>
      <c r="E587" s="1603"/>
      <c r="F587" s="1603"/>
      <c r="G587" s="1603"/>
      <c r="H587" s="131" t="s">
        <v>148</v>
      </c>
      <c r="I587" s="101">
        <v>110000</v>
      </c>
      <c r="J587" s="102">
        <v>0</v>
      </c>
      <c r="K587" s="101"/>
      <c r="L587" s="101"/>
      <c r="M587" s="10"/>
      <c r="N587" s="10"/>
      <c r="O587"/>
      <c r="P587"/>
    </row>
    <row r="588" spans="1:16" s="146" customFormat="1" ht="18" x14ac:dyDescent="0.25">
      <c r="A588" s="519"/>
      <c r="B588" s="499" t="s">
        <v>123</v>
      </c>
      <c r="C588" s="499" t="s">
        <v>1386</v>
      </c>
      <c r="D588" s="1602" t="s">
        <v>231</v>
      </c>
      <c r="E588" s="1603"/>
      <c r="F588" s="1603"/>
      <c r="G588" s="1603"/>
      <c r="H588" s="131" t="s">
        <v>232</v>
      </c>
      <c r="I588" s="101">
        <v>10000</v>
      </c>
      <c r="J588" s="102"/>
      <c r="K588" s="101"/>
      <c r="L588" s="101"/>
      <c r="M588" s="10"/>
      <c r="N588" s="10"/>
      <c r="O588"/>
      <c r="P588"/>
    </row>
    <row r="589" spans="1:16" s="146" customFormat="1" ht="18" x14ac:dyDescent="0.25">
      <c r="A589" s="519"/>
      <c r="B589" s="499" t="s">
        <v>123</v>
      </c>
      <c r="C589" s="499" t="s">
        <v>1386</v>
      </c>
      <c r="D589" s="1611" t="s">
        <v>152</v>
      </c>
      <c r="E589" s="1611"/>
      <c r="F589" s="1611"/>
      <c r="G589" s="1602"/>
      <c r="H589" s="131"/>
      <c r="I589" s="101">
        <v>0</v>
      </c>
      <c r="J589" s="102">
        <v>219055.16</v>
      </c>
      <c r="K589" s="101"/>
      <c r="L589" s="101"/>
      <c r="M589" s="10"/>
      <c r="N589" s="10"/>
      <c r="O589"/>
      <c r="P589"/>
    </row>
    <row r="590" spans="1:16" s="146" customFormat="1" ht="18" x14ac:dyDescent="0.25">
      <c r="A590" s="519"/>
      <c r="B590" s="499" t="s">
        <v>123</v>
      </c>
      <c r="C590" s="499" t="s">
        <v>1386</v>
      </c>
      <c r="D590" s="1602" t="s">
        <v>153</v>
      </c>
      <c r="E590" s="1603"/>
      <c r="F590" s="1603"/>
      <c r="G590" s="1603"/>
      <c r="H590" s="131" t="s">
        <v>154</v>
      </c>
      <c r="I590" s="101">
        <v>303065.40000000002</v>
      </c>
      <c r="J590" s="102">
        <v>477588.96</v>
      </c>
      <c r="K590" s="101">
        <v>189873.96</v>
      </c>
      <c r="L590" s="101">
        <v>518777.4</v>
      </c>
      <c r="M590" s="10"/>
      <c r="N590" s="10"/>
      <c r="O590"/>
      <c r="P590"/>
    </row>
    <row r="591" spans="1:16" s="146" customFormat="1" ht="18" x14ac:dyDescent="0.25">
      <c r="A591" s="519"/>
      <c r="B591" s="499" t="s">
        <v>123</v>
      </c>
      <c r="C591" s="499" t="s">
        <v>1386</v>
      </c>
      <c r="D591" s="1602" t="s">
        <v>155</v>
      </c>
      <c r="E591" s="1603"/>
      <c r="F591" s="1603"/>
      <c r="G591" s="1603"/>
      <c r="H591" s="131" t="s">
        <v>156</v>
      </c>
      <c r="I591" s="101">
        <v>12200</v>
      </c>
      <c r="J591" s="102">
        <v>21600</v>
      </c>
      <c r="K591" s="101">
        <v>7700</v>
      </c>
      <c r="L591" s="101">
        <v>21600</v>
      </c>
      <c r="M591" s="10"/>
      <c r="N591" s="10"/>
      <c r="O591"/>
      <c r="P591"/>
    </row>
    <row r="592" spans="1:16" s="146" customFormat="1" ht="18" x14ac:dyDescent="0.25">
      <c r="A592" s="519"/>
      <c r="B592" s="499" t="s">
        <v>123</v>
      </c>
      <c r="C592" s="499" t="s">
        <v>1386</v>
      </c>
      <c r="D592" s="1602" t="s">
        <v>157</v>
      </c>
      <c r="E592" s="1603"/>
      <c r="F592" s="1603"/>
      <c r="G592" s="1603"/>
      <c r="H592" s="131" t="s">
        <v>158</v>
      </c>
      <c r="I592" s="101">
        <v>32857.300000000003</v>
      </c>
      <c r="J592" s="102">
        <v>66099.81</v>
      </c>
      <c r="K592" s="101">
        <v>20925.46</v>
      </c>
      <c r="L592" s="101">
        <v>168133.48</v>
      </c>
      <c r="M592" s="10"/>
      <c r="N592" s="10"/>
      <c r="O592"/>
      <c r="P592"/>
    </row>
    <row r="593" spans="1:16" s="146" customFormat="1" ht="18" x14ac:dyDescent="0.25">
      <c r="A593" s="519"/>
      <c r="B593" s="499" t="s">
        <v>123</v>
      </c>
      <c r="C593" s="499" t="s">
        <v>1386</v>
      </c>
      <c r="D593" s="1602" t="s">
        <v>159</v>
      </c>
      <c r="E593" s="1603"/>
      <c r="F593" s="1603"/>
      <c r="G593" s="1603"/>
      <c r="H593" s="131" t="s">
        <v>160</v>
      </c>
      <c r="I593" s="105">
        <v>12200</v>
      </c>
      <c r="J593" s="106">
        <v>21600</v>
      </c>
      <c r="K593" s="105">
        <v>7700</v>
      </c>
      <c r="L593" s="105">
        <v>21600</v>
      </c>
      <c r="M593" s="10"/>
      <c r="N593" s="10"/>
      <c r="O593"/>
      <c r="P593"/>
    </row>
    <row r="594" spans="1:16" s="146" customFormat="1" ht="18" customHeight="1" x14ac:dyDescent="0.25">
      <c r="A594" s="519"/>
      <c r="B594" s="499" t="s">
        <v>163</v>
      </c>
      <c r="C594" s="499" t="s">
        <v>1386</v>
      </c>
      <c r="D594" s="44" t="s">
        <v>164</v>
      </c>
      <c r="E594" s="113"/>
      <c r="F594" s="113"/>
      <c r="G594" s="114"/>
      <c r="H594" s="131" t="s">
        <v>165</v>
      </c>
      <c r="I594" s="101"/>
      <c r="J594" s="102">
        <v>300000</v>
      </c>
      <c r="K594" s="101"/>
      <c r="L594" s="101">
        <v>300000</v>
      </c>
      <c r="M594" s="10"/>
      <c r="N594" s="10"/>
      <c r="O594"/>
      <c r="P594"/>
    </row>
    <row r="595" spans="1:16" s="146" customFormat="1" ht="18" x14ac:dyDescent="0.25">
      <c r="A595" s="519"/>
      <c r="B595" s="499" t="s">
        <v>163</v>
      </c>
      <c r="C595" s="499" t="s">
        <v>1386</v>
      </c>
      <c r="D595" s="38" t="s">
        <v>312</v>
      </c>
      <c r="E595" s="184"/>
      <c r="F595" s="184"/>
      <c r="G595" s="184"/>
      <c r="H595" s="131" t="s">
        <v>293</v>
      </c>
      <c r="I595" s="101"/>
      <c r="J595" s="102">
        <v>200000</v>
      </c>
      <c r="K595" s="101"/>
      <c r="L595" s="101">
        <v>200000</v>
      </c>
      <c r="M595" s="10"/>
      <c r="N595" s="10"/>
      <c r="O595"/>
      <c r="P595"/>
    </row>
    <row r="596" spans="1:16" s="146" customFormat="1" ht="18" x14ac:dyDescent="0.25">
      <c r="A596" s="519"/>
      <c r="B596" s="499" t="s">
        <v>163</v>
      </c>
      <c r="C596" s="499" t="s">
        <v>1386</v>
      </c>
      <c r="D596" s="38" t="s">
        <v>294</v>
      </c>
      <c r="E596" s="184"/>
      <c r="F596" s="184"/>
      <c r="G596" s="184"/>
      <c r="H596" s="131" t="s">
        <v>169</v>
      </c>
      <c r="I596" s="101">
        <v>1343354.5</v>
      </c>
      <c r="J596" s="102">
        <v>1800000</v>
      </c>
      <c r="K596" s="101">
        <v>353966</v>
      </c>
      <c r="L596" s="101">
        <v>2000000</v>
      </c>
      <c r="M596" s="10"/>
      <c r="N596" s="10"/>
      <c r="O596"/>
      <c r="P596"/>
    </row>
    <row r="597" spans="1:16" ht="18" x14ac:dyDescent="0.25">
      <c r="A597" s="519"/>
      <c r="B597" s="499" t="s">
        <v>163</v>
      </c>
      <c r="C597" s="499" t="s">
        <v>1386</v>
      </c>
      <c r="D597" s="38" t="s">
        <v>295</v>
      </c>
      <c r="E597" s="184"/>
      <c r="F597" s="184"/>
      <c r="G597" s="184"/>
      <c r="H597" s="131" t="s">
        <v>173</v>
      </c>
      <c r="I597" s="101">
        <v>32944.839999999997</v>
      </c>
      <c r="J597" s="102">
        <v>100000</v>
      </c>
      <c r="K597" s="101"/>
      <c r="L597" s="101">
        <v>100000</v>
      </c>
    </row>
    <row r="598" spans="1:16" ht="18" x14ac:dyDescent="0.25">
      <c r="A598" s="519"/>
      <c r="B598" s="499" t="s">
        <v>163</v>
      </c>
      <c r="C598" s="499" t="s">
        <v>1386</v>
      </c>
      <c r="D598" s="38" t="s">
        <v>174</v>
      </c>
      <c r="E598" s="184"/>
      <c r="F598" s="184"/>
      <c r="G598" s="184"/>
      <c r="H598" s="131" t="s">
        <v>171</v>
      </c>
      <c r="I598" s="101">
        <v>29850</v>
      </c>
      <c r="J598" s="102">
        <v>50000</v>
      </c>
      <c r="K598" s="101"/>
      <c r="L598" s="101"/>
      <c r="O598" s="191"/>
      <c r="P598" s="191"/>
    </row>
    <row r="599" spans="1:16" ht="18" x14ac:dyDescent="0.25">
      <c r="A599" s="519"/>
      <c r="B599" s="499" t="s">
        <v>163</v>
      </c>
      <c r="C599" s="499" t="s">
        <v>1386</v>
      </c>
      <c r="D599" s="38" t="s">
        <v>213</v>
      </c>
      <c r="E599" s="184"/>
      <c r="F599" s="184"/>
      <c r="G599" s="184"/>
      <c r="H599" s="131" t="s">
        <v>171</v>
      </c>
      <c r="I599" s="101"/>
      <c r="J599" s="102"/>
      <c r="K599" s="101"/>
      <c r="L599" s="101">
        <v>120000</v>
      </c>
    </row>
    <row r="600" spans="1:16" s="191" customFormat="1" ht="18" x14ac:dyDescent="0.25">
      <c r="A600" s="519"/>
      <c r="B600" s="499" t="s">
        <v>163</v>
      </c>
      <c r="C600" s="499" t="s">
        <v>1386</v>
      </c>
      <c r="D600" s="38" t="s">
        <v>305</v>
      </c>
      <c r="E600" s="184"/>
      <c r="F600" s="184"/>
      <c r="G600" s="184"/>
      <c r="H600" s="131" t="s">
        <v>171</v>
      </c>
      <c r="I600" s="101">
        <v>8700</v>
      </c>
      <c r="J600" s="102"/>
      <c r="K600" s="101"/>
      <c r="L600" s="101"/>
      <c r="M600" s="10"/>
      <c r="N600" s="10"/>
      <c r="O600"/>
      <c r="P600"/>
    </row>
    <row r="601" spans="1:16" ht="36" customHeight="1" x14ac:dyDescent="0.25">
      <c r="A601" s="519"/>
      <c r="B601" s="499" t="s">
        <v>163</v>
      </c>
      <c r="C601" s="499" t="s">
        <v>1386</v>
      </c>
      <c r="D601" s="1623" t="s">
        <v>313</v>
      </c>
      <c r="E601" s="1623"/>
      <c r="F601" s="190"/>
      <c r="G601" s="190"/>
      <c r="H601" s="131" t="s">
        <v>171</v>
      </c>
      <c r="I601" s="101">
        <v>9850</v>
      </c>
      <c r="J601" s="102"/>
      <c r="K601" s="101"/>
      <c r="L601" s="101"/>
    </row>
    <row r="602" spans="1:16" ht="18" x14ac:dyDescent="0.25">
      <c r="A602" s="519"/>
      <c r="B602" s="499" t="s">
        <v>163</v>
      </c>
      <c r="C602" s="499" t="s">
        <v>1386</v>
      </c>
      <c r="D602" s="38" t="s">
        <v>296</v>
      </c>
      <c r="E602" s="184"/>
      <c r="F602" s="184"/>
      <c r="G602" s="184"/>
      <c r="H602" s="131" t="s">
        <v>177</v>
      </c>
      <c r="I602" s="101"/>
      <c r="J602" s="102">
        <v>15000</v>
      </c>
      <c r="K602" s="101"/>
      <c r="L602" s="101">
        <v>15000</v>
      </c>
    </row>
    <row r="603" spans="1:16" ht="18" x14ac:dyDescent="0.25">
      <c r="A603" s="519"/>
      <c r="B603" s="499" t="s">
        <v>163</v>
      </c>
      <c r="C603" s="499" t="s">
        <v>1386</v>
      </c>
      <c r="D603" s="180" t="s">
        <v>178</v>
      </c>
      <c r="E603" s="184"/>
      <c r="F603" s="184"/>
      <c r="G603" s="184"/>
      <c r="H603" s="131" t="s">
        <v>179</v>
      </c>
      <c r="I603" s="101"/>
      <c r="J603" s="102"/>
      <c r="K603" s="101"/>
      <c r="L603" s="101">
        <v>88800</v>
      </c>
    </row>
    <row r="604" spans="1:16" s="179" customFormat="1" ht="20.25" customHeight="1" x14ac:dyDescent="0.25">
      <c r="A604" s="173"/>
      <c r="B604" s="499" t="s">
        <v>163</v>
      </c>
      <c r="C604" s="499" t="s">
        <v>1386</v>
      </c>
      <c r="D604" s="180" t="s">
        <v>250</v>
      </c>
      <c r="E604" s="192"/>
      <c r="F604" s="192"/>
      <c r="G604" s="192"/>
      <c r="H604" s="176" t="s">
        <v>179</v>
      </c>
      <c r="I604" s="101">
        <v>28597.54</v>
      </c>
      <c r="J604" s="102">
        <v>28800</v>
      </c>
      <c r="K604" s="101">
        <v>2384.1</v>
      </c>
      <c r="L604" s="101"/>
      <c r="M604" s="193"/>
      <c r="N604" s="193"/>
    </row>
    <row r="605" spans="1:16" ht="18" x14ac:dyDescent="0.25">
      <c r="A605" s="519"/>
      <c r="B605" s="499" t="s">
        <v>163</v>
      </c>
      <c r="C605" s="499" t="s">
        <v>1386</v>
      </c>
      <c r="D605" s="38" t="s">
        <v>181</v>
      </c>
      <c r="E605" s="184"/>
      <c r="F605" s="184"/>
      <c r="G605" s="184"/>
      <c r="H605" s="131" t="s">
        <v>179</v>
      </c>
      <c r="I605" s="101">
        <v>60000</v>
      </c>
      <c r="J605" s="102">
        <v>60000</v>
      </c>
      <c r="K605" s="101">
        <v>30000</v>
      </c>
      <c r="L605" s="101"/>
    </row>
    <row r="606" spans="1:16" ht="18" x14ac:dyDescent="0.25">
      <c r="A606" s="519"/>
      <c r="B606" s="499" t="s">
        <v>163</v>
      </c>
      <c r="C606" s="499" t="s">
        <v>1386</v>
      </c>
      <c r="D606" s="38" t="s">
        <v>314</v>
      </c>
      <c r="E606" s="184"/>
      <c r="F606" s="184"/>
      <c r="G606" s="184"/>
      <c r="H606" s="131" t="s">
        <v>183</v>
      </c>
      <c r="I606" s="101">
        <v>29058.16</v>
      </c>
      <c r="J606" s="102">
        <v>72000</v>
      </c>
      <c r="K606" s="101">
        <v>16793</v>
      </c>
      <c r="L606" s="101">
        <v>72000</v>
      </c>
    </row>
    <row r="607" spans="1:16" ht="18" x14ac:dyDescent="0.25">
      <c r="A607" s="519"/>
      <c r="B607" s="499" t="s">
        <v>163</v>
      </c>
      <c r="C607" s="499" t="s">
        <v>1386</v>
      </c>
      <c r="D607" s="38" t="s">
        <v>297</v>
      </c>
      <c r="E607" s="184"/>
      <c r="F607" s="184"/>
      <c r="G607" s="184"/>
      <c r="H607" s="131" t="s">
        <v>187</v>
      </c>
      <c r="I607" s="101"/>
      <c r="J607" s="102">
        <v>250000</v>
      </c>
      <c r="K607" s="101"/>
      <c r="L607" s="101">
        <v>250000</v>
      </c>
    </row>
    <row r="608" spans="1:16" ht="18" x14ac:dyDescent="0.25">
      <c r="A608" s="519"/>
      <c r="B608" s="499" t="s">
        <v>163</v>
      </c>
      <c r="C608" s="499" t="s">
        <v>1386</v>
      </c>
      <c r="D608" s="38" t="s">
        <v>298</v>
      </c>
      <c r="E608" s="184"/>
      <c r="F608" s="184"/>
      <c r="G608" s="184"/>
      <c r="H608" s="131" t="s">
        <v>189</v>
      </c>
      <c r="I608" s="101">
        <v>0</v>
      </c>
      <c r="J608" s="102">
        <v>100000</v>
      </c>
      <c r="K608" s="101"/>
      <c r="L608" s="101">
        <v>100000</v>
      </c>
    </row>
    <row r="609" spans="1:16" ht="18" x14ac:dyDescent="0.25">
      <c r="A609" s="519"/>
      <c r="B609" s="499" t="s">
        <v>163</v>
      </c>
      <c r="C609" s="499" t="s">
        <v>1386</v>
      </c>
      <c r="D609" s="38" t="s">
        <v>300</v>
      </c>
      <c r="E609" s="184"/>
      <c r="F609" s="184"/>
      <c r="G609" s="184"/>
      <c r="H609" s="131" t="s">
        <v>199</v>
      </c>
      <c r="I609" s="101"/>
      <c r="J609" s="102">
        <v>200000</v>
      </c>
      <c r="K609" s="101"/>
      <c r="L609" s="101">
        <v>200000</v>
      </c>
    </row>
    <row r="610" spans="1:16" ht="18" x14ac:dyDescent="0.25">
      <c r="A610" s="519"/>
      <c r="B610" s="499" t="s">
        <v>163</v>
      </c>
      <c r="C610" s="499" t="s">
        <v>1386</v>
      </c>
      <c r="D610" s="38" t="s">
        <v>315</v>
      </c>
      <c r="E610" s="184"/>
      <c r="F610" s="184"/>
      <c r="G610" s="184"/>
      <c r="H610" s="131"/>
      <c r="I610" s="105"/>
      <c r="J610" s="106">
        <v>150000</v>
      </c>
      <c r="K610" s="105"/>
      <c r="L610" s="105">
        <v>150000</v>
      </c>
    </row>
    <row r="611" spans="1:16" s="146" customFormat="1" ht="18" x14ac:dyDescent="0.25">
      <c r="A611" s="495"/>
      <c r="B611" s="499" t="s">
        <v>201</v>
      </c>
      <c r="C611" s="499" t="s">
        <v>1386</v>
      </c>
      <c r="D611" s="38" t="s">
        <v>316</v>
      </c>
      <c r="E611" s="184"/>
      <c r="F611" s="184"/>
      <c r="G611" s="184"/>
      <c r="H611" s="120"/>
      <c r="I611" s="101"/>
      <c r="J611" s="102">
        <v>50000</v>
      </c>
      <c r="K611" s="101"/>
      <c r="L611" s="121"/>
      <c r="M611" s="10"/>
      <c r="N611" s="10"/>
      <c r="O611"/>
      <c r="P611"/>
    </row>
    <row r="612" spans="1:16" s="146" customFormat="1" ht="18" x14ac:dyDescent="0.25">
      <c r="A612" s="495"/>
      <c r="B612" s="499" t="s">
        <v>201</v>
      </c>
      <c r="C612" s="499" t="s">
        <v>1386</v>
      </c>
      <c r="D612" s="1602" t="s">
        <v>317</v>
      </c>
      <c r="E612" s="1603"/>
      <c r="F612" s="1603"/>
      <c r="G612" s="1603"/>
      <c r="H612" s="97"/>
      <c r="I612" s="101"/>
      <c r="J612" s="102">
        <v>40000</v>
      </c>
      <c r="K612" s="101"/>
      <c r="L612" s="105"/>
      <c r="M612" s="10"/>
      <c r="N612" s="10"/>
      <c r="O612"/>
      <c r="P612"/>
    </row>
    <row r="613" spans="1:16" s="146" customFormat="1" ht="18" x14ac:dyDescent="0.25">
      <c r="A613" s="519"/>
      <c r="B613" s="499" t="s">
        <v>123</v>
      </c>
      <c r="C613" s="499" t="s">
        <v>1386</v>
      </c>
      <c r="D613" s="1602" t="s">
        <v>124</v>
      </c>
      <c r="E613" s="1603"/>
      <c r="F613" s="1603"/>
      <c r="G613" s="1603"/>
      <c r="H613" s="131" t="s">
        <v>125</v>
      </c>
      <c r="I613" s="101">
        <v>230212</v>
      </c>
      <c r="J613" s="102">
        <v>234156</v>
      </c>
      <c r="K613" s="101">
        <v>142836</v>
      </c>
      <c r="L613" s="101">
        <v>264132</v>
      </c>
      <c r="M613" s="10"/>
      <c r="N613" s="10"/>
      <c r="O613"/>
      <c r="P613"/>
    </row>
    <row r="614" spans="1:16" s="146" customFormat="1" ht="18" x14ac:dyDescent="0.25">
      <c r="A614" s="519"/>
      <c r="B614" s="499" t="s">
        <v>123</v>
      </c>
      <c r="C614" s="499" t="s">
        <v>1386</v>
      </c>
      <c r="D614" s="1602" t="s">
        <v>129</v>
      </c>
      <c r="E614" s="1603"/>
      <c r="F614" s="1603"/>
      <c r="G614" s="1603"/>
      <c r="H614" s="132" t="s">
        <v>130</v>
      </c>
      <c r="I614" s="101">
        <v>24000</v>
      </c>
      <c r="J614" s="102">
        <v>24000</v>
      </c>
      <c r="K614" s="101">
        <v>14000</v>
      </c>
      <c r="L614" s="101">
        <v>24000</v>
      </c>
      <c r="M614" s="10"/>
      <c r="N614" s="10"/>
      <c r="O614"/>
      <c r="P614"/>
    </row>
    <row r="615" spans="1:16" s="146" customFormat="1" ht="18" x14ac:dyDescent="0.25">
      <c r="A615" s="519"/>
      <c r="B615" s="499" t="s">
        <v>123</v>
      </c>
      <c r="C615" s="499" t="s">
        <v>1386</v>
      </c>
      <c r="D615" s="1602" t="s">
        <v>137</v>
      </c>
      <c r="E615" s="1603"/>
      <c r="F615" s="1603"/>
      <c r="G615" s="1603"/>
      <c r="H615" s="131" t="s">
        <v>138</v>
      </c>
      <c r="I615" s="101">
        <v>6000</v>
      </c>
      <c r="J615" s="102">
        <v>6000</v>
      </c>
      <c r="K615" s="101">
        <v>6000</v>
      </c>
      <c r="L615" s="101">
        <v>6000</v>
      </c>
      <c r="M615" s="10"/>
      <c r="N615" s="10"/>
      <c r="O615"/>
      <c r="P615"/>
    </row>
    <row r="616" spans="1:16" s="146" customFormat="1" ht="18" customHeight="1" x14ac:dyDescent="0.25">
      <c r="A616" s="519"/>
      <c r="B616" s="499" t="s">
        <v>123</v>
      </c>
      <c r="C616" s="499" t="s">
        <v>1386</v>
      </c>
      <c r="D616" s="1602" t="s">
        <v>139</v>
      </c>
      <c r="E616" s="1603"/>
      <c r="F616" s="1603"/>
      <c r="G616" s="1603"/>
      <c r="H616" s="131" t="s">
        <v>140</v>
      </c>
      <c r="I616" s="101">
        <v>19513</v>
      </c>
      <c r="J616" s="102">
        <v>19513</v>
      </c>
      <c r="K616" s="101">
        <v>20762</v>
      </c>
      <c r="L616" s="101">
        <v>22011</v>
      </c>
      <c r="M616" s="10"/>
      <c r="N616" s="10"/>
      <c r="O616"/>
      <c r="P616"/>
    </row>
    <row r="617" spans="1:16" s="146" customFormat="1" ht="18" x14ac:dyDescent="0.25">
      <c r="A617" s="519"/>
      <c r="B617" s="499" t="s">
        <v>123</v>
      </c>
      <c r="C617" s="499" t="s">
        <v>1386</v>
      </c>
      <c r="D617" s="1602" t="s">
        <v>141</v>
      </c>
      <c r="E617" s="1603"/>
      <c r="F617" s="1603"/>
      <c r="G617" s="1603"/>
      <c r="H617" s="131" t="s">
        <v>142</v>
      </c>
      <c r="I617" s="101">
        <v>19513</v>
      </c>
      <c r="J617" s="102">
        <v>19513</v>
      </c>
      <c r="K617" s="101"/>
      <c r="L617" s="101">
        <v>22011</v>
      </c>
      <c r="M617" s="10"/>
      <c r="N617" s="10"/>
      <c r="O617"/>
      <c r="P617"/>
    </row>
    <row r="618" spans="1:16" s="146" customFormat="1" ht="18" x14ac:dyDescent="0.25">
      <c r="A618" s="519"/>
      <c r="B618" s="499" t="s">
        <v>123</v>
      </c>
      <c r="C618" s="499" t="s">
        <v>1386</v>
      </c>
      <c r="D618" s="1602" t="s">
        <v>143</v>
      </c>
      <c r="E618" s="1603"/>
      <c r="F618" s="1603"/>
      <c r="G618" s="1603"/>
      <c r="H618" s="131" t="s">
        <v>144</v>
      </c>
      <c r="I618" s="101">
        <v>5000</v>
      </c>
      <c r="J618" s="102">
        <v>5000</v>
      </c>
      <c r="K618" s="101"/>
      <c r="L618" s="101">
        <v>5000</v>
      </c>
      <c r="M618" s="10"/>
      <c r="N618" s="10"/>
      <c r="O618"/>
      <c r="P618"/>
    </row>
    <row r="619" spans="1:16" s="146" customFormat="1" ht="18" x14ac:dyDescent="0.25">
      <c r="A619" s="519"/>
      <c r="B619" s="499" t="s">
        <v>123</v>
      </c>
      <c r="C619" s="499" t="s">
        <v>1386</v>
      </c>
      <c r="D619" s="1602" t="s">
        <v>145</v>
      </c>
      <c r="E619" s="1603"/>
      <c r="F619" s="1603"/>
      <c r="G619" s="1603"/>
      <c r="H619" s="131" t="s">
        <v>146</v>
      </c>
      <c r="I619" s="101">
        <v>5000</v>
      </c>
      <c r="J619" s="102">
        <v>5000</v>
      </c>
      <c r="K619" s="101"/>
      <c r="L619" s="101">
        <v>5000</v>
      </c>
      <c r="M619" s="10"/>
      <c r="N619" s="10"/>
      <c r="O619"/>
      <c r="P619"/>
    </row>
    <row r="620" spans="1:16" s="146" customFormat="1" ht="18" x14ac:dyDescent="0.25">
      <c r="A620" s="519"/>
      <c r="B620" s="499" t="s">
        <v>123</v>
      </c>
      <c r="C620" s="499" t="s">
        <v>1386</v>
      </c>
      <c r="D620" s="536" t="s">
        <v>318</v>
      </c>
      <c r="E620" s="499"/>
      <c r="F620" s="499"/>
      <c r="G620" s="491"/>
      <c r="H620" s="131" t="s">
        <v>148</v>
      </c>
      <c r="I620" s="101"/>
      <c r="J620" s="102"/>
      <c r="K620" s="101"/>
      <c r="L620" s="101">
        <v>3000</v>
      </c>
      <c r="M620" s="10"/>
      <c r="N620" s="10"/>
      <c r="O620"/>
      <c r="P620"/>
    </row>
    <row r="621" spans="1:16" s="146" customFormat="1" ht="18" x14ac:dyDescent="0.25">
      <c r="A621" s="519"/>
      <c r="B621" s="499" t="s">
        <v>123</v>
      </c>
      <c r="C621" s="499" t="s">
        <v>1386</v>
      </c>
      <c r="D621" s="513" t="s">
        <v>149</v>
      </c>
      <c r="E621" s="1675"/>
      <c r="F621" s="1675"/>
      <c r="G621" s="1676"/>
      <c r="H621" s="131" t="s">
        <v>150</v>
      </c>
      <c r="I621" s="101">
        <v>5400</v>
      </c>
      <c r="J621" s="102"/>
      <c r="K621" s="101"/>
      <c r="L621" s="101"/>
      <c r="M621" s="10"/>
      <c r="N621" s="10"/>
      <c r="O621"/>
      <c r="P621"/>
    </row>
    <row r="622" spans="1:16" s="146" customFormat="1" ht="18" x14ac:dyDescent="0.25">
      <c r="A622" s="519"/>
      <c r="B622" s="499" t="s">
        <v>123</v>
      </c>
      <c r="C622" s="499" t="s">
        <v>1386</v>
      </c>
      <c r="D622" s="1602" t="s">
        <v>151</v>
      </c>
      <c r="E622" s="1603"/>
      <c r="F622" s="1603"/>
      <c r="G622" s="1603"/>
      <c r="H622" s="131" t="s">
        <v>148</v>
      </c>
      <c r="I622" s="101">
        <v>10000</v>
      </c>
      <c r="J622" s="102">
        <v>0</v>
      </c>
      <c r="K622" s="101"/>
      <c r="L622" s="101"/>
      <c r="M622" s="10"/>
      <c r="N622" s="10"/>
      <c r="O622"/>
      <c r="P622"/>
    </row>
    <row r="623" spans="1:16" s="146" customFormat="1" ht="18" x14ac:dyDescent="0.25">
      <c r="A623" s="519"/>
      <c r="B623" s="499" t="s">
        <v>123</v>
      </c>
      <c r="C623" s="499" t="s">
        <v>1386</v>
      </c>
      <c r="D623" s="1611" t="s">
        <v>152</v>
      </c>
      <c r="E623" s="1611"/>
      <c r="F623" s="1611"/>
      <c r="G623" s="1602"/>
      <c r="H623" s="131"/>
      <c r="I623" s="101">
        <v>0</v>
      </c>
      <c r="J623" s="102">
        <v>19546.849999999999</v>
      </c>
      <c r="K623" s="101"/>
      <c r="L623" s="101"/>
      <c r="M623" s="10"/>
      <c r="N623" s="10"/>
      <c r="O623"/>
      <c r="P623"/>
    </row>
    <row r="624" spans="1:16" s="146" customFormat="1" ht="18" x14ac:dyDescent="0.25">
      <c r="A624" s="519"/>
      <c r="B624" s="499" t="s">
        <v>123</v>
      </c>
      <c r="C624" s="499" t="s">
        <v>1386</v>
      </c>
      <c r="D624" s="1602" t="s">
        <v>153</v>
      </c>
      <c r="E624" s="1603"/>
      <c r="F624" s="1603"/>
      <c r="G624" s="1603"/>
      <c r="H624" s="131" t="s">
        <v>154</v>
      </c>
      <c r="I624" s="101">
        <v>27625.439999999999</v>
      </c>
      <c r="J624" s="102">
        <v>28098.720000000001</v>
      </c>
      <c r="K624" s="101">
        <v>17140.32</v>
      </c>
      <c r="L624" s="101">
        <v>29897.279999999999</v>
      </c>
      <c r="M624" s="10"/>
      <c r="N624" s="10"/>
      <c r="O624"/>
      <c r="P624"/>
    </row>
    <row r="625" spans="1:16" s="146" customFormat="1" ht="18" x14ac:dyDescent="0.25">
      <c r="A625" s="519"/>
      <c r="B625" s="499" t="s">
        <v>123</v>
      </c>
      <c r="C625" s="499" t="s">
        <v>1386</v>
      </c>
      <c r="D625" s="1602" t="s">
        <v>155</v>
      </c>
      <c r="E625" s="1603"/>
      <c r="F625" s="1603"/>
      <c r="G625" s="1603"/>
      <c r="H625" s="131" t="s">
        <v>156</v>
      </c>
      <c r="I625" s="101">
        <v>1200</v>
      </c>
      <c r="J625" s="102">
        <v>1200</v>
      </c>
      <c r="K625" s="101">
        <v>700</v>
      </c>
      <c r="L625" s="101">
        <v>1200</v>
      </c>
      <c r="M625" s="10"/>
      <c r="N625" s="10"/>
      <c r="O625"/>
      <c r="P625"/>
    </row>
    <row r="626" spans="1:16" s="146" customFormat="1" ht="18" x14ac:dyDescent="0.25">
      <c r="A626" s="519"/>
      <c r="B626" s="499" t="s">
        <v>123</v>
      </c>
      <c r="C626" s="499" t="s">
        <v>1386</v>
      </c>
      <c r="D626" s="1602" t="s">
        <v>157</v>
      </c>
      <c r="E626" s="1603"/>
      <c r="F626" s="1603"/>
      <c r="G626" s="1603"/>
      <c r="H626" s="131" t="s">
        <v>158</v>
      </c>
      <c r="I626" s="101">
        <v>3453.24</v>
      </c>
      <c r="J626" s="102">
        <v>4097.7299999999996</v>
      </c>
      <c r="K626" s="101">
        <v>2142.5500000000002</v>
      </c>
      <c r="L626" s="101">
        <v>11000</v>
      </c>
      <c r="M626" s="10"/>
      <c r="N626" s="10"/>
      <c r="O626"/>
      <c r="P626"/>
    </row>
    <row r="627" spans="1:16" s="146" customFormat="1" ht="18" x14ac:dyDescent="0.25">
      <c r="A627" s="519"/>
      <c r="B627" s="499" t="s">
        <v>123</v>
      </c>
      <c r="C627" s="499" t="s">
        <v>1386</v>
      </c>
      <c r="D627" s="1602" t="s">
        <v>159</v>
      </c>
      <c r="E627" s="1603"/>
      <c r="F627" s="1603"/>
      <c r="G627" s="1603"/>
      <c r="H627" s="131" t="s">
        <v>160</v>
      </c>
      <c r="I627" s="105">
        <v>1200</v>
      </c>
      <c r="J627" s="106">
        <v>1200</v>
      </c>
      <c r="K627" s="105">
        <v>700</v>
      </c>
      <c r="L627" s="105">
        <v>1200</v>
      </c>
      <c r="M627" s="10"/>
      <c r="N627" s="10"/>
      <c r="O627"/>
      <c r="P627"/>
    </row>
    <row r="628" spans="1:16" ht="18" customHeight="1" x14ac:dyDescent="0.25">
      <c r="A628" s="519"/>
      <c r="B628" s="499" t="s">
        <v>163</v>
      </c>
      <c r="C628" s="499" t="s">
        <v>1386</v>
      </c>
      <c r="D628" s="44" t="s">
        <v>164</v>
      </c>
      <c r="E628" s="113"/>
      <c r="F628" s="113"/>
      <c r="G628" s="114"/>
      <c r="H628" s="131" t="s">
        <v>165</v>
      </c>
      <c r="I628" s="101"/>
      <c r="J628" s="102">
        <v>20000</v>
      </c>
      <c r="K628" s="101"/>
      <c r="L628" s="101">
        <v>20000</v>
      </c>
    </row>
    <row r="629" spans="1:16" ht="18" x14ac:dyDescent="0.25">
      <c r="A629" s="519"/>
      <c r="B629" s="499" t="s">
        <v>163</v>
      </c>
      <c r="C629" s="499" t="s">
        <v>1386</v>
      </c>
      <c r="D629" s="38" t="s">
        <v>294</v>
      </c>
      <c r="E629" s="184"/>
      <c r="F629" s="184"/>
      <c r="G629" s="184"/>
      <c r="H629" s="131" t="s">
        <v>169</v>
      </c>
      <c r="I629" s="101">
        <v>28209</v>
      </c>
      <c r="J629" s="102">
        <v>50000</v>
      </c>
      <c r="K629" s="101">
        <v>30196</v>
      </c>
      <c r="L629" s="101">
        <v>50000</v>
      </c>
    </row>
    <row r="630" spans="1:16" ht="18" x14ac:dyDescent="0.25">
      <c r="A630" s="519"/>
      <c r="B630" s="499" t="s">
        <v>163</v>
      </c>
      <c r="C630" s="499" t="s">
        <v>1386</v>
      </c>
      <c r="D630" s="38" t="s">
        <v>174</v>
      </c>
      <c r="E630" s="184"/>
      <c r="F630" s="184"/>
      <c r="G630" s="184"/>
      <c r="H630" s="131" t="s">
        <v>171</v>
      </c>
      <c r="I630" s="101">
        <v>9903.25</v>
      </c>
      <c r="J630" s="102">
        <v>10000</v>
      </c>
      <c r="K630" s="101"/>
      <c r="L630" s="101"/>
      <c r="O630" s="191"/>
      <c r="P630" s="191"/>
    </row>
    <row r="631" spans="1:16" ht="18" x14ac:dyDescent="0.25">
      <c r="A631" s="519"/>
      <c r="B631" s="499" t="s">
        <v>163</v>
      </c>
      <c r="C631" s="499" t="s">
        <v>1386</v>
      </c>
      <c r="D631" s="38" t="s">
        <v>319</v>
      </c>
      <c r="E631" s="184"/>
      <c r="F631" s="184"/>
      <c r="G631" s="184"/>
      <c r="H631" s="131" t="s">
        <v>171</v>
      </c>
      <c r="I631" s="101"/>
      <c r="J631" s="102"/>
      <c r="K631" s="101"/>
      <c r="L631" s="101">
        <v>30000</v>
      </c>
      <c r="O631" s="191"/>
      <c r="P631" s="191"/>
    </row>
    <row r="632" spans="1:16" s="191" customFormat="1" ht="18" x14ac:dyDescent="0.25">
      <c r="A632" s="519"/>
      <c r="B632" s="499" t="s">
        <v>163</v>
      </c>
      <c r="C632" s="499" t="s">
        <v>1386</v>
      </c>
      <c r="D632" s="38" t="s">
        <v>320</v>
      </c>
      <c r="E632" s="184"/>
      <c r="F632" s="184"/>
      <c r="G632" s="184"/>
      <c r="H632" s="131" t="s">
        <v>171</v>
      </c>
      <c r="I632" s="101"/>
      <c r="J632" s="102">
        <v>15000</v>
      </c>
      <c r="K632" s="101"/>
      <c r="L632" s="101"/>
      <c r="M632" s="10"/>
      <c r="N632" s="10"/>
    </row>
    <row r="633" spans="1:16" s="191" customFormat="1" ht="18" x14ac:dyDescent="0.25">
      <c r="A633" s="519"/>
      <c r="B633" s="499" t="s">
        <v>163</v>
      </c>
      <c r="C633" s="499" t="s">
        <v>1386</v>
      </c>
      <c r="D633" s="38" t="s">
        <v>178</v>
      </c>
      <c r="E633" s="184"/>
      <c r="F633" s="184"/>
      <c r="G633" s="184"/>
      <c r="H633" s="131" t="s">
        <v>179</v>
      </c>
      <c r="I633" s="101"/>
      <c r="J633" s="102"/>
      <c r="K633" s="101"/>
      <c r="L633" s="101">
        <v>28800</v>
      </c>
      <c r="M633" s="10"/>
      <c r="N633" s="10"/>
    </row>
    <row r="634" spans="1:16" s="191" customFormat="1" ht="18" x14ac:dyDescent="0.25">
      <c r="A634" s="519"/>
      <c r="B634" s="499" t="s">
        <v>163</v>
      </c>
      <c r="C634" s="499" t="s">
        <v>1386</v>
      </c>
      <c r="D634" s="38" t="s">
        <v>250</v>
      </c>
      <c r="E634" s="184"/>
      <c r="F634" s="184"/>
      <c r="G634" s="184"/>
      <c r="H634" s="131" t="s">
        <v>179</v>
      </c>
      <c r="I634" s="101">
        <v>2399</v>
      </c>
      <c r="J634" s="102">
        <v>28800</v>
      </c>
      <c r="K634" s="101">
        <v>2399</v>
      </c>
      <c r="L634" s="101"/>
      <c r="M634" s="10"/>
      <c r="N634" s="10"/>
      <c r="O634"/>
      <c r="P634"/>
    </row>
    <row r="635" spans="1:16" s="191" customFormat="1" ht="18" x14ac:dyDescent="0.25">
      <c r="A635" s="519"/>
      <c r="B635" s="499" t="s">
        <v>163</v>
      </c>
      <c r="C635" s="499" t="s">
        <v>1386</v>
      </c>
      <c r="D635" s="38" t="s">
        <v>182</v>
      </c>
      <c r="E635" s="184"/>
      <c r="F635" s="184"/>
      <c r="G635" s="184"/>
      <c r="H635" s="131" t="s">
        <v>183</v>
      </c>
      <c r="I635" s="101">
        <v>26389</v>
      </c>
      <c r="J635" s="102">
        <v>67200</v>
      </c>
      <c r="K635" s="101">
        <v>14394</v>
      </c>
      <c r="L635" s="101">
        <v>67200</v>
      </c>
      <c r="M635" s="10"/>
      <c r="N635" s="10"/>
      <c r="O635"/>
      <c r="P635"/>
    </row>
    <row r="636" spans="1:16" ht="18" x14ac:dyDescent="0.25">
      <c r="A636" s="519"/>
      <c r="B636" s="499" t="s">
        <v>163</v>
      </c>
      <c r="C636" s="499" t="s">
        <v>1386</v>
      </c>
      <c r="D636" s="38" t="s">
        <v>297</v>
      </c>
      <c r="E636" s="184"/>
      <c r="F636" s="184"/>
      <c r="G636" s="184"/>
      <c r="H636" s="131" t="s">
        <v>187</v>
      </c>
      <c r="I636" s="101">
        <v>0</v>
      </c>
      <c r="J636" s="102">
        <v>30000</v>
      </c>
      <c r="K636" s="101"/>
      <c r="L636" s="101">
        <v>30000</v>
      </c>
    </row>
    <row r="637" spans="1:16" ht="18" x14ac:dyDescent="0.25">
      <c r="A637" s="519"/>
      <c r="B637" s="499" t="s">
        <v>163</v>
      </c>
      <c r="C637" s="499" t="s">
        <v>1386</v>
      </c>
      <c r="D637" s="38" t="s">
        <v>300</v>
      </c>
      <c r="E637" s="184"/>
      <c r="F637" s="184"/>
      <c r="G637" s="184"/>
      <c r="H637" s="131" t="s">
        <v>199</v>
      </c>
      <c r="I637" s="105">
        <v>12664</v>
      </c>
      <c r="J637" s="106">
        <v>33000</v>
      </c>
      <c r="K637" s="105">
        <v>6556</v>
      </c>
      <c r="L637" s="105">
        <v>33000</v>
      </c>
    </row>
    <row r="638" spans="1:16" s="146" customFormat="1" ht="18" x14ac:dyDescent="0.25">
      <c r="A638" s="495"/>
      <c r="B638" s="499" t="s">
        <v>201</v>
      </c>
      <c r="C638" s="499" t="s">
        <v>1386</v>
      </c>
      <c r="D638" s="38" t="s">
        <v>321</v>
      </c>
      <c r="E638" s="184"/>
      <c r="F638" s="184"/>
      <c r="G638" s="184"/>
      <c r="H638" s="97"/>
      <c r="I638" s="101">
        <v>0</v>
      </c>
      <c r="J638" s="102">
        <v>160000</v>
      </c>
      <c r="K638" s="101"/>
      <c r="L638" s="121"/>
      <c r="M638" s="10"/>
      <c r="N638" s="10"/>
      <c r="O638"/>
      <c r="P638"/>
    </row>
    <row r="639" spans="1:16" s="146" customFormat="1" ht="18" x14ac:dyDescent="0.25">
      <c r="A639" s="495"/>
      <c r="B639" s="499" t="s">
        <v>201</v>
      </c>
      <c r="C639" s="499" t="s">
        <v>1386</v>
      </c>
      <c r="D639" s="38" t="s">
        <v>322</v>
      </c>
      <c r="E639" s="184"/>
      <c r="F639" s="184"/>
      <c r="G639" s="184"/>
      <c r="H639" s="97"/>
      <c r="I639" s="101"/>
      <c r="J639" s="102">
        <v>40000</v>
      </c>
      <c r="K639" s="101"/>
      <c r="L639" s="101"/>
      <c r="M639" s="10"/>
      <c r="N639" s="10"/>
      <c r="O639"/>
      <c r="P639"/>
    </row>
    <row r="640" spans="1:16" s="146" customFormat="1" ht="18" x14ac:dyDescent="0.25">
      <c r="A640" s="495"/>
      <c r="B640" s="499" t="s">
        <v>201</v>
      </c>
      <c r="C640" s="499" t="s">
        <v>1386</v>
      </c>
      <c r="D640" s="38" t="s">
        <v>323</v>
      </c>
      <c r="E640" s="184"/>
      <c r="F640" s="184"/>
      <c r="G640" s="184"/>
      <c r="H640" s="97"/>
      <c r="I640" s="105">
        <v>148500</v>
      </c>
      <c r="J640" s="106"/>
      <c r="K640" s="105"/>
      <c r="L640" s="105"/>
      <c r="M640" s="10"/>
      <c r="N640" s="10"/>
      <c r="O640"/>
      <c r="P640"/>
    </row>
    <row r="641" spans="1:16" s="146" customFormat="1" ht="18" x14ac:dyDescent="0.25">
      <c r="A641" s="519"/>
      <c r="B641" s="499" t="s">
        <v>123</v>
      </c>
      <c r="C641" s="499" t="s">
        <v>1386</v>
      </c>
      <c r="D641" s="1602" t="s">
        <v>124</v>
      </c>
      <c r="E641" s="1603"/>
      <c r="F641" s="1603"/>
      <c r="G641" s="1603"/>
      <c r="H641" s="131" t="s">
        <v>125</v>
      </c>
      <c r="I641" s="101"/>
      <c r="J641" s="102">
        <v>1080084</v>
      </c>
      <c r="K641" s="101"/>
      <c r="L641" s="101">
        <v>1129584</v>
      </c>
      <c r="M641" s="10"/>
      <c r="N641" s="10"/>
      <c r="O641"/>
      <c r="P641"/>
    </row>
    <row r="642" spans="1:16" s="146" customFormat="1" ht="18" x14ac:dyDescent="0.25">
      <c r="A642" s="519"/>
      <c r="B642" s="499" t="s">
        <v>123</v>
      </c>
      <c r="C642" s="499" t="s">
        <v>1386</v>
      </c>
      <c r="D642" s="1602" t="s">
        <v>126</v>
      </c>
      <c r="E642" s="1603"/>
      <c r="F642" s="1603"/>
      <c r="G642" s="1603"/>
      <c r="H642" s="131" t="s">
        <v>127</v>
      </c>
      <c r="I642" s="101"/>
      <c r="J642" s="102">
        <v>132552</v>
      </c>
      <c r="K642" s="101"/>
      <c r="L642" s="101">
        <v>143928</v>
      </c>
      <c r="M642" s="10"/>
      <c r="N642" s="10"/>
      <c r="O642"/>
      <c r="P642"/>
    </row>
    <row r="643" spans="1:16" s="146" customFormat="1" ht="18" x14ac:dyDescent="0.25">
      <c r="A643" s="519"/>
      <c r="B643" s="499" t="s">
        <v>123</v>
      </c>
      <c r="C643" s="499" t="s">
        <v>1386</v>
      </c>
      <c r="D643" s="1602" t="s">
        <v>129</v>
      </c>
      <c r="E643" s="1603"/>
      <c r="F643" s="1603"/>
      <c r="G643" s="1603"/>
      <c r="H643" s="132" t="s">
        <v>130</v>
      </c>
      <c r="I643" s="101"/>
      <c r="J643" s="102">
        <v>72000</v>
      </c>
      <c r="K643" s="101"/>
      <c r="L643" s="101">
        <v>72000</v>
      </c>
      <c r="M643" s="10"/>
      <c r="N643" s="10"/>
      <c r="O643"/>
      <c r="P643"/>
    </row>
    <row r="644" spans="1:16" s="146" customFormat="1" ht="18" x14ac:dyDescent="0.25">
      <c r="A644" s="519"/>
      <c r="B644" s="499" t="s">
        <v>123</v>
      </c>
      <c r="C644" s="499" t="s">
        <v>1386</v>
      </c>
      <c r="D644" s="1602" t="s">
        <v>131</v>
      </c>
      <c r="E644" s="1603"/>
      <c r="F644" s="1603"/>
      <c r="G644" s="1603"/>
      <c r="H644" s="131" t="s">
        <v>132</v>
      </c>
      <c r="I644" s="101"/>
      <c r="J644" s="102">
        <v>72000</v>
      </c>
      <c r="K644" s="101"/>
      <c r="L644" s="101">
        <v>72000</v>
      </c>
      <c r="M644" s="10"/>
      <c r="N644" s="10"/>
      <c r="O644"/>
      <c r="P644"/>
    </row>
    <row r="645" spans="1:16" s="146" customFormat="1" ht="18" x14ac:dyDescent="0.25">
      <c r="A645" s="519"/>
      <c r="B645" s="499" t="s">
        <v>123</v>
      </c>
      <c r="C645" s="499" t="s">
        <v>1386</v>
      </c>
      <c r="D645" s="1602" t="s">
        <v>133</v>
      </c>
      <c r="E645" s="1603"/>
      <c r="F645" s="1603"/>
      <c r="G645" s="1603"/>
      <c r="H645" s="131" t="s">
        <v>134</v>
      </c>
      <c r="I645" s="101"/>
      <c r="J645" s="102">
        <v>72000</v>
      </c>
      <c r="K645" s="101"/>
      <c r="L645" s="101">
        <v>72000</v>
      </c>
      <c r="M645" s="10"/>
      <c r="N645" s="10"/>
      <c r="O645"/>
      <c r="P645"/>
    </row>
    <row r="646" spans="1:16" s="146" customFormat="1" ht="18" x14ac:dyDescent="0.25">
      <c r="A646" s="519"/>
      <c r="B646" s="499" t="s">
        <v>123</v>
      </c>
      <c r="C646" s="499" t="s">
        <v>1386</v>
      </c>
      <c r="D646" s="1602" t="s">
        <v>137</v>
      </c>
      <c r="E646" s="1603"/>
      <c r="F646" s="1603"/>
      <c r="G646" s="1603"/>
      <c r="H646" s="131" t="s">
        <v>138</v>
      </c>
      <c r="I646" s="101"/>
      <c r="J646" s="102">
        <v>18000</v>
      </c>
      <c r="K646" s="101"/>
      <c r="L646" s="101">
        <v>18000</v>
      </c>
      <c r="M646" s="10"/>
      <c r="N646" s="10"/>
      <c r="O646"/>
      <c r="P646"/>
    </row>
    <row r="647" spans="1:16" s="146" customFormat="1" ht="18" customHeight="1" x14ac:dyDescent="0.25">
      <c r="A647" s="519"/>
      <c r="B647" s="499" t="s">
        <v>123</v>
      </c>
      <c r="C647" s="499" t="s">
        <v>1386</v>
      </c>
      <c r="D647" s="1602" t="s">
        <v>139</v>
      </c>
      <c r="E647" s="1603"/>
      <c r="F647" s="1603"/>
      <c r="G647" s="1603"/>
      <c r="H647" s="131" t="s">
        <v>140</v>
      </c>
      <c r="I647" s="101"/>
      <c r="J647" s="102">
        <v>101053</v>
      </c>
      <c r="K647" s="101"/>
      <c r="L647" s="101">
        <v>106126</v>
      </c>
      <c r="M647" s="10"/>
      <c r="N647" s="10"/>
      <c r="O647"/>
      <c r="P647"/>
    </row>
    <row r="648" spans="1:16" s="146" customFormat="1" ht="18" x14ac:dyDescent="0.25">
      <c r="A648" s="519"/>
      <c r="B648" s="499" t="s">
        <v>123</v>
      </c>
      <c r="C648" s="499" t="s">
        <v>1386</v>
      </c>
      <c r="D648" s="1602" t="s">
        <v>141</v>
      </c>
      <c r="E648" s="1603"/>
      <c r="F648" s="1603"/>
      <c r="G648" s="1603"/>
      <c r="H648" s="131" t="s">
        <v>142</v>
      </c>
      <c r="I648" s="101"/>
      <c r="J648" s="102">
        <v>101053</v>
      </c>
      <c r="K648" s="101"/>
      <c r="L648" s="101">
        <v>106126</v>
      </c>
      <c r="M648" s="10"/>
      <c r="N648" s="10"/>
      <c r="O648"/>
      <c r="P648"/>
    </row>
    <row r="649" spans="1:16" s="146" customFormat="1" ht="18" x14ac:dyDescent="0.25">
      <c r="A649" s="519"/>
      <c r="B649" s="499" t="s">
        <v>123</v>
      </c>
      <c r="C649" s="499" t="s">
        <v>1386</v>
      </c>
      <c r="D649" s="1602" t="s">
        <v>143</v>
      </c>
      <c r="E649" s="1603"/>
      <c r="F649" s="1603"/>
      <c r="G649" s="1603"/>
      <c r="H649" s="131" t="s">
        <v>144</v>
      </c>
      <c r="I649" s="101"/>
      <c r="J649" s="102">
        <v>15000</v>
      </c>
      <c r="K649" s="101"/>
      <c r="L649" s="101">
        <v>15000</v>
      </c>
      <c r="M649" s="10"/>
      <c r="N649" s="10"/>
      <c r="O649"/>
      <c r="P649"/>
    </row>
    <row r="650" spans="1:16" s="146" customFormat="1" ht="18" x14ac:dyDescent="0.25">
      <c r="A650" s="519"/>
      <c r="B650" s="499" t="s">
        <v>123</v>
      </c>
      <c r="C650" s="499" t="s">
        <v>1386</v>
      </c>
      <c r="D650" s="1602" t="s">
        <v>145</v>
      </c>
      <c r="E650" s="1603"/>
      <c r="F650" s="1603"/>
      <c r="G650" s="1603"/>
      <c r="H650" s="131" t="s">
        <v>146</v>
      </c>
      <c r="I650" s="101"/>
      <c r="J650" s="102">
        <v>15000</v>
      </c>
      <c r="K650" s="101"/>
      <c r="L650" s="101">
        <v>15000</v>
      </c>
      <c r="M650" s="10"/>
      <c r="N650" s="10"/>
      <c r="O650"/>
      <c r="P650"/>
    </row>
    <row r="651" spans="1:16" s="146" customFormat="1" ht="18" x14ac:dyDescent="0.25">
      <c r="A651" s="519"/>
      <c r="B651" s="499" t="s">
        <v>123</v>
      </c>
      <c r="C651" s="499" t="s">
        <v>1386</v>
      </c>
      <c r="D651" s="1611" t="s">
        <v>147</v>
      </c>
      <c r="E651" s="1602"/>
      <c r="F651" s="492"/>
      <c r="G651" s="492"/>
      <c r="H651" s="131" t="s">
        <v>148</v>
      </c>
      <c r="I651" s="101"/>
      <c r="J651" s="102"/>
      <c r="K651" s="101"/>
      <c r="L651" s="101">
        <v>9000</v>
      </c>
      <c r="M651" s="10"/>
      <c r="N651" s="10"/>
      <c r="O651"/>
      <c r="P651"/>
    </row>
    <row r="652" spans="1:16" s="146" customFormat="1" ht="18" x14ac:dyDescent="0.25">
      <c r="A652" s="519"/>
      <c r="B652" s="499" t="s">
        <v>123</v>
      </c>
      <c r="C652" s="499" t="s">
        <v>1386</v>
      </c>
      <c r="D652" s="1611" t="s">
        <v>152</v>
      </c>
      <c r="E652" s="1611"/>
      <c r="F652" s="1611"/>
      <c r="G652" s="1602"/>
      <c r="H652" s="131"/>
      <c r="I652" s="101"/>
      <c r="J652" s="102">
        <v>38038.74</v>
      </c>
      <c r="K652" s="101"/>
      <c r="L652" s="101"/>
      <c r="M652" s="10"/>
      <c r="N652" s="10"/>
      <c r="O652"/>
      <c r="P652"/>
    </row>
    <row r="653" spans="1:16" s="146" customFormat="1" ht="18" x14ac:dyDescent="0.25">
      <c r="A653" s="519"/>
      <c r="B653" s="499" t="s">
        <v>123</v>
      </c>
      <c r="C653" s="499" t="s">
        <v>1386</v>
      </c>
      <c r="D653" s="1602" t="s">
        <v>153</v>
      </c>
      <c r="E653" s="1603"/>
      <c r="F653" s="1603"/>
      <c r="G653" s="1603"/>
      <c r="H653" s="131" t="s">
        <v>154</v>
      </c>
      <c r="I653" s="101"/>
      <c r="J653" s="102">
        <v>145516.32</v>
      </c>
      <c r="K653" s="101"/>
      <c r="L653" s="101">
        <v>152821.44</v>
      </c>
      <c r="M653" s="10"/>
      <c r="N653" s="10"/>
      <c r="O653"/>
      <c r="P653"/>
    </row>
    <row r="654" spans="1:16" s="146" customFormat="1" ht="18" x14ac:dyDescent="0.25">
      <c r="A654" s="519"/>
      <c r="B654" s="499" t="s">
        <v>123</v>
      </c>
      <c r="C654" s="499" t="s">
        <v>1386</v>
      </c>
      <c r="D654" s="1602" t="s">
        <v>155</v>
      </c>
      <c r="E654" s="1603"/>
      <c r="F654" s="1603"/>
      <c r="G654" s="1603"/>
      <c r="H654" s="131" t="s">
        <v>156</v>
      </c>
      <c r="I654" s="101"/>
      <c r="J654" s="102">
        <v>3600</v>
      </c>
      <c r="K654" s="101"/>
      <c r="L654" s="101">
        <v>3600</v>
      </c>
      <c r="M654" s="10"/>
      <c r="N654" s="10"/>
      <c r="O654"/>
      <c r="P654"/>
    </row>
    <row r="655" spans="1:16" s="146" customFormat="1" ht="18" x14ac:dyDescent="0.25">
      <c r="A655" s="519"/>
      <c r="B655" s="499" t="s">
        <v>123</v>
      </c>
      <c r="C655" s="499" t="s">
        <v>1386</v>
      </c>
      <c r="D655" s="1602" t="s">
        <v>157</v>
      </c>
      <c r="E655" s="1603"/>
      <c r="F655" s="1603"/>
      <c r="G655" s="1603"/>
      <c r="H655" s="131" t="s">
        <v>158</v>
      </c>
      <c r="I655" s="101"/>
      <c r="J655" s="102">
        <v>19627.650000000001</v>
      </c>
      <c r="K655" s="101"/>
      <c r="L655" s="101">
        <v>50652</v>
      </c>
      <c r="M655" s="10"/>
      <c r="N655" s="10"/>
      <c r="O655"/>
      <c r="P655"/>
    </row>
    <row r="656" spans="1:16" s="146" customFormat="1" ht="18" x14ac:dyDescent="0.25">
      <c r="A656" s="519"/>
      <c r="B656" s="499" t="s">
        <v>123</v>
      </c>
      <c r="C656" s="499" t="s">
        <v>1386</v>
      </c>
      <c r="D656" s="1602" t="s">
        <v>159</v>
      </c>
      <c r="E656" s="1603"/>
      <c r="F656" s="1603"/>
      <c r="G656" s="1603"/>
      <c r="H656" s="133" t="s">
        <v>160</v>
      </c>
      <c r="I656" s="105"/>
      <c r="J656" s="106">
        <v>3600</v>
      </c>
      <c r="K656" s="105"/>
      <c r="L656" s="105">
        <v>3600</v>
      </c>
      <c r="M656" s="10"/>
      <c r="N656" s="10"/>
      <c r="O656"/>
      <c r="P656"/>
    </row>
    <row r="657" spans="1:16" s="146" customFormat="1" ht="18" x14ac:dyDescent="0.25">
      <c r="A657" s="519"/>
      <c r="B657" s="499" t="s">
        <v>163</v>
      </c>
      <c r="C657" s="499" t="s">
        <v>1386</v>
      </c>
      <c r="D657" s="38" t="s">
        <v>294</v>
      </c>
      <c r="E657" s="184"/>
      <c r="F657" s="184"/>
      <c r="G657" s="184"/>
      <c r="H657" s="131" t="s">
        <v>169</v>
      </c>
      <c r="I657" s="101">
        <v>0</v>
      </c>
      <c r="J657" s="102">
        <v>10000</v>
      </c>
      <c r="K657" s="101"/>
      <c r="L657" s="102">
        <v>10000</v>
      </c>
      <c r="M657" s="10"/>
      <c r="N657" s="10"/>
      <c r="O657"/>
      <c r="P657"/>
    </row>
    <row r="658" spans="1:16" s="146" customFormat="1" ht="18" x14ac:dyDescent="0.25">
      <c r="A658" s="519"/>
      <c r="B658" s="499" t="s">
        <v>163</v>
      </c>
      <c r="C658" s="499" t="s">
        <v>1386</v>
      </c>
      <c r="D658" s="38" t="s">
        <v>213</v>
      </c>
      <c r="E658" s="184"/>
      <c r="F658" s="184"/>
      <c r="G658" s="184"/>
      <c r="H658" s="131"/>
      <c r="I658" s="101"/>
      <c r="J658" s="102"/>
      <c r="K658" s="101"/>
      <c r="L658" s="102">
        <v>8000</v>
      </c>
      <c r="M658" s="10"/>
      <c r="N658" s="10"/>
      <c r="O658"/>
      <c r="P658"/>
    </row>
    <row r="659" spans="1:16" s="146" customFormat="1" ht="18" x14ac:dyDescent="0.25">
      <c r="A659" s="519"/>
      <c r="B659" s="499" t="s">
        <v>163</v>
      </c>
      <c r="C659" s="499" t="s">
        <v>1386</v>
      </c>
      <c r="D659" s="38" t="s">
        <v>296</v>
      </c>
      <c r="E659" s="184"/>
      <c r="F659" s="184"/>
      <c r="G659" s="184"/>
      <c r="H659" s="131" t="s">
        <v>177</v>
      </c>
      <c r="I659" s="101">
        <v>0</v>
      </c>
      <c r="J659" s="102">
        <v>10000</v>
      </c>
      <c r="K659" s="101"/>
      <c r="L659" s="102">
        <v>10000</v>
      </c>
      <c r="M659" s="10"/>
      <c r="N659" s="10"/>
      <c r="O659"/>
      <c r="P659"/>
    </row>
    <row r="660" spans="1:16" s="146" customFormat="1" ht="18" x14ac:dyDescent="0.25">
      <c r="A660" s="519"/>
      <c r="B660" s="499" t="s">
        <v>163</v>
      </c>
      <c r="C660" s="499" t="s">
        <v>1386</v>
      </c>
      <c r="D660" s="38" t="s">
        <v>178</v>
      </c>
      <c r="E660" s="184"/>
      <c r="F660" s="184"/>
      <c r="G660" s="184"/>
      <c r="H660" s="131" t="s">
        <v>179</v>
      </c>
      <c r="I660" s="101"/>
      <c r="J660" s="102"/>
      <c r="K660" s="101"/>
      <c r="L660" s="102">
        <v>54000</v>
      </c>
      <c r="M660" s="10"/>
      <c r="N660" s="10"/>
      <c r="O660"/>
      <c r="P660"/>
    </row>
    <row r="661" spans="1:16" s="146" customFormat="1" ht="18" x14ac:dyDescent="0.25">
      <c r="A661" s="519"/>
      <c r="B661" s="499" t="s">
        <v>163</v>
      </c>
      <c r="C661" s="499" t="s">
        <v>1386</v>
      </c>
      <c r="D661" s="38" t="s">
        <v>181</v>
      </c>
      <c r="E661" s="184"/>
      <c r="F661" s="184"/>
      <c r="G661" s="184"/>
      <c r="H661" s="131" t="s">
        <v>179</v>
      </c>
      <c r="I661" s="101">
        <v>0</v>
      </c>
      <c r="J661" s="102">
        <v>42000</v>
      </c>
      <c r="K661" s="101"/>
      <c r="L661" s="102"/>
      <c r="M661" s="10"/>
      <c r="N661" s="10"/>
      <c r="O661"/>
      <c r="P661"/>
    </row>
    <row r="662" spans="1:16" s="146" customFormat="1" ht="18" x14ac:dyDescent="0.25">
      <c r="A662" s="519"/>
      <c r="B662" s="499" t="s">
        <v>163</v>
      </c>
      <c r="C662" s="499" t="s">
        <v>1386</v>
      </c>
      <c r="D662" s="38" t="s">
        <v>289</v>
      </c>
      <c r="E662" s="184"/>
      <c r="F662" s="184"/>
      <c r="G662" s="184"/>
      <c r="H662" s="131" t="s">
        <v>183</v>
      </c>
      <c r="I662" s="101">
        <v>0</v>
      </c>
      <c r="J662" s="102">
        <v>12000</v>
      </c>
      <c r="K662" s="101"/>
      <c r="L662" s="102"/>
      <c r="M662" s="10"/>
      <c r="N662" s="10"/>
      <c r="O662"/>
      <c r="P662"/>
    </row>
    <row r="663" spans="1:16" s="146" customFormat="1" ht="18" x14ac:dyDescent="0.25">
      <c r="A663" s="519"/>
      <c r="B663" s="499" t="s">
        <v>163</v>
      </c>
      <c r="C663" s="499" t="s">
        <v>1386</v>
      </c>
      <c r="D663" s="38" t="s">
        <v>297</v>
      </c>
      <c r="E663" s="184"/>
      <c r="F663" s="184"/>
      <c r="G663" s="184"/>
      <c r="H663" s="131" t="s">
        <v>187</v>
      </c>
      <c r="I663" s="101">
        <v>0</v>
      </c>
      <c r="J663" s="102">
        <v>10000</v>
      </c>
      <c r="K663" s="101"/>
      <c r="L663" s="102">
        <v>10000</v>
      </c>
      <c r="M663" s="10"/>
      <c r="N663" s="10"/>
      <c r="O663"/>
      <c r="P663"/>
    </row>
    <row r="664" spans="1:16" s="146" customFormat="1" ht="18" x14ac:dyDescent="0.25">
      <c r="A664" s="519"/>
      <c r="B664" s="499" t="s">
        <v>163</v>
      </c>
      <c r="C664" s="499" t="s">
        <v>1386</v>
      </c>
      <c r="D664" s="38" t="s">
        <v>300</v>
      </c>
      <c r="E664" s="184"/>
      <c r="F664" s="184"/>
      <c r="G664" s="184"/>
      <c r="H664" s="131" t="s">
        <v>199</v>
      </c>
      <c r="I664" s="101">
        <v>0</v>
      </c>
      <c r="J664" s="102">
        <v>150000</v>
      </c>
      <c r="K664" s="101"/>
      <c r="L664" s="102">
        <v>150000</v>
      </c>
      <c r="M664" s="10"/>
      <c r="N664" s="10"/>
      <c r="O664"/>
      <c r="P664"/>
    </row>
    <row r="665" spans="1:16" s="194" customFormat="1" ht="18" x14ac:dyDescent="0.25">
      <c r="A665" s="519"/>
      <c r="B665" s="499" t="s">
        <v>201</v>
      </c>
      <c r="C665" s="499" t="s">
        <v>1386</v>
      </c>
      <c r="D665" s="502" t="s">
        <v>325</v>
      </c>
      <c r="E665" s="499"/>
      <c r="F665" s="499"/>
      <c r="G665" s="491"/>
      <c r="H665" s="97"/>
      <c r="I665" s="101"/>
      <c r="J665" s="102"/>
      <c r="K665" s="101"/>
      <c r="L665" s="102">
        <v>400000</v>
      </c>
      <c r="M665" s="10"/>
      <c r="N665" s="10"/>
      <c r="O665" s="191"/>
      <c r="P665" s="191"/>
    </row>
    <row r="666" spans="1:16" s="146" customFormat="1" ht="18" x14ac:dyDescent="0.25">
      <c r="A666" s="519"/>
      <c r="B666" s="499" t="s">
        <v>123</v>
      </c>
      <c r="C666" s="499" t="s">
        <v>1386</v>
      </c>
      <c r="D666" s="1602" t="s">
        <v>124</v>
      </c>
      <c r="E666" s="1603"/>
      <c r="F666" s="1603"/>
      <c r="G666" s="1603"/>
      <c r="H666" s="100" t="s">
        <v>125</v>
      </c>
      <c r="I666" s="101">
        <v>0</v>
      </c>
      <c r="J666" s="102">
        <v>1063608</v>
      </c>
      <c r="K666" s="101"/>
      <c r="L666" s="101">
        <v>1111488</v>
      </c>
      <c r="M666" s="10"/>
      <c r="N666" s="10"/>
      <c r="O666"/>
      <c r="P666"/>
    </row>
    <row r="667" spans="1:16" s="146" customFormat="1" ht="18" x14ac:dyDescent="0.25">
      <c r="A667" s="519"/>
      <c r="B667" s="499" t="s">
        <v>123</v>
      </c>
      <c r="C667" s="499" t="s">
        <v>1386</v>
      </c>
      <c r="D667" s="1602" t="s">
        <v>129</v>
      </c>
      <c r="E667" s="1603"/>
      <c r="F667" s="1603"/>
      <c r="G667" s="1603"/>
      <c r="H667" s="103" t="s">
        <v>130</v>
      </c>
      <c r="I667" s="101">
        <v>0</v>
      </c>
      <c r="J667" s="102">
        <v>48000</v>
      </c>
      <c r="K667" s="101"/>
      <c r="L667" s="101">
        <v>48000</v>
      </c>
      <c r="M667" s="10"/>
      <c r="N667" s="10"/>
      <c r="O667"/>
      <c r="P667"/>
    </row>
    <row r="668" spans="1:16" s="146" customFormat="1" ht="18" x14ac:dyDescent="0.25">
      <c r="A668" s="519"/>
      <c r="B668" s="499" t="s">
        <v>123</v>
      </c>
      <c r="C668" s="499" t="s">
        <v>1386</v>
      </c>
      <c r="D668" s="1602" t="s">
        <v>131</v>
      </c>
      <c r="E668" s="1603"/>
      <c r="F668" s="1603"/>
      <c r="G668" s="1603"/>
      <c r="H668" s="100" t="s">
        <v>132</v>
      </c>
      <c r="I668" s="101">
        <v>0</v>
      </c>
      <c r="J668" s="102">
        <v>72000</v>
      </c>
      <c r="K668" s="101"/>
      <c r="L668" s="101">
        <v>72000</v>
      </c>
      <c r="M668" s="10"/>
      <c r="N668" s="10"/>
      <c r="O668"/>
      <c r="P668"/>
    </row>
    <row r="669" spans="1:16" s="146" customFormat="1" ht="18" x14ac:dyDescent="0.25">
      <c r="A669" s="519"/>
      <c r="B669" s="499" t="s">
        <v>123</v>
      </c>
      <c r="C669" s="499" t="s">
        <v>1386</v>
      </c>
      <c r="D669" s="1602" t="s">
        <v>133</v>
      </c>
      <c r="E669" s="1603"/>
      <c r="F669" s="1603"/>
      <c r="G669" s="1603"/>
      <c r="H669" s="100" t="s">
        <v>134</v>
      </c>
      <c r="I669" s="101">
        <v>0</v>
      </c>
      <c r="J669" s="102">
        <v>72000</v>
      </c>
      <c r="K669" s="101"/>
      <c r="L669" s="101">
        <v>72000</v>
      </c>
      <c r="M669" s="10"/>
      <c r="N669" s="10"/>
      <c r="O669"/>
      <c r="P669"/>
    </row>
    <row r="670" spans="1:16" s="146" customFormat="1" ht="18" x14ac:dyDescent="0.25">
      <c r="A670" s="519"/>
      <c r="B670" s="499" t="s">
        <v>123</v>
      </c>
      <c r="C670" s="499" t="s">
        <v>1386</v>
      </c>
      <c r="D670" s="1602" t="s">
        <v>137</v>
      </c>
      <c r="E670" s="1603"/>
      <c r="F670" s="1603"/>
      <c r="G670" s="1603"/>
      <c r="H670" s="100" t="s">
        <v>138</v>
      </c>
      <c r="I670" s="101">
        <v>0</v>
      </c>
      <c r="J670" s="102">
        <v>12000</v>
      </c>
      <c r="K670" s="101"/>
      <c r="L670" s="101">
        <v>12000</v>
      </c>
      <c r="M670" s="10"/>
      <c r="N670" s="10"/>
      <c r="O670"/>
      <c r="P670"/>
    </row>
    <row r="671" spans="1:16" s="146" customFormat="1" ht="18" customHeight="1" x14ac:dyDescent="0.25">
      <c r="A671" s="519"/>
      <c r="B671" s="499" t="s">
        <v>123</v>
      </c>
      <c r="C671" s="499" t="s">
        <v>1386</v>
      </c>
      <c r="D671" s="1602" t="s">
        <v>139</v>
      </c>
      <c r="E671" s="1603"/>
      <c r="F671" s="1603"/>
      <c r="G671" s="1603"/>
      <c r="H671" s="100" t="s">
        <v>140</v>
      </c>
      <c r="I671" s="101">
        <v>0</v>
      </c>
      <c r="J671" s="102">
        <v>88634</v>
      </c>
      <c r="K671" s="101"/>
      <c r="L671" s="101">
        <v>92624</v>
      </c>
      <c r="M671" s="10"/>
      <c r="N671" s="10"/>
      <c r="O671"/>
      <c r="P671"/>
    </row>
    <row r="672" spans="1:16" s="146" customFormat="1" ht="18" x14ac:dyDescent="0.25">
      <c r="A672" s="519"/>
      <c r="B672" s="499" t="s">
        <v>123</v>
      </c>
      <c r="C672" s="499" t="s">
        <v>1386</v>
      </c>
      <c r="D672" s="1602" t="s">
        <v>141</v>
      </c>
      <c r="E672" s="1603"/>
      <c r="F672" s="1603"/>
      <c r="G672" s="1603"/>
      <c r="H672" s="100" t="s">
        <v>142</v>
      </c>
      <c r="I672" s="101">
        <v>0</v>
      </c>
      <c r="J672" s="102">
        <v>88634</v>
      </c>
      <c r="K672" s="101"/>
      <c r="L672" s="101">
        <v>92624</v>
      </c>
      <c r="M672" s="10"/>
      <c r="N672" s="10"/>
      <c r="O672"/>
      <c r="P672"/>
    </row>
    <row r="673" spans="1:16" s="146" customFormat="1" ht="18" x14ac:dyDescent="0.25">
      <c r="A673" s="519"/>
      <c r="B673" s="499" t="s">
        <v>123</v>
      </c>
      <c r="C673" s="499" t="s">
        <v>1386</v>
      </c>
      <c r="D673" s="1602" t="s">
        <v>143</v>
      </c>
      <c r="E673" s="1603"/>
      <c r="F673" s="1603"/>
      <c r="G673" s="1603"/>
      <c r="H673" s="100" t="s">
        <v>144</v>
      </c>
      <c r="I673" s="101">
        <v>0</v>
      </c>
      <c r="J673" s="102">
        <v>10000</v>
      </c>
      <c r="K673" s="101"/>
      <c r="L673" s="101">
        <v>10000</v>
      </c>
      <c r="M673" s="10"/>
      <c r="N673" s="10"/>
      <c r="O673"/>
      <c r="P673"/>
    </row>
    <row r="674" spans="1:16" s="146" customFormat="1" ht="18" x14ac:dyDescent="0.25">
      <c r="A674" s="519"/>
      <c r="B674" s="499" t="s">
        <v>123</v>
      </c>
      <c r="C674" s="499" t="s">
        <v>1386</v>
      </c>
      <c r="D674" s="1602" t="s">
        <v>145</v>
      </c>
      <c r="E674" s="1603"/>
      <c r="F674" s="1603"/>
      <c r="G674" s="1603"/>
      <c r="H674" s="100" t="s">
        <v>146</v>
      </c>
      <c r="I674" s="101">
        <v>0</v>
      </c>
      <c r="J674" s="102">
        <v>10000</v>
      </c>
      <c r="K674" s="101"/>
      <c r="L674" s="101">
        <v>10000</v>
      </c>
      <c r="M674" s="10"/>
      <c r="N674" s="10"/>
      <c r="O674"/>
      <c r="P674"/>
    </row>
    <row r="675" spans="1:16" s="146" customFormat="1" ht="18" x14ac:dyDescent="0.25">
      <c r="A675" s="519"/>
      <c r="B675" s="499" t="s">
        <v>123</v>
      </c>
      <c r="C675" s="499" t="s">
        <v>1386</v>
      </c>
      <c r="D675" s="536" t="s">
        <v>147</v>
      </c>
      <c r="E675" s="499"/>
      <c r="F675" s="499"/>
      <c r="G675" s="491"/>
      <c r="H675" s="100" t="s">
        <v>148</v>
      </c>
      <c r="I675" s="101"/>
      <c r="J675" s="102"/>
      <c r="K675" s="101"/>
      <c r="L675" s="101">
        <v>6000</v>
      </c>
      <c r="M675" s="10"/>
      <c r="N675" s="10"/>
      <c r="O675"/>
      <c r="P675"/>
    </row>
    <row r="676" spans="1:16" s="146" customFormat="1" ht="18" x14ac:dyDescent="0.25">
      <c r="A676" s="519"/>
      <c r="B676" s="499" t="s">
        <v>123</v>
      </c>
      <c r="C676" s="499" t="s">
        <v>1386</v>
      </c>
      <c r="D676" s="1611" t="s">
        <v>152</v>
      </c>
      <c r="E676" s="1611"/>
      <c r="F676" s="1611"/>
      <c r="G676" s="1602"/>
      <c r="H676" s="100"/>
      <c r="I676" s="101">
        <v>0</v>
      </c>
      <c r="J676" s="102">
        <v>30902.34</v>
      </c>
      <c r="K676" s="101"/>
      <c r="L676" s="101"/>
      <c r="M676" s="10"/>
      <c r="N676" s="10"/>
      <c r="O676"/>
      <c r="P676"/>
    </row>
    <row r="677" spans="1:16" s="146" customFormat="1" ht="18" x14ac:dyDescent="0.25">
      <c r="A677" s="519"/>
      <c r="B677" s="499" t="s">
        <v>123</v>
      </c>
      <c r="C677" s="499" t="s">
        <v>1386</v>
      </c>
      <c r="D677" s="1602" t="s">
        <v>153</v>
      </c>
      <c r="E677" s="1603"/>
      <c r="F677" s="1603"/>
      <c r="G677" s="1603"/>
      <c r="H677" s="100" t="s">
        <v>154</v>
      </c>
      <c r="I677" s="101">
        <v>0</v>
      </c>
      <c r="J677" s="102">
        <v>127632.96000000001</v>
      </c>
      <c r="K677" s="101"/>
      <c r="L677" s="101">
        <v>133378.56</v>
      </c>
      <c r="M677" s="10"/>
      <c r="N677" s="10"/>
      <c r="O677"/>
      <c r="P677"/>
    </row>
    <row r="678" spans="1:16" s="146" customFormat="1" ht="18" x14ac:dyDescent="0.25">
      <c r="A678" s="519"/>
      <c r="B678" s="499" t="s">
        <v>123</v>
      </c>
      <c r="C678" s="499" t="s">
        <v>1386</v>
      </c>
      <c r="D678" s="1602" t="s">
        <v>155</v>
      </c>
      <c r="E678" s="1603"/>
      <c r="F678" s="1603"/>
      <c r="G678" s="1603"/>
      <c r="H678" s="100" t="s">
        <v>156</v>
      </c>
      <c r="I678" s="101">
        <v>0</v>
      </c>
      <c r="J678" s="102">
        <v>2400</v>
      </c>
      <c r="K678" s="101"/>
      <c r="L678" s="101">
        <v>2400</v>
      </c>
      <c r="M678" s="10"/>
      <c r="N678" s="10"/>
      <c r="O678"/>
      <c r="P678"/>
    </row>
    <row r="679" spans="1:16" s="146" customFormat="1" ht="18" x14ac:dyDescent="0.25">
      <c r="A679" s="519"/>
      <c r="B679" s="499" t="s">
        <v>123</v>
      </c>
      <c r="C679" s="499" t="s">
        <v>1386</v>
      </c>
      <c r="D679" s="1602" t="s">
        <v>157</v>
      </c>
      <c r="E679" s="1603"/>
      <c r="F679" s="1603"/>
      <c r="G679" s="1603"/>
      <c r="H679" s="100" t="s">
        <v>158</v>
      </c>
      <c r="I679" s="101">
        <v>0</v>
      </c>
      <c r="J679" s="102">
        <v>17019.66</v>
      </c>
      <c r="K679" s="101"/>
      <c r="L679" s="101">
        <v>44160</v>
      </c>
      <c r="M679" s="10"/>
      <c r="N679" s="10"/>
      <c r="O679"/>
      <c r="P679"/>
    </row>
    <row r="680" spans="1:16" s="146" customFormat="1" ht="18" x14ac:dyDescent="0.25">
      <c r="A680" s="519"/>
      <c r="B680" s="499" t="s">
        <v>123</v>
      </c>
      <c r="C680" s="499" t="s">
        <v>1386</v>
      </c>
      <c r="D680" s="1602" t="s">
        <v>159</v>
      </c>
      <c r="E680" s="1603"/>
      <c r="F680" s="1603"/>
      <c r="G680" s="1603"/>
      <c r="H680" s="100" t="s">
        <v>160</v>
      </c>
      <c r="I680" s="101">
        <v>0</v>
      </c>
      <c r="J680" s="102">
        <v>2400</v>
      </c>
      <c r="K680" s="101"/>
      <c r="L680" s="101">
        <v>2400</v>
      </c>
      <c r="M680" s="10"/>
      <c r="N680" s="10"/>
      <c r="O680"/>
      <c r="P680"/>
    </row>
    <row r="681" spans="1:16" s="146" customFormat="1" ht="18" x14ac:dyDescent="0.25">
      <c r="A681" s="195"/>
      <c r="B681" s="499" t="s">
        <v>163</v>
      </c>
      <c r="C681" s="499" t="s">
        <v>1386</v>
      </c>
      <c r="D681" s="38" t="s">
        <v>294</v>
      </c>
      <c r="E681" s="184"/>
      <c r="F681" s="184"/>
      <c r="G681" s="184"/>
      <c r="H681" s="100" t="s">
        <v>169</v>
      </c>
      <c r="I681" s="101">
        <v>0</v>
      </c>
      <c r="J681" s="102">
        <v>10000</v>
      </c>
      <c r="K681" s="101"/>
      <c r="L681" s="102">
        <v>10000</v>
      </c>
      <c r="M681" s="10"/>
      <c r="N681" s="10"/>
      <c r="O681"/>
      <c r="P681"/>
    </row>
    <row r="682" spans="1:16" s="146" customFormat="1" ht="18" x14ac:dyDescent="0.25">
      <c r="A682" s="195"/>
      <c r="B682" s="499" t="s">
        <v>163</v>
      </c>
      <c r="C682" s="499" t="s">
        <v>1386</v>
      </c>
      <c r="D682" s="38" t="s">
        <v>178</v>
      </c>
      <c r="E682" s="184"/>
      <c r="F682" s="184"/>
      <c r="G682" s="184"/>
      <c r="H682" s="100" t="s">
        <v>179</v>
      </c>
      <c r="I682" s="101"/>
      <c r="J682" s="102"/>
      <c r="K682" s="101"/>
      <c r="L682" s="102">
        <v>42000</v>
      </c>
      <c r="M682" s="10"/>
      <c r="N682" s="10"/>
      <c r="O682"/>
      <c r="P682"/>
    </row>
    <row r="683" spans="1:16" s="146" customFormat="1" ht="18" x14ac:dyDescent="0.25">
      <c r="A683" s="195"/>
      <c r="B683" s="499" t="s">
        <v>163</v>
      </c>
      <c r="C683" s="499" t="s">
        <v>1386</v>
      </c>
      <c r="D683" s="38" t="s">
        <v>181</v>
      </c>
      <c r="E683" s="184"/>
      <c r="F683" s="184"/>
      <c r="G683" s="184"/>
      <c r="H683" s="100" t="s">
        <v>179</v>
      </c>
      <c r="I683" s="101">
        <v>0</v>
      </c>
      <c r="J683" s="102">
        <v>42000</v>
      </c>
      <c r="K683" s="101"/>
      <c r="L683" s="102"/>
      <c r="M683" s="10"/>
      <c r="N683" s="10"/>
      <c r="O683"/>
      <c r="P683"/>
    </row>
    <row r="684" spans="1:16" s="146" customFormat="1" ht="18" x14ac:dyDescent="0.25">
      <c r="A684" s="195"/>
      <c r="B684" s="499" t="s">
        <v>163</v>
      </c>
      <c r="C684" s="499" t="s">
        <v>1386</v>
      </c>
      <c r="D684" s="38" t="s">
        <v>327</v>
      </c>
      <c r="E684" s="184"/>
      <c r="F684" s="184"/>
      <c r="G684" s="184"/>
      <c r="H684" s="100" t="s">
        <v>237</v>
      </c>
      <c r="I684" s="101">
        <v>0</v>
      </c>
      <c r="J684" s="102">
        <v>6000</v>
      </c>
      <c r="K684" s="101"/>
      <c r="L684" s="102">
        <v>6000</v>
      </c>
      <c r="M684" s="10"/>
      <c r="N684" s="10"/>
      <c r="O684"/>
      <c r="P684"/>
    </row>
    <row r="685" spans="1:16" s="146" customFormat="1" ht="18" x14ac:dyDescent="0.25">
      <c r="A685" s="195"/>
      <c r="B685" s="499" t="s">
        <v>163</v>
      </c>
      <c r="C685" s="499" t="s">
        <v>1386</v>
      </c>
      <c r="D685" s="38" t="s">
        <v>300</v>
      </c>
      <c r="E685" s="184"/>
      <c r="F685" s="184"/>
      <c r="G685" s="184"/>
      <c r="H685" s="100" t="s">
        <v>199</v>
      </c>
      <c r="I685" s="105">
        <v>0</v>
      </c>
      <c r="J685" s="106">
        <v>46600</v>
      </c>
      <c r="K685" s="105"/>
      <c r="L685" s="106">
        <v>46600</v>
      </c>
      <c r="M685" s="10"/>
      <c r="N685" s="10"/>
      <c r="O685"/>
      <c r="P685"/>
    </row>
    <row r="686" spans="1:16" s="146" customFormat="1" ht="18" x14ac:dyDescent="0.25">
      <c r="A686" s="519"/>
      <c r="B686" s="499" t="s">
        <v>123</v>
      </c>
      <c r="C686" s="499" t="s">
        <v>1386</v>
      </c>
      <c r="D686" s="1602" t="s">
        <v>124</v>
      </c>
      <c r="E686" s="1603"/>
      <c r="F686" s="1603"/>
      <c r="G686" s="1603"/>
      <c r="H686" s="100" t="s">
        <v>125</v>
      </c>
      <c r="I686" s="101">
        <v>1525368</v>
      </c>
      <c r="J686" s="102">
        <v>1833072</v>
      </c>
      <c r="K686" s="101">
        <v>944784.36</v>
      </c>
      <c r="L686" s="101">
        <v>1957500</v>
      </c>
      <c r="M686" s="10"/>
      <c r="N686" s="10"/>
      <c r="O686"/>
      <c r="P686"/>
    </row>
    <row r="687" spans="1:16" s="146" customFormat="1" ht="18" x14ac:dyDescent="0.25">
      <c r="A687" s="519"/>
      <c r="B687" s="499" t="s">
        <v>123</v>
      </c>
      <c r="C687" s="499" t="s">
        <v>1386</v>
      </c>
      <c r="D687" s="1602" t="s">
        <v>128</v>
      </c>
      <c r="E687" s="1603"/>
      <c r="F687" s="1603"/>
      <c r="G687" s="1603"/>
      <c r="H687" s="100" t="s">
        <v>125</v>
      </c>
      <c r="I687" s="101"/>
      <c r="J687" s="102">
        <v>2574</v>
      </c>
      <c r="K687" s="101">
        <v>6000</v>
      </c>
      <c r="L687" s="101">
        <v>3078.55</v>
      </c>
      <c r="M687" s="10"/>
      <c r="N687" s="10"/>
      <c r="O687"/>
      <c r="P687"/>
    </row>
    <row r="688" spans="1:16" s="146" customFormat="1" ht="18" x14ac:dyDescent="0.25">
      <c r="A688" s="519"/>
      <c r="B688" s="499" t="s">
        <v>123</v>
      </c>
      <c r="C688" s="499" t="s">
        <v>1386</v>
      </c>
      <c r="D688" s="1602" t="s">
        <v>129</v>
      </c>
      <c r="E688" s="1603"/>
      <c r="F688" s="1603"/>
      <c r="G688" s="1603"/>
      <c r="H688" s="103" t="s">
        <v>130</v>
      </c>
      <c r="I688" s="101">
        <v>72000</v>
      </c>
      <c r="J688" s="102">
        <v>96000</v>
      </c>
      <c r="K688" s="101">
        <v>42000</v>
      </c>
      <c r="L688" s="101">
        <v>96000</v>
      </c>
      <c r="M688" s="10"/>
      <c r="N688" s="10"/>
      <c r="O688"/>
      <c r="P688"/>
    </row>
    <row r="689" spans="1:16" s="146" customFormat="1" ht="18" x14ac:dyDescent="0.25">
      <c r="A689" s="519"/>
      <c r="B689" s="499" t="s">
        <v>123</v>
      </c>
      <c r="C689" s="499" t="s">
        <v>1386</v>
      </c>
      <c r="D689" s="1602" t="s">
        <v>131</v>
      </c>
      <c r="E689" s="1603"/>
      <c r="F689" s="1603"/>
      <c r="G689" s="1603"/>
      <c r="H689" s="100" t="s">
        <v>132</v>
      </c>
      <c r="I689" s="101">
        <v>72000</v>
      </c>
      <c r="J689" s="102">
        <v>72000</v>
      </c>
      <c r="K689" s="101">
        <v>42000</v>
      </c>
      <c r="L689" s="101">
        <v>72000</v>
      </c>
      <c r="M689" s="10"/>
      <c r="N689" s="10"/>
      <c r="O689"/>
      <c r="P689"/>
    </row>
    <row r="690" spans="1:16" s="146" customFormat="1" ht="18" x14ac:dyDescent="0.25">
      <c r="A690" s="519"/>
      <c r="B690" s="499" t="s">
        <v>123</v>
      </c>
      <c r="C690" s="499" t="s">
        <v>1386</v>
      </c>
      <c r="D690" s="1602" t="s">
        <v>133</v>
      </c>
      <c r="E690" s="1603"/>
      <c r="F690" s="1603"/>
      <c r="G690" s="1603"/>
      <c r="H690" s="100" t="s">
        <v>134</v>
      </c>
      <c r="I690" s="101">
        <v>72000</v>
      </c>
      <c r="J690" s="102">
        <v>72000</v>
      </c>
      <c r="K690" s="101">
        <v>36000</v>
      </c>
      <c r="L690" s="101">
        <v>72000</v>
      </c>
      <c r="M690" s="10"/>
      <c r="N690" s="10"/>
      <c r="O690"/>
      <c r="P690"/>
    </row>
    <row r="691" spans="1:16" s="146" customFormat="1" ht="18" x14ac:dyDescent="0.25">
      <c r="A691" s="519"/>
      <c r="B691" s="499" t="s">
        <v>123</v>
      </c>
      <c r="C691" s="499" t="s">
        <v>1386</v>
      </c>
      <c r="D691" s="1602" t="s">
        <v>135</v>
      </c>
      <c r="E691" s="1603"/>
      <c r="F691" s="1603"/>
      <c r="G691" s="1603"/>
      <c r="H691" s="100" t="s">
        <v>136</v>
      </c>
      <c r="I691" s="101"/>
      <c r="J691" s="102">
        <v>120000</v>
      </c>
      <c r="K691" s="101"/>
      <c r="L691" s="101">
        <v>119869.8</v>
      </c>
      <c r="M691" s="10"/>
      <c r="N691" s="10"/>
      <c r="O691"/>
      <c r="P691"/>
    </row>
    <row r="692" spans="1:16" s="146" customFormat="1" ht="18" x14ac:dyDescent="0.25">
      <c r="A692" s="519"/>
      <c r="B692" s="499" t="s">
        <v>123</v>
      </c>
      <c r="C692" s="499" t="s">
        <v>1386</v>
      </c>
      <c r="D692" s="1602" t="s">
        <v>137</v>
      </c>
      <c r="E692" s="1603"/>
      <c r="F692" s="1603"/>
      <c r="G692" s="1603"/>
      <c r="H692" s="100" t="s">
        <v>138</v>
      </c>
      <c r="I692" s="101">
        <v>18000</v>
      </c>
      <c r="J692" s="102">
        <v>24000</v>
      </c>
      <c r="K692" s="101">
        <v>18000</v>
      </c>
      <c r="L692" s="101">
        <v>24000</v>
      </c>
      <c r="M692" s="10"/>
      <c r="N692" s="10"/>
      <c r="O692"/>
      <c r="P692"/>
    </row>
    <row r="693" spans="1:16" s="146" customFormat="1" ht="18" x14ac:dyDescent="0.25">
      <c r="A693" s="519"/>
      <c r="B693" s="499" t="s">
        <v>123</v>
      </c>
      <c r="C693" s="499" t="s">
        <v>1386</v>
      </c>
      <c r="D693" s="1602" t="s">
        <v>328</v>
      </c>
      <c r="E693" s="1603"/>
      <c r="F693" s="1603"/>
      <c r="G693" s="1603"/>
      <c r="H693" s="100" t="s">
        <v>329</v>
      </c>
      <c r="I693" s="101">
        <v>4230773.7300000004</v>
      </c>
      <c r="J693" s="102">
        <v>7000000</v>
      </c>
      <c r="K693" s="101">
        <v>1337114.21</v>
      </c>
      <c r="L693" s="102">
        <v>7000000</v>
      </c>
      <c r="M693" s="10"/>
      <c r="N693" s="10"/>
      <c r="O693"/>
      <c r="P693"/>
    </row>
    <row r="694" spans="1:16" s="146" customFormat="1" ht="18" customHeight="1" x14ac:dyDescent="0.25">
      <c r="A694" s="519"/>
      <c r="B694" s="499" t="s">
        <v>123</v>
      </c>
      <c r="C694" s="499" t="s">
        <v>1386</v>
      </c>
      <c r="D694" s="1602" t="s">
        <v>139</v>
      </c>
      <c r="E694" s="1603"/>
      <c r="F694" s="1603"/>
      <c r="G694" s="1603"/>
      <c r="H694" s="100" t="s">
        <v>140</v>
      </c>
      <c r="I694" s="101">
        <v>127114</v>
      </c>
      <c r="J694" s="102">
        <v>152756</v>
      </c>
      <c r="K694" s="101">
        <v>142607</v>
      </c>
      <c r="L694" s="101">
        <v>163533</v>
      </c>
      <c r="M694" s="10"/>
      <c r="N694" s="10"/>
      <c r="O694"/>
      <c r="P694"/>
    </row>
    <row r="695" spans="1:16" s="146" customFormat="1" ht="18" x14ac:dyDescent="0.25">
      <c r="A695" s="519"/>
      <c r="B695" s="499" t="s">
        <v>123</v>
      </c>
      <c r="C695" s="499" t="s">
        <v>1386</v>
      </c>
      <c r="D695" s="1602" t="s">
        <v>141</v>
      </c>
      <c r="E695" s="1603"/>
      <c r="F695" s="1603"/>
      <c r="G695" s="1603"/>
      <c r="H695" s="100" t="s">
        <v>142</v>
      </c>
      <c r="I695" s="101">
        <v>127114</v>
      </c>
      <c r="J695" s="102">
        <v>152756</v>
      </c>
      <c r="K695" s="101"/>
      <c r="L695" s="101">
        <v>163533</v>
      </c>
      <c r="M695" s="10"/>
      <c r="N695" s="10"/>
      <c r="O695"/>
      <c r="P695"/>
    </row>
    <row r="696" spans="1:16" s="146" customFormat="1" ht="18" x14ac:dyDescent="0.25">
      <c r="A696" s="519"/>
      <c r="B696" s="499" t="s">
        <v>123</v>
      </c>
      <c r="C696" s="499" t="s">
        <v>1386</v>
      </c>
      <c r="D696" s="1602" t="s">
        <v>143</v>
      </c>
      <c r="E696" s="1603"/>
      <c r="F696" s="1603"/>
      <c r="G696" s="1603"/>
      <c r="H696" s="100" t="s">
        <v>144</v>
      </c>
      <c r="I696" s="101">
        <v>15000</v>
      </c>
      <c r="J696" s="102">
        <v>20000</v>
      </c>
      <c r="K696" s="101"/>
      <c r="L696" s="101">
        <v>20000</v>
      </c>
      <c r="M696" s="10"/>
      <c r="N696" s="10"/>
      <c r="O696"/>
      <c r="P696"/>
    </row>
    <row r="697" spans="1:16" s="146" customFormat="1" ht="18" x14ac:dyDescent="0.25">
      <c r="A697" s="519"/>
      <c r="B697" s="499" t="s">
        <v>123</v>
      </c>
      <c r="C697" s="499" t="s">
        <v>1386</v>
      </c>
      <c r="D697" s="1602" t="s">
        <v>145</v>
      </c>
      <c r="E697" s="1603"/>
      <c r="F697" s="1603"/>
      <c r="G697" s="1610"/>
      <c r="H697" s="100" t="s">
        <v>146</v>
      </c>
      <c r="I697" s="101">
        <v>15000</v>
      </c>
      <c r="J697" s="102">
        <v>20000</v>
      </c>
      <c r="K697" s="101"/>
      <c r="L697" s="101">
        <v>20000</v>
      </c>
      <c r="M697" s="10"/>
      <c r="N697" s="10"/>
      <c r="O697"/>
      <c r="P697"/>
    </row>
    <row r="698" spans="1:16" s="146" customFormat="1" ht="18" x14ac:dyDescent="0.25">
      <c r="A698" s="519"/>
      <c r="B698" s="499" t="s">
        <v>123</v>
      </c>
      <c r="C698" s="499" t="s">
        <v>1386</v>
      </c>
      <c r="D698" s="536" t="s">
        <v>147</v>
      </c>
      <c r="E698" s="499"/>
      <c r="F698" s="499"/>
      <c r="G698" s="499"/>
      <c r="H698" s="100" t="s">
        <v>148</v>
      </c>
      <c r="I698" s="101"/>
      <c r="J698" s="102"/>
      <c r="K698" s="101"/>
      <c r="L698" s="101">
        <v>12000</v>
      </c>
      <c r="M698" s="10"/>
      <c r="N698" s="10"/>
      <c r="O698"/>
      <c r="P698"/>
    </row>
    <row r="699" spans="1:16" s="146" customFormat="1" ht="18" x14ac:dyDescent="0.25">
      <c r="A699" s="519"/>
      <c r="B699" s="499" t="s">
        <v>123</v>
      </c>
      <c r="C699" s="499" t="s">
        <v>1386</v>
      </c>
      <c r="D699" s="513" t="s">
        <v>149</v>
      </c>
      <c r="E699" s="1675"/>
      <c r="F699" s="1675"/>
      <c r="G699" s="1675"/>
      <c r="H699" s="100" t="s">
        <v>150</v>
      </c>
      <c r="I699" s="101">
        <v>18000</v>
      </c>
      <c r="J699" s="102"/>
      <c r="K699" s="101"/>
      <c r="L699" s="101"/>
      <c r="M699" s="10"/>
      <c r="N699" s="10"/>
      <c r="O699"/>
      <c r="P699"/>
    </row>
    <row r="700" spans="1:16" s="146" customFormat="1" ht="18" customHeight="1" x14ac:dyDescent="0.25">
      <c r="A700" s="519"/>
      <c r="B700" s="499" t="s">
        <v>123</v>
      </c>
      <c r="C700" s="499" t="s">
        <v>1386</v>
      </c>
      <c r="D700" s="44" t="s">
        <v>151</v>
      </c>
      <c r="E700" s="134"/>
      <c r="F700" s="97"/>
      <c r="G700" s="97"/>
      <c r="H700" s="100" t="s">
        <v>148</v>
      </c>
      <c r="I700" s="101">
        <v>30000</v>
      </c>
      <c r="J700" s="102"/>
      <c r="K700" s="101"/>
      <c r="L700" s="101"/>
      <c r="M700" s="10"/>
      <c r="N700" s="10"/>
      <c r="O700"/>
      <c r="P700"/>
    </row>
    <row r="701" spans="1:16" s="146" customFormat="1" ht="18" x14ac:dyDescent="0.25">
      <c r="A701" s="519"/>
      <c r="B701" s="499" t="s">
        <v>123</v>
      </c>
      <c r="C701" s="499" t="s">
        <v>1386</v>
      </c>
      <c r="D701" s="44" t="s">
        <v>231</v>
      </c>
      <c r="E701" s="134"/>
      <c r="F701" s="97"/>
      <c r="G701" s="97"/>
      <c r="H701" s="100" t="s">
        <v>232</v>
      </c>
      <c r="I701" s="101">
        <v>5000</v>
      </c>
      <c r="J701" s="102"/>
      <c r="K701" s="101"/>
      <c r="L701" s="101"/>
      <c r="M701" s="10"/>
      <c r="N701" s="10"/>
      <c r="O701"/>
      <c r="P701"/>
    </row>
    <row r="702" spans="1:16" s="146" customFormat="1" ht="18" x14ac:dyDescent="0.25">
      <c r="A702" s="519"/>
      <c r="B702" s="499" t="s">
        <v>123</v>
      </c>
      <c r="C702" s="499" t="s">
        <v>1386</v>
      </c>
      <c r="D702" s="1611" t="s">
        <v>152</v>
      </c>
      <c r="E702" s="1611"/>
      <c r="F702" s="1611"/>
      <c r="G702" s="1602"/>
      <c r="H702" s="100"/>
      <c r="I702" s="101">
        <v>0</v>
      </c>
      <c r="J702" s="102">
        <v>71816.59</v>
      </c>
      <c r="K702" s="101"/>
      <c r="L702" s="101"/>
      <c r="M702" s="10"/>
      <c r="N702" s="10"/>
      <c r="O702"/>
      <c r="P702"/>
    </row>
    <row r="703" spans="1:16" s="146" customFormat="1" ht="18" x14ac:dyDescent="0.25">
      <c r="A703" s="519"/>
      <c r="B703" s="499" t="s">
        <v>123</v>
      </c>
      <c r="C703" s="499" t="s">
        <v>1386</v>
      </c>
      <c r="D703" s="1602" t="s">
        <v>153</v>
      </c>
      <c r="E703" s="1603"/>
      <c r="F703" s="1603"/>
      <c r="G703" s="1603"/>
      <c r="H703" s="100" t="s">
        <v>154</v>
      </c>
      <c r="I703" s="101">
        <v>183044.16</v>
      </c>
      <c r="J703" s="102">
        <v>220277.52</v>
      </c>
      <c r="K703" s="101">
        <v>112246.78</v>
      </c>
      <c r="L703" s="101">
        <v>235269.43</v>
      </c>
      <c r="M703" s="10"/>
      <c r="N703" s="10"/>
      <c r="O703"/>
      <c r="P703"/>
    </row>
    <row r="704" spans="1:16" s="146" customFormat="1" ht="18" x14ac:dyDescent="0.25">
      <c r="A704" s="519"/>
      <c r="B704" s="499" t="s">
        <v>123</v>
      </c>
      <c r="C704" s="499" t="s">
        <v>1386</v>
      </c>
      <c r="D704" s="1602" t="s">
        <v>155</v>
      </c>
      <c r="E704" s="1603"/>
      <c r="F704" s="1603"/>
      <c r="G704" s="1603"/>
      <c r="H704" s="100" t="s">
        <v>156</v>
      </c>
      <c r="I704" s="101">
        <v>3600</v>
      </c>
      <c r="J704" s="102">
        <v>4800</v>
      </c>
      <c r="K704" s="101">
        <v>2100</v>
      </c>
      <c r="L704" s="101">
        <v>4800</v>
      </c>
      <c r="M704" s="10"/>
      <c r="N704" s="10"/>
      <c r="O704"/>
      <c r="P704"/>
    </row>
    <row r="705" spans="1:16" s="146" customFormat="1" ht="18" x14ac:dyDescent="0.25">
      <c r="A705" s="519"/>
      <c r="B705" s="499" t="s">
        <v>123</v>
      </c>
      <c r="C705" s="499" t="s">
        <v>1386</v>
      </c>
      <c r="D705" s="1602" t="s">
        <v>157</v>
      </c>
      <c r="E705" s="1603"/>
      <c r="F705" s="1603"/>
      <c r="G705" s="1603"/>
      <c r="H705" s="100" t="s">
        <v>158</v>
      </c>
      <c r="I705" s="101">
        <v>19486.82</v>
      </c>
      <c r="J705" s="102">
        <v>30219.42</v>
      </c>
      <c r="K705" s="101">
        <v>12104.2</v>
      </c>
      <c r="L705" s="101">
        <v>76863.14</v>
      </c>
      <c r="M705" s="10"/>
      <c r="N705" s="10"/>
      <c r="O705"/>
      <c r="P705"/>
    </row>
    <row r="706" spans="1:16" s="146" customFormat="1" ht="18" x14ac:dyDescent="0.25">
      <c r="A706" s="519"/>
      <c r="B706" s="499" t="s">
        <v>123</v>
      </c>
      <c r="C706" s="499" t="s">
        <v>1386</v>
      </c>
      <c r="D706" s="1602" t="s">
        <v>159</v>
      </c>
      <c r="E706" s="1603"/>
      <c r="F706" s="1603"/>
      <c r="G706" s="1603"/>
      <c r="H706" s="100" t="s">
        <v>160</v>
      </c>
      <c r="I706" s="101">
        <v>3600</v>
      </c>
      <c r="J706" s="102">
        <v>4800</v>
      </c>
      <c r="K706" s="101">
        <v>2100</v>
      </c>
      <c r="L706" s="101">
        <v>4800</v>
      </c>
      <c r="M706" s="10"/>
      <c r="N706" s="10"/>
      <c r="O706"/>
      <c r="P706"/>
    </row>
    <row r="707" spans="1:16" s="146" customFormat="1" ht="18" customHeight="1" x14ac:dyDescent="0.25">
      <c r="A707" s="519"/>
      <c r="B707" s="499" t="s">
        <v>163</v>
      </c>
      <c r="C707" s="499" t="s">
        <v>1386</v>
      </c>
      <c r="D707" s="44" t="s">
        <v>164</v>
      </c>
      <c r="E707" s="113"/>
      <c r="F707" s="113"/>
      <c r="G707" s="114"/>
      <c r="H707" s="100" t="s">
        <v>165</v>
      </c>
      <c r="I707" s="101">
        <v>5060</v>
      </c>
      <c r="J707" s="102">
        <v>25000</v>
      </c>
      <c r="K707" s="101"/>
      <c r="L707" s="101">
        <v>25000</v>
      </c>
      <c r="M707" s="10"/>
      <c r="N707" s="10"/>
      <c r="O707"/>
      <c r="P707"/>
    </row>
    <row r="708" spans="1:16" s="146" customFormat="1" ht="18" x14ac:dyDescent="0.25">
      <c r="A708" s="519"/>
      <c r="B708" s="499" t="s">
        <v>163</v>
      </c>
      <c r="C708" s="499" t="s">
        <v>1386</v>
      </c>
      <c r="D708" s="38" t="s">
        <v>294</v>
      </c>
      <c r="E708" s="184"/>
      <c r="F708" s="184"/>
      <c r="G708" s="184"/>
      <c r="H708" s="100" t="s">
        <v>169</v>
      </c>
      <c r="I708" s="101">
        <v>94208.12</v>
      </c>
      <c r="J708" s="102">
        <v>154335.5</v>
      </c>
      <c r="K708" s="101">
        <v>69023</v>
      </c>
      <c r="L708" s="101">
        <v>168481</v>
      </c>
      <c r="M708" s="10"/>
      <c r="N708" s="10"/>
      <c r="O708"/>
      <c r="P708"/>
    </row>
    <row r="709" spans="1:16" s="146" customFormat="1" ht="18" x14ac:dyDescent="0.25">
      <c r="A709" s="519"/>
      <c r="B709" s="499" t="s">
        <v>163</v>
      </c>
      <c r="C709" s="499" t="s">
        <v>1386</v>
      </c>
      <c r="D709" s="38" t="s">
        <v>174</v>
      </c>
      <c r="E709" s="184"/>
      <c r="F709" s="184"/>
      <c r="G709" s="184"/>
      <c r="H709" s="100" t="s">
        <v>171</v>
      </c>
      <c r="I709" s="101">
        <v>9235</v>
      </c>
      <c r="J709" s="102">
        <v>13985</v>
      </c>
      <c r="K709" s="101"/>
      <c r="L709" s="101"/>
      <c r="M709" s="10"/>
      <c r="N709" s="10"/>
      <c r="O709"/>
      <c r="P709"/>
    </row>
    <row r="710" spans="1:16" s="146" customFormat="1" ht="18" x14ac:dyDescent="0.25">
      <c r="A710" s="519"/>
      <c r="B710" s="499" t="s">
        <v>163</v>
      </c>
      <c r="C710" s="499" t="s">
        <v>1386</v>
      </c>
      <c r="D710" s="38" t="s">
        <v>170</v>
      </c>
      <c r="E710" s="184"/>
      <c r="F710" s="184"/>
      <c r="G710" s="184"/>
      <c r="H710" s="100" t="s">
        <v>171</v>
      </c>
      <c r="I710" s="101"/>
      <c r="J710" s="102"/>
      <c r="K710" s="101"/>
      <c r="L710" s="101">
        <v>323314</v>
      </c>
      <c r="M710" s="10"/>
      <c r="N710" s="10"/>
      <c r="O710"/>
      <c r="P710"/>
    </row>
    <row r="711" spans="1:16" s="146" customFormat="1" ht="18" x14ac:dyDescent="0.25">
      <c r="A711" s="519"/>
      <c r="B711" s="499" t="s">
        <v>163</v>
      </c>
      <c r="C711" s="499" t="s">
        <v>1386</v>
      </c>
      <c r="D711" s="38" t="s">
        <v>330</v>
      </c>
      <c r="E711" s="184"/>
      <c r="F711" s="184"/>
      <c r="G711" s="184"/>
      <c r="H711" s="100" t="s">
        <v>171</v>
      </c>
      <c r="I711" s="101"/>
      <c r="J711" s="102">
        <v>26600</v>
      </c>
      <c r="K711" s="101"/>
      <c r="L711" s="101"/>
      <c r="M711" s="10"/>
      <c r="N711" s="10"/>
      <c r="O711"/>
      <c r="P711"/>
    </row>
    <row r="712" spans="1:16" s="146" customFormat="1" ht="18" x14ac:dyDescent="0.25">
      <c r="A712" s="519"/>
      <c r="B712" s="499" t="s">
        <v>163</v>
      </c>
      <c r="C712" s="499" t="s">
        <v>1386</v>
      </c>
      <c r="D712" s="38" t="s">
        <v>178</v>
      </c>
      <c r="E712" s="184"/>
      <c r="F712" s="184"/>
      <c r="G712" s="184"/>
      <c r="H712" s="100" t="s">
        <v>179</v>
      </c>
      <c r="I712" s="101"/>
      <c r="J712" s="102"/>
      <c r="K712" s="101"/>
      <c r="L712" s="101">
        <v>54000</v>
      </c>
      <c r="M712" s="10"/>
      <c r="N712" s="10"/>
      <c r="O712"/>
      <c r="P712"/>
    </row>
    <row r="713" spans="1:16" s="146" customFormat="1" ht="18" x14ac:dyDescent="0.25">
      <c r="A713" s="519"/>
      <c r="B713" s="499" t="s">
        <v>163</v>
      </c>
      <c r="C713" s="499" t="s">
        <v>1386</v>
      </c>
      <c r="D713" s="38" t="s">
        <v>250</v>
      </c>
      <c r="E713" s="184"/>
      <c r="F713" s="184"/>
      <c r="G713" s="184"/>
      <c r="H713" s="100" t="s">
        <v>179</v>
      </c>
      <c r="I713" s="101"/>
      <c r="J713" s="102">
        <v>6000</v>
      </c>
      <c r="K713" s="101"/>
      <c r="L713" s="101"/>
      <c r="M713" s="10"/>
      <c r="N713" s="10"/>
      <c r="O713"/>
      <c r="P713"/>
    </row>
    <row r="714" spans="1:16" s="146" customFormat="1" ht="18" x14ac:dyDescent="0.25">
      <c r="A714" s="519"/>
      <c r="B714" s="499" t="s">
        <v>163</v>
      </c>
      <c r="C714" s="499" t="s">
        <v>1386</v>
      </c>
      <c r="D714" s="38" t="s">
        <v>181</v>
      </c>
      <c r="E714" s="184"/>
      <c r="F714" s="184"/>
      <c r="G714" s="184"/>
      <c r="H714" s="100" t="s">
        <v>179</v>
      </c>
      <c r="I714" s="101">
        <v>42000</v>
      </c>
      <c r="J714" s="102">
        <v>42000</v>
      </c>
      <c r="K714" s="101">
        <v>21000</v>
      </c>
      <c r="L714" s="101"/>
      <c r="M714" s="10"/>
      <c r="N714" s="10"/>
      <c r="O714"/>
      <c r="P714"/>
    </row>
    <row r="715" spans="1:16" s="146" customFormat="1" ht="18" x14ac:dyDescent="0.25">
      <c r="A715" s="519"/>
      <c r="B715" s="499" t="s">
        <v>163</v>
      </c>
      <c r="C715" s="499" t="s">
        <v>1386</v>
      </c>
      <c r="D715" s="38" t="s">
        <v>297</v>
      </c>
      <c r="E715" s="184"/>
      <c r="F715" s="184"/>
      <c r="G715" s="184"/>
      <c r="H715" s="100" t="s">
        <v>187</v>
      </c>
      <c r="I715" s="101">
        <v>784</v>
      </c>
      <c r="J715" s="102">
        <v>25000</v>
      </c>
      <c r="K715" s="101"/>
      <c r="L715" s="101">
        <v>25000</v>
      </c>
      <c r="M715" s="10"/>
      <c r="N715" s="10"/>
      <c r="O715"/>
      <c r="P715"/>
    </row>
    <row r="716" spans="1:16" s="146" customFormat="1" ht="18" x14ac:dyDescent="0.25">
      <c r="A716" s="519"/>
      <c r="B716" s="499" t="s">
        <v>163</v>
      </c>
      <c r="C716" s="499" t="s">
        <v>1386</v>
      </c>
      <c r="D716" s="38" t="s">
        <v>331</v>
      </c>
      <c r="E716" s="184"/>
      <c r="F716" s="184"/>
      <c r="G716" s="184"/>
      <c r="H716" s="100" t="s">
        <v>282</v>
      </c>
      <c r="I716" s="101">
        <v>0</v>
      </c>
      <c r="J716" s="102">
        <v>100000</v>
      </c>
      <c r="K716" s="101"/>
      <c r="L716" s="101">
        <v>100000</v>
      </c>
      <c r="M716" s="10"/>
      <c r="N716" s="10"/>
      <c r="O716"/>
      <c r="P716"/>
    </row>
    <row r="717" spans="1:16" s="146" customFormat="1" ht="18" x14ac:dyDescent="0.25">
      <c r="A717" s="519"/>
      <c r="B717" s="499" t="s">
        <v>163</v>
      </c>
      <c r="C717" s="499" t="s">
        <v>1386</v>
      </c>
      <c r="D717" s="38" t="s">
        <v>299</v>
      </c>
      <c r="E717" s="184"/>
      <c r="F717" s="184"/>
      <c r="G717" s="184"/>
      <c r="H717" s="100" t="s">
        <v>237</v>
      </c>
      <c r="I717" s="101">
        <v>0</v>
      </c>
      <c r="J717" s="102">
        <v>8000</v>
      </c>
      <c r="K717" s="101"/>
      <c r="L717" s="101">
        <v>8000</v>
      </c>
      <c r="M717" s="10"/>
      <c r="N717" s="10"/>
      <c r="O717"/>
      <c r="P717"/>
    </row>
    <row r="718" spans="1:16" s="146" customFormat="1" ht="18" x14ac:dyDescent="0.25">
      <c r="A718" s="519"/>
      <c r="B718" s="499" t="s">
        <v>163</v>
      </c>
      <c r="C718" s="499" t="s">
        <v>1386</v>
      </c>
      <c r="D718" s="38" t="s">
        <v>300</v>
      </c>
      <c r="E718" s="184"/>
      <c r="F718" s="184"/>
      <c r="G718" s="184"/>
      <c r="H718" s="100" t="s">
        <v>199</v>
      </c>
      <c r="I718" s="105">
        <v>48000</v>
      </c>
      <c r="J718" s="106">
        <v>140000</v>
      </c>
      <c r="K718" s="105"/>
      <c r="L718" s="105">
        <v>145000</v>
      </c>
      <c r="M718" s="10"/>
      <c r="N718" s="10"/>
      <c r="O718"/>
      <c r="P718"/>
    </row>
    <row r="719" spans="1:16" s="146" customFormat="1" ht="18" customHeight="1" x14ac:dyDescent="0.25">
      <c r="A719" s="495"/>
      <c r="B719" s="499" t="s">
        <v>201</v>
      </c>
      <c r="C719" s="499" t="s">
        <v>1386</v>
      </c>
      <c r="D719" s="535" t="s">
        <v>332</v>
      </c>
      <c r="E719" s="197"/>
      <c r="F719" s="496"/>
      <c r="G719" s="496"/>
      <c r="H719" s="97"/>
      <c r="I719" s="101"/>
      <c r="J719" s="102"/>
      <c r="K719" s="101"/>
      <c r="L719" s="121">
        <v>300000</v>
      </c>
      <c r="M719" s="10"/>
      <c r="N719" s="10"/>
      <c r="O719"/>
      <c r="P719"/>
    </row>
    <row r="720" spans="1:16" s="146" customFormat="1" ht="18" customHeight="1" x14ac:dyDescent="0.25">
      <c r="A720" s="495"/>
      <c r="B720" s="499" t="s">
        <v>201</v>
      </c>
      <c r="C720" s="499" t="s">
        <v>1386</v>
      </c>
      <c r="D720" s="536" t="s">
        <v>333</v>
      </c>
      <c r="E720" s="543"/>
      <c r="F720" s="543"/>
      <c r="G720" s="543"/>
      <c r="H720" s="168"/>
      <c r="I720" s="102"/>
      <c r="J720" s="102"/>
      <c r="K720" s="102"/>
      <c r="L720" s="102">
        <v>40000</v>
      </c>
      <c r="M720" s="10"/>
      <c r="N720" s="10"/>
      <c r="O720"/>
      <c r="P720"/>
    </row>
    <row r="721" spans="1:16" s="146" customFormat="1" ht="18" customHeight="1" x14ac:dyDescent="0.25">
      <c r="A721" s="495"/>
      <c r="B721" s="499" t="s">
        <v>201</v>
      </c>
      <c r="C721" s="499" t="s">
        <v>1386</v>
      </c>
      <c r="D721" s="536" t="s">
        <v>263</v>
      </c>
      <c r="E721" s="543"/>
      <c r="F721" s="543"/>
      <c r="G721" s="543"/>
      <c r="H721" s="168"/>
      <c r="I721" s="102"/>
      <c r="J721" s="102"/>
      <c r="K721" s="102"/>
      <c r="L721" s="102">
        <v>160000</v>
      </c>
      <c r="M721" s="10"/>
      <c r="N721" s="10"/>
      <c r="O721"/>
      <c r="P721"/>
    </row>
    <row r="722" spans="1:16" s="146" customFormat="1" ht="18" x14ac:dyDescent="0.25">
      <c r="A722" s="495"/>
      <c r="B722" s="499" t="s">
        <v>201</v>
      </c>
      <c r="C722" s="499" t="s">
        <v>1386</v>
      </c>
      <c r="D722" s="38" t="s">
        <v>334</v>
      </c>
      <c r="E722" s="198"/>
      <c r="F722" s="184"/>
      <c r="G722" s="184"/>
      <c r="H722" s="97"/>
      <c r="I722" s="101"/>
      <c r="J722" s="102">
        <v>32000</v>
      </c>
      <c r="K722" s="101"/>
      <c r="L722" s="101"/>
      <c r="M722" s="10"/>
      <c r="N722" s="10"/>
      <c r="O722"/>
      <c r="P722"/>
    </row>
    <row r="723" spans="1:16" s="146" customFormat="1" ht="18" x14ac:dyDescent="0.25">
      <c r="A723" s="495"/>
      <c r="B723" s="499" t="s">
        <v>201</v>
      </c>
      <c r="C723" s="499" t="s">
        <v>1386</v>
      </c>
      <c r="D723" s="38" t="s">
        <v>335</v>
      </c>
      <c r="E723" s="199"/>
      <c r="F723" s="184"/>
      <c r="G723" s="184"/>
      <c r="H723" s="97"/>
      <c r="I723" s="101">
        <v>15000</v>
      </c>
      <c r="J723" s="102"/>
      <c r="K723" s="101"/>
      <c r="L723" s="101"/>
      <c r="M723" s="10"/>
      <c r="N723" s="10"/>
      <c r="O723"/>
      <c r="P723"/>
    </row>
    <row r="724" spans="1:16" s="146" customFormat="1" ht="18" x14ac:dyDescent="0.25">
      <c r="A724" s="495"/>
      <c r="B724" s="499" t="s">
        <v>201</v>
      </c>
      <c r="C724" s="499" t="s">
        <v>1386</v>
      </c>
      <c r="D724" s="38" t="s">
        <v>336</v>
      </c>
      <c r="E724" s="199"/>
      <c r="F724" s="184"/>
      <c r="G724" s="184"/>
      <c r="H724" s="97"/>
      <c r="I724" s="101">
        <v>24000</v>
      </c>
      <c r="J724" s="102"/>
      <c r="K724" s="101"/>
      <c r="L724" s="101"/>
      <c r="M724" s="10"/>
      <c r="N724" s="10"/>
      <c r="O724"/>
      <c r="P724"/>
    </row>
    <row r="725" spans="1:16" s="146" customFormat="1" ht="17.45" customHeight="1" x14ac:dyDescent="0.25">
      <c r="A725" s="519"/>
      <c r="B725" s="499" t="s">
        <v>123</v>
      </c>
      <c r="C725" s="499" t="s">
        <v>1386</v>
      </c>
      <c r="D725" s="1602" t="s">
        <v>124</v>
      </c>
      <c r="E725" s="1603"/>
      <c r="F725" s="1603"/>
      <c r="G725" s="1603"/>
      <c r="H725" s="100" t="s">
        <v>125</v>
      </c>
      <c r="I725" s="101">
        <v>2495148.87</v>
      </c>
      <c r="J725" s="102">
        <v>3863268</v>
      </c>
      <c r="K725" s="101">
        <v>1539327.49</v>
      </c>
      <c r="L725" s="101">
        <v>4183836</v>
      </c>
      <c r="M725" s="10"/>
      <c r="N725" s="10"/>
      <c r="O725"/>
      <c r="P725"/>
    </row>
    <row r="726" spans="1:16" s="146" customFormat="1" ht="17.45" customHeight="1" x14ac:dyDescent="0.25">
      <c r="A726" s="519"/>
      <c r="B726" s="499" t="s">
        <v>123</v>
      </c>
      <c r="C726" s="499" t="s">
        <v>1386</v>
      </c>
      <c r="D726" s="1602" t="s">
        <v>126</v>
      </c>
      <c r="E726" s="1603"/>
      <c r="F726" s="1603"/>
      <c r="G726" s="1603"/>
      <c r="H726" s="100" t="s">
        <v>127</v>
      </c>
      <c r="I726" s="101">
        <v>175541.43</v>
      </c>
      <c r="J726" s="102">
        <v>157992</v>
      </c>
      <c r="K726" s="101">
        <v>71943</v>
      </c>
      <c r="L726" s="101">
        <v>171828</v>
      </c>
      <c r="M726" s="10"/>
      <c r="N726" s="10"/>
      <c r="O726"/>
      <c r="P726"/>
    </row>
    <row r="727" spans="1:16" s="146" customFormat="1" ht="17.45" customHeight="1" x14ac:dyDescent="0.25">
      <c r="A727" s="519"/>
      <c r="B727" s="499" t="s">
        <v>123</v>
      </c>
      <c r="C727" s="499" t="s">
        <v>1386</v>
      </c>
      <c r="D727" s="1602" t="s">
        <v>128</v>
      </c>
      <c r="E727" s="1603"/>
      <c r="F727" s="1603"/>
      <c r="G727" s="1603"/>
      <c r="H727" s="100"/>
      <c r="I727" s="101"/>
      <c r="J727" s="102">
        <v>10572</v>
      </c>
      <c r="K727" s="101">
        <v>12493.6</v>
      </c>
      <c r="L727" s="101">
        <v>8197.3700000000008</v>
      </c>
      <c r="M727" s="10"/>
      <c r="N727" s="10"/>
      <c r="O727"/>
      <c r="P727"/>
    </row>
    <row r="728" spans="1:16" s="146" customFormat="1" ht="17.45" customHeight="1" x14ac:dyDescent="0.25">
      <c r="A728" s="519"/>
      <c r="B728" s="499" t="s">
        <v>123</v>
      </c>
      <c r="C728" s="499" t="s">
        <v>1386</v>
      </c>
      <c r="D728" s="1602" t="s">
        <v>129</v>
      </c>
      <c r="E728" s="1603"/>
      <c r="F728" s="1603"/>
      <c r="G728" s="1603"/>
      <c r="H728" s="103" t="s">
        <v>130</v>
      </c>
      <c r="I728" s="101">
        <v>205908.83</v>
      </c>
      <c r="J728" s="102">
        <v>336000</v>
      </c>
      <c r="K728" s="101">
        <v>123727.26</v>
      </c>
      <c r="L728" s="101">
        <v>336000</v>
      </c>
      <c r="M728" s="10"/>
      <c r="N728" s="10"/>
      <c r="O728"/>
      <c r="P728"/>
    </row>
    <row r="729" spans="1:16" s="146" customFormat="1" ht="17.45" customHeight="1" x14ac:dyDescent="0.25">
      <c r="A729" s="519"/>
      <c r="B729" s="499" t="s">
        <v>123</v>
      </c>
      <c r="C729" s="499" t="s">
        <v>1386</v>
      </c>
      <c r="D729" s="1602" t="s">
        <v>131</v>
      </c>
      <c r="E729" s="1603"/>
      <c r="F729" s="1603"/>
      <c r="G729" s="1603"/>
      <c r="H729" s="100" t="s">
        <v>132</v>
      </c>
      <c r="I729" s="101">
        <v>72000</v>
      </c>
      <c r="J729" s="102">
        <v>72000</v>
      </c>
      <c r="K729" s="101">
        <v>42000</v>
      </c>
      <c r="L729" s="101">
        <v>72000</v>
      </c>
      <c r="M729" s="10"/>
      <c r="N729" s="10"/>
      <c r="O729"/>
      <c r="P729"/>
    </row>
    <row r="730" spans="1:16" s="146" customFormat="1" ht="17.45" customHeight="1" x14ac:dyDescent="0.25">
      <c r="A730" s="519"/>
      <c r="B730" s="499" t="s">
        <v>123</v>
      </c>
      <c r="C730" s="499" t="s">
        <v>1386</v>
      </c>
      <c r="D730" s="1602" t="s">
        <v>133</v>
      </c>
      <c r="E730" s="1603"/>
      <c r="F730" s="1603"/>
      <c r="G730" s="1603"/>
      <c r="H730" s="100" t="s">
        <v>134</v>
      </c>
      <c r="I730" s="101">
        <v>72000</v>
      </c>
      <c r="J730" s="102">
        <v>72000</v>
      </c>
      <c r="K730" s="101">
        <v>42000</v>
      </c>
      <c r="L730" s="101">
        <v>72000</v>
      </c>
      <c r="M730" s="10"/>
      <c r="N730" s="10"/>
      <c r="O730"/>
      <c r="P730"/>
    </row>
    <row r="731" spans="1:16" s="146" customFormat="1" ht="17.45" customHeight="1" x14ac:dyDescent="0.25">
      <c r="A731" s="519"/>
      <c r="B731" s="499" t="s">
        <v>123</v>
      </c>
      <c r="C731" s="499" t="s">
        <v>1386</v>
      </c>
      <c r="D731" s="1602" t="s">
        <v>135</v>
      </c>
      <c r="E731" s="1603"/>
      <c r="F731" s="1603"/>
      <c r="G731" s="1603"/>
      <c r="H731" s="100" t="s">
        <v>136</v>
      </c>
      <c r="I731" s="101">
        <v>33191.42</v>
      </c>
      <c r="J731" s="102">
        <v>136343.85999999999</v>
      </c>
      <c r="K731" s="101">
        <v>55151.28</v>
      </c>
      <c r="L731" s="102">
        <v>147000</v>
      </c>
      <c r="M731" s="10"/>
      <c r="N731" s="10"/>
      <c r="O731"/>
      <c r="P731"/>
    </row>
    <row r="732" spans="1:16" s="146" customFormat="1" ht="17.45" customHeight="1" x14ac:dyDescent="0.25">
      <c r="A732" s="519"/>
      <c r="B732" s="499" t="s">
        <v>123</v>
      </c>
      <c r="C732" s="499" t="s">
        <v>1386</v>
      </c>
      <c r="D732" s="1602" t="s">
        <v>137</v>
      </c>
      <c r="E732" s="1603"/>
      <c r="F732" s="1603"/>
      <c r="G732" s="1603"/>
      <c r="H732" s="100" t="s">
        <v>138</v>
      </c>
      <c r="I732" s="101">
        <v>48000</v>
      </c>
      <c r="J732" s="102">
        <v>84000</v>
      </c>
      <c r="K732" s="101">
        <v>54000</v>
      </c>
      <c r="L732" s="101">
        <v>84000</v>
      </c>
      <c r="M732" s="10"/>
      <c r="N732" s="10"/>
      <c r="O732"/>
      <c r="P732"/>
    </row>
    <row r="733" spans="1:16" s="146" customFormat="1" ht="17.45" customHeight="1" x14ac:dyDescent="0.25">
      <c r="A733" s="519"/>
      <c r="B733" s="499" t="s">
        <v>123</v>
      </c>
      <c r="C733" s="499" t="s">
        <v>1386</v>
      </c>
      <c r="D733" s="1602" t="s">
        <v>139</v>
      </c>
      <c r="E733" s="1603"/>
      <c r="F733" s="1603"/>
      <c r="G733" s="1603"/>
      <c r="H733" s="100" t="s">
        <v>140</v>
      </c>
      <c r="I733" s="101">
        <v>221164</v>
      </c>
      <c r="J733" s="102">
        <v>335332</v>
      </c>
      <c r="K733" s="101">
        <v>236544</v>
      </c>
      <c r="L733" s="101">
        <v>363814</v>
      </c>
      <c r="M733" s="10"/>
      <c r="N733" s="10"/>
      <c r="O733"/>
      <c r="P733"/>
    </row>
    <row r="734" spans="1:16" s="146" customFormat="1" ht="17.45" customHeight="1" x14ac:dyDescent="0.25">
      <c r="A734" s="519"/>
      <c r="B734" s="499" t="s">
        <v>123</v>
      </c>
      <c r="C734" s="499" t="s">
        <v>1386</v>
      </c>
      <c r="D734" s="1602" t="s">
        <v>141</v>
      </c>
      <c r="E734" s="1603"/>
      <c r="F734" s="1603"/>
      <c r="G734" s="1603"/>
      <c r="H734" s="100" t="s">
        <v>142</v>
      </c>
      <c r="I734" s="101">
        <v>221297</v>
      </c>
      <c r="J734" s="102">
        <v>336640</v>
      </c>
      <c r="K734" s="101"/>
      <c r="L734" s="101">
        <v>363814</v>
      </c>
      <c r="M734" s="10"/>
      <c r="N734" s="10"/>
      <c r="O734"/>
      <c r="P734"/>
    </row>
    <row r="735" spans="1:16" s="146" customFormat="1" ht="17.45" customHeight="1" x14ac:dyDescent="0.25">
      <c r="A735" s="519"/>
      <c r="B735" s="499" t="s">
        <v>123</v>
      </c>
      <c r="C735" s="499" t="s">
        <v>1386</v>
      </c>
      <c r="D735" s="1602" t="s">
        <v>143</v>
      </c>
      <c r="E735" s="1603"/>
      <c r="F735" s="1603"/>
      <c r="G735" s="1603"/>
      <c r="H735" s="100" t="s">
        <v>144</v>
      </c>
      <c r="I735" s="101">
        <v>45000</v>
      </c>
      <c r="J735" s="102">
        <v>70000</v>
      </c>
      <c r="K735" s="101"/>
      <c r="L735" s="101">
        <v>70000</v>
      </c>
      <c r="M735" s="10"/>
      <c r="N735" s="10"/>
      <c r="O735"/>
      <c r="P735"/>
    </row>
    <row r="736" spans="1:16" s="146" customFormat="1" ht="17.45" customHeight="1" x14ac:dyDescent="0.25">
      <c r="A736" s="519"/>
      <c r="B736" s="499" t="s">
        <v>123</v>
      </c>
      <c r="C736" s="499" t="s">
        <v>1386</v>
      </c>
      <c r="D736" s="1602" t="s">
        <v>145</v>
      </c>
      <c r="E736" s="1603"/>
      <c r="F736" s="1603"/>
      <c r="G736" s="1603"/>
      <c r="H736" s="100" t="s">
        <v>146</v>
      </c>
      <c r="I736" s="101">
        <v>45000</v>
      </c>
      <c r="J736" s="102">
        <v>70000</v>
      </c>
      <c r="K736" s="101"/>
      <c r="L736" s="101">
        <v>70000</v>
      </c>
      <c r="M736" s="10"/>
      <c r="N736" s="10"/>
      <c r="O736"/>
      <c r="P736"/>
    </row>
    <row r="737" spans="1:16" s="146" customFormat="1" ht="17.45" customHeight="1" x14ac:dyDescent="0.25">
      <c r="A737" s="519"/>
      <c r="B737" s="499" t="s">
        <v>123</v>
      </c>
      <c r="C737" s="499" t="s">
        <v>1386</v>
      </c>
      <c r="D737" s="536" t="s">
        <v>147</v>
      </c>
      <c r="E737" s="499"/>
      <c r="F737" s="499"/>
      <c r="G737" s="491"/>
      <c r="H737" s="100" t="s">
        <v>148</v>
      </c>
      <c r="I737" s="101"/>
      <c r="J737" s="102"/>
      <c r="K737" s="101"/>
      <c r="L737" s="101">
        <v>42000</v>
      </c>
      <c r="M737" s="10"/>
      <c r="N737" s="10"/>
      <c r="O737"/>
      <c r="P737"/>
    </row>
    <row r="738" spans="1:16" s="146" customFormat="1" ht="17.45" customHeight="1" x14ac:dyDescent="0.25">
      <c r="A738" s="519"/>
      <c r="B738" s="499" t="s">
        <v>123</v>
      </c>
      <c r="C738" s="499" t="s">
        <v>1386</v>
      </c>
      <c r="D738" s="513" t="s">
        <v>149</v>
      </c>
      <c r="E738" s="1675"/>
      <c r="F738" s="1675"/>
      <c r="G738" s="1676"/>
      <c r="H738" s="100" t="s">
        <v>150</v>
      </c>
      <c r="I738" s="101">
        <v>65925</v>
      </c>
      <c r="J738" s="102"/>
      <c r="K738" s="101"/>
      <c r="L738" s="101"/>
      <c r="M738" s="10"/>
      <c r="N738" s="10"/>
      <c r="O738"/>
      <c r="P738"/>
    </row>
    <row r="739" spans="1:16" s="146" customFormat="1" ht="17.45" customHeight="1" x14ac:dyDescent="0.25">
      <c r="A739" s="519"/>
      <c r="B739" s="499" t="s">
        <v>123</v>
      </c>
      <c r="C739" s="499" t="s">
        <v>1386</v>
      </c>
      <c r="D739" s="1602" t="s">
        <v>151</v>
      </c>
      <c r="E739" s="1603"/>
      <c r="F739" s="1603"/>
      <c r="G739" s="1603"/>
      <c r="H739" s="100" t="s">
        <v>148</v>
      </c>
      <c r="I739" s="101">
        <v>90000</v>
      </c>
      <c r="J739" s="102">
        <v>0</v>
      </c>
      <c r="K739" s="101"/>
      <c r="L739" s="101"/>
      <c r="M739" s="10"/>
      <c r="N739" s="10"/>
      <c r="O739"/>
      <c r="P739"/>
    </row>
    <row r="740" spans="1:16" s="146" customFormat="1" ht="17.45" customHeight="1" x14ac:dyDescent="0.25">
      <c r="A740" s="519"/>
      <c r="B740" s="499" t="s">
        <v>123</v>
      </c>
      <c r="C740" s="499" t="s">
        <v>1386</v>
      </c>
      <c r="D740" s="1611" t="s">
        <v>152</v>
      </c>
      <c r="E740" s="1611"/>
      <c r="F740" s="1611"/>
      <c r="G740" s="1602"/>
      <c r="H740" s="100"/>
      <c r="I740" s="101">
        <v>0</v>
      </c>
      <c r="J740" s="102">
        <v>214734.76</v>
      </c>
      <c r="K740" s="101"/>
      <c r="L740" s="101"/>
      <c r="M740" s="10"/>
      <c r="N740" s="10"/>
      <c r="O740"/>
      <c r="P740"/>
    </row>
    <row r="741" spans="1:16" s="146" customFormat="1" ht="17.45" customHeight="1" x14ac:dyDescent="0.25">
      <c r="A741" s="519"/>
      <c r="B741" s="499" t="s">
        <v>123</v>
      </c>
      <c r="C741" s="499" t="s">
        <v>1386</v>
      </c>
      <c r="D741" s="1602" t="s">
        <v>153</v>
      </c>
      <c r="E741" s="1603"/>
      <c r="F741" s="1603"/>
      <c r="G741" s="1603"/>
      <c r="H741" s="100" t="s">
        <v>154</v>
      </c>
      <c r="I741" s="101">
        <v>311395.90000000002</v>
      </c>
      <c r="J741" s="102">
        <v>483819.84</v>
      </c>
      <c r="K741" s="101">
        <v>195273.15</v>
      </c>
      <c r="L741" s="101">
        <v>523663.35999999999</v>
      </c>
      <c r="M741" s="10"/>
      <c r="N741" s="10"/>
      <c r="O741"/>
      <c r="P741"/>
    </row>
    <row r="742" spans="1:16" s="146" customFormat="1" ht="17.45" customHeight="1" x14ac:dyDescent="0.25">
      <c r="A742" s="519"/>
      <c r="B742" s="499" t="s">
        <v>123</v>
      </c>
      <c r="C742" s="499" t="s">
        <v>1386</v>
      </c>
      <c r="D742" s="1602" t="s">
        <v>155</v>
      </c>
      <c r="E742" s="1603"/>
      <c r="F742" s="1603"/>
      <c r="G742" s="1603"/>
      <c r="H742" s="100" t="s">
        <v>156</v>
      </c>
      <c r="I742" s="101">
        <v>10300</v>
      </c>
      <c r="J742" s="102">
        <v>16800</v>
      </c>
      <c r="K742" s="101">
        <v>6300</v>
      </c>
      <c r="L742" s="101">
        <v>16800</v>
      </c>
      <c r="M742" s="10"/>
      <c r="N742" s="10"/>
      <c r="O742"/>
      <c r="P742"/>
    </row>
    <row r="743" spans="1:16" s="146" customFormat="1" ht="17.45" customHeight="1" x14ac:dyDescent="0.25">
      <c r="A743" s="519"/>
      <c r="B743" s="499" t="s">
        <v>123</v>
      </c>
      <c r="C743" s="499" t="s">
        <v>1386</v>
      </c>
      <c r="D743" s="1602" t="s">
        <v>157</v>
      </c>
      <c r="E743" s="1603"/>
      <c r="F743" s="1603"/>
      <c r="G743" s="1603"/>
      <c r="H743" s="100" t="s">
        <v>158</v>
      </c>
      <c r="I743" s="101">
        <v>35224.99</v>
      </c>
      <c r="J743" s="102">
        <v>68290.11</v>
      </c>
      <c r="K743" s="101">
        <v>22298.76</v>
      </c>
      <c r="L743" s="101">
        <v>172503.89</v>
      </c>
      <c r="M743" s="10"/>
      <c r="N743" s="10"/>
      <c r="O743"/>
      <c r="P743"/>
    </row>
    <row r="744" spans="1:16" s="146" customFormat="1" ht="17.45" customHeight="1" x14ac:dyDescent="0.25">
      <c r="A744" s="519"/>
      <c r="B744" s="499" t="s">
        <v>123</v>
      </c>
      <c r="C744" s="499" t="s">
        <v>1386</v>
      </c>
      <c r="D744" s="1602" t="s">
        <v>159</v>
      </c>
      <c r="E744" s="1603"/>
      <c r="F744" s="1603"/>
      <c r="G744" s="1603"/>
      <c r="H744" s="100" t="s">
        <v>160</v>
      </c>
      <c r="I744" s="105">
        <v>10300</v>
      </c>
      <c r="J744" s="106">
        <v>16800</v>
      </c>
      <c r="K744" s="105">
        <v>6300</v>
      </c>
      <c r="L744" s="105">
        <v>16800</v>
      </c>
      <c r="M744" s="10"/>
      <c r="N744" s="10"/>
      <c r="O744"/>
      <c r="P744"/>
    </row>
    <row r="745" spans="1:16" s="146" customFormat="1" ht="17.45" customHeight="1" x14ac:dyDescent="0.25">
      <c r="A745" s="519"/>
      <c r="B745" s="499" t="s">
        <v>163</v>
      </c>
      <c r="C745" s="499" t="s">
        <v>1386</v>
      </c>
      <c r="D745" s="44" t="s">
        <v>164</v>
      </c>
      <c r="E745" s="113"/>
      <c r="F745" s="113"/>
      <c r="G745" s="114"/>
      <c r="H745" s="100" t="s">
        <v>165</v>
      </c>
      <c r="I745" s="101">
        <v>8615</v>
      </c>
      <c r="J745" s="102">
        <v>60000</v>
      </c>
      <c r="K745" s="101"/>
      <c r="L745" s="101">
        <v>60000</v>
      </c>
      <c r="M745" s="10"/>
      <c r="N745" s="10"/>
      <c r="O745"/>
      <c r="P745"/>
    </row>
    <row r="746" spans="1:16" s="146" customFormat="1" ht="17.45" customHeight="1" x14ac:dyDescent="0.25">
      <c r="A746" s="519"/>
      <c r="B746" s="499" t="s">
        <v>163</v>
      </c>
      <c r="C746" s="499" t="s">
        <v>1386</v>
      </c>
      <c r="D746" s="38" t="s">
        <v>294</v>
      </c>
      <c r="E746" s="184"/>
      <c r="F746" s="184"/>
      <c r="G746" s="184"/>
      <c r="H746" s="100" t="s">
        <v>169</v>
      </c>
      <c r="I746" s="101">
        <v>144027.5</v>
      </c>
      <c r="J746" s="102">
        <v>262402.5</v>
      </c>
      <c r="K746" s="101">
        <v>62658.5</v>
      </c>
      <c r="L746" s="101">
        <v>641000</v>
      </c>
      <c r="M746" s="10"/>
      <c r="N746" s="10"/>
      <c r="O746"/>
      <c r="P746"/>
    </row>
    <row r="747" spans="1:16" s="146" customFormat="1" ht="17.45" customHeight="1" x14ac:dyDescent="0.25">
      <c r="A747" s="519"/>
      <c r="B747" s="499" t="s">
        <v>163</v>
      </c>
      <c r="C747" s="499" t="s">
        <v>1386</v>
      </c>
      <c r="D747" s="38" t="s">
        <v>174</v>
      </c>
      <c r="E747" s="184"/>
      <c r="F747" s="184"/>
      <c r="G747" s="184"/>
      <c r="H747" s="100" t="s">
        <v>171</v>
      </c>
      <c r="I747" s="101">
        <v>6437</v>
      </c>
      <c r="J747" s="102">
        <v>23164</v>
      </c>
      <c r="K747" s="101"/>
      <c r="L747" s="101"/>
      <c r="M747" s="10"/>
      <c r="N747" s="10"/>
      <c r="O747"/>
      <c r="P747"/>
    </row>
    <row r="748" spans="1:16" s="146" customFormat="1" ht="17.45" customHeight="1" x14ac:dyDescent="0.25">
      <c r="A748" s="519"/>
      <c r="B748" s="499" t="s">
        <v>163</v>
      </c>
      <c r="C748" s="499" t="s">
        <v>1386</v>
      </c>
      <c r="D748" s="38" t="s">
        <v>213</v>
      </c>
      <c r="E748" s="184"/>
      <c r="F748" s="184"/>
      <c r="G748" s="184"/>
      <c r="H748" s="100" t="s">
        <v>171</v>
      </c>
      <c r="I748" s="101"/>
      <c r="J748" s="102"/>
      <c r="K748" s="101"/>
      <c r="L748" s="101">
        <f>27000+2500</f>
        <v>29500</v>
      </c>
      <c r="M748" s="10"/>
      <c r="N748" s="10"/>
      <c r="O748"/>
      <c r="P748"/>
    </row>
    <row r="749" spans="1:16" s="146" customFormat="1" ht="17.45" customHeight="1" x14ac:dyDescent="0.25">
      <c r="A749" s="519"/>
      <c r="B749" s="499" t="s">
        <v>163</v>
      </c>
      <c r="C749" s="499" t="s">
        <v>1386</v>
      </c>
      <c r="D749" s="38" t="s">
        <v>338</v>
      </c>
      <c r="E749" s="184"/>
      <c r="F749" s="184"/>
      <c r="G749" s="184"/>
      <c r="H749" s="100" t="s">
        <v>171</v>
      </c>
      <c r="I749" s="101"/>
      <c r="J749" s="102">
        <v>6050</v>
      </c>
      <c r="K749" s="101"/>
      <c r="L749" s="101"/>
      <c r="M749" s="10"/>
      <c r="N749" s="10"/>
      <c r="O749"/>
      <c r="P749"/>
    </row>
    <row r="750" spans="1:16" s="146" customFormat="1" ht="17.45" customHeight="1" x14ac:dyDescent="0.25">
      <c r="A750" s="519"/>
      <c r="B750" s="499" t="s">
        <v>163</v>
      </c>
      <c r="C750" s="499" t="s">
        <v>1386</v>
      </c>
      <c r="D750" s="38" t="s">
        <v>339</v>
      </c>
      <c r="E750" s="184"/>
      <c r="F750" s="184"/>
      <c r="G750" s="184"/>
      <c r="H750" s="100" t="s">
        <v>171</v>
      </c>
      <c r="I750" s="101"/>
      <c r="J750" s="102">
        <v>2500</v>
      </c>
      <c r="K750" s="101"/>
      <c r="L750" s="101"/>
      <c r="M750" s="10"/>
      <c r="N750" s="10"/>
      <c r="O750"/>
      <c r="P750"/>
    </row>
    <row r="751" spans="1:16" s="146" customFormat="1" ht="17.45" customHeight="1" x14ac:dyDescent="0.25">
      <c r="A751" s="519"/>
      <c r="B751" s="499" t="s">
        <v>163</v>
      </c>
      <c r="C751" s="499" t="s">
        <v>1386</v>
      </c>
      <c r="D751" s="38" t="s">
        <v>340</v>
      </c>
      <c r="E751" s="184"/>
      <c r="F751" s="184"/>
      <c r="G751" s="184"/>
      <c r="H751" s="100" t="s">
        <v>171</v>
      </c>
      <c r="I751" s="101"/>
      <c r="J751" s="102">
        <v>13000</v>
      </c>
      <c r="K751" s="101"/>
      <c r="L751" s="101"/>
      <c r="M751" s="10"/>
      <c r="N751" s="10"/>
      <c r="O751"/>
      <c r="P751"/>
    </row>
    <row r="752" spans="1:16" s="146" customFormat="1" ht="17.45" customHeight="1" x14ac:dyDescent="0.25">
      <c r="A752" s="519"/>
      <c r="B752" s="499" t="s">
        <v>163</v>
      </c>
      <c r="C752" s="499" t="s">
        <v>1386</v>
      </c>
      <c r="D752" s="38" t="s">
        <v>341</v>
      </c>
      <c r="E752" s="190"/>
      <c r="F752" s="190"/>
      <c r="G752" s="190"/>
      <c r="H752" s="100" t="s">
        <v>171</v>
      </c>
      <c r="I752" s="101">
        <v>8000</v>
      </c>
      <c r="J752" s="102"/>
      <c r="K752" s="101"/>
      <c r="L752" s="101"/>
      <c r="M752" s="10"/>
      <c r="N752" s="10"/>
      <c r="O752"/>
      <c r="P752"/>
    </row>
    <row r="753" spans="1:16" s="146" customFormat="1" ht="17.45" customHeight="1" x14ac:dyDescent="0.25">
      <c r="A753" s="519"/>
      <c r="B753" s="499" t="s">
        <v>163</v>
      </c>
      <c r="C753" s="499" t="s">
        <v>1386</v>
      </c>
      <c r="D753" s="38" t="s">
        <v>296</v>
      </c>
      <c r="E753" s="184"/>
      <c r="F753" s="184"/>
      <c r="G753" s="184"/>
      <c r="H753" s="100" t="s">
        <v>177</v>
      </c>
      <c r="I753" s="101">
        <v>0</v>
      </c>
      <c r="J753" s="102">
        <v>1000</v>
      </c>
      <c r="K753" s="101"/>
      <c r="L753" s="101">
        <v>1000</v>
      </c>
      <c r="M753" s="10"/>
      <c r="N753" s="10"/>
      <c r="O753"/>
      <c r="P753"/>
    </row>
    <row r="754" spans="1:16" s="146" customFormat="1" ht="17.45" customHeight="1" x14ac:dyDescent="0.25">
      <c r="A754" s="519"/>
      <c r="B754" s="499" t="s">
        <v>163</v>
      </c>
      <c r="C754" s="499" t="s">
        <v>1386</v>
      </c>
      <c r="D754" s="38" t="s">
        <v>178</v>
      </c>
      <c r="E754" s="184"/>
      <c r="F754" s="184"/>
      <c r="G754" s="184"/>
      <c r="H754" s="100" t="s">
        <v>179</v>
      </c>
      <c r="I754" s="101"/>
      <c r="J754" s="102"/>
      <c r="K754" s="101"/>
      <c r="L754" s="101">
        <v>70800</v>
      </c>
      <c r="M754" s="10"/>
      <c r="N754" s="10">
        <f>42000+28800</f>
        <v>70800</v>
      </c>
      <c r="O754"/>
      <c r="P754"/>
    </row>
    <row r="755" spans="1:16" s="146" customFormat="1" ht="17.45" customHeight="1" x14ac:dyDescent="0.25">
      <c r="A755" s="519"/>
      <c r="B755" s="499" t="s">
        <v>163</v>
      </c>
      <c r="C755" s="499" t="s">
        <v>1386</v>
      </c>
      <c r="D755" s="38" t="s">
        <v>289</v>
      </c>
      <c r="E755" s="184"/>
      <c r="F755" s="184"/>
      <c r="G755" s="184"/>
      <c r="H755" s="100" t="s">
        <v>179</v>
      </c>
      <c r="I755" s="101">
        <v>36525.35</v>
      </c>
      <c r="J755" s="102">
        <v>42000</v>
      </c>
      <c r="K755" s="101">
        <v>21306.45</v>
      </c>
      <c r="L755" s="101"/>
      <c r="M755" s="10"/>
      <c r="N755" s="203"/>
      <c r="O755"/>
      <c r="P755"/>
    </row>
    <row r="756" spans="1:16" s="146" customFormat="1" ht="17.45" customHeight="1" x14ac:dyDescent="0.25">
      <c r="A756" s="519"/>
      <c r="B756" s="499" t="s">
        <v>163</v>
      </c>
      <c r="C756" s="499" t="s">
        <v>1386</v>
      </c>
      <c r="D756" s="38" t="s">
        <v>181</v>
      </c>
      <c r="E756" s="184"/>
      <c r="F756" s="184"/>
      <c r="G756" s="184"/>
      <c r="H756" s="100" t="s">
        <v>179</v>
      </c>
      <c r="I756" s="101">
        <v>42000</v>
      </c>
      <c r="J756" s="102">
        <v>42000</v>
      </c>
      <c r="K756" s="101">
        <v>21000</v>
      </c>
      <c r="L756" s="101"/>
      <c r="M756" s="10"/>
      <c r="N756" s="10"/>
      <c r="O756"/>
      <c r="P756"/>
    </row>
    <row r="757" spans="1:16" s="146" customFormat="1" ht="17.45" customHeight="1" x14ac:dyDescent="0.25">
      <c r="A757" s="519"/>
      <c r="B757" s="499" t="s">
        <v>163</v>
      </c>
      <c r="C757" s="499" t="s">
        <v>1386</v>
      </c>
      <c r="D757" s="38" t="s">
        <v>182</v>
      </c>
      <c r="E757" s="184"/>
      <c r="F757" s="184"/>
      <c r="G757" s="184"/>
      <c r="H757" s="100" t="s">
        <v>183</v>
      </c>
      <c r="I757" s="101"/>
      <c r="J757" s="102"/>
      <c r="K757" s="101"/>
      <c r="L757" s="101">
        <v>42000</v>
      </c>
      <c r="M757" s="10"/>
      <c r="N757" s="10"/>
      <c r="O757"/>
      <c r="P757"/>
    </row>
    <row r="758" spans="1:16" s="146" customFormat="1" ht="17.45" customHeight="1" x14ac:dyDescent="0.25">
      <c r="A758" s="519"/>
      <c r="B758" s="499" t="s">
        <v>163</v>
      </c>
      <c r="C758" s="499" t="s">
        <v>1386</v>
      </c>
      <c r="D758" s="38" t="s">
        <v>297</v>
      </c>
      <c r="E758" s="204"/>
      <c r="F758" s="204"/>
      <c r="G758" s="204"/>
      <c r="H758" s="205" t="s">
        <v>187</v>
      </c>
      <c r="I758" s="102"/>
      <c r="J758" s="102">
        <v>60000</v>
      </c>
      <c r="K758" s="102">
        <v>24258</v>
      </c>
      <c r="L758" s="102">
        <v>80000</v>
      </c>
      <c r="M758" s="10"/>
      <c r="N758" s="10"/>
      <c r="O758"/>
      <c r="P758"/>
    </row>
    <row r="759" spans="1:16" ht="17.45" customHeight="1" x14ac:dyDescent="0.25">
      <c r="A759" s="519"/>
      <c r="B759" s="499" t="s">
        <v>163</v>
      </c>
      <c r="C759" s="499" t="s">
        <v>1386</v>
      </c>
      <c r="D759" s="38" t="s">
        <v>342</v>
      </c>
      <c r="E759" s="184"/>
      <c r="F759" s="184"/>
      <c r="G759" s="184"/>
      <c r="H759" s="100" t="s">
        <v>282</v>
      </c>
      <c r="I759" s="101">
        <v>7275</v>
      </c>
      <c r="J759" s="102">
        <v>20000</v>
      </c>
      <c r="K759" s="101"/>
      <c r="L759" s="101">
        <v>50000</v>
      </c>
    </row>
    <row r="760" spans="1:16" ht="17.45" customHeight="1" x14ac:dyDescent="0.25">
      <c r="A760" s="519"/>
      <c r="B760" s="499" t="s">
        <v>163</v>
      </c>
      <c r="C760" s="499" t="s">
        <v>1386</v>
      </c>
      <c r="D760" s="38" t="s">
        <v>299</v>
      </c>
      <c r="E760" s="184"/>
      <c r="F760" s="184"/>
      <c r="G760" s="184"/>
      <c r="H760" s="100" t="s">
        <v>237</v>
      </c>
      <c r="I760" s="101">
        <v>5000</v>
      </c>
      <c r="J760" s="102">
        <v>12000</v>
      </c>
      <c r="K760" s="101"/>
      <c r="L760" s="101">
        <v>12000</v>
      </c>
    </row>
    <row r="761" spans="1:16" ht="17.45" customHeight="1" x14ac:dyDescent="0.25">
      <c r="A761" s="519"/>
      <c r="B761" s="499" t="s">
        <v>163</v>
      </c>
      <c r="C761" s="499" t="s">
        <v>1386</v>
      </c>
      <c r="D761" s="38" t="s">
        <v>300</v>
      </c>
      <c r="E761" s="184"/>
      <c r="F761" s="184"/>
      <c r="G761" s="184"/>
      <c r="H761" s="100" t="s">
        <v>199</v>
      </c>
      <c r="I761" s="105"/>
      <c r="J761" s="106">
        <v>186796.08</v>
      </c>
      <c r="K761" s="105"/>
      <c r="L761" s="105">
        <v>375310.76</v>
      </c>
    </row>
    <row r="762" spans="1:16" ht="18" x14ac:dyDescent="0.25">
      <c r="A762" s="495"/>
      <c r="B762" s="499" t="s">
        <v>201</v>
      </c>
      <c r="C762" s="499" t="s">
        <v>1386</v>
      </c>
      <c r="D762" s="36" t="s">
        <v>343</v>
      </c>
      <c r="E762" s="496"/>
      <c r="F762" s="496"/>
      <c r="G762" s="496"/>
      <c r="H762" s="97"/>
      <c r="I762" s="101"/>
      <c r="J762" s="102"/>
      <c r="K762" s="101"/>
      <c r="L762" s="101"/>
    </row>
    <row r="763" spans="1:16" s="208" customFormat="1" ht="17.45" customHeight="1" x14ac:dyDescent="0.25">
      <c r="A763" s="154"/>
      <c r="B763" s="499" t="s">
        <v>201</v>
      </c>
      <c r="C763" s="499" t="s">
        <v>1386</v>
      </c>
      <c r="D763" s="206" t="s">
        <v>344</v>
      </c>
      <c r="E763" s="536"/>
      <c r="F763" s="536"/>
      <c r="G763" s="536"/>
      <c r="H763" s="168"/>
      <c r="I763" s="102"/>
      <c r="J763" s="102"/>
      <c r="K763" s="102"/>
      <c r="L763" s="102">
        <v>295000</v>
      </c>
      <c r="M763" s="207"/>
      <c r="N763" s="207">
        <f>160000+135000</f>
        <v>295000</v>
      </c>
    </row>
    <row r="764" spans="1:16" s="208" customFormat="1" ht="17.45" customHeight="1" x14ac:dyDescent="0.25">
      <c r="A764" s="154"/>
      <c r="B764" s="499" t="s">
        <v>201</v>
      </c>
      <c r="C764" s="499" t="s">
        <v>1386</v>
      </c>
      <c r="D764" s="206" t="s">
        <v>203</v>
      </c>
      <c r="E764" s="536"/>
      <c r="F764" s="536"/>
      <c r="G764" s="536"/>
      <c r="H764" s="168"/>
      <c r="I764" s="102"/>
      <c r="J764" s="102"/>
      <c r="K764" s="102"/>
      <c r="L764" s="102">
        <v>115000</v>
      </c>
      <c r="M764" s="207"/>
      <c r="N764" s="207"/>
    </row>
    <row r="765" spans="1:16" s="208" customFormat="1" ht="17.45" customHeight="1" x14ac:dyDescent="0.25">
      <c r="A765" s="154"/>
      <c r="B765" s="499" t="s">
        <v>201</v>
      </c>
      <c r="C765" s="499" t="s">
        <v>1386</v>
      </c>
      <c r="D765" s="206" t="s">
        <v>345</v>
      </c>
      <c r="E765" s="536"/>
      <c r="F765" s="536"/>
      <c r="G765" s="536"/>
      <c r="H765" s="168"/>
      <c r="I765" s="102"/>
      <c r="J765" s="102"/>
      <c r="K765" s="102"/>
      <c r="L765" s="102">
        <v>40000</v>
      </c>
      <c r="M765" s="207"/>
      <c r="N765" s="207"/>
    </row>
    <row r="766" spans="1:16" s="208" customFormat="1" ht="36" customHeight="1" x14ac:dyDescent="0.25">
      <c r="A766" s="154"/>
      <c r="B766" s="499" t="s">
        <v>201</v>
      </c>
      <c r="C766" s="499" t="s">
        <v>1386</v>
      </c>
      <c r="D766" s="1617" t="s">
        <v>346</v>
      </c>
      <c r="E766" s="1617"/>
      <c r="F766" s="536"/>
      <c r="G766" s="536"/>
      <c r="H766" s="168"/>
      <c r="I766" s="102"/>
      <c r="J766" s="102"/>
      <c r="K766" s="102"/>
      <c r="L766" s="102">
        <v>30000</v>
      </c>
      <c r="M766" s="207"/>
      <c r="N766" s="207"/>
    </row>
    <row r="767" spans="1:16" s="191" customFormat="1" ht="50.25" customHeight="1" x14ac:dyDescent="0.25">
      <c r="A767" s="519"/>
      <c r="B767" s="499" t="s">
        <v>201</v>
      </c>
      <c r="C767" s="499" t="s">
        <v>1386</v>
      </c>
      <c r="D767" s="1623" t="s">
        <v>347</v>
      </c>
      <c r="E767" s="1623"/>
      <c r="F767" s="1623"/>
      <c r="G767" s="1645"/>
      <c r="H767" s="97"/>
      <c r="I767" s="101"/>
      <c r="J767" s="102">
        <v>35000</v>
      </c>
      <c r="K767" s="101"/>
      <c r="L767" s="101"/>
      <c r="M767" s="10"/>
      <c r="N767" s="10"/>
    </row>
    <row r="768" spans="1:16" s="191" customFormat="1" ht="34.5" customHeight="1" x14ac:dyDescent="0.25">
      <c r="A768" s="519"/>
      <c r="B768" s="499" t="s">
        <v>201</v>
      </c>
      <c r="C768" s="499" t="s">
        <v>1386</v>
      </c>
      <c r="D768" s="1623" t="s">
        <v>348</v>
      </c>
      <c r="E768" s="1623"/>
      <c r="F768" s="499"/>
      <c r="G768" s="491"/>
      <c r="H768" s="108"/>
      <c r="I768" s="105"/>
      <c r="J768" s="106">
        <v>95000</v>
      </c>
      <c r="K768" s="105"/>
      <c r="L768" s="105"/>
      <c r="M768" s="10"/>
      <c r="N768" s="10"/>
    </row>
    <row r="769" spans="1:14" s="48" customFormat="1" ht="18" customHeight="1" x14ac:dyDescent="0.25">
      <c r="A769" s="519"/>
      <c r="B769" s="499" t="s">
        <v>123</v>
      </c>
      <c r="C769" s="499" t="s">
        <v>1386</v>
      </c>
      <c r="D769" s="1602" t="s">
        <v>124</v>
      </c>
      <c r="E769" s="1603"/>
      <c r="F769" s="1603"/>
      <c r="G769" s="1603"/>
      <c r="H769" s="100" t="s">
        <v>125</v>
      </c>
      <c r="I769" s="101">
        <v>1641384</v>
      </c>
      <c r="J769" s="102">
        <v>1800708</v>
      </c>
      <c r="K769" s="101">
        <v>1049520.79</v>
      </c>
      <c r="L769" s="101">
        <v>1928580</v>
      </c>
      <c r="M769" s="6"/>
      <c r="N769" s="6"/>
    </row>
    <row r="770" spans="1:14" s="48" customFormat="1" ht="18" customHeight="1" x14ac:dyDescent="0.25">
      <c r="A770" s="519"/>
      <c r="B770" s="499" t="s">
        <v>123</v>
      </c>
      <c r="C770" s="499" t="s">
        <v>1386</v>
      </c>
      <c r="D770" s="1602" t="s">
        <v>126</v>
      </c>
      <c r="E770" s="1603"/>
      <c r="F770" s="1603"/>
      <c r="G770" s="1603"/>
      <c r="H770" s="100" t="s">
        <v>127</v>
      </c>
      <c r="I770" s="101">
        <v>147691.04999999999</v>
      </c>
      <c r="J770" s="102">
        <v>132552</v>
      </c>
      <c r="K770" s="101">
        <v>54543.92</v>
      </c>
      <c r="L770" s="101">
        <v>143928</v>
      </c>
      <c r="M770" s="6"/>
      <c r="N770" s="6">
        <f>40*1250</f>
        <v>50000</v>
      </c>
    </row>
    <row r="771" spans="1:14" s="48" customFormat="1" ht="18" customHeight="1" x14ac:dyDescent="0.25">
      <c r="A771" s="519"/>
      <c r="B771" s="499" t="s">
        <v>123</v>
      </c>
      <c r="C771" s="499" t="s">
        <v>1386</v>
      </c>
      <c r="D771" s="1602" t="s">
        <v>128</v>
      </c>
      <c r="E771" s="1603"/>
      <c r="F771" s="1603"/>
      <c r="G771" s="1603"/>
      <c r="H771" s="100" t="s">
        <v>125</v>
      </c>
      <c r="I771" s="101">
        <v>0</v>
      </c>
      <c r="J771" s="102">
        <v>3636</v>
      </c>
      <c r="K771" s="101"/>
      <c r="L771" s="101">
        <v>3764.09</v>
      </c>
      <c r="M771" s="6"/>
      <c r="N771" s="6"/>
    </row>
    <row r="772" spans="1:14" s="48" customFormat="1" ht="18" customHeight="1" x14ac:dyDescent="0.25">
      <c r="A772" s="519"/>
      <c r="B772" s="499" t="s">
        <v>123</v>
      </c>
      <c r="C772" s="499" t="s">
        <v>1386</v>
      </c>
      <c r="D772" s="1602" t="s">
        <v>129</v>
      </c>
      <c r="E772" s="1603"/>
      <c r="F772" s="1603"/>
      <c r="G772" s="1603"/>
      <c r="H772" s="103" t="s">
        <v>130</v>
      </c>
      <c r="I772" s="101">
        <v>110181.56</v>
      </c>
      <c r="J772" s="102">
        <v>144000</v>
      </c>
      <c r="K772" s="101">
        <v>74000.02</v>
      </c>
      <c r="L772" s="101">
        <v>144000</v>
      </c>
      <c r="M772" s="6"/>
      <c r="N772" s="6"/>
    </row>
    <row r="773" spans="1:14" s="48" customFormat="1" ht="18" customHeight="1" x14ac:dyDescent="0.25">
      <c r="A773" s="519"/>
      <c r="B773" s="499" t="s">
        <v>123</v>
      </c>
      <c r="C773" s="499" t="s">
        <v>1386</v>
      </c>
      <c r="D773" s="1602" t="s">
        <v>131</v>
      </c>
      <c r="E773" s="1603"/>
      <c r="F773" s="1603"/>
      <c r="G773" s="1603"/>
      <c r="H773" s="100" t="s">
        <v>132</v>
      </c>
      <c r="I773" s="101">
        <v>72000</v>
      </c>
      <c r="J773" s="102">
        <v>72000</v>
      </c>
      <c r="K773" s="101">
        <v>42000</v>
      </c>
      <c r="L773" s="101">
        <v>72000</v>
      </c>
      <c r="M773" s="6"/>
      <c r="N773" s="6"/>
    </row>
    <row r="774" spans="1:14" s="48" customFormat="1" ht="18" customHeight="1" x14ac:dyDescent="0.25">
      <c r="A774" s="519"/>
      <c r="B774" s="499" t="s">
        <v>123</v>
      </c>
      <c r="C774" s="499" t="s">
        <v>1386</v>
      </c>
      <c r="D774" s="1602" t="s">
        <v>133</v>
      </c>
      <c r="E774" s="1603"/>
      <c r="F774" s="1603"/>
      <c r="G774" s="1603"/>
      <c r="H774" s="100" t="s">
        <v>134</v>
      </c>
      <c r="I774" s="101">
        <v>72000</v>
      </c>
      <c r="J774" s="102">
        <v>72000</v>
      </c>
      <c r="K774" s="101">
        <v>42000</v>
      </c>
      <c r="L774" s="101">
        <v>72000</v>
      </c>
      <c r="M774" s="6"/>
      <c r="N774" s="6"/>
    </row>
    <row r="775" spans="1:14" s="48" customFormat="1" ht="18" customHeight="1" x14ac:dyDescent="0.25">
      <c r="A775" s="519"/>
      <c r="B775" s="499" t="s">
        <v>123</v>
      </c>
      <c r="C775" s="499" t="s">
        <v>1386</v>
      </c>
      <c r="D775" s="1602" t="s">
        <v>135</v>
      </c>
      <c r="E775" s="1603"/>
      <c r="F775" s="1603"/>
      <c r="G775" s="1603"/>
      <c r="H775" s="100" t="s">
        <v>136</v>
      </c>
      <c r="I775" s="101">
        <v>29202.17</v>
      </c>
      <c r="J775" s="102">
        <v>68040.570000000007</v>
      </c>
      <c r="K775" s="101"/>
      <c r="L775" s="102">
        <v>68040.570000000007</v>
      </c>
      <c r="M775" s="6"/>
      <c r="N775" s="6"/>
    </row>
    <row r="776" spans="1:14" s="48" customFormat="1" ht="18" customHeight="1" x14ac:dyDescent="0.25">
      <c r="A776" s="519"/>
      <c r="B776" s="499" t="s">
        <v>123</v>
      </c>
      <c r="C776" s="499" t="s">
        <v>1386</v>
      </c>
      <c r="D776" s="1602" t="s">
        <v>137</v>
      </c>
      <c r="E776" s="1603"/>
      <c r="F776" s="1603"/>
      <c r="G776" s="1603"/>
      <c r="H776" s="100" t="s">
        <v>138</v>
      </c>
      <c r="I776" s="101">
        <v>24000</v>
      </c>
      <c r="J776" s="102">
        <v>36000</v>
      </c>
      <c r="K776" s="101">
        <v>30000</v>
      </c>
      <c r="L776" s="101">
        <v>36000</v>
      </c>
      <c r="M776" s="6"/>
      <c r="N776" s="6"/>
    </row>
    <row r="777" spans="1:14" s="48" customFormat="1" ht="18" customHeight="1" x14ac:dyDescent="0.25">
      <c r="A777" s="519"/>
      <c r="B777" s="499" t="s">
        <v>123</v>
      </c>
      <c r="C777" s="499" t="s">
        <v>1386</v>
      </c>
      <c r="D777" s="1602" t="s">
        <v>139</v>
      </c>
      <c r="E777" s="1603"/>
      <c r="F777" s="1603"/>
      <c r="G777" s="1603"/>
      <c r="H777" s="100" t="s">
        <v>140</v>
      </c>
      <c r="I777" s="101">
        <v>147399</v>
      </c>
      <c r="J777" s="102">
        <v>161408</v>
      </c>
      <c r="K777" s="101">
        <v>155537</v>
      </c>
      <c r="L777" s="101">
        <v>173074</v>
      </c>
      <c r="M777" s="6"/>
      <c r="N777" s="6"/>
    </row>
    <row r="778" spans="1:14" s="48" customFormat="1" ht="18" customHeight="1" x14ac:dyDescent="0.25">
      <c r="A778" s="519"/>
      <c r="B778" s="499" t="s">
        <v>123</v>
      </c>
      <c r="C778" s="499" t="s">
        <v>1386</v>
      </c>
      <c r="D778" s="1602" t="s">
        <v>141</v>
      </c>
      <c r="E778" s="1603"/>
      <c r="F778" s="1603"/>
      <c r="G778" s="1603"/>
      <c r="H778" s="100" t="s">
        <v>142</v>
      </c>
      <c r="I778" s="101">
        <v>148686</v>
      </c>
      <c r="J778" s="102">
        <v>161408</v>
      </c>
      <c r="K778" s="101"/>
      <c r="L778" s="101">
        <v>173074</v>
      </c>
      <c r="M778" s="6"/>
      <c r="N778" s="6"/>
    </row>
    <row r="779" spans="1:14" s="48" customFormat="1" ht="18" customHeight="1" x14ac:dyDescent="0.25">
      <c r="A779" s="519"/>
      <c r="B779" s="499" t="s">
        <v>123</v>
      </c>
      <c r="C779" s="499" t="s">
        <v>1386</v>
      </c>
      <c r="D779" s="1602" t="s">
        <v>143</v>
      </c>
      <c r="E779" s="1603"/>
      <c r="F779" s="1603"/>
      <c r="G779" s="1603"/>
      <c r="H779" s="100" t="s">
        <v>144</v>
      </c>
      <c r="I779" s="101">
        <v>25000</v>
      </c>
      <c r="J779" s="102">
        <v>30000</v>
      </c>
      <c r="K779" s="101"/>
      <c r="L779" s="101">
        <v>30000</v>
      </c>
      <c r="M779" s="6"/>
      <c r="N779" s="6"/>
    </row>
    <row r="780" spans="1:14" s="48" customFormat="1" ht="18" customHeight="1" x14ac:dyDescent="0.25">
      <c r="A780" s="519"/>
      <c r="B780" s="499" t="s">
        <v>123</v>
      </c>
      <c r="C780" s="499" t="s">
        <v>1386</v>
      </c>
      <c r="D780" s="1602" t="s">
        <v>145</v>
      </c>
      <c r="E780" s="1603"/>
      <c r="F780" s="1603"/>
      <c r="G780" s="1603"/>
      <c r="H780" s="100" t="s">
        <v>146</v>
      </c>
      <c r="I780" s="101">
        <v>25000</v>
      </c>
      <c r="J780" s="102">
        <v>30000</v>
      </c>
      <c r="K780" s="101"/>
      <c r="L780" s="101">
        <v>30000</v>
      </c>
      <c r="M780" s="6"/>
      <c r="N780" s="6"/>
    </row>
    <row r="781" spans="1:14" s="48" customFormat="1" ht="18" customHeight="1" x14ac:dyDescent="0.25">
      <c r="A781" s="519"/>
      <c r="B781" s="499" t="s">
        <v>123</v>
      </c>
      <c r="C781" s="499" t="s">
        <v>1386</v>
      </c>
      <c r="D781" s="536" t="s">
        <v>231</v>
      </c>
      <c r="E781" s="499"/>
      <c r="F781" s="499"/>
      <c r="G781" s="491"/>
      <c r="H781" s="100" t="s">
        <v>148</v>
      </c>
      <c r="I781" s="101">
        <v>5000</v>
      </c>
      <c r="J781" s="102">
        <v>10000</v>
      </c>
      <c r="K781" s="101"/>
      <c r="L781" s="101">
        <v>5000</v>
      </c>
      <c r="M781" s="6"/>
      <c r="N781" s="6"/>
    </row>
    <row r="782" spans="1:14" s="48" customFormat="1" ht="18" customHeight="1" x14ac:dyDescent="0.25">
      <c r="A782" s="519"/>
      <c r="B782" s="499" t="s">
        <v>123</v>
      </c>
      <c r="C782" s="499" t="s">
        <v>1386</v>
      </c>
      <c r="D782" s="536" t="s">
        <v>147</v>
      </c>
      <c r="E782" s="499"/>
      <c r="F782" s="499"/>
      <c r="G782" s="491"/>
      <c r="H782" s="100" t="s">
        <v>148</v>
      </c>
      <c r="I782" s="101"/>
      <c r="J782" s="102"/>
      <c r="K782" s="101"/>
      <c r="L782" s="101">
        <v>18000</v>
      </c>
      <c r="M782" s="6"/>
      <c r="N782" s="6"/>
    </row>
    <row r="783" spans="1:14" s="48" customFormat="1" ht="18" customHeight="1" x14ac:dyDescent="0.25">
      <c r="A783" s="519"/>
      <c r="B783" s="499" t="s">
        <v>123</v>
      </c>
      <c r="C783" s="499" t="s">
        <v>1386</v>
      </c>
      <c r="D783" s="513" t="s">
        <v>149</v>
      </c>
      <c r="E783" s="1675"/>
      <c r="F783" s="1675"/>
      <c r="G783" s="1676"/>
      <c r="H783" s="100" t="s">
        <v>150</v>
      </c>
      <c r="I783" s="101">
        <v>60750</v>
      </c>
      <c r="J783" s="102"/>
      <c r="K783" s="101"/>
      <c r="L783" s="101"/>
      <c r="M783" s="6"/>
      <c r="N783" s="6"/>
    </row>
    <row r="784" spans="1:14" s="48" customFormat="1" ht="18" customHeight="1" x14ac:dyDescent="0.25">
      <c r="A784" s="519"/>
      <c r="B784" s="499" t="s">
        <v>123</v>
      </c>
      <c r="C784" s="499" t="s">
        <v>1386</v>
      </c>
      <c r="D784" s="1602" t="s">
        <v>151</v>
      </c>
      <c r="E784" s="1603"/>
      <c r="F784" s="1603"/>
      <c r="G784" s="1603"/>
      <c r="H784" s="100" t="s">
        <v>148</v>
      </c>
      <c r="I784" s="101">
        <v>50000</v>
      </c>
      <c r="J784" s="102">
        <v>0</v>
      </c>
      <c r="K784" s="101"/>
      <c r="L784" s="101"/>
      <c r="M784" s="6"/>
      <c r="N784" s="6"/>
    </row>
    <row r="785" spans="1:14" s="48" customFormat="1" ht="18" customHeight="1" x14ac:dyDescent="0.25">
      <c r="A785" s="519"/>
      <c r="B785" s="499" t="s">
        <v>123</v>
      </c>
      <c r="C785" s="499" t="s">
        <v>1386</v>
      </c>
      <c r="D785" s="1611" t="s">
        <v>152</v>
      </c>
      <c r="E785" s="1611"/>
      <c r="F785" s="1611"/>
      <c r="G785" s="1602"/>
      <c r="H785" s="100"/>
      <c r="I785" s="101">
        <v>0</v>
      </c>
      <c r="J785" s="102">
        <v>86746.69</v>
      </c>
      <c r="K785" s="101"/>
      <c r="L785" s="101"/>
      <c r="M785" s="6"/>
      <c r="N785" s="6"/>
    </row>
    <row r="786" spans="1:14" s="48" customFormat="1" ht="18" customHeight="1" x14ac:dyDescent="0.25">
      <c r="A786" s="519"/>
      <c r="B786" s="499" t="s">
        <v>123</v>
      </c>
      <c r="C786" s="499" t="s">
        <v>1386</v>
      </c>
      <c r="D786" s="1602" t="s">
        <v>153</v>
      </c>
      <c r="E786" s="1603"/>
      <c r="F786" s="1603"/>
      <c r="G786" s="1603"/>
      <c r="H786" s="100" t="s">
        <v>154</v>
      </c>
      <c r="I786" s="101">
        <v>207135.48</v>
      </c>
      <c r="J786" s="102">
        <v>232427.51999999999</v>
      </c>
      <c r="K786" s="101">
        <v>131090.23999999999</v>
      </c>
      <c r="L786" s="101">
        <v>249152.65</v>
      </c>
      <c r="M786" s="6"/>
      <c r="N786" s="6"/>
    </row>
    <row r="787" spans="1:14" s="48" customFormat="1" ht="18" customHeight="1" x14ac:dyDescent="0.25">
      <c r="A787" s="519"/>
      <c r="B787" s="499" t="s">
        <v>123</v>
      </c>
      <c r="C787" s="499" t="s">
        <v>1386</v>
      </c>
      <c r="D787" s="1602" t="s">
        <v>155</v>
      </c>
      <c r="E787" s="1603"/>
      <c r="F787" s="1603"/>
      <c r="G787" s="1603"/>
      <c r="H787" s="100" t="s">
        <v>156</v>
      </c>
      <c r="I787" s="101">
        <v>5500</v>
      </c>
      <c r="J787" s="102">
        <v>7200</v>
      </c>
      <c r="K787" s="101">
        <v>3800</v>
      </c>
      <c r="L787" s="101">
        <v>7200</v>
      </c>
      <c r="M787" s="6"/>
      <c r="N787" s="6"/>
    </row>
    <row r="788" spans="1:14" s="48" customFormat="1" ht="18" customHeight="1" x14ac:dyDescent="0.25">
      <c r="A788" s="519"/>
      <c r="B788" s="499" t="s">
        <v>123</v>
      </c>
      <c r="C788" s="499" t="s">
        <v>1386</v>
      </c>
      <c r="D788" s="1602" t="s">
        <v>157</v>
      </c>
      <c r="E788" s="1603"/>
      <c r="F788" s="1603"/>
      <c r="G788" s="1603"/>
      <c r="H788" s="100" t="s">
        <v>158</v>
      </c>
      <c r="I788" s="101">
        <v>22338.25</v>
      </c>
      <c r="J788" s="102">
        <v>31766.07</v>
      </c>
      <c r="K788" s="101">
        <v>14526.85</v>
      </c>
      <c r="L788" s="101">
        <v>81510.559999999998</v>
      </c>
      <c r="M788" s="6"/>
      <c r="N788" s="6"/>
    </row>
    <row r="789" spans="1:14" s="48" customFormat="1" ht="18" customHeight="1" x14ac:dyDescent="0.25">
      <c r="A789" s="519"/>
      <c r="B789" s="499" t="s">
        <v>123</v>
      </c>
      <c r="C789" s="499" t="s">
        <v>1386</v>
      </c>
      <c r="D789" s="1602" t="s">
        <v>159</v>
      </c>
      <c r="E789" s="1603"/>
      <c r="F789" s="1603"/>
      <c r="G789" s="1603"/>
      <c r="H789" s="104" t="s">
        <v>160</v>
      </c>
      <c r="I789" s="105">
        <v>5500</v>
      </c>
      <c r="J789" s="106">
        <v>7200</v>
      </c>
      <c r="K789" s="105">
        <v>3800</v>
      </c>
      <c r="L789" s="105">
        <v>7200</v>
      </c>
      <c r="M789" s="6"/>
      <c r="N789" s="6"/>
    </row>
    <row r="790" spans="1:14" s="48" customFormat="1" ht="18" customHeight="1" x14ac:dyDescent="0.25">
      <c r="A790" s="519"/>
      <c r="B790" s="499" t="s">
        <v>163</v>
      </c>
      <c r="C790" s="499" t="s">
        <v>1386</v>
      </c>
      <c r="D790" s="44" t="s">
        <v>164</v>
      </c>
      <c r="E790" s="113"/>
      <c r="F790" s="113"/>
      <c r="G790" s="114"/>
      <c r="H790" s="100" t="s">
        <v>165</v>
      </c>
      <c r="I790" s="101">
        <v>2250</v>
      </c>
      <c r="J790" s="102">
        <v>50000</v>
      </c>
      <c r="K790" s="101"/>
      <c r="L790" s="101">
        <v>50000</v>
      </c>
      <c r="M790" s="6"/>
      <c r="N790" s="6"/>
    </row>
    <row r="791" spans="1:14" s="48" customFormat="1" ht="18" customHeight="1" x14ac:dyDescent="0.25">
      <c r="A791" s="519"/>
      <c r="B791" s="499" t="s">
        <v>163</v>
      </c>
      <c r="C791" s="499" t="s">
        <v>1386</v>
      </c>
      <c r="D791" s="44" t="s">
        <v>168</v>
      </c>
      <c r="E791" s="113"/>
      <c r="F791" s="113"/>
      <c r="G791" s="114"/>
      <c r="H791" s="100" t="s">
        <v>169</v>
      </c>
      <c r="I791" s="101">
        <v>193656.3</v>
      </c>
      <c r="J791" s="102">
        <v>221512.5</v>
      </c>
      <c r="K791" s="101">
        <v>159943</v>
      </c>
      <c r="L791" s="101">
        <v>239599</v>
      </c>
      <c r="M791" s="6"/>
      <c r="N791" s="6"/>
    </row>
    <row r="792" spans="1:14" s="48" customFormat="1" ht="18" customHeight="1" x14ac:dyDescent="0.25">
      <c r="A792" s="519"/>
      <c r="B792" s="499" t="s">
        <v>163</v>
      </c>
      <c r="C792" s="499" t="s">
        <v>1386</v>
      </c>
      <c r="D792" s="44" t="s">
        <v>174</v>
      </c>
      <c r="E792" s="113"/>
      <c r="F792" s="113"/>
      <c r="G792" s="114"/>
      <c r="H792" s="100" t="s">
        <v>171</v>
      </c>
      <c r="I792" s="101">
        <v>8251</v>
      </c>
      <c r="J792" s="102">
        <v>21031</v>
      </c>
      <c r="K792" s="101"/>
      <c r="L792" s="101"/>
      <c r="M792" s="6"/>
      <c r="N792" s="6"/>
    </row>
    <row r="793" spans="1:14" s="48" customFormat="1" ht="18" customHeight="1" x14ac:dyDescent="0.25">
      <c r="A793" s="519"/>
      <c r="B793" s="499" t="s">
        <v>163</v>
      </c>
      <c r="C793" s="499" t="s">
        <v>1386</v>
      </c>
      <c r="D793" s="44" t="s">
        <v>170</v>
      </c>
      <c r="E793" s="113"/>
      <c r="F793" s="113"/>
      <c r="G793" s="114"/>
      <c r="H793" s="100" t="s">
        <v>171</v>
      </c>
      <c r="I793" s="101"/>
      <c r="J793" s="102"/>
      <c r="K793" s="101"/>
      <c r="L793" s="101">
        <v>26245</v>
      </c>
      <c r="M793" s="6"/>
      <c r="N793" s="6"/>
    </row>
    <row r="794" spans="1:14" s="48" customFormat="1" ht="18" customHeight="1" x14ac:dyDescent="0.25">
      <c r="A794" s="519"/>
      <c r="B794" s="499" t="s">
        <v>163</v>
      </c>
      <c r="C794" s="499" t="s">
        <v>1386</v>
      </c>
      <c r="D794" s="44" t="s">
        <v>349</v>
      </c>
      <c r="E794" s="113"/>
      <c r="F794" s="113"/>
      <c r="G794" s="114"/>
      <c r="H794" s="100" t="s">
        <v>171</v>
      </c>
      <c r="I794" s="101"/>
      <c r="J794" s="102">
        <v>5500</v>
      </c>
      <c r="K794" s="101"/>
      <c r="L794" s="101"/>
      <c r="M794" s="6"/>
      <c r="N794" s="6"/>
    </row>
    <row r="795" spans="1:14" s="48" customFormat="1" ht="18" customHeight="1" x14ac:dyDescent="0.25">
      <c r="A795" s="519"/>
      <c r="B795" s="499" t="s">
        <v>163</v>
      </c>
      <c r="C795" s="499" t="s">
        <v>1386</v>
      </c>
      <c r="D795" s="44" t="s">
        <v>176</v>
      </c>
      <c r="E795" s="113"/>
      <c r="F795" s="113"/>
      <c r="G795" s="114"/>
      <c r="H795" s="100" t="s">
        <v>177</v>
      </c>
      <c r="I795" s="101">
        <v>0</v>
      </c>
      <c r="J795" s="102">
        <v>1000</v>
      </c>
      <c r="K795" s="101"/>
      <c r="L795" s="101">
        <v>1000</v>
      </c>
      <c r="M795" s="6"/>
      <c r="N795" s="6"/>
    </row>
    <row r="796" spans="1:14" s="48" customFormat="1" ht="18" customHeight="1" x14ac:dyDescent="0.25">
      <c r="A796" s="519"/>
      <c r="B796" s="499" t="s">
        <v>163</v>
      </c>
      <c r="C796" s="499" t="s">
        <v>1386</v>
      </c>
      <c r="D796" s="44" t="s">
        <v>178</v>
      </c>
      <c r="E796" s="113"/>
      <c r="F796" s="113"/>
      <c r="G796" s="114"/>
      <c r="H796" s="100" t="s">
        <v>179</v>
      </c>
      <c r="I796" s="101"/>
      <c r="J796" s="102"/>
      <c r="K796" s="101"/>
      <c r="L796" s="101">
        <f>12000+42000</f>
        <v>54000</v>
      </c>
      <c r="M796" s="6"/>
      <c r="N796" s="6"/>
    </row>
    <row r="797" spans="1:14" s="48" customFormat="1" ht="18" customHeight="1" x14ac:dyDescent="0.25">
      <c r="A797" s="519"/>
      <c r="B797" s="499" t="s">
        <v>163</v>
      </c>
      <c r="C797" s="499" t="s">
        <v>1386</v>
      </c>
      <c r="D797" s="44" t="s">
        <v>250</v>
      </c>
      <c r="E797" s="113"/>
      <c r="F797" s="113"/>
      <c r="G797" s="114"/>
      <c r="H797" s="100" t="s">
        <v>179</v>
      </c>
      <c r="I797" s="101">
        <v>11536.91</v>
      </c>
      <c r="J797" s="102">
        <v>12000</v>
      </c>
      <c r="K797" s="101">
        <v>4195.24</v>
      </c>
      <c r="L797" s="101"/>
      <c r="M797" s="6"/>
      <c r="N797" s="6"/>
    </row>
    <row r="798" spans="1:14" s="48" customFormat="1" ht="18" customHeight="1" x14ac:dyDescent="0.25">
      <c r="A798" s="519"/>
      <c r="B798" s="499" t="s">
        <v>163</v>
      </c>
      <c r="C798" s="499" t="s">
        <v>1386</v>
      </c>
      <c r="D798" s="44" t="s">
        <v>181</v>
      </c>
      <c r="E798" s="113"/>
      <c r="F798" s="113"/>
      <c r="G798" s="114"/>
      <c r="H798" s="100" t="s">
        <v>179</v>
      </c>
      <c r="I798" s="101">
        <v>42000</v>
      </c>
      <c r="J798" s="102">
        <v>42000</v>
      </c>
      <c r="K798" s="101">
        <v>21000</v>
      </c>
      <c r="L798" s="101"/>
      <c r="M798" s="6"/>
      <c r="N798" s="6"/>
    </row>
    <row r="799" spans="1:14" s="48" customFormat="1" ht="18" customHeight="1" x14ac:dyDescent="0.25">
      <c r="A799" s="519"/>
      <c r="B799" s="499" t="s">
        <v>163</v>
      </c>
      <c r="C799" s="499" t="s">
        <v>1386</v>
      </c>
      <c r="D799" s="44" t="s">
        <v>182</v>
      </c>
      <c r="E799" s="113"/>
      <c r="F799" s="113"/>
      <c r="G799" s="114"/>
      <c r="H799" s="100" t="s">
        <v>183</v>
      </c>
      <c r="I799" s="101"/>
      <c r="J799" s="102"/>
      <c r="K799" s="101"/>
      <c r="L799" s="101">
        <v>42000</v>
      </c>
      <c r="M799" s="6"/>
      <c r="N799" s="6"/>
    </row>
    <row r="800" spans="1:14" s="48" customFormat="1" ht="18" customHeight="1" x14ac:dyDescent="0.25">
      <c r="A800" s="519"/>
      <c r="B800" s="499" t="s">
        <v>163</v>
      </c>
      <c r="C800" s="499" t="s">
        <v>1386</v>
      </c>
      <c r="D800" s="44" t="s">
        <v>186</v>
      </c>
      <c r="E800" s="113"/>
      <c r="F800" s="113"/>
      <c r="G800" s="114"/>
      <c r="H800" s="100" t="s">
        <v>187</v>
      </c>
      <c r="I800" s="101">
        <v>9061.92</v>
      </c>
      <c r="J800" s="102">
        <v>50000</v>
      </c>
      <c r="K800" s="101">
        <v>11044.12</v>
      </c>
      <c r="L800" s="101">
        <v>50000</v>
      </c>
      <c r="M800" s="6"/>
      <c r="N800" s="6"/>
    </row>
    <row r="801" spans="1:14" s="48" customFormat="1" ht="18" customHeight="1" x14ac:dyDescent="0.25">
      <c r="A801" s="519"/>
      <c r="B801" s="499" t="s">
        <v>163</v>
      </c>
      <c r="C801" s="499" t="s">
        <v>1386</v>
      </c>
      <c r="D801" s="44" t="s">
        <v>236</v>
      </c>
      <c r="E801" s="113"/>
      <c r="F801" s="113"/>
      <c r="G801" s="114"/>
      <c r="H801" s="100" t="s">
        <v>237</v>
      </c>
      <c r="I801" s="101">
        <v>0</v>
      </c>
      <c r="J801" s="102">
        <v>6000</v>
      </c>
      <c r="K801" s="101"/>
      <c r="L801" s="101">
        <v>6000</v>
      </c>
      <c r="M801" s="6"/>
      <c r="N801" s="6"/>
    </row>
    <row r="802" spans="1:14" s="48" customFormat="1" ht="18" customHeight="1" x14ac:dyDescent="0.25">
      <c r="A802" s="519"/>
      <c r="B802" s="499" t="s">
        <v>163</v>
      </c>
      <c r="C802" s="499" t="s">
        <v>1386</v>
      </c>
      <c r="D802" s="44" t="s">
        <v>198</v>
      </c>
      <c r="E802" s="113"/>
      <c r="F802" s="113"/>
      <c r="G802" s="114"/>
      <c r="H802" s="104" t="s">
        <v>199</v>
      </c>
      <c r="I802" s="105">
        <v>130911.65</v>
      </c>
      <c r="J802" s="106">
        <v>257704</v>
      </c>
      <c r="K802" s="105">
        <v>35268.300000000003</v>
      </c>
      <c r="L802" s="105">
        <v>282000</v>
      </c>
      <c r="M802" s="6"/>
      <c r="N802" s="6"/>
    </row>
    <row r="803" spans="1:14" s="48" customFormat="1" ht="18" customHeight="1" x14ac:dyDescent="0.25">
      <c r="A803" s="495"/>
      <c r="B803" s="499" t="s">
        <v>201</v>
      </c>
      <c r="C803" s="499" t="s">
        <v>1386</v>
      </c>
      <c r="D803" s="1618" t="s">
        <v>350</v>
      </c>
      <c r="E803" s="1619"/>
      <c r="F803" s="1619"/>
      <c r="G803" s="1619"/>
      <c r="H803" s="168"/>
      <c r="I803" s="102"/>
      <c r="J803" s="102">
        <v>170000</v>
      </c>
      <c r="K803" s="102"/>
      <c r="L803" s="102">
        <v>220000</v>
      </c>
      <c r="M803" s="6"/>
      <c r="N803" s="6"/>
    </row>
    <row r="804" spans="1:14" s="48" customFormat="1" ht="18" customHeight="1" x14ac:dyDescent="0.25">
      <c r="A804" s="495"/>
      <c r="B804" s="499" t="s">
        <v>201</v>
      </c>
      <c r="C804" s="499" t="s">
        <v>1386</v>
      </c>
      <c r="D804" s="536" t="s">
        <v>351</v>
      </c>
      <c r="E804" s="525"/>
      <c r="F804" s="526"/>
      <c r="G804" s="526"/>
      <c r="H804" s="168"/>
      <c r="I804" s="102">
        <v>16995</v>
      </c>
      <c r="J804" s="102"/>
      <c r="K804" s="102"/>
      <c r="L804" s="102"/>
      <c r="M804" s="6"/>
      <c r="N804" s="6"/>
    </row>
    <row r="805" spans="1:14" ht="18" x14ac:dyDescent="0.25">
      <c r="A805" s="519"/>
      <c r="B805" s="499" t="s">
        <v>123</v>
      </c>
      <c r="C805" s="499" t="s">
        <v>1386</v>
      </c>
      <c r="D805" s="1602" t="s">
        <v>124</v>
      </c>
      <c r="E805" s="1603"/>
      <c r="F805" s="1603"/>
      <c r="G805" s="1603"/>
      <c r="H805" s="131" t="s">
        <v>125</v>
      </c>
      <c r="I805" s="101">
        <v>2672016</v>
      </c>
      <c r="J805" s="102">
        <v>3489036</v>
      </c>
      <c r="K805" s="101">
        <v>1796430.88</v>
      </c>
      <c r="L805" s="101">
        <v>3771696</v>
      </c>
      <c r="M805" s="188"/>
      <c r="N805" s="188"/>
    </row>
    <row r="806" spans="1:14" ht="18" x14ac:dyDescent="0.25">
      <c r="A806" s="519"/>
      <c r="B806" s="499" t="s">
        <v>123</v>
      </c>
      <c r="C806" s="499" t="s">
        <v>1386</v>
      </c>
      <c r="D806" s="1602" t="s">
        <v>128</v>
      </c>
      <c r="E806" s="1603"/>
      <c r="F806" s="1603"/>
      <c r="G806" s="1603"/>
      <c r="H806" s="131" t="s">
        <v>125</v>
      </c>
      <c r="I806" s="101"/>
      <c r="J806" s="102">
        <v>9816</v>
      </c>
      <c r="K806" s="101"/>
      <c r="L806" s="101">
        <v>9022</v>
      </c>
      <c r="M806" s="188"/>
      <c r="N806" s="188"/>
    </row>
    <row r="807" spans="1:14" ht="18" x14ac:dyDescent="0.25">
      <c r="A807" s="519"/>
      <c r="B807" s="499" t="s">
        <v>123</v>
      </c>
      <c r="C807" s="499" t="s">
        <v>1386</v>
      </c>
      <c r="D807" s="1602" t="s">
        <v>129</v>
      </c>
      <c r="E807" s="1603"/>
      <c r="F807" s="1603"/>
      <c r="G807" s="1603"/>
      <c r="H807" s="131" t="s">
        <v>130</v>
      </c>
      <c r="I807" s="101">
        <v>192000</v>
      </c>
      <c r="J807" s="102">
        <v>312000</v>
      </c>
      <c r="K807" s="101">
        <v>137090.91</v>
      </c>
      <c r="L807" s="101">
        <v>312000</v>
      </c>
      <c r="M807" s="188"/>
      <c r="N807" s="188"/>
    </row>
    <row r="808" spans="1:14" ht="18" x14ac:dyDescent="0.25">
      <c r="A808" s="519"/>
      <c r="B808" s="499" t="s">
        <v>123</v>
      </c>
      <c r="C808" s="499" t="s">
        <v>1386</v>
      </c>
      <c r="D808" s="1602" t="s">
        <v>131</v>
      </c>
      <c r="E808" s="1603"/>
      <c r="F808" s="1603"/>
      <c r="G808" s="1603"/>
      <c r="H808" s="131" t="s">
        <v>132</v>
      </c>
      <c r="I808" s="101">
        <v>72000</v>
      </c>
      <c r="J808" s="102">
        <v>72000</v>
      </c>
      <c r="K808" s="101">
        <v>40500</v>
      </c>
      <c r="L808" s="101">
        <v>72000</v>
      </c>
      <c r="M808" s="188"/>
      <c r="N808" s="188"/>
    </row>
    <row r="809" spans="1:14" ht="18" x14ac:dyDescent="0.25">
      <c r="A809" s="519"/>
      <c r="B809" s="499" t="s">
        <v>123</v>
      </c>
      <c r="C809" s="499" t="s">
        <v>1386</v>
      </c>
      <c r="D809" s="1602" t="s">
        <v>133</v>
      </c>
      <c r="E809" s="1603"/>
      <c r="F809" s="1603"/>
      <c r="G809" s="1603"/>
      <c r="H809" s="131" t="s">
        <v>134</v>
      </c>
      <c r="I809" s="101">
        <v>72000</v>
      </c>
      <c r="J809" s="102">
        <v>72000</v>
      </c>
      <c r="K809" s="101">
        <v>40500</v>
      </c>
      <c r="L809" s="101">
        <v>72000</v>
      </c>
      <c r="M809" s="188"/>
      <c r="N809" s="188"/>
    </row>
    <row r="810" spans="1:14" ht="18" x14ac:dyDescent="0.25">
      <c r="A810" s="519"/>
      <c r="B810" s="499" t="s">
        <v>123</v>
      </c>
      <c r="C810" s="499" t="s">
        <v>1386</v>
      </c>
      <c r="D810" s="1602" t="s">
        <v>135</v>
      </c>
      <c r="E810" s="1603"/>
      <c r="F810" s="1603"/>
      <c r="G810" s="1603"/>
      <c r="H810" s="131" t="s">
        <v>136</v>
      </c>
      <c r="I810" s="101">
        <v>60478.16</v>
      </c>
      <c r="J810" s="102">
        <v>198280.35</v>
      </c>
      <c r="K810" s="101">
        <v>79686.22</v>
      </c>
      <c r="L810" s="102">
        <v>307591.45</v>
      </c>
      <c r="M810" s="188"/>
      <c r="N810" s="188"/>
    </row>
    <row r="811" spans="1:14" ht="18" x14ac:dyDescent="0.25">
      <c r="A811" s="519"/>
      <c r="B811" s="499" t="s">
        <v>123</v>
      </c>
      <c r="C811" s="499" t="s">
        <v>1386</v>
      </c>
      <c r="D811" s="1602" t="s">
        <v>137</v>
      </c>
      <c r="E811" s="1603"/>
      <c r="F811" s="1603"/>
      <c r="G811" s="1603"/>
      <c r="H811" s="131" t="s">
        <v>138</v>
      </c>
      <c r="I811" s="101">
        <v>48000</v>
      </c>
      <c r="J811" s="102">
        <v>78000</v>
      </c>
      <c r="K811" s="101">
        <v>48000</v>
      </c>
      <c r="L811" s="101">
        <v>78000</v>
      </c>
      <c r="M811" s="188"/>
      <c r="N811" s="188"/>
    </row>
    <row r="812" spans="1:14" ht="18" customHeight="1" x14ac:dyDescent="0.25">
      <c r="A812" s="519"/>
      <c r="B812" s="499" t="s">
        <v>123</v>
      </c>
      <c r="C812" s="499" t="s">
        <v>1386</v>
      </c>
      <c r="D812" s="1602" t="s">
        <v>139</v>
      </c>
      <c r="E812" s="1603"/>
      <c r="F812" s="1603"/>
      <c r="G812" s="1603"/>
      <c r="H812" s="131" t="s">
        <v>140</v>
      </c>
      <c r="I812" s="101">
        <v>222668</v>
      </c>
      <c r="J812" s="102">
        <v>291571</v>
      </c>
      <c r="K812" s="101">
        <v>231993</v>
      </c>
      <c r="L812" s="101">
        <v>315174</v>
      </c>
      <c r="M812" s="188"/>
      <c r="N812" s="188"/>
    </row>
    <row r="813" spans="1:14" ht="18" x14ac:dyDescent="0.25">
      <c r="A813" s="519"/>
      <c r="B813" s="499" t="s">
        <v>123</v>
      </c>
      <c r="C813" s="499" t="s">
        <v>1386</v>
      </c>
      <c r="D813" s="1602" t="s">
        <v>141</v>
      </c>
      <c r="E813" s="1603"/>
      <c r="F813" s="1603"/>
      <c r="G813" s="1603"/>
      <c r="H813" s="131" t="s">
        <v>142</v>
      </c>
      <c r="I813" s="101">
        <v>222668</v>
      </c>
      <c r="J813" s="102">
        <v>291571</v>
      </c>
      <c r="K813" s="101"/>
      <c r="L813" s="101">
        <v>315174</v>
      </c>
      <c r="M813" s="188"/>
      <c r="N813" s="188"/>
    </row>
    <row r="814" spans="1:14" ht="18" x14ac:dyDescent="0.25">
      <c r="A814" s="519"/>
      <c r="B814" s="499" t="s">
        <v>123</v>
      </c>
      <c r="C814" s="499" t="s">
        <v>1386</v>
      </c>
      <c r="D814" s="1602" t="s">
        <v>143</v>
      </c>
      <c r="E814" s="1603"/>
      <c r="F814" s="1603"/>
      <c r="G814" s="1603"/>
      <c r="H814" s="131" t="s">
        <v>144</v>
      </c>
      <c r="I814" s="101">
        <v>40000</v>
      </c>
      <c r="J814" s="102">
        <v>65000</v>
      </c>
      <c r="K814" s="101"/>
      <c r="L814" s="101">
        <v>65000</v>
      </c>
      <c r="M814" s="188"/>
      <c r="N814" s="188"/>
    </row>
    <row r="815" spans="1:14" ht="18" x14ac:dyDescent="0.25">
      <c r="A815" s="519"/>
      <c r="B815" s="499" t="s">
        <v>123</v>
      </c>
      <c r="C815" s="499" t="s">
        <v>1386</v>
      </c>
      <c r="D815" s="1602" t="s">
        <v>145</v>
      </c>
      <c r="E815" s="1603"/>
      <c r="F815" s="1603"/>
      <c r="G815" s="1603"/>
      <c r="H815" s="131" t="s">
        <v>146</v>
      </c>
      <c r="I815" s="101">
        <v>40000</v>
      </c>
      <c r="J815" s="102">
        <v>65000</v>
      </c>
      <c r="K815" s="101"/>
      <c r="L815" s="101">
        <v>65000</v>
      </c>
      <c r="M815" s="188"/>
      <c r="N815" s="188"/>
    </row>
    <row r="816" spans="1:14" ht="18" x14ac:dyDescent="0.25">
      <c r="A816" s="519"/>
      <c r="B816" s="499" t="s">
        <v>123</v>
      </c>
      <c r="C816" s="499" t="s">
        <v>1386</v>
      </c>
      <c r="D816" s="536" t="s">
        <v>231</v>
      </c>
      <c r="E816" s="499"/>
      <c r="F816" s="499"/>
      <c r="G816" s="491"/>
      <c r="H816" s="131" t="s">
        <v>232</v>
      </c>
      <c r="I816" s="101"/>
      <c r="J816" s="102"/>
      <c r="K816" s="101"/>
      <c r="L816" s="101">
        <v>10000</v>
      </c>
      <c r="M816" s="188"/>
      <c r="N816" s="188"/>
    </row>
    <row r="817" spans="1:14" ht="18" x14ac:dyDescent="0.25">
      <c r="A817" s="519"/>
      <c r="B817" s="499" t="s">
        <v>123</v>
      </c>
      <c r="C817" s="499" t="s">
        <v>1386</v>
      </c>
      <c r="D817" s="536" t="s">
        <v>147</v>
      </c>
      <c r="E817" s="499"/>
      <c r="F817" s="499"/>
      <c r="G817" s="491"/>
      <c r="H817" s="131" t="s">
        <v>148</v>
      </c>
      <c r="I817" s="101"/>
      <c r="J817" s="102"/>
      <c r="K817" s="101"/>
      <c r="L817" s="101">
        <v>42000</v>
      </c>
      <c r="M817" s="188"/>
      <c r="N817" s="188"/>
    </row>
    <row r="818" spans="1:14" ht="18" x14ac:dyDescent="0.25">
      <c r="A818" s="519"/>
      <c r="B818" s="499" t="s">
        <v>123</v>
      </c>
      <c r="C818" s="499" t="s">
        <v>1386</v>
      </c>
      <c r="D818" s="1611" t="s">
        <v>247</v>
      </c>
      <c r="E818" s="1611"/>
      <c r="F818" s="1611"/>
      <c r="G818" s="1602"/>
      <c r="H818" s="131" t="s">
        <v>232</v>
      </c>
      <c r="I818" s="101">
        <v>71550</v>
      </c>
      <c r="J818" s="102"/>
      <c r="K818" s="101"/>
      <c r="L818" s="101"/>
      <c r="M818" s="188"/>
      <c r="N818" s="188"/>
    </row>
    <row r="819" spans="1:14" ht="18" x14ac:dyDescent="0.25">
      <c r="A819" s="519"/>
      <c r="B819" s="499" t="s">
        <v>123</v>
      </c>
      <c r="C819" s="499" t="s">
        <v>1386</v>
      </c>
      <c r="D819" s="1602" t="s">
        <v>151</v>
      </c>
      <c r="E819" s="1603"/>
      <c r="F819" s="1603"/>
      <c r="G819" s="1603"/>
      <c r="H819" s="131" t="s">
        <v>148</v>
      </c>
      <c r="I819" s="101">
        <v>80000</v>
      </c>
      <c r="J819" s="102">
        <v>0</v>
      </c>
      <c r="K819" s="101"/>
      <c r="L819" s="101"/>
      <c r="M819" s="188"/>
      <c r="N819" s="188"/>
    </row>
    <row r="820" spans="1:14" ht="18" customHeight="1" x14ac:dyDescent="0.25">
      <c r="A820" s="519"/>
      <c r="B820" s="499" t="s">
        <v>123</v>
      </c>
      <c r="C820" s="499" t="s">
        <v>1386</v>
      </c>
      <c r="D820" s="1611" t="s">
        <v>152</v>
      </c>
      <c r="E820" s="1611"/>
      <c r="F820" s="1611"/>
      <c r="G820" s="1602"/>
      <c r="H820" s="131"/>
      <c r="I820" s="101">
        <v>0</v>
      </c>
      <c r="J820" s="102">
        <v>178349.51</v>
      </c>
      <c r="K820" s="101"/>
      <c r="L820" s="101"/>
      <c r="M820" s="188"/>
      <c r="N820" s="188"/>
    </row>
    <row r="821" spans="1:14" ht="18" x14ac:dyDescent="0.25">
      <c r="A821" s="519"/>
      <c r="B821" s="499" t="s">
        <v>123</v>
      </c>
      <c r="C821" s="499" t="s">
        <v>1386</v>
      </c>
      <c r="D821" s="1602" t="s">
        <v>153</v>
      </c>
      <c r="E821" s="1603"/>
      <c r="F821" s="1603"/>
      <c r="G821" s="1603"/>
      <c r="H821" s="131" t="s">
        <v>154</v>
      </c>
      <c r="I821" s="101">
        <v>320641.91999999998</v>
      </c>
      <c r="J821" s="102">
        <v>419862.24</v>
      </c>
      <c r="K821" s="101">
        <v>215091.69</v>
      </c>
      <c r="L821" s="101">
        <v>453686.16</v>
      </c>
      <c r="M821" s="188"/>
      <c r="N821" s="188"/>
    </row>
    <row r="822" spans="1:14" ht="18" x14ac:dyDescent="0.25">
      <c r="A822" s="519"/>
      <c r="B822" s="499" t="s">
        <v>123</v>
      </c>
      <c r="C822" s="499" t="s">
        <v>1386</v>
      </c>
      <c r="D822" s="1602" t="s">
        <v>155</v>
      </c>
      <c r="E822" s="1603"/>
      <c r="F822" s="1603"/>
      <c r="G822" s="1603"/>
      <c r="H822" s="131" t="s">
        <v>156</v>
      </c>
      <c r="I822" s="101">
        <v>9600</v>
      </c>
      <c r="J822" s="102">
        <v>15600</v>
      </c>
      <c r="K822" s="101">
        <v>7000</v>
      </c>
      <c r="L822" s="101">
        <v>15600</v>
      </c>
    </row>
    <row r="823" spans="1:14" ht="18" x14ac:dyDescent="0.25">
      <c r="A823" s="519"/>
      <c r="B823" s="499" t="s">
        <v>123</v>
      </c>
      <c r="C823" s="499" t="s">
        <v>1386</v>
      </c>
      <c r="D823" s="1602" t="s">
        <v>157</v>
      </c>
      <c r="E823" s="1603"/>
      <c r="F823" s="1603"/>
      <c r="G823" s="1603"/>
      <c r="H823" s="131" t="s">
        <v>158</v>
      </c>
      <c r="I823" s="101">
        <v>35238.82</v>
      </c>
      <c r="J823" s="102">
        <v>57681.33</v>
      </c>
      <c r="K823" s="101">
        <v>24237.54</v>
      </c>
      <c r="L823" s="101">
        <v>148728.88</v>
      </c>
    </row>
    <row r="824" spans="1:14" ht="18" x14ac:dyDescent="0.25">
      <c r="A824" s="519"/>
      <c r="B824" s="499" t="s">
        <v>123</v>
      </c>
      <c r="C824" s="499" t="s">
        <v>1386</v>
      </c>
      <c r="D824" s="1602" t="s">
        <v>159</v>
      </c>
      <c r="E824" s="1603"/>
      <c r="F824" s="1603"/>
      <c r="G824" s="1603"/>
      <c r="H824" s="131" t="s">
        <v>160</v>
      </c>
      <c r="I824" s="105">
        <v>9600</v>
      </c>
      <c r="J824" s="106">
        <v>15600</v>
      </c>
      <c r="K824" s="105">
        <v>7000</v>
      </c>
      <c r="L824" s="105">
        <v>15600</v>
      </c>
    </row>
    <row r="825" spans="1:14" ht="18" customHeight="1" x14ac:dyDescent="0.25">
      <c r="A825" s="519"/>
      <c r="B825" s="499" t="s">
        <v>163</v>
      </c>
      <c r="C825" s="499" t="s">
        <v>1386</v>
      </c>
      <c r="D825" s="44" t="s">
        <v>353</v>
      </c>
      <c r="E825" s="113"/>
      <c r="F825" s="113"/>
      <c r="G825" s="114"/>
      <c r="H825" s="131" t="s">
        <v>165</v>
      </c>
      <c r="I825" s="101">
        <v>11256</v>
      </c>
      <c r="J825" s="102">
        <v>60000</v>
      </c>
      <c r="K825" s="101"/>
      <c r="L825" s="101">
        <v>60000</v>
      </c>
    </row>
    <row r="826" spans="1:14" ht="18" customHeight="1" x14ac:dyDescent="0.25">
      <c r="A826" s="519"/>
      <c r="B826" s="499" t="s">
        <v>163</v>
      </c>
      <c r="C826" s="499" t="s">
        <v>1386</v>
      </c>
      <c r="D826" s="44" t="s">
        <v>168</v>
      </c>
      <c r="E826" s="113"/>
      <c r="F826" s="113"/>
      <c r="G826" s="114"/>
      <c r="H826" s="131" t="s">
        <v>169</v>
      </c>
      <c r="I826" s="101">
        <v>366645.25</v>
      </c>
      <c r="J826" s="102">
        <v>320000</v>
      </c>
      <c r="K826" s="101">
        <v>189722.5</v>
      </c>
      <c r="L826" s="101">
        <v>378061</v>
      </c>
    </row>
    <row r="827" spans="1:14" ht="18" customHeight="1" x14ac:dyDescent="0.25">
      <c r="A827" s="519"/>
      <c r="B827" s="499" t="s">
        <v>163</v>
      </c>
      <c r="C827" s="499" t="s">
        <v>1386</v>
      </c>
      <c r="D827" s="44" t="s">
        <v>168</v>
      </c>
      <c r="E827" s="113"/>
      <c r="F827" s="113"/>
      <c r="G827" s="114"/>
      <c r="H827" s="131" t="s">
        <v>169</v>
      </c>
      <c r="I827" s="101"/>
      <c r="J827" s="102"/>
      <c r="K827" s="101"/>
      <c r="L827" s="101"/>
    </row>
    <row r="828" spans="1:14" ht="18" customHeight="1" x14ac:dyDescent="0.25">
      <c r="A828" s="519"/>
      <c r="B828" s="499" t="s">
        <v>163</v>
      </c>
      <c r="C828" s="499" t="s">
        <v>1386</v>
      </c>
      <c r="D828" s="44" t="s">
        <v>174</v>
      </c>
      <c r="E828" s="113"/>
      <c r="F828" s="113"/>
      <c r="G828" s="114"/>
      <c r="H828" s="131" t="s">
        <v>171</v>
      </c>
      <c r="I828" s="101">
        <v>6715</v>
      </c>
      <c r="J828" s="102">
        <v>14660</v>
      </c>
      <c r="K828" s="101"/>
      <c r="L828" s="101"/>
    </row>
    <row r="829" spans="1:14" ht="18" customHeight="1" x14ac:dyDescent="0.25">
      <c r="A829" s="519"/>
      <c r="B829" s="499" t="s">
        <v>163</v>
      </c>
      <c r="C829" s="499" t="s">
        <v>1386</v>
      </c>
      <c r="D829" s="44" t="s">
        <v>213</v>
      </c>
      <c r="E829" s="113"/>
      <c r="F829" s="113"/>
      <c r="G829" s="114"/>
      <c r="H829" s="131" t="s">
        <v>171</v>
      </c>
      <c r="I829" s="101"/>
      <c r="J829" s="102"/>
      <c r="K829" s="101"/>
      <c r="L829" s="101">
        <v>94793</v>
      </c>
    </row>
    <row r="830" spans="1:14" ht="18" customHeight="1" x14ac:dyDescent="0.25">
      <c r="A830" s="519"/>
      <c r="B830" s="499" t="s">
        <v>163</v>
      </c>
      <c r="C830" s="499" t="s">
        <v>1386</v>
      </c>
      <c r="D830" s="44" t="s">
        <v>354</v>
      </c>
      <c r="E830" s="113"/>
      <c r="F830" s="113"/>
      <c r="G830" s="114"/>
      <c r="H830" s="131" t="s">
        <v>171</v>
      </c>
      <c r="I830" s="101"/>
      <c r="J830" s="102">
        <v>4000</v>
      </c>
      <c r="K830" s="101"/>
      <c r="L830" s="101"/>
    </row>
    <row r="831" spans="1:14" ht="18" customHeight="1" x14ac:dyDescent="0.25">
      <c r="A831" s="519"/>
      <c r="B831" s="499" t="s">
        <v>163</v>
      </c>
      <c r="C831" s="499" t="s">
        <v>1386</v>
      </c>
      <c r="D831" s="44" t="s">
        <v>178</v>
      </c>
      <c r="E831" s="113"/>
      <c r="F831" s="113"/>
      <c r="G831" s="114"/>
      <c r="H831" s="131" t="s">
        <v>179</v>
      </c>
      <c r="I831" s="101"/>
      <c r="J831" s="102"/>
      <c r="K831" s="101"/>
      <c r="L831" s="101">
        <v>60000</v>
      </c>
    </row>
    <row r="832" spans="1:14" ht="18" customHeight="1" x14ac:dyDescent="0.25">
      <c r="A832" s="519"/>
      <c r="B832" s="499" t="s">
        <v>163</v>
      </c>
      <c r="C832" s="499" t="s">
        <v>1386</v>
      </c>
      <c r="D832" s="44" t="s">
        <v>250</v>
      </c>
      <c r="E832" s="113"/>
      <c r="F832" s="113"/>
      <c r="G832" s="114"/>
      <c r="H832" s="131" t="s">
        <v>179</v>
      </c>
      <c r="I832" s="101">
        <v>13424.66</v>
      </c>
      <c r="J832" s="102">
        <v>35000</v>
      </c>
      <c r="K832" s="101">
        <v>15337.63</v>
      </c>
      <c r="L832" s="101"/>
    </row>
    <row r="833" spans="1:14" ht="18" customHeight="1" x14ac:dyDescent="0.25">
      <c r="A833" s="519"/>
      <c r="B833" s="499" t="s">
        <v>163</v>
      </c>
      <c r="C833" s="499" t="s">
        <v>1386</v>
      </c>
      <c r="D833" s="44" t="s">
        <v>181</v>
      </c>
      <c r="E833" s="113"/>
      <c r="F833" s="113"/>
      <c r="G833" s="114"/>
      <c r="H833" s="131" t="s">
        <v>179</v>
      </c>
      <c r="I833" s="101">
        <v>42000</v>
      </c>
      <c r="J833" s="102">
        <v>42000</v>
      </c>
      <c r="K833" s="101">
        <v>21000</v>
      </c>
      <c r="L833" s="101"/>
    </row>
    <row r="834" spans="1:14" ht="18" customHeight="1" x14ac:dyDescent="0.25">
      <c r="A834" s="519"/>
      <c r="B834" s="499" t="s">
        <v>163</v>
      </c>
      <c r="C834" s="499" t="s">
        <v>1386</v>
      </c>
      <c r="D834" s="44" t="s">
        <v>182</v>
      </c>
      <c r="E834" s="113"/>
      <c r="F834" s="113"/>
      <c r="G834" s="114"/>
      <c r="H834" s="131" t="s">
        <v>183</v>
      </c>
      <c r="I834" s="101">
        <v>4995</v>
      </c>
      <c r="J834" s="102">
        <v>20400</v>
      </c>
      <c r="K834" s="101"/>
      <c r="L834" s="101">
        <v>36000</v>
      </c>
    </row>
    <row r="835" spans="1:14" ht="18" customHeight="1" x14ac:dyDescent="0.25">
      <c r="A835" s="519"/>
      <c r="B835" s="499" t="s">
        <v>163</v>
      </c>
      <c r="C835" s="499" t="s">
        <v>1386</v>
      </c>
      <c r="D835" s="44" t="s">
        <v>355</v>
      </c>
      <c r="E835" s="113"/>
      <c r="F835" s="113"/>
      <c r="G835" s="114"/>
      <c r="H835" s="131" t="s">
        <v>356</v>
      </c>
      <c r="I835" s="101">
        <v>8967.84</v>
      </c>
      <c r="J835" s="102">
        <v>30000</v>
      </c>
      <c r="K835" s="101"/>
      <c r="L835" s="101">
        <v>30000</v>
      </c>
    </row>
    <row r="836" spans="1:14" ht="18" customHeight="1" x14ac:dyDescent="0.25">
      <c r="A836" s="519"/>
      <c r="B836" s="499" t="s">
        <v>163</v>
      </c>
      <c r="C836" s="499" t="s">
        <v>1386</v>
      </c>
      <c r="D836" s="44" t="s">
        <v>357</v>
      </c>
      <c r="E836" s="113"/>
      <c r="F836" s="113"/>
      <c r="G836" s="114"/>
      <c r="H836" s="131" t="s">
        <v>237</v>
      </c>
      <c r="I836" s="101">
        <v>300</v>
      </c>
      <c r="J836" s="102">
        <v>10000</v>
      </c>
      <c r="K836" s="101"/>
      <c r="L836" s="101">
        <v>10000</v>
      </c>
    </row>
    <row r="837" spans="1:14" ht="18" customHeight="1" x14ac:dyDescent="0.25">
      <c r="A837" s="519"/>
      <c r="B837" s="499" t="s">
        <v>163</v>
      </c>
      <c r="C837" s="499" t="s">
        <v>1386</v>
      </c>
      <c r="D837" s="44" t="s">
        <v>198</v>
      </c>
      <c r="E837" s="113"/>
      <c r="F837" s="113"/>
      <c r="G837" s="114"/>
      <c r="H837" s="131" t="s">
        <v>199</v>
      </c>
      <c r="I837" s="105">
        <v>379521.71</v>
      </c>
      <c r="J837" s="106">
        <v>552764.80000000005</v>
      </c>
      <c r="K837" s="105">
        <v>163277.51999999999</v>
      </c>
      <c r="L837" s="105">
        <v>550790.64</v>
      </c>
    </row>
    <row r="838" spans="1:14" s="208" customFormat="1" ht="17.45" customHeight="1" x14ac:dyDescent="0.25">
      <c r="A838" s="154"/>
      <c r="B838" s="499" t="s">
        <v>201</v>
      </c>
      <c r="C838" s="499" t="s">
        <v>1386</v>
      </c>
      <c r="D838" s="536" t="s">
        <v>358</v>
      </c>
      <c r="E838" s="502"/>
      <c r="F838" s="502"/>
      <c r="G838" s="502"/>
      <c r="H838" s="120"/>
      <c r="I838" s="101"/>
      <c r="J838" s="145"/>
      <c r="K838" s="121"/>
      <c r="L838" s="121">
        <v>71700</v>
      </c>
      <c r="M838" s="207"/>
      <c r="N838" s="207"/>
    </row>
    <row r="839" spans="1:14" s="208" customFormat="1" ht="17.45" customHeight="1" x14ac:dyDescent="0.25">
      <c r="A839" s="154"/>
      <c r="B839" s="499" t="s">
        <v>201</v>
      </c>
      <c r="C839" s="499" t="s">
        <v>1386</v>
      </c>
      <c r="D839" s="536" t="s">
        <v>359</v>
      </c>
      <c r="E839" s="502"/>
      <c r="F839" s="502"/>
      <c r="G839" s="502"/>
      <c r="H839" s="97"/>
      <c r="I839" s="101"/>
      <c r="J839" s="102"/>
      <c r="K839" s="101"/>
      <c r="L839" s="101">
        <v>95000</v>
      </c>
      <c r="M839" s="207"/>
      <c r="N839" s="207"/>
    </row>
    <row r="840" spans="1:14" s="208" customFormat="1" ht="17.45" customHeight="1" x14ac:dyDescent="0.25">
      <c r="A840" s="154"/>
      <c r="B840" s="499" t="s">
        <v>201</v>
      </c>
      <c r="C840" s="499" t="s">
        <v>1386</v>
      </c>
      <c r="D840" s="536" t="s">
        <v>360</v>
      </c>
      <c r="E840" s="502"/>
      <c r="F840" s="502"/>
      <c r="G840" s="502"/>
      <c r="H840" s="97"/>
      <c r="I840" s="101"/>
      <c r="J840" s="102"/>
      <c r="K840" s="101"/>
      <c r="L840" s="101">
        <v>41600</v>
      </c>
      <c r="M840" s="207"/>
      <c r="N840" s="207"/>
    </row>
    <row r="841" spans="1:14" s="208" customFormat="1" ht="17.45" customHeight="1" x14ac:dyDescent="0.25">
      <c r="A841" s="154"/>
      <c r="B841" s="499" t="s">
        <v>201</v>
      </c>
      <c r="C841" s="499" t="s">
        <v>1386</v>
      </c>
      <c r="D841" s="536" t="s">
        <v>361</v>
      </c>
      <c r="E841" s="536"/>
      <c r="F841" s="502"/>
      <c r="G841" s="502"/>
      <c r="H841" s="97"/>
      <c r="I841" s="101"/>
      <c r="J841" s="102"/>
      <c r="K841" s="101"/>
      <c r="L841" s="101">
        <v>400000</v>
      </c>
      <c r="M841" s="207"/>
      <c r="N841" s="207"/>
    </row>
    <row r="842" spans="1:14" s="208" customFormat="1" ht="17.45" customHeight="1" x14ac:dyDescent="0.25">
      <c r="A842" s="154"/>
      <c r="B842" s="499" t="s">
        <v>201</v>
      </c>
      <c r="C842" s="499" t="s">
        <v>1386</v>
      </c>
      <c r="D842" s="536" t="s">
        <v>203</v>
      </c>
      <c r="E842" s="536"/>
      <c r="F842" s="502"/>
      <c r="G842" s="502"/>
      <c r="H842" s="97"/>
      <c r="I842" s="101"/>
      <c r="J842" s="102"/>
      <c r="K842" s="101"/>
      <c r="L842" s="101">
        <v>75000</v>
      </c>
      <c r="M842" s="207"/>
      <c r="N842" s="207"/>
    </row>
    <row r="843" spans="1:14" s="208" customFormat="1" ht="17.45" customHeight="1" x14ac:dyDescent="0.25">
      <c r="A843" s="154"/>
      <c r="B843" s="499" t="s">
        <v>201</v>
      </c>
      <c r="C843" s="499" t="s">
        <v>1386</v>
      </c>
      <c r="D843" s="536" t="s">
        <v>362</v>
      </c>
      <c r="E843" s="502"/>
      <c r="F843" s="502"/>
      <c r="G843" s="502"/>
      <c r="H843" s="97"/>
      <c r="I843" s="101"/>
      <c r="J843" s="102"/>
      <c r="K843" s="101"/>
      <c r="L843" s="101">
        <v>35200</v>
      </c>
      <c r="M843" s="207"/>
      <c r="N843" s="207"/>
    </row>
    <row r="844" spans="1:14" s="212" customFormat="1" ht="17.45" customHeight="1" x14ac:dyDescent="0.25">
      <c r="A844" s="211"/>
      <c r="B844" s="499" t="s">
        <v>201</v>
      </c>
      <c r="C844" s="499" t="s">
        <v>1386</v>
      </c>
      <c r="D844" s="536" t="s">
        <v>363</v>
      </c>
      <c r="E844" s="502"/>
      <c r="F844" s="502"/>
      <c r="G844" s="502"/>
      <c r="H844" s="97"/>
      <c r="I844" s="101"/>
      <c r="J844" s="102">
        <v>240000</v>
      </c>
      <c r="K844" s="101"/>
      <c r="L844" s="101"/>
      <c r="M844" s="207"/>
      <c r="N844" s="207"/>
    </row>
    <row r="845" spans="1:14" s="212" customFormat="1" ht="17.45" customHeight="1" x14ac:dyDescent="0.25">
      <c r="A845" s="211"/>
      <c r="B845" s="499" t="s">
        <v>201</v>
      </c>
      <c r="C845" s="499" t="s">
        <v>1386</v>
      </c>
      <c r="D845" s="536" t="s">
        <v>364</v>
      </c>
      <c r="E845" s="502"/>
      <c r="F845" s="502"/>
      <c r="G845" s="502"/>
      <c r="H845" s="97"/>
      <c r="I845" s="101"/>
      <c r="J845" s="102">
        <v>30000</v>
      </c>
      <c r="K845" s="101"/>
      <c r="L845" s="101"/>
      <c r="M845" s="207"/>
      <c r="N845" s="207"/>
    </row>
    <row r="846" spans="1:14" s="212" customFormat="1" ht="17.45" customHeight="1" x14ac:dyDescent="0.25">
      <c r="A846" s="211"/>
      <c r="B846" s="499" t="s">
        <v>201</v>
      </c>
      <c r="C846" s="499" t="s">
        <v>1386</v>
      </c>
      <c r="D846" s="536" t="s">
        <v>365</v>
      </c>
      <c r="E846" s="502"/>
      <c r="F846" s="502"/>
      <c r="G846" s="502"/>
      <c r="H846" s="97"/>
      <c r="I846" s="101"/>
      <c r="J846" s="102">
        <v>17000</v>
      </c>
      <c r="K846" s="101"/>
      <c r="L846" s="101"/>
      <c r="M846" s="207"/>
      <c r="N846" s="207"/>
    </row>
    <row r="847" spans="1:14" s="212" customFormat="1" ht="17.45" customHeight="1" x14ac:dyDescent="0.25">
      <c r="A847" s="211"/>
      <c r="B847" s="499" t="s">
        <v>201</v>
      </c>
      <c r="C847" s="499" t="s">
        <v>1386</v>
      </c>
      <c r="D847" s="536" t="s">
        <v>366</v>
      </c>
      <c r="E847" s="502"/>
      <c r="F847" s="502"/>
      <c r="G847" s="502"/>
      <c r="H847" s="97"/>
      <c r="I847" s="101"/>
      <c r="J847" s="102">
        <v>49000</v>
      </c>
      <c r="K847" s="101"/>
      <c r="L847" s="101"/>
      <c r="M847" s="207"/>
      <c r="N847" s="207"/>
    </row>
    <row r="848" spans="1:14" s="212" customFormat="1" ht="17.45" customHeight="1" x14ac:dyDescent="0.25">
      <c r="A848" s="211"/>
      <c r="B848" s="499" t="s">
        <v>201</v>
      </c>
      <c r="C848" s="499" t="s">
        <v>1386</v>
      </c>
      <c r="D848" s="536" t="s">
        <v>367</v>
      </c>
      <c r="E848" s="502"/>
      <c r="F848" s="502"/>
      <c r="G848" s="502"/>
      <c r="H848" s="97"/>
      <c r="I848" s="101"/>
      <c r="J848" s="102">
        <v>5240</v>
      </c>
      <c r="K848" s="101"/>
      <c r="L848" s="101"/>
      <c r="M848" s="207"/>
      <c r="N848" s="207"/>
    </row>
    <row r="849" spans="1:14" ht="17.45" customHeight="1" x14ac:dyDescent="0.25">
      <c r="A849" s="519"/>
      <c r="B849" s="499" t="s">
        <v>201</v>
      </c>
      <c r="C849" s="499" t="s">
        <v>1386</v>
      </c>
      <c r="D849" s="1602" t="s">
        <v>368</v>
      </c>
      <c r="E849" s="1603"/>
      <c r="F849" s="1603"/>
      <c r="G849" s="1603"/>
      <c r="H849" s="133"/>
      <c r="I849" s="105">
        <v>17850</v>
      </c>
      <c r="J849" s="106"/>
      <c r="K849" s="105"/>
      <c r="L849" s="105"/>
    </row>
    <row r="850" spans="1:14" s="48" customFormat="1" ht="18" customHeight="1" x14ac:dyDescent="0.25">
      <c r="A850" s="519"/>
      <c r="B850" s="499" t="s">
        <v>123</v>
      </c>
      <c r="C850" s="499" t="s">
        <v>1386</v>
      </c>
      <c r="D850" s="1602" t="s">
        <v>124</v>
      </c>
      <c r="E850" s="1603"/>
      <c r="F850" s="1603"/>
      <c r="G850" s="1603"/>
      <c r="H850" s="131" t="s">
        <v>125</v>
      </c>
      <c r="I850" s="101">
        <v>5231866.72</v>
      </c>
      <c r="J850" s="102">
        <v>6175824</v>
      </c>
      <c r="K850" s="101">
        <v>3191880.4</v>
      </c>
      <c r="L850" s="101">
        <v>6696612</v>
      </c>
      <c r="M850" s="6"/>
      <c r="N850" s="6"/>
    </row>
    <row r="851" spans="1:14" s="48" customFormat="1" ht="18" customHeight="1" x14ac:dyDescent="0.25">
      <c r="A851" s="519"/>
      <c r="B851" s="499" t="s">
        <v>123</v>
      </c>
      <c r="C851" s="499" t="s">
        <v>1386</v>
      </c>
      <c r="D851" s="1602" t="s">
        <v>126</v>
      </c>
      <c r="E851" s="1603"/>
      <c r="F851" s="1603"/>
      <c r="G851" s="1603"/>
      <c r="H851" s="131" t="s">
        <v>127</v>
      </c>
      <c r="I851" s="101">
        <v>979409.38</v>
      </c>
      <c r="J851" s="102">
        <v>999840</v>
      </c>
      <c r="K851" s="101">
        <v>434656.46</v>
      </c>
      <c r="L851" s="101">
        <v>1084800</v>
      </c>
      <c r="M851" s="6"/>
      <c r="N851" s="6"/>
    </row>
    <row r="852" spans="1:14" s="48" customFormat="1" ht="18" customHeight="1" x14ac:dyDescent="0.25">
      <c r="A852" s="519"/>
      <c r="B852" s="499" t="s">
        <v>123</v>
      </c>
      <c r="C852" s="499" t="s">
        <v>1386</v>
      </c>
      <c r="D852" s="1602" t="s">
        <v>128</v>
      </c>
      <c r="E852" s="1603"/>
      <c r="F852" s="1603"/>
      <c r="G852" s="1603"/>
      <c r="H852" s="132" t="s">
        <v>125</v>
      </c>
      <c r="I852" s="101">
        <v>0</v>
      </c>
      <c r="J852" s="102">
        <v>5141</v>
      </c>
      <c r="K852" s="101"/>
      <c r="L852" s="101">
        <v>19583.43</v>
      </c>
      <c r="M852" s="6"/>
      <c r="N852" s="6"/>
    </row>
    <row r="853" spans="1:14" s="48" customFormat="1" ht="18" customHeight="1" x14ac:dyDescent="0.25">
      <c r="A853" s="519"/>
      <c r="B853" s="499" t="s">
        <v>123</v>
      </c>
      <c r="C853" s="499" t="s">
        <v>1386</v>
      </c>
      <c r="D853" s="1602" t="s">
        <v>129</v>
      </c>
      <c r="E853" s="1603"/>
      <c r="F853" s="1603"/>
      <c r="G853" s="1603"/>
      <c r="H853" s="132" t="s">
        <v>130</v>
      </c>
      <c r="I853" s="101">
        <v>821362.72</v>
      </c>
      <c r="J853" s="102">
        <v>1080000</v>
      </c>
      <c r="K853" s="101">
        <v>499454.53</v>
      </c>
      <c r="L853" s="101">
        <v>1080000</v>
      </c>
      <c r="M853" s="6"/>
      <c r="N853" s="6"/>
    </row>
    <row r="854" spans="1:14" s="48" customFormat="1" ht="18" customHeight="1" x14ac:dyDescent="0.25">
      <c r="A854" s="519"/>
      <c r="B854" s="499" t="s">
        <v>123</v>
      </c>
      <c r="C854" s="499" t="s">
        <v>1386</v>
      </c>
      <c r="D854" s="1602" t="s">
        <v>131</v>
      </c>
      <c r="E854" s="1603"/>
      <c r="F854" s="1603"/>
      <c r="G854" s="1603"/>
      <c r="H854" s="131" t="s">
        <v>132</v>
      </c>
      <c r="I854" s="101">
        <v>70500</v>
      </c>
      <c r="J854" s="102">
        <v>72000</v>
      </c>
      <c r="K854" s="101">
        <v>40500</v>
      </c>
      <c r="L854" s="101">
        <v>72000</v>
      </c>
      <c r="M854" s="6"/>
      <c r="N854" s="6"/>
    </row>
    <row r="855" spans="1:14" s="48" customFormat="1" ht="18" customHeight="1" x14ac:dyDescent="0.25">
      <c r="A855" s="519"/>
      <c r="B855" s="499" t="s">
        <v>123</v>
      </c>
      <c r="C855" s="499" t="s">
        <v>1386</v>
      </c>
      <c r="D855" s="1602" t="s">
        <v>133</v>
      </c>
      <c r="E855" s="1603"/>
      <c r="F855" s="1603"/>
      <c r="G855" s="1603"/>
      <c r="H855" s="131" t="s">
        <v>134</v>
      </c>
      <c r="I855" s="101">
        <v>70500</v>
      </c>
      <c r="J855" s="102">
        <v>72000</v>
      </c>
      <c r="K855" s="101">
        <v>40500</v>
      </c>
      <c r="L855" s="101">
        <v>72000</v>
      </c>
      <c r="M855" s="6"/>
      <c r="N855" s="6"/>
    </row>
    <row r="856" spans="1:14" s="48" customFormat="1" ht="18" customHeight="1" x14ac:dyDescent="0.25">
      <c r="A856" s="519"/>
      <c r="B856" s="499" t="s">
        <v>123</v>
      </c>
      <c r="C856" s="499" t="s">
        <v>1386</v>
      </c>
      <c r="D856" s="1602" t="s">
        <v>135</v>
      </c>
      <c r="E856" s="1603"/>
      <c r="F856" s="1603"/>
      <c r="G856" s="1603"/>
      <c r="H856" s="131" t="s">
        <v>136</v>
      </c>
      <c r="I856" s="101">
        <v>389188.09</v>
      </c>
      <c r="J856" s="102">
        <v>430452.6</v>
      </c>
      <c r="K856" s="101">
        <v>122167.61</v>
      </c>
      <c r="L856" s="101">
        <v>481917.36</v>
      </c>
      <c r="M856" s="6"/>
      <c r="N856" s="6"/>
    </row>
    <row r="857" spans="1:14" s="48" customFormat="1" ht="18" customHeight="1" x14ac:dyDescent="0.25">
      <c r="A857" s="519"/>
      <c r="B857" s="499" t="s">
        <v>123</v>
      </c>
      <c r="C857" s="499" t="s">
        <v>1386</v>
      </c>
      <c r="D857" s="1602" t="s">
        <v>137</v>
      </c>
      <c r="E857" s="1603"/>
      <c r="F857" s="1603"/>
      <c r="G857" s="1603"/>
      <c r="H857" s="131" t="s">
        <v>138</v>
      </c>
      <c r="I857" s="101">
        <v>180000</v>
      </c>
      <c r="J857" s="102">
        <v>270000</v>
      </c>
      <c r="K857" s="101">
        <v>222000</v>
      </c>
      <c r="L857" s="101">
        <v>270000</v>
      </c>
      <c r="M857" s="6"/>
      <c r="N857" s="6"/>
    </row>
    <row r="858" spans="1:14" s="48" customFormat="1" ht="18" customHeight="1" x14ac:dyDescent="0.25">
      <c r="A858" s="519"/>
      <c r="B858" s="499" t="s">
        <v>123</v>
      </c>
      <c r="C858" s="499" t="s">
        <v>1386</v>
      </c>
      <c r="D858" s="1602" t="s">
        <v>139</v>
      </c>
      <c r="E858" s="1603"/>
      <c r="F858" s="1603"/>
      <c r="G858" s="1603"/>
      <c r="H858" s="131" t="s">
        <v>140</v>
      </c>
      <c r="I858" s="101">
        <v>488697</v>
      </c>
      <c r="J858" s="102">
        <v>598152</v>
      </c>
      <c r="K858" s="101">
        <v>521499</v>
      </c>
      <c r="L858" s="101">
        <v>650419</v>
      </c>
      <c r="M858" s="6"/>
      <c r="N858" s="6"/>
    </row>
    <row r="859" spans="1:14" s="48" customFormat="1" ht="18" customHeight="1" x14ac:dyDescent="0.25">
      <c r="A859" s="519"/>
      <c r="B859" s="499" t="s">
        <v>123</v>
      </c>
      <c r="C859" s="499" t="s">
        <v>1386</v>
      </c>
      <c r="D859" s="1602" t="s">
        <v>141</v>
      </c>
      <c r="E859" s="1603"/>
      <c r="F859" s="1603"/>
      <c r="G859" s="1603"/>
      <c r="H859" s="131" t="s">
        <v>142</v>
      </c>
      <c r="I859" s="101">
        <v>510897</v>
      </c>
      <c r="J859" s="102">
        <v>598733</v>
      </c>
      <c r="K859" s="101"/>
      <c r="L859" s="101">
        <v>650419</v>
      </c>
      <c r="M859" s="6"/>
      <c r="N859" s="6"/>
    </row>
    <row r="860" spans="1:14" s="48" customFormat="1" ht="18" customHeight="1" x14ac:dyDescent="0.25">
      <c r="A860" s="519"/>
      <c r="B860" s="499" t="s">
        <v>123</v>
      </c>
      <c r="C860" s="499" t="s">
        <v>1386</v>
      </c>
      <c r="D860" s="1602" t="s">
        <v>143</v>
      </c>
      <c r="E860" s="1603"/>
      <c r="F860" s="1603"/>
      <c r="G860" s="1603"/>
      <c r="H860" s="131" t="s">
        <v>144</v>
      </c>
      <c r="I860" s="101">
        <v>185000</v>
      </c>
      <c r="J860" s="102">
        <v>225000</v>
      </c>
      <c r="K860" s="101"/>
      <c r="L860" s="101">
        <v>225000</v>
      </c>
      <c r="M860" s="6"/>
      <c r="N860" s="6"/>
    </row>
    <row r="861" spans="1:14" s="48" customFormat="1" ht="18" customHeight="1" x14ac:dyDescent="0.25">
      <c r="A861" s="519"/>
      <c r="B861" s="499" t="s">
        <v>123</v>
      </c>
      <c r="C861" s="499" t="s">
        <v>1386</v>
      </c>
      <c r="D861" s="1602" t="s">
        <v>145</v>
      </c>
      <c r="E861" s="1603"/>
      <c r="F861" s="1603"/>
      <c r="G861" s="1603"/>
      <c r="H861" s="131" t="s">
        <v>146</v>
      </c>
      <c r="I861" s="101">
        <v>185000</v>
      </c>
      <c r="J861" s="102">
        <v>225000</v>
      </c>
      <c r="K861" s="101"/>
      <c r="L861" s="101">
        <v>225000</v>
      </c>
      <c r="M861" s="6"/>
      <c r="N861" s="6"/>
    </row>
    <row r="862" spans="1:14" s="48" customFormat="1" ht="18" customHeight="1" x14ac:dyDescent="0.25">
      <c r="A862" s="519"/>
      <c r="B862" s="499" t="s">
        <v>123</v>
      </c>
      <c r="C862" s="499" t="s">
        <v>1386</v>
      </c>
      <c r="D862" s="1602" t="s">
        <v>231</v>
      </c>
      <c r="E862" s="1603"/>
      <c r="F862" s="1603"/>
      <c r="G862" s="1603"/>
      <c r="H862" s="131" t="s">
        <v>232</v>
      </c>
      <c r="I862" s="101">
        <v>20000</v>
      </c>
      <c r="J862" s="102">
        <v>10000</v>
      </c>
      <c r="K862" s="101"/>
      <c r="L862" s="101">
        <v>30000</v>
      </c>
      <c r="M862" s="6"/>
      <c r="N862" s="6"/>
    </row>
    <row r="863" spans="1:14" s="48" customFormat="1" ht="18" customHeight="1" x14ac:dyDescent="0.25">
      <c r="A863" s="519"/>
      <c r="B863" s="499" t="s">
        <v>123</v>
      </c>
      <c r="C863" s="499" t="s">
        <v>1386</v>
      </c>
      <c r="D863" s="536" t="s">
        <v>147</v>
      </c>
      <c r="E863" s="499"/>
      <c r="F863" s="499"/>
      <c r="G863" s="491"/>
      <c r="H863" s="131" t="s">
        <v>148</v>
      </c>
      <c r="I863" s="101"/>
      <c r="J863" s="102"/>
      <c r="K863" s="101"/>
      <c r="L863" s="101">
        <v>135000</v>
      </c>
      <c r="M863" s="6"/>
      <c r="N863" s="6"/>
    </row>
    <row r="864" spans="1:14" s="48" customFormat="1" ht="18" customHeight="1" x14ac:dyDescent="0.25">
      <c r="A864" s="519"/>
      <c r="B864" s="499" t="s">
        <v>123</v>
      </c>
      <c r="C864" s="499" t="s">
        <v>1386</v>
      </c>
      <c r="D864" s="1611" t="s">
        <v>149</v>
      </c>
      <c r="E864" s="1611"/>
      <c r="F864" s="1611"/>
      <c r="G864" s="1602"/>
      <c r="H864" s="131" t="s">
        <v>232</v>
      </c>
      <c r="I864" s="101">
        <v>562500</v>
      </c>
      <c r="J864" s="102"/>
      <c r="K864" s="101"/>
      <c r="L864" s="101"/>
      <c r="M864" s="6"/>
      <c r="N864" s="6"/>
    </row>
    <row r="865" spans="1:14" s="48" customFormat="1" ht="18" customHeight="1" x14ac:dyDescent="0.25">
      <c r="A865" s="519"/>
      <c r="B865" s="499" t="s">
        <v>123</v>
      </c>
      <c r="C865" s="499" t="s">
        <v>1386</v>
      </c>
      <c r="D865" s="1602" t="s">
        <v>151</v>
      </c>
      <c r="E865" s="1603"/>
      <c r="F865" s="1603"/>
      <c r="G865" s="1603"/>
      <c r="H865" s="131" t="s">
        <v>148</v>
      </c>
      <c r="I865" s="101">
        <v>370000</v>
      </c>
      <c r="J865" s="102">
        <v>0</v>
      </c>
      <c r="K865" s="101"/>
      <c r="L865" s="101"/>
      <c r="M865" s="6"/>
      <c r="N865" s="6"/>
    </row>
    <row r="866" spans="1:14" s="48" customFormat="1" ht="18" customHeight="1" x14ac:dyDescent="0.25">
      <c r="A866" s="519"/>
      <c r="B866" s="499" t="s">
        <v>123</v>
      </c>
      <c r="C866" s="499" t="s">
        <v>1386</v>
      </c>
      <c r="D866" s="1611" t="s">
        <v>152</v>
      </c>
      <c r="E866" s="1611"/>
      <c r="F866" s="1611"/>
      <c r="G866" s="1602"/>
      <c r="H866" s="131"/>
      <c r="I866" s="101">
        <v>0</v>
      </c>
      <c r="J866" s="102">
        <v>388071.79</v>
      </c>
      <c r="K866" s="101"/>
      <c r="L866" s="101"/>
      <c r="M866" s="6"/>
      <c r="N866" s="6"/>
    </row>
    <row r="867" spans="1:14" s="48" customFormat="1" ht="18" customHeight="1" x14ac:dyDescent="0.25">
      <c r="A867" s="519"/>
      <c r="B867" s="499" t="s">
        <v>123</v>
      </c>
      <c r="C867" s="499" t="s">
        <v>1386</v>
      </c>
      <c r="D867" s="1602" t="s">
        <v>153</v>
      </c>
      <c r="E867" s="1603"/>
      <c r="F867" s="1603"/>
      <c r="G867" s="1603"/>
      <c r="H867" s="131" t="s">
        <v>154</v>
      </c>
      <c r="I867" s="101">
        <v>694844.3</v>
      </c>
      <c r="J867" s="102">
        <v>861696.6</v>
      </c>
      <c r="K867" s="101">
        <v>437094.01</v>
      </c>
      <c r="L867" s="101">
        <v>936119.45</v>
      </c>
      <c r="M867" s="6"/>
      <c r="N867" s="6"/>
    </row>
    <row r="868" spans="1:14" s="48" customFormat="1" ht="18" customHeight="1" x14ac:dyDescent="0.25">
      <c r="A868" s="519"/>
      <c r="B868" s="499" t="s">
        <v>123</v>
      </c>
      <c r="C868" s="499" t="s">
        <v>1386</v>
      </c>
      <c r="D868" s="1602" t="s">
        <v>155</v>
      </c>
      <c r="E868" s="1603"/>
      <c r="F868" s="1603"/>
      <c r="G868" s="1603"/>
      <c r="H868" s="131" t="s">
        <v>156</v>
      </c>
      <c r="I868" s="101">
        <v>40900</v>
      </c>
      <c r="J868" s="102">
        <v>54000</v>
      </c>
      <c r="K868" s="101">
        <v>25500</v>
      </c>
      <c r="L868" s="101">
        <v>54000</v>
      </c>
      <c r="M868" s="6"/>
      <c r="N868" s="6"/>
    </row>
    <row r="869" spans="1:14" s="48" customFormat="1" ht="18" customHeight="1" x14ac:dyDescent="0.25">
      <c r="A869" s="519"/>
      <c r="B869" s="499" t="s">
        <v>123</v>
      </c>
      <c r="C869" s="499" t="s">
        <v>1386</v>
      </c>
      <c r="D869" s="1602" t="s">
        <v>157</v>
      </c>
      <c r="E869" s="1603"/>
      <c r="F869" s="1603"/>
      <c r="G869" s="1603"/>
      <c r="H869" s="131" t="s">
        <v>158</v>
      </c>
      <c r="I869" s="101">
        <v>83067.11</v>
      </c>
      <c r="J869" s="102">
        <v>123534.48</v>
      </c>
      <c r="K869" s="101">
        <v>52969.89</v>
      </c>
      <c r="L869" s="101">
        <v>310779.34000000003</v>
      </c>
      <c r="M869" s="6"/>
      <c r="N869" s="6"/>
    </row>
    <row r="870" spans="1:14" s="48" customFormat="1" ht="18" customHeight="1" x14ac:dyDescent="0.25">
      <c r="A870" s="519"/>
      <c r="B870" s="499" t="s">
        <v>123</v>
      </c>
      <c r="C870" s="499" t="s">
        <v>1386</v>
      </c>
      <c r="D870" s="1602" t="s">
        <v>159</v>
      </c>
      <c r="E870" s="1603"/>
      <c r="F870" s="1603"/>
      <c r="G870" s="1603"/>
      <c r="H870" s="131" t="s">
        <v>160</v>
      </c>
      <c r="I870" s="105">
        <v>40906.480000000003</v>
      </c>
      <c r="J870" s="106">
        <v>54000</v>
      </c>
      <c r="K870" s="105">
        <v>25500</v>
      </c>
      <c r="L870" s="105">
        <v>54000</v>
      </c>
      <c r="M870" s="6"/>
      <c r="N870" s="6"/>
    </row>
    <row r="871" spans="1:14" s="48" customFormat="1" ht="18" customHeight="1" x14ac:dyDescent="0.25">
      <c r="A871" s="154"/>
      <c r="B871" s="499" t="s">
        <v>163</v>
      </c>
      <c r="C871" s="499" t="s">
        <v>1386</v>
      </c>
      <c r="D871" s="44" t="s">
        <v>353</v>
      </c>
      <c r="E871" s="125"/>
      <c r="F871" s="125"/>
      <c r="G871" s="134"/>
      <c r="H871" s="131" t="s">
        <v>165</v>
      </c>
      <c r="I871" s="101">
        <v>10094</v>
      </c>
      <c r="J871" s="102">
        <v>80000</v>
      </c>
      <c r="K871" s="101">
        <v>7750</v>
      </c>
      <c r="L871" s="101">
        <v>80000</v>
      </c>
      <c r="M871" s="6"/>
      <c r="N871" s="6"/>
    </row>
    <row r="872" spans="1:14" s="48" customFormat="1" ht="18" customHeight="1" x14ac:dyDescent="0.25">
      <c r="A872" s="154"/>
      <c r="B872" s="499" t="s">
        <v>163</v>
      </c>
      <c r="C872" s="499" t="s">
        <v>1386</v>
      </c>
      <c r="D872" s="44" t="s">
        <v>168</v>
      </c>
      <c r="E872" s="125"/>
      <c r="F872" s="125"/>
      <c r="G872" s="134"/>
      <c r="H872" s="131" t="s">
        <v>169</v>
      </c>
      <c r="I872" s="101">
        <v>465620.04</v>
      </c>
      <c r="J872" s="102">
        <v>500000</v>
      </c>
      <c r="K872" s="101">
        <v>322354.5</v>
      </c>
      <c r="L872" s="101">
        <v>372200</v>
      </c>
      <c r="M872" s="6"/>
      <c r="N872" s="6"/>
    </row>
    <row r="873" spans="1:14" s="48" customFormat="1" ht="18" customHeight="1" x14ac:dyDescent="0.25">
      <c r="A873" s="154"/>
      <c r="B873" s="499" t="s">
        <v>163</v>
      </c>
      <c r="C873" s="499" t="s">
        <v>1386</v>
      </c>
      <c r="D873" s="44" t="s">
        <v>172</v>
      </c>
      <c r="E873" s="125"/>
      <c r="F873" s="125"/>
      <c r="G873" s="134"/>
      <c r="H873" s="131" t="s">
        <v>173</v>
      </c>
      <c r="I873" s="101"/>
      <c r="J873" s="102"/>
      <c r="K873" s="101"/>
      <c r="L873" s="101"/>
      <c r="M873" s="6"/>
      <c r="N873" s="6">
        <v>40000</v>
      </c>
    </row>
    <row r="874" spans="1:14" s="48" customFormat="1" ht="18" customHeight="1" x14ac:dyDescent="0.25">
      <c r="A874" s="154"/>
      <c r="B874" s="499" t="s">
        <v>163</v>
      </c>
      <c r="C874" s="499" t="s">
        <v>1386</v>
      </c>
      <c r="D874" s="44" t="s">
        <v>369</v>
      </c>
      <c r="E874" s="125"/>
      <c r="F874" s="125"/>
      <c r="G874" s="134"/>
      <c r="H874" s="131" t="s">
        <v>173</v>
      </c>
      <c r="I874" s="101">
        <v>1675752.84</v>
      </c>
      <c r="J874" s="102">
        <v>2449000</v>
      </c>
      <c r="K874" s="101">
        <v>717072.08</v>
      </c>
      <c r="L874" s="101">
        <f>3995000+200000</f>
        <v>4195000</v>
      </c>
      <c r="M874" s="6"/>
      <c r="N874" s="6"/>
    </row>
    <row r="875" spans="1:14" s="48" customFormat="1" ht="18" customHeight="1" x14ac:dyDescent="0.25">
      <c r="A875" s="154"/>
      <c r="B875" s="499" t="s">
        <v>163</v>
      </c>
      <c r="C875" s="499" t="s">
        <v>1386</v>
      </c>
      <c r="D875" s="44" t="s">
        <v>370</v>
      </c>
      <c r="E875" s="125"/>
      <c r="F875" s="125"/>
      <c r="G875" s="134"/>
      <c r="H875" s="131" t="s">
        <v>173</v>
      </c>
      <c r="I875" s="101"/>
      <c r="J875" s="102"/>
      <c r="K875" s="101"/>
      <c r="L875" s="101"/>
      <c r="M875" s="6"/>
      <c r="N875" s="6">
        <v>40000</v>
      </c>
    </row>
    <row r="876" spans="1:14" s="48" customFormat="1" ht="18" customHeight="1" x14ac:dyDescent="0.25">
      <c r="A876" s="154"/>
      <c r="B876" s="499" t="s">
        <v>163</v>
      </c>
      <c r="C876" s="499" t="s">
        <v>1386</v>
      </c>
      <c r="D876" s="44" t="s">
        <v>371</v>
      </c>
      <c r="E876" s="125"/>
      <c r="F876" s="125"/>
      <c r="G876" s="134"/>
      <c r="H876" s="131" t="s">
        <v>173</v>
      </c>
      <c r="I876" s="101">
        <v>261256</v>
      </c>
      <c r="J876" s="102">
        <v>600000</v>
      </c>
      <c r="K876" s="101">
        <v>60955.199999999997</v>
      </c>
      <c r="L876" s="101">
        <v>600000</v>
      </c>
      <c r="M876" s="6"/>
      <c r="N876" s="6"/>
    </row>
    <row r="877" spans="1:14" s="48" customFormat="1" ht="18" customHeight="1" x14ac:dyDescent="0.25">
      <c r="A877" s="154"/>
      <c r="B877" s="499" t="s">
        <v>163</v>
      </c>
      <c r="C877" s="499" t="s">
        <v>1386</v>
      </c>
      <c r="D877" s="44" t="s">
        <v>372</v>
      </c>
      <c r="E877" s="125"/>
      <c r="F877" s="125"/>
      <c r="G877" s="134"/>
      <c r="H877" s="131" t="s">
        <v>173</v>
      </c>
      <c r="I877" s="101">
        <v>43007.1</v>
      </c>
      <c r="J877" s="102">
        <v>150000</v>
      </c>
      <c r="K877" s="101">
        <v>22236.95</v>
      </c>
      <c r="L877" s="101">
        <v>150000</v>
      </c>
      <c r="M877" s="6"/>
      <c r="N877" s="6"/>
    </row>
    <row r="878" spans="1:14" s="48" customFormat="1" ht="18" customHeight="1" x14ac:dyDescent="0.25">
      <c r="A878" s="154"/>
      <c r="B878" s="499" t="s">
        <v>163</v>
      </c>
      <c r="C878" s="499" t="s">
        <v>1386</v>
      </c>
      <c r="D878" s="44" t="s">
        <v>174</v>
      </c>
      <c r="E878" s="125"/>
      <c r="F878" s="125"/>
      <c r="G878" s="134"/>
      <c r="H878" s="131" t="s">
        <v>171</v>
      </c>
      <c r="I878" s="101">
        <v>355344</v>
      </c>
      <c r="J878" s="102">
        <v>469771</v>
      </c>
      <c r="K878" s="101"/>
      <c r="L878" s="101"/>
      <c r="M878" s="6"/>
      <c r="N878" s="6"/>
    </row>
    <row r="879" spans="1:14" s="48" customFormat="1" ht="18" customHeight="1" x14ac:dyDescent="0.25">
      <c r="A879" s="154"/>
      <c r="B879" s="499" t="s">
        <v>163</v>
      </c>
      <c r="C879" s="499" t="s">
        <v>1386</v>
      </c>
      <c r="D879" s="44" t="s">
        <v>288</v>
      </c>
      <c r="E879" s="125"/>
      <c r="F879" s="125"/>
      <c r="G879" s="134"/>
      <c r="H879" s="131" t="s">
        <v>171</v>
      </c>
      <c r="I879" s="101"/>
      <c r="J879" s="102"/>
      <c r="K879" s="101"/>
      <c r="L879" s="101">
        <v>6910600</v>
      </c>
      <c r="M879" s="6"/>
      <c r="N879" s="6"/>
    </row>
    <row r="880" spans="1:14" s="48" customFormat="1" ht="18" customHeight="1" x14ac:dyDescent="0.25">
      <c r="A880" s="154"/>
      <c r="B880" s="499" t="s">
        <v>163</v>
      </c>
      <c r="C880" s="499" t="s">
        <v>1386</v>
      </c>
      <c r="D880" s="44" t="s">
        <v>373</v>
      </c>
      <c r="E880" s="125"/>
      <c r="F880" s="125"/>
      <c r="G880" s="134"/>
      <c r="H880" s="131" t="s">
        <v>171</v>
      </c>
      <c r="I880" s="101">
        <v>0</v>
      </c>
      <c r="J880" s="102">
        <v>20000</v>
      </c>
      <c r="K880" s="101"/>
      <c r="L880" s="101"/>
      <c r="M880" s="6"/>
      <c r="N880" s="6"/>
    </row>
    <row r="881" spans="1:16" s="48" customFormat="1" ht="18" customHeight="1" x14ac:dyDescent="0.25">
      <c r="A881" s="154"/>
      <c r="B881" s="499" t="s">
        <v>163</v>
      </c>
      <c r="C881" s="499" t="s">
        <v>1386</v>
      </c>
      <c r="D881" s="44" t="s">
        <v>374</v>
      </c>
      <c r="E881" s="125"/>
      <c r="F881" s="125"/>
      <c r="G881" s="134"/>
      <c r="H881" s="131" t="s">
        <v>171</v>
      </c>
      <c r="I881" s="101">
        <v>0</v>
      </c>
      <c r="J881" s="102">
        <v>90000</v>
      </c>
      <c r="K881" s="101"/>
      <c r="L881" s="101"/>
      <c r="M881" s="6"/>
      <c r="N881" s="6">
        <v>20000</v>
      </c>
    </row>
    <row r="882" spans="1:16" s="48" customFormat="1" ht="18" customHeight="1" x14ac:dyDescent="0.25">
      <c r="A882" s="154"/>
      <c r="B882" s="499" t="s">
        <v>163</v>
      </c>
      <c r="C882" s="499" t="s">
        <v>1386</v>
      </c>
      <c r="D882" s="44" t="s">
        <v>375</v>
      </c>
      <c r="E882" s="125"/>
      <c r="F882" s="125"/>
      <c r="G882" s="134"/>
      <c r="H882" s="131" t="s">
        <v>171</v>
      </c>
      <c r="I882" s="101">
        <v>135700</v>
      </c>
      <c r="J882" s="102">
        <v>500000</v>
      </c>
      <c r="K882" s="101"/>
      <c r="L882" s="101"/>
      <c r="M882" s="6"/>
      <c r="N882" s="6">
        <v>90000</v>
      </c>
    </row>
    <row r="883" spans="1:16" s="48" customFormat="1" ht="18" customHeight="1" x14ac:dyDescent="0.25">
      <c r="A883" s="154"/>
      <c r="B883" s="499" t="s">
        <v>163</v>
      </c>
      <c r="C883" s="499" t="s">
        <v>1386</v>
      </c>
      <c r="D883" s="44" t="s">
        <v>376</v>
      </c>
      <c r="E883" s="125"/>
      <c r="F883" s="125"/>
      <c r="G883" s="134"/>
      <c r="H883" s="131" t="s">
        <v>171</v>
      </c>
      <c r="I883" s="101"/>
      <c r="J883" s="102"/>
      <c r="K883" s="101"/>
      <c r="L883" s="101"/>
      <c r="M883" s="6"/>
      <c r="N883" s="6"/>
    </row>
    <row r="884" spans="1:16" s="48" customFormat="1" ht="18" customHeight="1" x14ac:dyDescent="0.25">
      <c r="A884" s="154"/>
      <c r="B884" s="499" t="s">
        <v>163</v>
      </c>
      <c r="C884" s="499" t="s">
        <v>1386</v>
      </c>
      <c r="D884" s="44" t="s">
        <v>377</v>
      </c>
      <c r="E884" s="125"/>
      <c r="F884" s="125"/>
      <c r="G884" s="134"/>
      <c r="H884" s="131" t="s">
        <v>171</v>
      </c>
      <c r="I884" s="101"/>
      <c r="J884" s="102"/>
      <c r="K884" s="101"/>
      <c r="L884" s="101"/>
      <c r="M884" s="6"/>
      <c r="N884" s="6"/>
    </row>
    <row r="885" spans="1:16" s="48" customFormat="1" ht="18" customHeight="1" x14ac:dyDescent="0.25">
      <c r="A885" s="154"/>
      <c r="B885" s="499" t="s">
        <v>163</v>
      </c>
      <c r="C885" s="499" t="s">
        <v>1386</v>
      </c>
      <c r="D885" s="44" t="s">
        <v>378</v>
      </c>
      <c r="E885" s="125"/>
      <c r="F885" s="125"/>
      <c r="G885" s="134"/>
      <c r="H885" s="131" t="s">
        <v>171</v>
      </c>
      <c r="I885" s="101"/>
      <c r="J885" s="102"/>
      <c r="K885" s="101"/>
      <c r="L885" s="101"/>
      <c r="M885" s="6"/>
      <c r="N885" s="6"/>
    </row>
    <row r="886" spans="1:16" s="48" customFormat="1" ht="18" customHeight="1" x14ac:dyDescent="0.25">
      <c r="A886" s="154"/>
      <c r="B886" s="499" t="s">
        <v>163</v>
      </c>
      <c r="C886" s="499" t="s">
        <v>1386</v>
      </c>
      <c r="D886" s="44" t="s">
        <v>379</v>
      </c>
      <c r="E886" s="125"/>
      <c r="F886" s="125"/>
      <c r="G886" s="134"/>
      <c r="H886" s="131" t="s">
        <v>171</v>
      </c>
      <c r="I886" s="101"/>
      <c r="J886" s="102">
        <v>31450</v>
      </c>
      <c r="K886" s="101"/>
      <c r="L886" s="101"/>
      <c r="M886" s="6"/>
      <c r="N886" s="6"/>
    </row>
    <row r="887" spans="1:16" s="48" customFormat="1" ht="18" customHeight="1" x14ac:dyDescent="0.25">
      <c r="A887" s="154"/>
      <c r="B887" s="499" t="s">
        <v>163</v>
      </c>
      <c r="C887" s="499" t="s">
        <v>1386</v>
      </c>
      <c r="D887" s="44" t="s">
        <v>380</v>
      </c>
      <c r="E887" s="125"/>
      <c r="F887" s="125"/>
      <c r="G887" s="134"/>
      <c r="H887" s="131" t="s">
        <v>171</v>
      </c>
      <c r="I887" s="101"/>
      <c r="J887" s="102"/>
      <c r="K887" s="101"/>
      <c r="L887" s="101"/>
      <c r="M887" s="6"/>
      <c r="N887" s="6"/>
    </row>
    <row r="888" spans="1:16" s="48" customFormat="1" ht="18" customHeight="1" x14ac:dyDescent="0.25">
      <c r="A888" s="154"/>
      <c r="B888" s="499" t="s">
        <v>163</v>
      </c>
      <c r="C888" s="499" t="s">
        <v>1386</v>
      </c>
      <c r="D888" s="44" t="s">
        <v>381</v>
      </c>
      <c r="E888" s="125"/>
      <c r="F888" s="125"/>
      <c r="G888" s="134"/>
      <c r="H888" s="131" t="s">
        <v>171</v>
      </c>
      <c r="I888" s="101">
        <v>956400</v>
      </c>
      <c r="J888" s="102"/>
      <c r="K888" s="101"/>
      <c r="L888" s="101"/>
      <c r="M888" s="207"/>
      <c r="N888" s="207"/>
      <c r="O888" s="212"/>
      <c r="P888" s="212"/>
    </row>
    <row r="889" spans="1:16" s="48" customFormat="1" ht="18" customHeight="1" x14ac:dyDescent="0.25">
      <c r="A889" s="154"/>
      <c r="B889" s="499" t="s">
        <v>163</v>
      </c>
      <c r="C889" s="499" t="s">
        <v>1386</v>
      </c>
      <c r="D889" s="44" t="s">
        <v>382</v>
      </c>
      <c r="E889" s="125"/>
      <c r="F889" s="125"/>
      <c r="G889" s="134"/>
      <c r="H889" s="131" t="s">
        <v>383</v>
      </c>
      <c r="I889" s="101">
        <v>17360.68</v>
      </c>
      <c r="J889" s="102">
        <v>20000</v>
      </c>
      <c r="K889" s="101">
        <v>1512</v>
      </c>
      <c r="L889" s="101">
        <v>20000</v>
      </c>
      <c r="M889" s="6"/>
      <c r="N889" s="6"/>
    </row>
    <row r="890" spans="1:16" s="48" customFormat="1" ht="18" customHeight="1" x14ac:dyDescent="0.25">
      <c r="A890" s="154"/>
      <c r="B890" s="499" t="s">
        <v>163</v>
      </c>
      <c r="C890" s="499" t="s">
        <v>1386</v>
      </c>
      <c r="D890" s="44" t="s">
        <v>384</v>
      </c>
      <c r="E890" s="125"/>
      <c r="F890" s="125"/>
      <c r="G890" s="134"/>
      <c r="H890" s="166" t="s">
        <v>385</v>
      </c>
      <c r="I890" s="101">
        <v>5437756.3799999999</v>
      </c>
      <c r="J890" s="102">
        <v>6000000</v>
      </c>
      <c r="K890" s="101">
        <v>2768213.53</v>
      </c>
      <c r="L890" s="101">
        <v>6000000</v>
      </c>
      <c r="M890" s="6"/>
      <c r="N890" s="6"/>
    </row>
    <row r="891" spans="1:16" s="48" customFormat="1" ht="18" customHeight="1" x14ac:dyDescent="0.25">
      <c r="A891" s="154"/>
      <c r="B891" s="499" t="s">
        <v>163</v>
      </c>
      <c r="C891" s="499" t="s">
        <v>1386</v>
      </c>
      <c r="D891" s="44" t="s">
        <v>178</v>
      </c>
      <c r="E891" s="125"/>
      <c r="F891" s="125"/>
      <c r="G891" s="134"/>
      <c r="H891" s="131" t="s">
        <v>179</v>
      </c>
      <c r="I891" s="101"/>
      <c r="J891" s="102">
        <v>0</v>
      </c>
      <c r="K891" s="101"/>
      <c r="L891" s="101">
        <v>50000</v>
      </c>
      <c r="M891" s="6"/>
      <c r="N891" s="6"/>
    </row>
    <row r="892" spans="1:16" s="48" customFormat="1" ht="18" customHeight="1" x14ac:dyDescent="0.25">
      <c r="A892" s="154"/>
      <c r="B892" s="499" t="s">
        <v>163</v>
      </c>
      <c r="C892" s="499" t="s">
        <v>1386</v>
      </c>
      <c r="D892" s="44" t="s">
        <v>250</v>
      </c>
      <c r="E892" s="125"/>
      <c r="F892" s="125"/>
      <c r="G892" s="134"/>
      <c r="H892" s="131" t="s">
        <v>179</v>
      </c>
      <c r="I892" s="101"/>
      <c r="J892" s="102">
        <v>0</v>
      </c>
      <c r="K892" s="101"/>
      <c r="L892" s="101"/>
      <c r="M892" s="6"/>
      <c r="N892" s="6"/>
    </row>
    <row r="893" spans="1:16" s="48" customFormat="1" ht="18" customHeight="1" thickBot="1" x14ac:dyDescent="0.3">
      <c r="A893" s="214"/>
      <c r="B893" s="499" t="s">
        <v>163</v>
      </c>
      <c r="C893" s="499" t="s">
        <v>1386</v>
      </c>
      <c r="D893" s="215" t="s">
        <v>181</v>
      </c>
      <c r="E893" s="216"/>
      <c r="F893" s="216"/>
      <c r="G893" s="217"/>
      <c r="H893" s="218" t="s">
        <v>179</v>
      </c>
      <c r="I893" s="219">
        <v>42000</v>
      </c>
      <c r="J893" s="220">
        <v>50000</v>
      </c>
      <c r="K893" s="219">
        <v>21000</v>
      </c>
      <c r="L893" s="219"/>
      <c r="M893" s="6"/>
      <c r="N893" s="6"/>
    </row>
    <row r="894" spans="1:16" s="48" customFormat="1" ht="18" customHeight="1" x14ac:dyDescent="0.25">
      <c r="A894" s="154"/>
      <c r="B894" s="499" t="s">
        <v>163</v>
      </c>
      <c r="C894" s="499" t="s">
        <v>1386</v>
      </c>
      <c r="D894" s="44" t="s">
        <v>182</v>
      </c>
      <c r="E894" s="125"/>
      <c r="F894" s="125"/>
      <c r="G894" s="134"/>
      <c r="H894" s="131" t="s">
        <v>183</v>
      </c>
      <c r="I894" s="101">
        <v>36525.360000000001</v>
      </c>
      <c r="J894" s="102">
        <v>42000</v>
      </c>
      <c r="K894" s="101">
        <v>21306.46</v>
      </c>
      <c r="L894" s="101">
        <v>42000</v>
      </c>
      <c r="M894" s="6"/>
      <c r="N894" s="6"/>
    </row>
    <row r="895" spans="1:16" s="48" customFormat="1" ht="18" customHeight="1" x14ac:dyDescent="0.25">
      <c r="A895" s="154"/>
      <c r="B895" s="499" t="s">
        <v>163</v>
      </c>
      <c r="C895" s="499" t="s">
        <v>1386</v>
      </c>
      <c r="D895" s="44" t="s">
        <v>386</v>
      </c>
      <c r="E895" s="125"/>
      <c r="F895" s="125"/>
      <c r="G895" s="134"/>
      <c r="H895" s="131" t="s">
        <v>187</v>
      </c>
      <c r="I895" s="101">
        <v>0</v>
      </c>
      <c r="J895" s="102">
        <v>190000</v>
      </c>
      <c r="K895" s="101"/>
      <c r="L895" s="102">
        <v>700000</v>
      </c>
      <c r="M895" s="6"/>
      <c r="N895" s="6"/>
    </row>
    <row r="896" spans="1:16" s="48" customFormat="1" ht="18" customHeight="1" x14ac:dyDescent="0.25">
      <c r="A896" s="154"/>
      <c r="B896" s="499" t="s">
        <v>163</v>
      </c>
      <c r="C896" s="499" t="s">
        <v>1386</v>
      </c>
      <c r="D896" s="44" t="s">
        <v>355</v>
      </c>
      <c r="E896" s="125"/>
      <c r="F896" s="125"/>
      <c r="G896" s="134"/>
      <c r="H896" s="131" t="s">
        <v>356</v>
      </c>
      <c r="I896" s="101">
        <v>159168</v>
      </c>
      <c r="J896" s="102"/>
      <c r="K896" s="101"/>
      <c r="L896" s="102"/>
      <c r="M896" s="222"/>
      <c r="N896" s="222"/>
      <c r="O896" s="223"/>
      <c r="P896" s="223"/>
    </row>
    <row r="897" spans="1:16" s="48" customFormat="1" ht="18" customHeight="1" x14ac:dyDescent="0.25">
      <c r="A897" s="154"/>
      <c r="B897" s="499" t="s">
        <v>163</v>
      </c>
      <c r="C897" s="499" t="s">
        <v>1386</v>
      </c>
      <c r="D897" s="44" t="s">
        <v>387</v>
      </c>
      <c r="E897" s="125"/>
      <c r="F897" s="125"/>
      <c r="G897" s="134"/>
      <c r="H897" s="131" t="s">
        <v>388</v>
      </c>
      <c r="I897" s="101"/>
      <c r="J897" s="102">
        <v>300000</v>
      </c>
      <c r="K897" s="101"/>
      <c r="L897" s="102">
        <v>300000</v>
      </c>
      <c r="M897" s="207"/>
      <c r="N897" s="207"/>
      <c r="O897" s="212"/>
      <c r="P897" s="212"/>
    </row>
    <row r="898" spans="1:16" s="48" customFormat="1" ht="18" customHeight="1" x14ac:dyDescent="0.25">
      <c r="A898" s="154"/>
      <c r="B898" s="499" t="s">
        <v>163</v>
      </c>
      <c r="C898" s="499" t="s">
        <v>1386</v>
      </c>
      <c r="D898" s="44" t="s">
        <v>389</v>
      </c>
      <c r="E898" s="125"/>
      <c r="F898" s="125"/>
      <c r="G898" s="134"/>
      <c r="H898" s="131" t="s">
        <v>388</v>
      </c>
      <c r="I898" s="101"/>
      <c r="J898" s="102">
        <v>200000</v>
      </c>
      <c r="K898" s="101"/>
      <c r="L898" s="102">
        <v>200000</v>
      </c>
      <c r="M898" s="207"/>
      <c r="N898" s="207"/>
      <c r="O898" s="212"/>
      <c r="P898" s="212"/>
    </row>
    <row r="899" spans="1:16" s="48" customFormat="1" ht="18" customHeight="1" x14ac:dyDescent="0.25">
      <c r="A899" s="154"/>
      <c r="B899" s="499" t="s">
        <v>163</v>
      </c>
      <c r="C899" s="499" t="s">
        <v>1386</v>
      </c>
      <c r="D899" s="44" t="s">
        <v>390</v>
      </c>
      <c r="E899" s="125"/>
      <c r="F899" s="125"/>
      <c r="G899" s="134"/>
      <c r="H899" s="131" t="s">
        <v>391</v>
      </c>
      <c r="I899" s="101">
        <v>148597</v>
      </c>
      <c r="J899" s="102">
        <v>500000</v>
      </c>
      <c r="K899" s="101"/>
      <c r="L899" s="102">
        <v>500000</v>
      </c>
      <c r="M899" s="222"/>
      <c r="N899" s="222"/>
      <c r="O899" s="212"/>
      <c r="P899" s="212"/>
    </row>
    <row r="900" spans="1:16" s="48" customFormat="1" ht="18" customHeight="1" x14ac:dyDescent="0.25">
      <c r="A900" s="154"/>
      <c r="B900" s="499" t="s">
        <v>163</v>
      </c>
      <c r="C900" s="499" t="s">
        <v>1386</v>
      </c>
      <c r="D900" s="44" t="s">
        <v>392</v>
      </c>
      <c r="E900" s="125"/>
      <c r="F900" s="125"/>
      <c r="G900" s="134"/>
      <c r="H900" s="131" t="s">
        <v>189</v>
      </c>
      <c r="I900" s="101">
        <v>0</v>
      </c>
      <c r="J900" s="102">
        <v>3730000</v>
      </c>
      <c r="K900" s="101">
        <v>22871.4</v>
      </c>
      <c r="L900" s="102">
        <v>6753266</v>
      </c>
      <c r="M900" s="6"/>
      <c r="N900" s="6"/>
    </row>
    <row r="901" spans="1:16" s="212" customFormat="1" ht="18" customHeight="1" x14ac:dyDescent="0.25">
      <c r="A901" s="154"/>
      <c r="B901" s="499" t="s">
        <v>163</v>
      </c>
      <c r="C901" s="499" t="s">
        <v>1386</v>
      </c>
      <c r="D901" s="44" t="s">
        <v>393</v>
      </c>
      <c r="E901" s="125"/>
      <c r="F901" s="125"/>
      <c r="G901" s="134"/>
      <c r="H901" s="131" t="s">
        <v>189</v>
      </c>
      <c r="I901" s="101">
        <v>1082606.04</v>
      </c>
      <c r="J901" s="102"/>
      <c r="K901" s="101"/>
      <c r="L901" s="102"/>
      <c r="M901" s="222"/>
      <c r="N901" s="222"/>
    </row>
    <row r="902" spans="1:16" s="227" customFormat="1" ht="18" customHeight="1" x14ac:dyDescent="0.25">
      <c r="A902" s="224"/>
      <c r="B902" s="499" t="s">
        <v>163</v>
      </c>
      <c r="C902" s="499" t="s">
        <v>1386</v>
      </c>
      <c r="D902" s="180" t="s">
        <v>394</v>
      </c>
      <c r="E902" s="225"/>
      <c r="F902" s="225"/>
      <c r="G902" s="226"/>
      <c r="H902" s="176" t="s">
        <v>395</v>
      </c>
      <c r="I902" s="101"/>
      <c r="J902" s="102"/>
      <c r="K902" s="101"/>
      <c r="L902" s="101"/>
      <c r="M902" s="177"/>
      <c r="N902" s="177"/>
      <c r="O902" s="179"/>
      <c r="P902" s="179"/>
    </row>
    <row r="903" spans="1:16" s="179" customFormat="1" ht="18" customHeight="1" x14ac:dyDescent="0.25">
      <c r="A903" s="224"/>
      <c r="B903" s="499" t="s">
        <v>163</v>
      </c>
      <c r="C903" s="499" t="s">
        <v>1386</v>
      </c>
      <c r="D903" s="180" t="s">
        <v>396</v>
      </c>
      <c r="E903" s="225"/>
      <c r="F903" s="225"/>
      <c r="G903" s="226"/>
      <c r="H903" s="176" t="s">
        <v>395</v>
      </c>
      <c r="I903" s="101">
        <v>159551.29999999999</v>
      </c>
      <c r="J903" s="102">
        <v>304000</v>
      </c>
      <c r="K903" s="101">
        <v>65712.539999999994</v>
      </c>
      <c r="L903" s="101">
        <v>304000</v>
      </c>
      <c r="M903" s="177"/>
      <c r="N903" s="177"/>
    </row>
    <row r="904" spans="1:16" s="179" customFormat="1" ht="18" customHeight="1" x14ac:dyDescent="0.25">
      <c r="A904" s="224"/>
      <c r="B904" s="499" t="s">
        <v>163</v>
      </c>
      <c r="C904" s="499" t="s">
        <v>1386</v>
      </c>
      <c r="D904" s="180" t="s">
        <v>397</v>
      </c>
      <c r="E904" s="225"/>
      <c r="F904" s="225"/>
      <c r="G904" s="226"/>
      <c r="H904" s="176" t="s">
        <v>395</v>
      </c>
      <c r="I904" s="101">
        <v>442353.9</v>
      </c>
      <c r="J904" s="102">
        <v>1470000</v>
      </c>
      <c r="K904" s="101">
        <v>216394.47</v>
      </c>
      <c r="L904" s="101">
        <v>1465000</v>
      </c>
      <c r="M904" s="177"/>
      <c r="N904" s="177"/>
    </row>
    <row r="905" spans="1:16" s="179" customFormat="1" ht="18" customHeight="1" x14ac:dyDescent="0.25">
      <c r="A905" s="224"/>
      <c r="B905" s="499" t="s">
        <v>163</v>
      </c>
      <c r="C905" s="499" t="s">
        <v>1386</v>
      </c>
      <c r="D905" s="180" t="s">
        <v>398</v>
      </c>
      <c r="E905" s="225"/>
      <c r="F905" s="225"/>
      <c r="G905" s="226"/>
      <c r="H905" s="176" t="s">
        <v>395</v>
      </c>
      <c r="I905" s="101">
        <v>45400</v>
      </c>
      <c r="J905" s="102">
        <v>39700</v>
      </c>
      <c r="K905" s="101">
        <v>17536</v>
      </c>
      <c r="L905" s="101">
        <v>52400</v>
      </c>
      <c r="M905" s="177"/>
      <c r="N905" s="177"/>
    </row>
    <row r="906" spans="1:16" s="212" customFormat="1" ht="18" customHeight="1" x14ac:dyDescent="0.25">
      <c r="A906" s="154"/>
      <c r="B906" s="499" t="s">
        <v>163</v>
      </c>
      <c r="C906" s="499" t="s">
        <v>1386</v>
      </c>
      <c r="D906" s="44" t="s">
        <v>399</v>
      </c>
      <c r="E906" s="125"/>
      <c r="F906" s="125"/>
      <c r="G906" s="134"/>
      <c r="H906" s="131" t="s">
        <v>395</v>
      </c>
      <c r="I906" s="101">
        <v>502096</v>
      </c>
      <c r="J906" s="102">
        <v>760000</v>
      </c>
      <c r="K906" s="101">
        <v>361222.40000000002</v>
      </c>
      <c r="L906" s="101">
        <v>760000</v>
      </c>
      <c r="M906" s="6"/>
      <c r="N906" s="6"/>
      <c r="O906" s="48"/>
      <c r="P906" s="48"/>
    </row>
    <row r="907" spans="1:16" s="212" customFormat="1" ht="18" customHeight="1" x14ac:dyDescent="0.25">
      <c r="A907" s="154"/>
      <c r="B907" s="499" t="s">
        <v>163</v>
      </c>
      <c r="C907" s="499" t="s">
        <v>1386</v>
      </c>
      <c r="D907" s="44" t="s">
        <v>400</v>
      </c>
      <c r="E907" s="125"/>
      <c r="F907" s="125"/>
      <c r="G907" s="134"/>
      <c r="H907" s="131" t="s">
        <v>237</v>
      </c>
      <c r="I907" s="101"/>
      <c r="J907" s="102">
        <v>6000</v>
      </c>
      <c r="K907" s="101"/>
      <c r="L907" s="101">
        <v>6000</v>
      </c>
      <c r="M907" s="207"/>
      <c r="N907" s="207"/>
    </row>
    <row r="908" spans="1:16" s="212" customFormat="1" ht="18" customHeight="1" x14ac:dyDescent="0.25">
      <c r="A908" s="154"/>
      <c r="B908" s="499" t="s">
        <v>163</v>
      </c>
      <c r="C908" s="499" t="s">
        <v>1386</v>
      </c>
      <c r="D908" s="44" t="s">
        <v>198</v>
      </c>
      <c r="E908" s="125"/>
      <c r="F908" s="125"/>
      <c r="G908" s="134"/>
      <c r="H908" s="131" t="s">
        <v>199</v>
      </c>
      <c r="I908" s="105">
        <v>1846475.78</v>
      </c>
      <c r="J908" s="106">
        <v>4250364.6399999997</v>
      </c>
      <c r="K908" s="105">
        <v>890407.89</v>
      </c>
      <c r="L908" s="105">
        <v>4375332</v>
      </c>
      <c r="M908" s="207"/>
      <c r="N908" s="207"/>
    </row>
    <row r="909" spans="1:16" ht="18" customHeight="1" x14ac:dyDescent="0.25">
      <c r="A909" s="495"/>
      <c r="B909" s="499" t="s">
        <v>201</v>
      </c>
      <c r="C909" s="499" t="s">
        <v>1386</v>
      </c>
      <c r="D909" s="1611" t="s">
        <v>401</v>
      </c>
      <c r="E909" s="1611"/>
      <c r="F909" s="1611"/>
      <c r="G909" s="1602"/>
      <c r="H909" s="97"/>
      <c r="I909" s="101"/>
      <c r="J909" s="102"/>
      <c r="K909" s="101"/>
      <c r="L909" s="121"/>
    </row>
    <row r="910" spans="1:16" ht="18" customHeight="1" x14ac:dyDescent="0.25">
      <c r="A910" s="495"/>
      <c r="B910" s="499" t="s">
        <v>201</v>
      </c>
      <c r="C910" s="499" t="s">
        <v>1386</v>
      </c>
      <c r="D910" s="536" t="s">
        <v>402</v>
      </c>
      <c r="E910" s="499"/>
      <c r="F910" s="499"/>
      <c r="G910" s="491"/>
      <c r="H910" s="97"/>
      <c r="I910" s="101"/>
      <c r="J910" s="102"/>
      <c r="K910" s="101"/>
      <c r="L910" s="101">
        <v>280000</v>
      </c>
    </row>
    <row r="911" spans="1:16" ht="18" customHeight="1" x14ac:dyDescent="0.25">
      <c r="A911" s="495"/>
      <c r="B911" s="499" t="s">
        <v>201</v>
      </c>
      <c r="C911" s="499" t="s">
        <v>1386</v>
      </c>
      <c r="D911" s="536" t="s">
        <v>403</v>
      </c>
      <c r="E911" s="499"/>
      <c r="F911" s="499"/>
      <c r="G911" s="491"/>
      <c r="H911" s="97"/>
      <c r="I911" s="101"/>
      <c r="J911" s="102"/>
      <c r="K911" s="101"/>
      <c r="L911" s="101">
        <v>45000</v>
      </c>
    </row>
    <row r="912" spans="1:16" ht="18" customHeight="1" x14ac:dyDescent="0.25">
      <c r="A912" s="495"/>
      <c r="B912" s="499" t="s">
        <v>201</v>
      </c>
      <c r="C912" s="499" t="s">
        <v>1386</v>
      </c>
      <c r="D912" s="536" t="s">
        <v>404</v>
      </c>
      <c r="E912" s="499"/>
      <c r="F912" s="499"/>
      <c r="G912" s="491"/>
      <c r="H912" s="97"/>
      <c r="I912" s="101"/>
      <c r="J912" s="102"/>
      <c r="K912" s="101"/>
      <c r="L912" s="101">
        <v>240000</v>
      </c>
    </row>
    <row r="913" spans="1:16" ht="18" customHeight="1" x14ac:dyDescent="0.25">
      <c r="A913" s="495"/>
      <c r="B913" s="499" t="s">
        <v>201</v>
      </c>
      <c r="C913" s="499" t="s">
        <v>1386</v>
      </c>
      <c r="D913" s="1611" t="s">
        <v>405</v>
      </c>
      <c r="E913" s="1611"/>
      <c r="F913" s="1611"/>
      <c r="G913" s="1602"/>
      <c r="H913" s="97"/>
      <c r="I913" s="101"/>
      <c r="J913" s="102">
        <v>80000</v>
      </c>
      <c r="K913" s="101"/>
      <c r="L913" s="101"/>
    </row>
    <row r="914" spans="1:16" ht="18" customHeight="1" x14ac:dyDescent="0.25">
      <c r="A914" s="495"/>
      <c r="B914" s="499" t="s">
        <v>201</v>
      </c>
      <c r="C914" s="499" t="s">
        <v>1386</v>
      </c>
      <c r="D914" s="1611" t="s">
        <v>406</v>
      </c>
      <c r="E914" s="1611"/>
      <c r="F914" s="1611"/>
      <c r="G914" s="1602"/>
      <c r="H914" s="97"/>
      <c r="I914" s="101"/>
      <c r="J914" s="102">
        <v>15000</v>
      </c>
      <c r="K914" s="101"/>
      <c r="L914" s="101"/>
    </row>
    <row r="915" spans="1:16" ht="18" customHeight="1" x14ac:dyDescent="0.25">
      <c r="A915" s="495"/>
      <c r="B915" s="499" t="s">
        <v>201</v>
      </c>
      <c r="C915" s="499" t="s">
        <v>1386</v>
      </c>
      <c r="D915" s="1611" t="s">
        <v>407</v>
      </c>
      <c r="E915" s="1611"/>
      <c r="F915" s="1611"/>
      <c r="G915" s="1602"/>
      <c r="H915" s="97"/>
      <c r="I915" s="101"/>
      <c r="J915" s="102">
        <v>80000</v>
      </c>
      <c r="K915" s="101"/>
      <c r="L915" s="101"/>
    </row>
    <row r="916" spans="1:16" ht="18" customHeight="1" x14ac:dyDescent="0.25">
      <c r="A916" s="495"/>
      <c r="B916" s="499" t="s">
        <v>201</v>
      </c>
      <c r="C916" s="499" t="s">
        <v>1386</v>
      </c>
      <c r="D916" s="1611" t="s">
        <v>408</v>
      </c>
      <c r="E916" s="1611"/>
      <c r="F916" s="1611"/>
      <c r="G916" s="1602"/>
      <c r="H916" s="97"/>
      <c r="I916" s="101"/>
      <c r="J916" s="102"/>
      <c r="K916" s="101"/>
      <c r="L916" s="101"/>
    </row>
    <row r="917" spans="1:16" ht="18" customHeight="1" x14ac:dyDescent="0.25">
      <c r="A917" s="495"/>
      <c r="B917" s="499" t="s">
        <v>201</v>
      </c>
      <c r="C917" s="499" t="s">
        <v>1386</v>
      </c>
      <c r="D917" s="536" t="s">
        <v>409</v>
      </c>
      <c r="E917" s="499"/>
      <c r="F917" s="499"/>
      <c r="G917" s="491"/>
      <c r="H917" s="97"/>
      <c r="I917" s="101"/>
      <c r="J917" s="102">
        <v>4000000</v>
      </c>
      <c r="K917" s="101"/>
      <c r="L917" s="101"/>
    </row>
    <row r="918" spans="1:16" ht="18" x14ac:dyDescent="0.25">
      <c r="A918" s="495"/>
      <c r="B918" s="499" t="s">
        <v>201</v>
      </c>
      <c r="C918" s="499" t="s">
        <v>1386</v>
      </c>
      <c r="D918" s="1602" t="s">
        <v>410</v>
      </c>
      <c r="E918" s="1603"/>
      <c r="F918" s="1603"/>
      <c r="G918" s="1603"/>
      <c r="H918" s="97"/>
      <c r="I918" s="101"/>
      <c r="J918" s="102"/>
      <c r="K918" s="101"/>
      <c r="L918" s="101"/>
    </row>
    <row r="919" spans="1:16" ht="18" x14ac:dyDescent="0.25">
      <c r="A919" s="495"/>
      <c r="B919" s="499" t="s">
        <v>201</v>
      </c>
      <c r="C919" s="499" t="s">
        <v>1386</v>
      </c>
      <c r="D919" s="1602" t="s">
        <v>411</v>
      </c>
      <c r="E919" s="1603"/>
      <c r="F919" s="1603"/>
      <c r="G919" s="1603"/>
      <c r="H919" s="97"/>
      <c r="I919" s="101">
        <v>54500</v>
      </c>
      <c r="J919" s="102">
        <v>55000</v>
      </c>
      <c r="K919" s="101"/>
      <c r="L919" s="101"/>
    </row>
    <row r="920" spans="1:16" s="146" customFormat="1" ht="18" x14ac:dyDescent="0.25">
      <c r="A920" s="495"/>
      <c r="B920" s="499" t="s">
        <v>201</v>
      </c>
      <c r="C920" s="499" t="s">
        <v>1386</v>
      </c>
      <c r="D920" s="1602" t="s">
        <v>412</v>
      </c>
      <c r="E920" s="1603"/>
      <c r="F920" s="1603"/>
      <c r="G920" s="1603"/>
      <c r="H920" s="97"/>
      <c r="I920" s="101">
        <v>29800</v>
      </c>
      <c r="J920" s="102">
        <v>30000</v>
      </c>
      <c r="K920" s="101"/>
      <c r="L920" s="101"/>
      <c r="M920" s="10"/>
      <c r="N920" s="10"/>
      <c r="O920"/>
      <c r="P920"/>
    </row>
    <row r="921" spans="1:16" s="146" customFormat="1" ht="18" x14ac:dyDescent="0.25">
      <c r="A921" s="495"/>
      <c r="B921" s="499" t="s">
        <v>201</v>
      </c>
      <c r="C921" s="499" t="s">
        <v>1386</v>
      </c>
      <c r="D921" s="1602" t="s">
        <v>413</v>
      </c>
      <c r="E921" s="1603"/>
      <c r="F921" s="1603"/>
      <c r="G921" s="1603"/>
      <c r="H921" s="97"/>
      <c r="I921" s="101"/>
      <c r="J921" s="102"/>
      <c r="K921" s="101"/>
      <c r="L921" s="101"/>
      <c r="M921" s="10"/>
      <c r="N921" s="10"/>
      <c r="O921"/>
      <c r="P921"/>
    </row>
    <row r="922" spans="1:16" s="146" customFormat="1" ht="18" x14ac:dyDescent="0.25">
      <c r="A922" s="495"/>
      <c r="B922" s="499" t="s">
        <v>201</v>
      </c>
      <c r="C922" s="499" t="s">
        <v>1386</v>
      </c>
      <c r="D922" s="1611" t="s">
        <v>414</v>
      </c>
      <c r="E922" s="1602"/>
      <c r="F922" s="492"/>
      <c r="G922" s="492"/>
      <c r="H922" s="97"/>
      <c r="I922" s="101"/>
      <c r="J922" s="102"/>
      <c r="K922" s="101"/>
      <c r="L922" s="101">
        <v>330000</v>
      </c>
      <c r="M922" s="10"/>
      <c r="N922" s="10"/>
      <c r="O922"/>
      <c r="P922"/>
    </row>
    <row r="923" spans="1:16" s="146" customFormat="1" ht="18" x14ac:dyDescent="0.25">
      <c r="A923" s="495"/>
      <c r="B923" s="499" t="s">
        <v>201</v>
      </c>
      <c r="C923" s="499" t="s">
        <v>1386</v>
      </c>
      <c r="D923" s="1611" t="s">
        <v>415</v>
      </c>
      <c r="E923" s="1602"/>
      <c r="F923" s="492"/>
      <c r="G923" s="492"/>
      <c r="H923" s="97"/>
      <c r="I923" s="101"/>
      <c r="J923" s="102"/>
      <c r="K923" s="101"/>
      <c r="L923" s="101">
        <v>180000</v>
      </c>
      <c r="M923" s="10"/>
      <c r="N923" s="10"/>
      <c r="O923"/>
      <c r="P923"/>
    </row>
    <row r="924" spans="1:16" s="146" customFormat="1" ht="18" x14ac:dyDescent="0.25">
      <c r="A924" s="495"/>
      <c r="B924" s="499" t="s">
        <v>201</v>
      </c>
      <c r="C924" s="499" t="s">
        <v>1386</v>
      </c>
      <c r="D924" s="1611" t="s">
        <v>416</v>
      </c>
      <c r="E924" s="1602"/>
      <c r="F924" s="492"/>
      <c r="G924" s="492"/>
      <c r="H924" s="97"/>
      <c r="I924" s="101"/>
      <c r="J924" s="102"/>
      <c r="K924" s="101"/>
      <c r="L924" s="101">
        <v>55000</v>
      </c>
      <c r="M924" s="10"/>
      <c r="N924" s="10"/>
      <c r="O924"/>
      <c r="P924"/>
    </row>
    <row r="925" spans="1:16" s="146" customFormat="1" ht="18" x14ac:dyDescent="0.25">
      <c r="A925" s="495"/>
      <c r="B925" s="499" t="s">
        <v>201</v>
      </c>
      <c r="C925" s="499" t="s">
        <v>1386</v>
      </c>
      <c r="D925" s="1611" t="s">
        <v>417</v>
      </c>
      <c r="E925" s="1602"/>
      <c r="F925" s="492"/>
      <c r="G925" s="492"/>
      <c r="H925" s="97"/>
      <c r="I925" s="101"/>
      <c r="J925" s="102"/>
      <c r="K925" s="101"/>
      <c r="L925" s="101">
        <v>50000</v>
      </c>
      <c r="M925" s="10"/>
      <c r="N925" s="10"/>
      <c r="O925"/>
      <c r="P925"/>
    </row>
    <row r="926" spans="1:16" s="146" customFormat="1" ht="18" x14ac:dyDescent="0.25">
      <c r="A926" s="495"/>
      <c r="B926" s="499" t="s">
        <v>201</v>
      </c>
      <c r="C926" s="499" t="s">
        <v>1386</v>
      </c>
      <c r="D926" s="1611" t="s">
        <v>418</v>
      </c>
      <c r="E926" s="1602"/>
      <c r="F926" s="492"/>
      <c r="G926" s="492"/>
      <c r="H926" s="97"/>
      <c r="I926" s="101"/>
      <c r="J926" s="102"/>
      <c r="K926" s="101"/>
      <c r="L926" s="101">
        <v>25000</v>
      </c>
      <c r="M926" s="10"/>
      <c r="N926" s="10"/>
      <c r="O926"/>
      <c r="P926"/>
    </row>
    <row r="927" spans="1:16" s="146" customFormat="1" ht="18" x14ac:dyDescent="0.25">
      <c r="A927" s="495"/>
      <c r="B927" s="499" t="s">
        <v>201</v>
      </c>
      <c r="C927" s="499" t="s">
        <v>1386</v>
      </c>
      <c r="D927" s="1611" t="s">
        <v>419</v>
      </c>
      <c r="E927" s="1602"/>
      <c r="F927" s="492"/>
      <c r="G927" s="492"/>
      <c r="H927" s="97"/>
      <c r="I927" s="101"/>
      <c r="J927" s="102"/>
      <c r="K927" s="101"/>
      <c r="L927" s="101">
        <v>65000</v>
      </c>
      <c r="M927" s="10"/>
      <c r="N927" s="10"/>
      <c r="O927"/>
      <c r="P927"/>
    </row>
    <row r="928" spans="1:16" s="146" customFormat="1" ht="18" x14ac:dyDescent="0.25">
      <c r="A928" s="495"/>
      <c r="B928" s="499" t="s">
        <v>201</v>
      </c>
      <c r="C928" s="499" t="s">
        <v>1386</v>
      </c>
      <c r="D928" s="1611" t="s">
        <v>420</v>
      </c>
      <c r="E928" s="1602"/>
      <c r="F928" s="492"/>
      <c r="G928" s="492"/>
      <c r="H928" s="97"/>
      <c r="I928" s="101"/>
      <c r="J928" s="102"/>
      <c r="K928" s="101"/>
      <c r="L928" s="101">
        <v>350000</v>
      </c>
      <c r="M928" s="10"/>
      <c r="N928" s="10"/>
      <c r="O928"/>
      <c r="P928"/>
    </row>
    <row r="929" spans="1:16" s="146" customFormat="1" ht="18" x14ac:dyDescent="0.25">
      <c r="A929" s="495"/>
      <c r="B929" s="499" t="s">
        <v>201</v>
      </c>
      <c r="C929" s="499" t="s">
        <v>1386</v>
      </c>
      <c r="D929" s="536" t="s">
        <v>421</v>
      </c>
      <c r="E929" s="525"/>
      <c r="F929" s="492"/>
      <c r="G929" s="492"/>
      <c r="H929" s="97"/>
      <c r="I929" s="101"/>
      <c r="J929" s="102"/>
      <c r="K929" s="101"/>
      <c r="L929" s="101">
        <v>1000000</v>
      </c>
      <c r="M929" s="10"/>
      <c r="N929" s="10"/>
      <c r="O929"/>
      <c r="P929"/>
    </row>
    <row r="930" spans="1:16" s="146" customFormat="1" ht="36.75" customHeight="1" x14ac:dyDescent="0.25">
      <c r="A930" s="495"/>
      <c r="B930" s="499" t="s">
        <v>201</v>
      </c>
      <c r="C930" s="499" t="s">
        <v>1386</v>
      </c>
      <c r="D930" s="1602" t="s">
        <v>422</v>
      </c>
      <c r="E930" s="1603"/>
      <c r="F930" s="1603"/>
      <c r="G930" s="1603"/>
      <c r="H930" s="97"/>
      <c r="I930" s="101">
        <v>235500</v>
      </c>
      <c r="J930" s="102"/>
      <c r="K930" s="101"/>
      <c r="L930" s="101"/>
      <c r="M930" s="10"/>
      <c r="N930" s="10"/>
      <c r="O930"/>
      <c r="P930"/>
    </row>
    <row r="931" spans="1:16" s="146" customFormat="1" ht="18" x14ac:dyDescent="0.25">
      <c r="A931" s="495"/>
      <c r="B931" s="499" t="s">
        <v>201</v>
      </c>
      <c r="C931" s="499" t="s">
        <v>1386</v>
      </c>
      <c r="D931" s="1602" t="s">
        <v>423</v>
      </c>
      <c r="E931" s="1603"/>
      <c r="F931" s="1603"/>
      <c r="G931" s="1603"/>
      <c r="H931" s="97"/>
      <c r="I931" s="101"/>
      <c r="J931" s="102"/>
      <c r="K931" s="101"/>
      <c r="L931" s="101"/>
      <c r="M931" s="10"/>
      <c r="N931" s="10"/>
      <c r="O931"/>
      <c r="P931"/>
    </row>
    <row r="932" spans="1:16" s="146" customFormat="1" ht="18" x14ac:dyDescent="0.25">
      <c r="A932" s="495"/>
      <c r="B932" s="499" t="s">
        <v>201</v>
      </c>
      <c r="C932" s="499" t="s">
        <v>1386</v>
      </c>
      <c r="D932" s="1602" t="s">
        <v>424</v>
      </c>
      <c r="E932" s="1603"/>
      <c r="F932" s="1603"/>
      <c r="G932" s="1603"/>
      <c r="H932" s="97"/>
      <c r="I932" s="101">
        <v>297000</v>
      </c>
      <c r="J932" s="102"/>
      <c r="K932" s="101"/>
      <c r="L932" s="105"/>
      <c r="M932" s="10"/>
      <c r="N932" s="10"/>
      <c r="O932"/>
      <c r="P932"/>
    </row>
    <row r="933" spans="1:16" s="146" customFormat="1" ht="18" x14ac:dyDescent="0.25">
      <c r="A933" s="519"/>
      <c r="B933" s="499" t="s">
        <v>123</v>
      </c>
      <c r="C933" s="499" t="s">
        <v>1386</v>
      </c>
      <c r="D933" s="1602" t="s">
        <v>124</v>
      </c>
      <c r="E933" s="1603"/>
      <c r="F933" s="1603"/>
      <c r="G933" s="1603"/>
      <c r="H933" s="131" t="s">
        <v>125</v>
      </c>
      <c r="I933" s="101">
        <v>4246299.0599999996</v>
      </c>
      <c r="J933" s="102">
        <v>4687776</v>
      </c>
      <c r="K933" s="101">
        <v>2067893.54</v>
      </c>
      <c r="L933" s="101">
        <v>5074056</v>
      </c>
      <c r="M933" s="10"/>
      <c r="N933" s="10"/>
      <c r="O933"/>
      <c r="P933"/>
    </row>
    <row r="934" spans="1:16" s="146" customFormat="1" ht="18" x14ac:dyDescent="0.25">
      <c r="A934" s="519"/>
      <c r="B934" s="499" t="s">
        <v>123</v>
      </c>
      <c r="C934" s="499" t="s">
        <v>1386</v>
      </c>
      <c r="D934" s="1602" t="s">
        <v>128</v>
      </c>
      <c r="E934" s="1603"/>
      <c r="F934" s="1603"/>
      <c r="G934" s="1603"/>
      <c r="H934" s="131" t="s">
        <v>125</v>
      </c>
      <c r="I934" s="101"/>
      <c r="J934" s="102">
        <v>16612</v>
      </c>
      <c r="K934" s="101"/>
      <c r="L934" s="101">
        <v>6644.59</v>
      </c>
      <c r="M934" s="10"/>
      <c r="N934" s="10"/>
      <c r="O934"/>
      <c r="P934"/>
    </row>
    <row r="935" spans="1:16" s="146" customFormat="1" ht="18" x14ac:dyDescent="0.25">
      <c r="A935" s="519"/>
      <c r="B935" s="499" t="s">
        <v>123</v>
      </c>
      <c r="C935" s="499" t="s">
        <v>1386</v>
      </c>
      <c r="D935" s="1602" t="s">
        <v>129</v>
      </c>
      <c r="E935" s="1603"/>
      <c r="F935" s="1603"/>
      <c r="G935" s="1603"/>
      <c r="H935" s="131" t="s">
        <v>130</v>
      </c>
      <c r="I935" s="101">
        <v>378272.75</v>
      </c>
      <c r="J935" s="102">
        <v>432000</v>
      </c>
      <c r="K935" s="101">
        <v>196000</v>
      </c>
      <c r="L935" s="101">
        <v>432000</v>
      </c>
      <c r="M935" s="10"/>
      <c r="N935" s="10"/>
      <c r="O935"/>
      <c r="P935"/>
    </row>
    <row r="936" spans="1:16" s="146" customFormat="1" ht="18" x14ac:dyDescent="0.25">
      <c r="A936" s="519"/>
      <c r="B936" s="499" t="s">
        <v>123</v>
      </c>
      <c r="C936" s="499" t="s">
        <v>1386</v>
      </c>
      <c r="D936" s="1602" t="s">
        <v>131</v>
      </c>
      <c r="E936" s="1603"/>
      <c r="F936" s="1603"/>
      <c r="G936" s="1603"/>
      <c r="H936" s="131" t="s">
        <v>132</v>
      </c>
      <c r="I936" s="101">
        <v>112000</v>
      </c>
      <c r="J936" s="102">
        <v>120000</v>
      </c>
      <c r="K936" s="101">
        <v>40500</v>
      </c>
      <c r="L936" s="101">
        <v>120000</v>
      </c>
      <c r="M936" s="10"/>
      <c r="N936" s="10"/>
      <c r="O936"/>
      <c r="P936"/>
    </row>
    <row r="937" spans="1:16" s="146" customFormat="1" ht="18" x14ac:dyDescent="0.25">
      <c r="A937" s="519"/>
      <c r="B937" s="499" t="s">
        <v>123</v>
      </c>
      <c r="C937" s="499" t="s">
        <v>1386</v>
      </c>
      <c r="D937" s="1602" t="s">
        <v>133</v>
      </c>
      <c r="E937" s="1603"/>
      <c r="F937" s="1603"/>
      <c r="G937" s="1603"/>
      <c r="H937" s="131" t="s">
        <v>134</v>
      </c>
      <c r="I937" s="101">
        <v>112000</v>
      </c>
      <c r="J937" s="102">
        <v>120000</v>
      </c>
      <c r="K937" s="101">
        <v>40500</v>
      </c>
      <c r="L937" s="101">
        <v>120000</v>
      </c>
      <c r="M937" s="10"/>
      <c r="N937" s="10"/>
      <c r="O937"/>
      <c r="P937"/>
    </row>
    <row r="938" spans="1:16" s="146" customFormat="1" ht="18" x14ac:dyDescent="0.25">
      <c r="A938" s="519"/>
      <c r="B938" s="499" t="s">
        <v>123</v>
      </c>
      <c r="C938" s="499" t="s">
        <v>1386</v>
      </c>
      <c r="D938" s="1602" t="s">
        <v>135</v>
      </c>
      <c r="E938" s="1603"/>
      <c r="F938" s="1603"/>
      <c r="G938" s="1603"/>
      <c r="H938" s="131" t="s">
        <v>136</v>
      </c>
      <c r="I938" s="101">
        <v>129732.21</v>
      </c>
      <c r="J938" s="102">
        <v>113324.39</v>
      </c>
      <c r="K938" s="101">
        <v>52604.61</v>
      </c>
      <c r="L938" s="101">
        <v>171673.02</v>
      </c>
      <c r="M938" s="10"/>
      <c r="N938" s="10"/>
      <c r="O938"/>
      <c r="P938"/>
    </row>
    <row r="939" spans="1:16" s="146" customFormat="1" ht="18" x14ac:dyDescent="0.25">
      <c r="A939" s="519"/>
      <c r="B939" s="499" t="s">
        <v>123</v>
      </c>
      <c r="C939" s="499" t="s">
        <v>1386</v>
      </c>
      <c r="D939" s="1602" t="s">
        <v>137</v>
      </c>
      <c r="E939" s="1603"/>
      <c r="F939" s="1603"/>
      <c r="G939" s="1603"/>
      <c r="H939" s="131" t="s">
        <v>138</v>
      </c>
      <c r="I939" s="101">
        <v>102000</v>
      </c>
      <c r="J939" s="102">
        <v>108000</v>
      </c>
      <c r="K939" s="101">
        <v>84000</v>
      </c>
      <c r="L939" s="101">
        <v>108000</v>
      </c>
      <c r="M939" s="10"/>
      <c r="N939" s="10"/>
      <c r="O939"/>
      <c r="P939"/>
    </row>
    <row r="940" spans="1:16" s="146" customFormat="1" ht="18" customHeight="1" x14ac:dyDescent="0.25">
      <c r="A940" s="519"/>
      <c r="B940" s="499" t="s">
        <v>123</v>
      </c>
      <c r="C940" s="499" t="s">
        <v>1386</v>
      </c>
      <c r="D940" s="1602" t="s">
        <v>139</v>
      </c>
      <c r="E940" s="1603"/>
      <c r="F940" s="1603"/>
      <c r="G940" s="1603"/>
      <c r="H940" s="131" t="s">
        <v>140</v>
      </c>
      <c r="I940" s="101">
        <v>377251</v>
      </c>
      <c r="J940" s="102">
        <v>391001</v>
      </c>
      <c r="K940" s="101">
        <v>295338</v>
      </c>
      <c r="L940" s="101">
        <v>423507</v>
      </c>
      <c r="M940" s="10"/>
      <c r="N940" s="10"/>
      <c r="O940"/>
      <c r="P940"/>
    </row>
    <row r="941" spans="1:16" s="146" customFormat="1" ht="18" x14ac:dyDescent="0.25">
      <c r="A941" s="519"/>
      <c r="B941" s="499" t="s">
        <v>123</v>
      </c>
      <c r="C941" s="499" t="s">
        <v>1386</v>
      </c>
      <c r="D941" s="1602" t="s">
        <v>141</v>
      </c>
      <c r="E941" s="1603"/>
      <c r="F941" s="1603"/>
      <c r="G941" s="1603"/>
      <c r="H941" s="131" t="s">
        <v>142</v>
      </c>
      <c r="I941" s="101">
        <v>364099</v>
      </c>
      <c r="J941" s="102">
        <v>392559</v>
      </c>
      <c r="K941" s="101"/>
      <c r="L941" s="101">
        <v>423507</v>
      </c>
      <c r="M941" s="10"/>
      <c r="N941" s="10"/>
      <c r="O941"/>
      <c r="P941"/>
    </row>
    <row r="942" spans="1:16" s="146" customFormat="1" ht="18" x14ac:dyDescent="0.25">
      <c r="A942" s="519"/>
      <c r="B942" s="499" t="s">
        <v>123</v>
      </c>
      <c r="C942" s="499" t="s">
        <v>1386</v>
      </c>
      <c r="D942" s="1602" t="s">
        <v>143</v>
      </c>
      <c r="E942" s="1603"/>
      <c r="F942" s="1603"/>
      <c r="G942" s="1603"/>
      <c r="H942" s="131" t="s">
        <v>144</v>
      </c>
      <c r="I942" s="101">
        <v>81000</v>
      </c>
      <c r="J942" s="102">
        <v>90000</v>
      </c>
      <c r="K942" s="101"/>
      <c r="L942" s="101">
        <v>90000</v>
      </c>
      <c r="M942" s="10"/>
      <c r="N942" s="10"/>
      <c r="O942"/>
      <c r="P942"/>
    </row>
    <row r="943" spans="1:16" s="146" customFormat="1" ht="18" x14ac:dyDescent="0.25">
      <c r="A943" s="519"/>
      <c r="B943" s="499" t="s">
        <v>123</v>
      </c>
      <c r="C943" s="499" t="s">
        <v>1386</v>
      </c>
      <c r="D943" s="1602" t="s">
        <v>145</v>
      </c>
      <c r="E943" s="1603"/>
      <c r="F943" s="1603"/>
      <c r="G943" s="1603"/>
      <c r="H943" s="131" t="s">
        <v>146</v>
      </c>
      <c r="I943" s="101">
        <v>75000</v>
      </c>
      <c r="J943" s="102">
        <v>90000</v>
      </c>
      <c r="K943" s="101"/>
      <c r="L943" s="101">
        <v>90000</v>
      </c>
      <c r="M943" s="10"/>
      <c r="N943" s="10"/>
      <c r="O943"/>
      <c r="P943"/>
    </row>
    <row r="944" spans="1:16" s="146" customFormat="1" ht="18" x14ac:dyDescent="0.25">
      <c r="A944" s="519"/>
      <c r="B944" s="499" t="s">
        <v>123</v>
      </c>
      <c r="C944" s="499" t="s">
        <v>1386</v>
      </c>
      <c r="D944" s="1602" t="s">
        <v>231</v>
      </c>
      <c r="E944" s="1603"/>
      <c r="F944" s="1603"/>
      <c r="G944" s="1603"/>
      <c r="H944" s="131" t="s">
        <v>232</v>
      </c>
      <c r="I944" s="101">
        <v>15000</v>
      </c>
      <c r="J944" s="102">
        <v>10000</v>
      </c>
      <c r="K944" s="101"/>
      <c r="L944" s="101">
        <v>10000</v>
      </c>
      <c r="M944" s="10"/>
      <c r="N944" s="10"/>
      <c r="O944"/>
      <c r="P944"/>
    </row>
    <row r="945" spans="1:16" s="146" customFormat="1" ht="18" x14ac:dyDescent="0.25">
      <c r="A945" s="519"/>
      <c r="B945" s="499" t="s">
        <v>123</v>
      </c>
      <c r="C945" s="499" t="s">
        <v>1386</v>
      </c>
      <c r="D945" s="536" t="s">
        <v>147</v>
      </c>
      <c r="E945" s="499"/>
      <c r="F945" s="499"/>
      <c r="G945" s="491"/>
      <c r="H945" s="131" t="s">
        <v>148</v>
      </c>
      <c r="I945" s="101"/>
      <c r="J945" s="102"/>
      <c r="K945" s="101"/>
      <c r="L945" s="101">
        <v>54000</v>
      </c>
      <c r="M945" s="10"/>
      <c r="N945" s="10"/>
      <c r="O945"/>
      <c r="P945"/>
    </row>
    <row r="946" spans="1:16" s="146" customFormat="1" ht="18" x14ac:dyDescent="0.25">
      <c r="A946" s="519"/>
      <c r="B946" s="499" t="s">
        <v>123</v>
      </c>
      <c r="C946" s="499" t="s">
        <v>1386</v>
      </c>
      <c r="D946" s="1611" t="s">
        <v>149</v>
      </c>
      <c r="E946" s="1611"/>
      <c r="F946" s="1611"/>
      <c r="G946" s="1602"/>
      <c r="H946" s="131" t="s">
        <v>150</v>
      </c>
      <c r="I946" s="101">
        <v>110925</v>
      </c>
      <c r="J946" s="102"/>
      <c r="K946" s="101"/>
      <c r="L946" s="101"/>
      <c r="M946" s="10"/>
      <c r="N946" s="10"/>
      <c r="O946"/>
      <c r="P946"/>
    </row>
    <row r="947" spans="1:16" s="146" customFormat="1" ht="18" x14ac:dyDescent="0.25">
      <c r="A947" s="519"/>
      <c r="B947" s="499" t="s">
        <v>123</v>
      </c>
      <c r="C947" s="499" t="s">
        <v>1386</v>
      </c>
      <c r="D947" s="1602" t="s">
        <v>151</v>
      </c>
      <c r="E947" s="1603"/>
      <c r="F947" s="1603"/>
      <c r="G947" s="1603"/>
      <c r="H947" s="131" t="s">
        <v>148</v>
      </c>
      <c r="I947" s="101">
        <v>150000</v>
      </c>
      <c r="J947" s="102">
        <v>0</v>
      </c>
      <c r="K947" s="101"/>
      <c r="L947" s="101"/>
      <c r="M947" s="10"/>
      <c r="N947" s="10"/>
      <c r="O947"/>
      <c r="P947"/>
    </row>
    <row r="948" spans="1:16" s="146" customFormat="1" ht="18" x14ac:dyDescent="0.25">
      <c r="A948" s="519"/>
      <c r="B948" s="499" t="s">
        <v>123</v>
      </c>
      <c r="C948" s="499" t="s">
        <v>1386</v>
      </c>
      <c r="D948" s="1611" t="s">
        <v>152</v>
      </c>
      <c r="E948" s="1611"/>
      <c r="F948" s="1611"/>
      <c r="G948" s="1602"/>
      <c r="H948" s="131"/>
      <c r="I948" s="101">
        <v>0</v>
      </c>
      <c r="J948" s="102">
        <v>521773.36</v>
      </c>
      <c r="K948" s="101"/>
      <c r="L948" s="101"/>
      <c r="M948" s="10"/>
      <c r="N948" s="10"/>
      <c r="O948"/>
      <c r="P948"/>
    </row>
    <row r="949" spans="1:16" s="146" customFormat="1" ht="18" x14ac:dyDescent="0.25">
      <c r="A949" s="519"/>
      <c r="B949" s="499" t="s">
        <v>123</v>
      </c>
      <c r="C949" s="499" t="s">
        <v>1386</v>
      </c>
      <c r="D949" s="1602" t="s">
        <v>153</v>
      </c>
      <c r="E949" s="1603"/>
      <c r="F949" s="1603"/>
      <c r="G949" s="1603"/>
      <c r="H949" s="131" t="s">
        <v>154</v>
      </c>
      <c r="I949" s="101">
        <v>509555.88</v>
      </c>
      <c r="J949" s="102">
        <v>564526.56000000006</v>
      </c>
      <c r="K949" s="101">
        <v>248135.43</v>
      </c>
      <c r="L949" s="101">
        <v>609684.06999999995</v>
      </c>
      <c r="M949" s="10"/>
      <c r="N949" s="10"/>
      <c r="O949"/>
      <c r="P949"/>
    </row>
    <row r="950" spans="1:16" s="146" customFormat="1" ht="18" x14ac:dyDescent="0.25">
      <c r="A950" s="519"/>
      <c r="B950" s="499" t="s">
        <v>123</v>
      </c>
      <c r="C950" s="499" t="s">
        <v>1386</v>
      </c>
      <c r="D950" s="1602" t="s">
        <v>155</v>
      </c>
      <c r="E950" s="1603"/>
      <c r="F950" s="1603"/>
      <c r="G950" s="1603"/>
      <c r="H950" s="131" t="s">
        <v>156</v>
      </c>
      <c r="I950" s="101">
        <v>19000</v>
      </c>
      <c r="J950" s="102">
        <v>21600</v>
      </c>
      <c r="K950" s="101">
        <v>9800</v>
      </c>
      <c r="L950" s="101">
        <v>21600</v>
      </c>
      <c r="M950" s="10"/>
      <c r="N950" s="10"/>
      <c r="O950"/>
      <c r="P950"/>
    </row>
    <row r="951" spans="1:16" s="146" customFormat="1" ht="18" x14ac:dyDescent="0.25">
      <c r="A951" s="519"/>
      <c r="B951" s="499" t="s">
        <v>123</v>
      </c>
      <c r="C951" s="499" t="s">
        <v>1386</v>
      </c>
      <c r="D951" s="1602" t="s">
        <v>157</v>
      </c>
      <c r="E951" s="1603"/>
      <c r="F951" s="1603"/>
      <c r="G951" s="1603"/>
      <c r="H951" s="131" t="s">
        <v>158</v>
      </c>
      <c r="I951" s="101">
        <v>60606.12</v>
      </c>
      <c r="J951" s="102">
        <v>81889.64</v>
      </c>
      <c r="K951" s="101">
        <v>28739.58</v>
      </c>
      <c r="L951" s="101">
        <v>201109.78</v>
      </c>
      <c r="M951" s="10"/>
      <c r="N951" s="10"/>
      <c r="O951"/>
      <c r="P951"/>
    </row>
    <row r="952" spans="1:16" s="146" customFormat="1" ht="18" x14ac:dyDescent="0.25">
      <c r="A952" s="519"/>
      <c r="B952" s="499" t="s">
        <v>123</v>
      </c>
      <c r="C952" s="499" t="s">
        <v>1386</v>
      </c>
      <c r="D952" s="1602" t="s">
        <v>159</v>
      </c>
      <c r="E952" s="1603"/>
      <c r="F952" s="1603"/>
      <c r="G952" s="1603"/>
      <c r="H952" s="131" t="s">
        <v>160</v>
      </c>
      <c r="I952" s="105">
        <v>19000</v>
      </c>
      <c r="J952" s="106">
        <v>21600</v>
      </c>
      <c r="K952" s="105">
        <v>9800</v>
      </c>
      <c r="L952" s="105">
        <v>21600</v>
      </c>
      <c r="M952" s="10"/>
      <c r="N952" s="10"/>
      <c r="O952"/>
      <c r="P952"/>
    </row>
    <row r="953" spans="1:16" s="229" customFormat="1" ht="18" customHeight="1" x14ac:dyDescent="0.25">
      <c r="A953" s="154"/>
      <c r="B953" s="499" t="s">
        <v>163</v>
      </c>
      <c r="C953" s="499" t="s">
        <v>1386</v>
      </c>
      <c r="D953" s="44" t="s">
        <v>353</v>
      </c>
      <c r="E953" s="125"/>
      <c r="F953" s="125"/>
      <c r="G953" s="134"/>
      <c r="H953" s="131" t="s">
        <v>165</v>
      </c>
      <c r="I953" s="101">
        <v>29917</v>
      </c>
      <c r="J953" s="102">
        <v>58500</v>
      </c>
      <c r="K953" s="101">
        <v>5300</v>
      </c>
      <c r="L953" s="101">
        <v>58500</v>
      </c>
      <c r="M953" s="207"/>
      <c r="N953" s="207"/>
      <c r="O953" s="212"/>
      <c r="P953" s="212"/>
    </row>
    <row r="954" spans="1:16" s="229" customFormat="1" ht="18" customHeight="1" x14ac:dyDescent="0.25">
      <c r="A954" s="154"/>
      <c r="B954" s="499" t="s">
        <v>163</v>
      </c>
      <c r="C954" s="499" t="s">
        <v>1386</v>
      </c>
      <c r="D954" s="44" t="s">
        <v>168</v>
      </c>
      <c r="E954" s="125"/>
      <c r="F954" s="125"/>
      <c r="G954" s="134"/>
      <c r="H954" s="131" t="s">
        <v>169</v>
      </c>
      <c r="I954" s="101">
        <v>369935</v>
      </c>
      <c r="J954" s="102">
        <v>343605</v>
      </c>
      <c r="K954" s="101">
        <v>161285</v>
      </c>
      <c r="L954" s="101">
        <v>332049</v>
      </c>
      <c r="M954" s="207"/>
      <c r="N954" s="207"/>
      <c r="O954" s="212"/>
      <c r="P954" s="212"/>
    </row>
    <row r="955" spans="1:16" s="229" customFormat="1" ht="18" customHeight="1" x14ac:dyDescent="0.25">
      <c r="A955" s="154"/>
      <c r="B955" s="499" t="s">
        <v>163</v>
      </c>
      <c r="C955" s="499" t="s">
        <v>1386</v>
      </c>
      <c r="D955" s="44" t="s">
        <v>426</v>
      </c>
      <c r="E955" s="125"/>
      <c r="F955" s="125"/>
      <c r="G955" s="134"/>
      <c r="H955" s="131" t="s">
        <v>427</v>
      </c>
      <c r="I955" s="101">
        <v>694725</v>
      </c>
      <c r="J955" s="102">
        <v>1634825</v>
      </c>
      <c r="K955" s="101">
        <v>30000</v>
      </c>
      <c r="L955" s="101">
        <v>1432325</v>
      </c>
      <c r="M955" s="207"/>
      <c r="N955" s="207"/>
      <c r="O955" s="212"/>
      <c r="P955" s="212"/>
    </row>
    <row r="956" spans="1:16" s="229" customFormat="1" ht="18" customHeight="1" x14ac:dyDescent="0.25">
      <c r="A956" s="154"/>
      <c r="B956" s="499" t="s">
        <v>163</v>
      </c>
      <c r="C956" s="499" t="s">
        <v>1386</v>
      </c>
      <c r="D956" s="44" t="s">
        <v>174</v>
      </c>
      <c r="E956" s="125"/>
      <c r="F956" s="125"/>
      <c r="G956" s="134"/>
      <c r="H956" s="131" t="s">
        <v>171</v>
      </c>
      <c r="I956" s="101">
        <v>27868</v>
      </c>
      <c r="J956" s="102">
        <v>33272</v>
      </c>
      <c r="K956" s="101"/>
      <c r="L956" s="101"/>
      <c r="M956" s="207"/>
      <c r="N956" s="207"/>
      <c r="O956" s="212"/>
      <c r="P956" s="212"/>
    </row>
    <row r="957" spans="1:16" s="229" customFormat="1" ht="18" x14ac:dyDescent="0.25">
      <c r="A957" s="154"/>
      <c r="B957" s="499" t="s">
        <v>163</v>
      </c>
      <c r="C957" s="499" t="s">
        <v>1386</v>
      </c>
      <c r="D957" s="44" t="s">
        <v>288</v>
      </c>
      <c r="E957" s="134"/>
      <c r="F957" s="97"/>
      <c r="G957" s="97"/>
      <c r="H957" s="131" t="s">
        <v>171</v>
      </c>
      <c r="I957" s="101"/>
      <c r="J957" s="102"/>
      <c r="K957" s="101"/>
      <c r="L957" s="101">
        <v>73552</v>
      </c>
      <c r="M957" s="207"/>
      <c r="N957" s="207"/>
      <c r="O957" s="212"/>
      <c r="P957" s="212"/>
    </row>
    <row r="958" spans="1:16" s="229" customFormat="1" ht="18" customHeight="1" x14ac:dyDescent="0.25">
      <c r="A958" s="154"/>
      <c r="B958" s="499" t="s">
        <v>163</v>
      </c>
      <c r="C958" s="499" t="s">
        <v>1386</v>
      </c>
      <c r="D958" s="536" t="s">
        <v>375</v>
      </c>
      <c r="E958" s="502"/>
      <c r="F958" s="502"/>
      <c r="G958" s="503"/>
      <c r="H958" s="131" t="s">
        <v>171</v>
      </c>
      <c r="I958" s="101"/>
      <c r="J958" s="102">
        <v>40000</v>
      </c>
      <c r="K958" s="101"/>
      <c r="L958" s="101"/>
      <c r="M958" s="207"/>
      <c r="N958" s="207"/>
      <c r="O958" s="212"/>
      <c r="P958" s="212"/>
    </row>
    <row r="959" spans="1:16" s="229" customFormat="1" ht="18" x14ac:dyDescent="0.25">
      <c r="A959" s="154"/>
      <c r="B959" s="499" t="s">
        <v>163</v>
      </c>
      <c r="C959" s="499" t="s">
        <v>1386</v>
      </c>
      <c r="D959" s="44" t="s">
        <v>428</v>
      </c>
      <c r="E959" s="125"/>
      <c r="F959" s="125"/>
      <c r="G959" s="125"/>
      <c r="H959" s="131" t="s">
        <v>171</v>
      </c>
      <c r="I959" s="101"/>
      <c r="J959" s="102">
        <v>6000</v>
      </c>
      <c r="K959" s="101"/>
      <c r="L959" s="101"/>
      <c r="M959" s="207"/>
      <c r="N959" s="207"/>
      <c r="O959" s="212"/>
      <c r="P959" s="212"/>
    </row>
    <row r="960" spans="1:16" s="229" customFormat="1" ht="18" customHeight="1" x14ac:dyDescent="0.25">
      <c r="A960" s="154"/>
      <c r="B960" s="499" t="s">
        <v>163</v>
      </c>
      <c r="C960" s="499" t="s">
        <v>1386</v>
      </c>
      <c r="D960" s="536" t="s">
        <v>429</v>
      </c>
      <c r="E960" s="124"/>
      <c r="F960" s="124"/>
      <c r="G960" s="230"/>
      <c r="H960" s="131" t="s">
        <v>171</v>
      </c>
      <c r="I960" s="101"/>
      <c r="J960" s="102">
        <v>8000</v>
      </c>
      <c r="K960" s="101"/>
      <c r="L960" s="101"/>
      <c r="M960" s="207"/>
      <c r="N960" s="207"/>
      <c r="O960" s="212"/>
      <c r="P960" s="212"/>
    </row>
    <row r="961" spans="1:16" s="229" customFormat="1" ht="18" customHeight="1" x14ac:dyDescent="0.25">
      <c r="A961" s="154"/>
      <c r="B961" s="499" t="s">
        <v>163</v>
      </c>
      <c r="C961" s="499" t="s">
        <v>1386</v>
      </c>
      <c r="D961" s="44" t="s">
        <v>176</v>
      </c>
      <c r="E961" s="125"/>
      <c r="F961" s="125"/>
      <c r="G961" s="134"/>
      <c r="H961" s="131" t="s">
        <v>177</v>
      </c>
      <c r="I961" s="101">
        <v>1475</v>
      </c>
      <c r="J961" s="102">
        <v>15000</v>
      </c>
      <c r="K961" s="101"/>
      <c r="L961" s="101">
        <v>15000</v>
      </c>
      <c r="M961" s="207"/>
      <c r="N961" s="207"/>
      <c r="O961" s="212"/>
      <c r="P961" s="212"/>
    </row>
    <row r="962" spans="1:16" s="229" customFormat="1" ht="18" customHeight="1" x14ac:dyDescent="0.25">
      <c r="A962" s="154"/>
      <c r="B962" s="499" t="s">
        <v>163</v>
      </c>
      <c r="C962" s="499" t="s">
        <v>1386</v>
      </c>
      <c r="D962" s="44" t="s">
        <v>178</v>
      </c>
      <c r="E962" s="125"/>
      <c r="F962" s="125"/>
      <c r="G962" s="134"/>
      <c r="H962" s="131" t="s">
        <v>179</v>
      </c>
      <c r="I962" s="101"/>
      <c r="J962" s="102"/>
      <c r="K962" s="101"/>
      <c r="L962" s="101">
        <v>100800</v>
      </c>
      <c r="M962" s="207"/>
      <c r="N962" s="207"/>
      <c r="O962" s="212"/>
      <c r="P962" s="212"/>
    </row>
    <row r="963" spans="1:16" s="229" customFormat="1" ht="18" customHeight="1" x14ac:dyDescent="0.25">
      <c r="A963" s="154"/>
      <c r="B963" s="499" t="s">
        <v>163</v>
      </c>
      <c r="C963" s="499" t="s">
        <v>1386</v>
      </c>
      <c r="D963" s="44" t="s">
        <v>250</v>
      </c>
      <c r="E963" s="125"/>
      <c r="F963" s="125"/>
      <c r="G963" s="134"/>
      <c r="H963" s="131" t="s">
        <v>179</v>
      </c>
      <c r="I963" s="101">
        <v>29534.43</v>
      </c>
      <c r="J963" s="102">
        <v>55200</v>
      </c>
      <c r="K963" s="101">
        <v>15393</v>
      </c>
      <c r="L963" s="101"/>
      <c r="M963" s="207"/>
      <c r="N963" s="207"/>
      <c r="O963" s="212"/>
      <c r="P963" s="212"/>
    </row>
    <row r="964" spans="1:16" s="229" customFormat="1" ht="18" customHeight="1" x14ac:dyDescent="0.25">
      <c r="A964" s="154"/>
      <c r="B964" s="499" t="s">
        <v>163</v>
      </c>
      <c r="C964" s="499" t="s">
        <v>1386</v>
      </c>
      <c r="D964" s="44" t="s">
        <v>181</v>
      </c>
      <c r="E964" s="125"/>
      <c r="F964" s="125"/>
      <c r="G964" s="134"/>
      <c r="H964" s="131" t="s">
        <v>179</v>
      </c>
      <c r="I964" s="101">
        <v>42000</v>
      </c>
      <c r="J964" s="102">
        <v>45600</v>
      </c>
      <c r="K964" s="101">
        <v>21000</v>
      </c>
      <c r="L964" s="101"/>
      <c r="M964" s="207"/>
      <c r="N964" s="207"/>
      <c r="O964" s="212"/>
      <c r="P964" s="212"/>
    </row>
    <row r="965" spans="1:16" s="229" customFormat="1" ht="18" customHeight="1" x14ac:dyDescent="0.25">
      <c r="A965" s="154"/>
      <c r="B965" s="499" t="s">
        <v>163</v>
      </c>
      <c r="C965" s="499" t="s">
        <v>1386</v>
      </c>
      <c r="D965" s="44" t="s">
        <v>217</v>
      </c>
      <c r="E965" s="125"/>
      <c r="F965" s="125"/>
      <c r="G965" s="134"/>
      <c r="H965" s="131" t="s">
        <v>218</v>
      </c>
      <c r="I965" s="101">
        <v>5700</v>
      </c>
      <c r="J965" s="102">
        <v>5700</v>
      </c>
      <c r="K965" s="101">
        <v>3325</v>
      </c>
      <c r="L965" s="101">
        <v>5700</v>
      </c>
      <c r="M965" s="207"/>
      <c r="N965" s="207"/>
      <c r="O965" s="212"/>
      <c r="P965" s="212"/>
    </row>
    <row r="966" spans="1:16" s="229" customFormat="1" ht="18" customHeight="1" x14ac:dyDescent="0.25">
      <c r="A966" s="154"/>
      <c r="B966" s="499" t="s">
        <v>163</v>
      </c>
      <c r="C966" s="499" t="s">
        <v>1386</v>
      </c>
      <c r="D966" s="44" t="s">
        <v>355</v>
      </c>
      <c r="E966" s="125"/>
      <c r="F966" s="125"/>
      <c r="G966" s="134"/>
      <c r="H966" s="131" t="s">
        <v>356</v>
      </c>
      <c r="I966" s="101">
        <v>0</v>
      </c>
      <c r="J966" s="102">
        <v>50000</v>
      </c>
      <c r="K966" s="101"/>
      <c r="L966" s="101">
        <v>50000</v>
      </c>
      <c r="M966" s="207"/>
      <c r="N966" s="207"/>
      <c r="O966" s="212"/>
      <c r="P966" s="212"/>
    </row>
    <row r="967" spans="1:16" s="229" customFormat="1" ht="18" customHeight="1" x14ac:dyDescent="0.25">
      <c r="A967" s="154"/>
      <c r="B967" s="499" t="s">
        <v>163</v>
      </c>
      <c r="C967" s="499" t="s">
        <v>1386</v>
      </c>
      <c r="D967" s="44" t="s">
        <v>430</v>
      </c>
      <c r="E967" s="125"/>
      <c r="F967" s="125"/>
      <c r="G967" s="134"/>
      <c r="H967" s="131" t="s">
        <v>431</v>
      </c>
      <c r="I967" s="101">
        <v>274275</v>
      </c>
      <c r="J967" s="102">
        <v>350000</v>
      </c>
      <c r="K967" s="101">
        <v>29250</v>
      </c>
      <c r="L967" s="101">
        <v>400000</v>
      </c>
      <c r="M967" s="207"/>
      <c r="N967" s="207"/>
      <c r="O967" s="212"/>
      <c r="P967" s="212"/>
    </row>
    <row r="968" spans="1:16" s="229" customFormat="1" ht="18" customHeight="1" x14ac:dyDescent="0.25">
      <c r="A968" s="154"/>
      <c r="B968" s="499" t="s">
        <v>163</v>
      </c>
      <c r="C968" s="499" t="s">
        <v>1386</v>
      </c>
      <c r="D968" s="44" t="s">
        <v>432</v>
      </c>
      <c r="E968" s="125"/>
      <c r="F968" s="125"/>
      <c r="G968" s="134"/>
      <c r="H968" s="131" t="s">
        <v>237</v>
      </c>
      <c r="I968" s="101">
        <v>0</v>
      </c>
      <c r="J968" s="102">
        <v>12000</v>
      </c>
      <c r="K968" s="101"/>
      <c r="L968" s="101">
        <v>12000</v>
      </c>
      <c r="M968" s="207"/>
      <c r="N968" s="207"/>
      <c r="O968" s="212"/>
      <c r="P968" s="212"/>
    </row>
    <row r="969" spans="1:16" s="229" customFormat="1" ht="18" customHeight="1" x14ac:dyDescent="0.25">
      <c r="A969" s="154"/>
      <c r="B969" s="499" t="s">
        <v>163</v>
      </c>
      <c r="C969" s="499" t="s">
        <v>1386</v>
      </c>
      <c r="D969" s="44" t="s">
        <v>198</v>
      </c>
      <c r="E969" s="125"/>
      <c r="F969" s="125"/>
      <c r="G969" s="134"/>
      <c r="H969" s="131" t="s">
        <v>199</v>
      </c>
      <c r="I969" s="105">
        <v>119631.61</v>
      </c>
      <c r="J969" s="106">
        <v>156984.48000000001</v>
      </c>
      <c r="K969" s="105">
        <v>7574.4</v>
      </c>
      <c r="L969" s="105">
        <v>156984.48000000001</v>
      </c>
      <c r="M969" s="207"/>
      <c r="N969" s="207"/>
      <c r="O969" s="212"/>
      <c r="P969" s="212"/>
    </row>
    <row r="970" spans="1:16" s="146" customFormat="1" ht="18" x14ac:dyDescent="0.25">
      <c r="A970" s="495"/>
      <c r="B970" s="499" t="s">
        <v>201</v>
      </c>
      <c r="C970" s="499" t="s">
        <v>1386</v>
      </c>
      <c r="D970" s="536" t="s">
        <v>433</v>
      </c>
      <c r="E970" s="496"/>
      <c r="F970" s="496"/>
      <c r="G970" s="496"/>
      <c r="H970" s="97"/>
      <c r="I970" s="101"/>
      <c r="J970" s="102">
        <v>30000</v>
      </c>
      <c r="K970" s="101"/>
      <c r="L970" s="121"/>
      <c r="M970" s="10"/>
      <c r="N970" s="10"/>
      <c r="O970"/>
      <c r="P970"/>
    </row>
    <row r="971" spans="1:16" s="146" customFormat="1" ht="18" x14ac:dyDescent="0.25">
      <c r="A971" s="495"/>
      <c r="B971" s="499" t="s">
        <v>201</v>
      </c>
      <c r="C971" s="499" t="s">
        <v>1386</v>
      </c>
      <c r="D971" s="536" t="s">
        <v>434</v>
      </c>
      <c r="E971" s="496"/>
      <c r="F971" s="496"/>
      <c r="G971" s="496"/>
      <c r="H971" s="97"/>
      <c r="I971" s="101"/>
      <c r="J971" s="102">
        <v>30000</v>
      </c>
      <c r="K971" s="101"/>
      <c r="L971" s="101"/>
      <c r="M971" s="10"/>
      <c r="N971" s="10"/>
      <c r="O971"/>
      <c r="P971"/>
    </row>
    <row r="972" spans="1:16" s="146" customFormat="1" ht="18" x14ac:dyDescent="0.25">
      <c r="A972" s="495"/>
      <c r="B972" s="499" t="s">
        <v>201</v>
      </c>
      <c r="C972" s="499" t="s">
        <v>1386</v>
      </c>
      <c r="D972" s="536" t="s">
        <v>435</v>
      </c>
      <c r="E972" s="496"/>
      <c r="F972" s="496"/>
      <c r="G972" s="496"/>
      <c r="H972" s="97"/>
      <c r="I972" s="101"/>
      <c r="J972" s="102">
        <v>15000</v>
      </c>
      <c r="K972" s="101"/>
      <c r="L972" s="101"/>
      <c r="M972" s="10"/>
      <c r="N972" s="10"/>
      <c r="O972"/>
      <c r="P972"/>
    </row>
    <row r="973" spans="1:16" s="146" customFormat="1" ht="18" x14ac:dyDescent="0.25">
      <c r="A973" s="495"/>
      <c r="B973" s="499" t="s">
        <v>201</v>
      </c>
      <c r="C973" s="499" t="s">
        <v>1386</v>
      </c>
      <c r="D973" s="1602" t="s">
        <v>436</v>
      </c>
      <c r="E973" s="1603"/>
      <c r="F973" s="1603"/>
      <c r="G973" s="1603"/>
      <c r="H973" s="97"/>
      <c r="I973" s="105">
        <v>58500</v>
      </c>
      <c r="J973" s="106"/>
      <c r="K973" s="105"/>
      <c r="L973" s="105"/>
      <c r="M973" s="10"/>
      <c r="N973" s="10"/>
      <c r="O973"/>
      <c r="P973"/>
    </row>
    <row r="974" spans="1:16" ht="17.45" customHeight="1" x14ac:dyDescent="0.25">
      <c r="A974" s="519"/>
      <c r="B974" s="499" t="s">
        <v>123</v>
      </c>
      <c r="C974" s="499" t="s">
        <v>1386</v>
      </c>
      <c r="D974" s="1602" t="s">
        <v>124</v>
      </c>
      <c r="E974" s="1603"/>
      <c r="F974" s="1603"/>
      <c r="G974" s="1603"/>
      <c r="H974" s="131" t="s">
        <v>125</v>
      </c>
      <c r="I974" s="101">
        <v>2384640</v>
      </c>
      <c r="J974" s="102">
        <v>3827988</v>
      </c>
      <c r="K974" s="101">
        <v>1369901.56</v>
      </c>
      <c r="L974" s="101">
        <v>4120764</v>
      </c>
    </row>
    <row r="975" spans="1:16" ht="17.45" customHeight="1" x14ac:dyDescent="0.25">
      <c r="A975" s="519"/>
      <c r="B975" s="499" t="s">
        <v>123</v>
      </c>
      <c r="C975" s="499" t="s">
        <v>1386</v>
      </c>
      <c r="D975" s="1602" t="s">
        <v>128</v>
      </c>
      <c r="E975" s="1603"/>
      <c r="F975" s="1603"/>
      <c r="G975" s="1603"/>
      <c r="H975" s="131" t="s">
        <v>125</v>
      </c>
      <c r="I975" s="101">
        <v>0</v>
      </c>
      <c r="J975" s="102">
        <v>12048</v>
      </c>
      <c r="K975" s="101"/>
      <c r="L975" s="101">
        <v>5807</v>
      </c>
    </row>
    <row r="976" spans="1:16" ht="17.45" customHeight="1" x14ac:dyDescent="0.25">
      <c r="A976" s="519"/>
      <c r="B976" s="499" t="s">
        <v>123</v>
      </c>
      <c r="C976" s="499" t="s">
        <v>1386</v>
      </c>
      <c r="D976" s="1602" t="s">
        <v>129</v>
      </c>
      <c r="E976" s="1603"/>
      <c r="F976" s="1603"/>
      <c r="G976" s="1603"/>
      <c r="H976" s="132" t="s">
        <v>130</v>
      </c>
      <c r="I976" s="101">
        <v>192000</v>
      </c>
      <c r="J976" s="102">
        <v>288000</v>
      </c>
      <c r="K976" s="101">
        <v>100000</v>
      </c>
      <c r="L976" s="101">
        <v>288000</v>
      </c>
    </row>
    <row r="977" spans="1:16" ht="17.45" customHeight="1" x14ac:dyDescent="0.25">
      <c r="A977" s="519"/>
      <c r="B977" s="499" t="s">
        <v>123</v>
      </c>
      <c r="C977" s="499" t="s">
        <v>1386</v>
      </c>
      <c r="D977" s="1602" t="s">
        <v>131</v>
      </c>
      <c r="E977" s="1603"/>
      <c r="F977" s="1603"/>
      <c r="G977" s="1603"/>
      <c r="H977" s="131" t="s">
        <v>132</v>
      </c>
      <c r="I977" s="101">
        <v>70500</v>
      </c>
      <c r="J977" s="102">
        <v>120000</v>
      </c>
      <c r="K977" s="101">
        <v>40500</v>
      </c>
      <c r="L977" s="101">
        <v>120000</v>
      </c>
    </row>
    <row r="978" spans="1:16" ht="17.45" customHeight="1" x14ac:dyDescent="0.25">
      <c r="A978" s="519"/>
      <c r="B978" s="499" t="s">
        <v>123</v>
      </c>
      <c r="C978" s="499" t="s">
        <v>1386</v>
      </c>
      <c r="D978" s="1602" t="s">
        <v>133</v>
      </c>
      <c r="E978" s="1603"/>
      <c r="F978" s="1603"/>
      <c r="G978" s="1603"/>
      <c r="H978" s="131" t="s">
        <v>134</v>
      </c>
      <c r="I978" s="101">
        <v>70500</v>
      </c>
      <c r="J978" s="102">
        <v>120000</v>
      </c>
      <c r="K978" s="101">
        <v>40500</v>
      </c>
      <c r="L978" s="101">
        <v>120000</v>
      </c>
    </row>
    <row r="979" spans="1:16" s="146" customFormat="1" ht="17.45" customHeight="1" x14ac:dyDescent="0.25">
      <c r="A979" s="519"/>
      <c r="B979" s="499" t="s">
        <v>123</v>
      </c>
      <c r="C979" s="499" t="s">
        <v>1386</v>
      </c>
      <c r="D979" s="513" t="s">
        <v>135</v>
      </c>
      <c r="E979" s="499"/>
      <c r="F979" s="499"/>
      <c r="G979" s="491"/>
      <c r="H979" s="131" t="s">
        <v>232</v>
      </c>
      <c r="I979" s="101">
        <v>2729.06</v>
      </c>
      <c r="J979" s="102">
        <v>93729.55</v>
      </c>
      <c r="K979" s="101">
        <v>57231.78</v>
      </c>
      <c r="L979" s="102">
        <v>306733.64</v>
      </c>
      <c r="M979" s="10"/>
      <c r="N979" s="10"/>
      <c r="O979"/>
      <c r="P979"/>
    </row>
    <row r="980" spans="1:16" s="146" customFormat="1" ht="17.45" customHeight="1" x14ac:dyDescent="0.25">
      <c r="A980" s="519"/>
      <c r="B980" s="499" t="s">
        <v>123</v>
      </c>
      <c r="C980" s="499" t="s">
        <v>1386</v>
      </c>
      <c r="D980" s="1602" t="s">
        <v>137</v>
      </c>
      <c r="E980" s="1603"/>
      <c r="F980" s="1603"/>
      <c r="G980" s="1603"/>
      <c r="H980" s="131" t="s">
        <v>138</v>
      </c>
      <c r="I980" s="101">
        <v>48000</v>
      </c>
      <c r="J980" s="102">
        <v>72000</v>
      </c>
      <c r="K980" s="101">
        <v>42000</v>
      </c>
      <c r="L980" s="101">
        <v>72000</v>
      </c>
      <c r="M980" s="10"/>
      <c r="N980" s="10"/>
      <c r="O980"/>
      <c r="P980"/>
    </row>
    <row r="981" spans="1:16" s="146" customFormat="1" ht="17.45" customHeight="1" x14ac:dyDescent="0.25">
      <c r="A981" s="519"/>
      <c r="B981" s="499" t="s">
        <v>123</v>
      </c>
      <c r="C981" s="499" t="s">
        <v>1386</v>
      </c>
      <c r="D981" s="1602" t="s">
        <v>139</v>
      </c>
      <c r="E981" s="1603"/>
      <c r="F981" s="1603"/>
      <c r="G981" s="1603"/>
      <c r="H981" s="131" t="s">
        <v>140</v>
      </c>
      <c r="I981" s="101">
        <v>207473.12</v>
      </c>
      <c r="J981" s="102">
        <v>320003</v>
      </c>
      <c r="K981" s="101">
        <v>197657</v>
      </c>
      <c r="L981" s="101">
        <v>343955</v>
      </c>
      <c r="M981" s="10"/>
      <c r="N981" s="10"/>
      <c r="O981"/>
      <c r="P981"/>
    </row>
    <row r="982" spans="1:16" s="146" customFormat="1" ht="17.45" customHeight="1" x14ac:dyDescent="0.25">
      <c r="A982" s="519"/>
      <c r="B982" s="499" t="s">
        <v>123</v>
      </c>
      <c r="C982" s="499" t="s">
        <v>1386</v>
      </c>
      <c r="D982" s="1602" t="s">
        <v>141</v>
      </c>
      <c r="E982" s="1603"/>
      <c r="F982" s="1603"/>
      <c r="G982" s="1603"/>
      <c r="H982" s="131" t="s">
        <v>142</v>
      </c>
      <c r="I982" s="101">
        <v>198720</v>
      </c>
      <c r="J982" s="102">
        <v>320003</v>
      </c>
      <c r="K982" s="101"/>
      <c r="L982" s="101">
        <v>343955</v>
      </c>
      <c r="M982" s="10"/>
      <c r="N982" s="10"/>
      <c r="O982"/>
      <c r="P982"/>
    </row>
    <row r="983" spans="1:16" s="146" customFormat="1" ht="17.45" customHeight="1" x14ac:dyDescent="0.25">
      <c r="A983" s="519"/>
      <c r="B983" s="499" t="s">
        <v>123</v>
      </c>
      <c r="C983" s="499" t="s">
        <v>1386</v>
      </c>
      <c r="D983" s="1602" t="s">
        <v>143</v>
      </c>
      <c r="E983" s="1603"/>
      <c r="F983" s="1603"/>
      <c r="G983" s="1603"/>
      <c r="H983" s="131" t="s">
        <v>144</v>
      </c>
      <c r="I983" s="101">
        <v>40000</v>
      </c>
      <c r="J983" s="102">
        <v>60000</v>
      </c>
      <c r="K983" s="101"/>
      <c r="L983" s="101">
        <v>60000</v>
      </c>
      <c r="M983" s="10"/>
      <c r="N983" s="10"/>
      <c r="O983"/>
      <c r="P983"/>
    </row>
    <row r="984" spans="1:16" s="146" customFormat="1" ht="17.45" customHeight="1" x14ac:dyDescent="0.25">
      <c r="A984" s="519"/>
      <c r="B984" s="499" t="s">
        <v>123</v>
      </c>
      <c r="C984" s="499" t="s">
        <v>1386</v>
      </c>
      <c r="D984" s="1602" t="s">
        <v>145</v>
      </c>
      <c r="E984" s="1603"/>
      <c r="F984" s="1603"/>
      <c r="G984" s="1603"/>
      <c r="H984" s="131" t="s">
        <v>146</v>
      </c>
      <c r="I984" s="101">
        <v>40000</v>
      </c>
      <c r="J984" s="102">
        <v>60000</v>
      </c>
      <c r="K984" s="101"/>
      <c r="L984" s="101">
        <v>60000</v>
      </c>
      <c r="M984" s="10"/>
      <c r="N984" s="10"/>
      <c r="O984"/>
      <c r="P984"/>
    </row>
    <row r="985" spans="1:16" s="146" customFormat="1" ht="17.45" customHeight="1" x14ac:dyDescent="0.25">
      <c r="A985" s="519"/>
      <c r="B985" s="499" t="s">
        <v>123</v>
      </c>
      <c r="C985" s="499" t="s">
        <v>1386</v>
      </c>
      <c r="D985" s="1602" t="s">
        <v>231</v>
      </c>
      <c r="E985" s="1603"/>
      <c r="F985" s="1603"/>
      <c r="G985" s="1603"/>
      <c r="H985" s="131" t="s">
        <v>232</v>
      </c>
      <c r="I985" s="101">
        <v>10000</v>
      </c>
      <c r="J985" s="102"/>
      <c r="K985" s="101"/>
      <c r="L985" s="101"/>
      <c r="M985" s="10"/>
      <c r="N985" s="10"/>
      <c r="O985"/>
      <c r="P985"/>
    </row>
    <row r="986" spans="1:16" s="146" customFormat="1" ht="17.45" customHeight="1" x14ac:dyDescent="0.25">
      <c r="A986" s="519"/>
      <c r="B986" s="499" t="s">
        <v>123</v>
      </c>
      <c r="C986" s="499" t="s">
        <v>1386</v>
      </c>
      <c r="D986" s="536" t="s">
        <v>147</v>
      </c>
      <c r="E986" s="499"/>
      <c r="F986" s="499"/>
      <c r="G986" s="491"/>
      <c r="H986" s="131" t="s">
        <v>148</v>
      </c>
      <c r="I986" s="101"/>
      <c r="J986" s="102"/>
      <c r="K986" s="101"/>
      <c r="L986" s="101">
        <v>36000</v>
      </c>
      <c r="M986" s="10"/>
      <c r="N986" s="10"/>
      <c r="O986"/>
      <c r="P986"/>
    </row>
    <row r="987" spans="1:16" s="146" customFormat="1" ht="17.45" customHeight="1" x14ac:dyDescent="0.25">
      <c r="A987" s="519"/>
      <c r="B987" s="499" t="s">
        <v>123</v>
      </c>
      <c r="C987" s="499" t="s">
        <v>1386</v>
      </c>
      <c r="D987" s="1611" t="s">
        <v>149</v>
      </c>
      <c r="E987" s="1611"/>
      <c r="F987" s="1611"/>
      <c r="G987" s="1602"/>
      <c r="H987" s="131" t="s">
        <v>150</v>
      </c>
      <c r="I987" s="101">
        <v>18450</v>
      </c>
      <c r="J987" s="102"/>
      <c r="K987" s="101"/>
      <c r="L987" s="101"/>
      <c r="M987" s="10"/>
      <c r="N987" s="10"/>
      <c r="O987"/>
      <c r="P987"/>
    </row>
    <row r="988" spans="1:16" s="146" customFormat="1" ht="17.45" customHeight="1" x14ac:dyDescent="0.25">
      <c r="A988" s="519"/>
      <c r="B988" s="499" t="s">
        <v>123</v>
      </c>
      <c r="C988" s="499" t="s">
        <v>1386</v>
      </c>
      <c r="D988" s="1602" t="s">
        <v>151</v>
      </c>
      <c r="E988" s="1603"/>
      <c r="F988" s="1603"/>
      <c r="G988" s="1603"/>
      <c r="H988" s="131" t="s">
        <v>148</v>
      </c>
      <c r="I988" s="101">
        <v>80000</v>
      </c>
      <c r="J988" s="102">
        <v>0</v>
      </c>
      <c r="K988" s="101"/>
      <c r="L988" s="101"/>
      <c r="M988" s="10"/>
      <c r="N988" s="10"/>
      <c r="O988"/>
      <c r="P988"/>
    </row>
    <row r="989" spans="1:16" s="146" customFormat="1" ht="17.45" customHeight="1" x14ac:dyDescent="0.25">
      <c r="A989" s="519"/>
      <c r="B989" s="499" t="s">
        <v>123</v>
      </c>
      <c r="C989" s="499" t="s">
        <v>1386</v>
      </c>
      <c r="D989" s="1611" t="s">
        <v>152</v>
      </c>
      <c r="E989" s="1611"/>
      <c r="F989" s="1611"/>
      <c r="G989" s="1602"/>
      <c r="H989" s="131"/>
      <c r="I989" s="101">
        <v>0</v>
      </c>
      <c r="J989" s="102">
        <v>192598.14</v>
      </c>
      <c r="K989" s="101"/>
      <c r="L989" s="101"/>
      <c r="M989" s="10"/>
      <c r="N989" s="10"/>
      <c r="O989"/>
      <c r="P989"/>
    </row>
    <row r="990" spans="1:16" s="146" customFormat="1" ht="17.45" customHeight="1" x14ac:dyDescent="0.25">
      <c r="A990" s="519"/>
      <c r="B990" s="499" t="s">
        <v>123</v>
      </c>
      <c r="C990" s="499" t="s">
        <v>1386</v>
      </c>
      <c r="D990" s="1602" t="s">
        <v>153</v>
      </c>
      <c r="E990" s="1603"/>
      <c r="F990" s="1603"/>
      <c r="G990" s="1603"/>
      <c r="H990" s="131" t="s">
        <v>154</v>
      </c>
      <c r="I990" s="101">
        <v>286156.79999999999</v>
      </c>
      <c r="J990" s="102">
        <v>460804.32</v>
      </c>
      <c r="K990" s="101">
        <v>163852.38</v>
      </c>
      <c r="L990" s="101">
        <v>495188.52</v>
      </c>
      <c r="M990" s="10"/>
      <c r="N990" s="10"/>
      <c r="O990"/>
      <c r="P990"/>
    </row>
    <row r="991" spans="1:16" s="146" customFormat="1" ht="17.45" customHeight="1" x14ac:dyDescent="0.25">
      <c r="A991" s="519"/>
      <c r="B991" s="499" t="s">
        <v>123</v>
      </c>
      <c r="C991" s="499" t="s">
        <v>1386</v>
      </c>
      <c r="D991" s="1602" t="s">
        <v>155</v>
      </c>
      <c r="E991" s="1603"/>
      <c r="F991" s="1603"/>
      <c r="G991" s="1603"/>
      <c r="H991" s="131" t="s">
        <v>156</v>
      </c>
      <c r="I991" s="101">
        <v>9600</v>
      </c>
      <c r="J991" s="102">
        <v>14400</v>
      </c>
      <c r="K991" s="101">
        <v>5000</v>
      </c>
      <c r="L991" s="101">
        <v>14400</v>
      </c>
      <c r="M991" s="10"/>
      <c r="N991" s="10"/>
      <c r="O991"/>
      <c r="P991"/>
    </row>
    <row r="992" spans="1:16" s="146" customFormat="1" ht="17.45" customHeight="1" x14ac:dyDescent="0.25">
      <c r="A992" s="519"/>
      <c r="B992" s="499" t="s">
        <v>123</v>
      </c>
      <c r="C992" s="499" t="s">
        <v>1386</v>
      </c>
      <c r="D992" s="1602" t="s">
        <v>157</v>
      </c>
      <c r="E992" s="1603"/>
      <c r="F992" s="1603"/>
      <c r="G992" s="1603"/>
      <c r="H992" s="131" t="s">
        <v>158</v>
      </c>
      <c r="I992" s="101">
        <v>35544.86</v>
      </c>
      <c r="J992" s="102">
        <v>65607.149999999994</v>
      </c>
      <c r="K992" s="101">
        <v>19154.97</v>
      </c>
      <c r="L992" s="101">
        <v>164872.28</v>
      </c>
      <c r="M992" s="10"/>
      <c r="N992" s="10"/>
      <c r="O992"/>
      <c r="P992"/>
    </row>
    <row r="993" spans="1:16" s="146" customFormat="1" ht="17.45" customHeight="1" x14ac:dyDescent="0.25">
      <c r="A993" s="519"/>
      <c r="B993" s="499" t="s">
        <v>123</v>
      </c>
      <c r="C993" s="499" t="s">
        <v>1386</v>
      </c>
      <c r="D993" s="1602" t="s">
        <v>159</v>
      </c>
      <c r="E993" s="1603"/>
      <c r="F993" s="1603"/>
      <c r="G993" s="1603"/>
      <c r="H993" s="131" t="s">
        <v>160</v>
      </c>
      <c r="I993" s="105">
        <v>9600</v>
      </c>
      <c r="J993" s="106">
        <v>14400</v>
      </c>
      <c r="K993" s="105">
        <v>5000</v>
      </c>
      <c r="L993" s="105">
        <v>14400</v>
      </c>
      <c r="M993" s="10"/>
      <c r="N993" s="10"/>
      <c r="O993"/>
      <c r="P993"/>
    </row>
    <row r="994" spans="1:16" s="229" customFormat="1" ht="17.45" customHeight="1" x14ac:dyDescent="0.25">
      <c r="A994" s="154"/>
      <c r="B994" s="499" t="s">
        <v>163</v>
      </c>
      <c r="C994" s="499" t="s">
        <v>1386</v>
      </c>
      <c r="D994" s="44" t="s">
        <v>353</v>
      </c>
      <c r="E994" s="125"/>
      <c r="F994" s="125"/>
      <c r="G994" s="134"/>
      <c r="H994" s="131" t="s">
        <v>165</v>
      </c>
      <c r="I994" s="101"/>
      <c r="J994" s="102">
        <v>100000</v>
      </c>
      <c r="K994" s="101"/>
      <c r="L994" s="101">
        <v>100000</v>
      </c>
      <c r="M994" s="207"/>
      <c r="N994" s="207"/>
      <c r="O994" s="212"/>
      <c r="P994" s="212"/>
    </row>
    <row r="995" spans="1:16" s="229" customFormat="1" ht="17.45" customHeight="1" x14ac:dyDescent="0.25">
      <c r="A995" s="154"/>
      <c r="B995" s="499" t="s">
        <v>163</v>
      </c>
      <c r="C995" s="499" t="s">
        <v>1386</v>
      </c>
      <c r="D995" s="44" t="s">
        <v>168</v>
      </c>
      <c r="E995" s="125"/>
      <c r="F995" s="125"/>
      <c r="G995" s="134"/>
      <c r="H995" s="131" t="s">
        <v>169</v>
      </c>
      <c r="I995" s="101">
        <v>174513.4</v>
      </c>
      <c r="J995" s="102">
        <v>614979</v>
      </c>
      <c r="K995" s="101">
        <v>271088</v>
      </c>
      <c r="L995" s="101">
        <v>698338</v>
      </c>
      <c r="M995" s="207"/>
      <c r="N995" s="207"/>
      <c r="O995" s="212"/>
      <c r="P995" s="212"/>
    </row>
    <row r="996" spans="1:16" s="229" customFormat="1" ht="17.45" customHeight="1" x14ac:dyDescent="0.25">
      <c r="A996" s="154"/>
      <c r="B996" s="499" t="s">
        <v>163</v>
      </c>
      <c r="C996" s="499" t="s">
        <v>1386</v>
      </c>
      <c r="D996" s="44" t="s">
        <v>174</v>
      </c>
      <c r="E996" s="125"/>
      <c r="F996" s="125"/>
      <c r="G996" s="134"/>
      <c r="H996" s="131" t="s">
        <v>171</v>
      </c>
      <c r="I996" s="101">
        <v>13780</v>
      </c>
      <c r="J996" s="102">
        <v>53630</v>
      </c>
      <c r="K996" s="101"/>
      <c r="L996" s="101"/>
      <c r="M996" s="207"/>
      <c r="N996" s="207"/>
      <c r="O996" s="212"/>
      <c r="P996" s="212"/>
    </row>
    <row r="997" spans="1:16" s="229" customFormat="1" ht="17.45" customHeight="1" x14ac:dyDescent="0.25">
      <c r="A997" s="154"/>
      <c r="B997" s="499" t="s">
        <v>163</v>
      </c>
      <c r="C997" s="499" t="s">
        <v>1386</v>
      </c>
      <c r="D997" s="44" t="s">
        <v>288</v>
      </c>
      <c r="E997" s="125"/>
      <c r="F997" s="125"/>
      <c r="G997" s="134"/>
      <c r="H997" s="131" t="s">
        <v>171</v>
      </c>
      <c r="I997" s="101"/>
      <c r="J997" s="102"/>
      <c r="K997" s="101"/>
      <c r="L997" s="101">
        <v>121650</v>
      </c>
      <c r="M997" s="207">
        <f>62150+59500</f>
        <v>121650</v>
      </c>
      <c r="N997" s="207"/>
      <c r="O997" s="212"/>
      <c r="P997" s="212"/>
    </row>
    <row r="998" spans="1:16" s="229" customFormat="1" ht="17.45" customHeight="1" x14ac:dyDescent="0.25">
      <c r="A998" s="154"/>
      <c r="B998" s="499" t="s">
        <v>163</v>
      </c>
      <c r="C998" s="499" t="s">
        <v>1386</v>
      </c>
      <c r="D998" s="44" t="s">
        <v>438</v>
      </c>
      <c r="E998" s="125"/>
      <c r="F998" s="125"/>
      <c r="G998" s="134"/>
      <c r="H998" s="131" t="s">
        <v>171</v>
      </c>
      <c r="I998" s="101"/>
      <c r="J998" s="102">
        <v>114000</v>
      </c>
      <c r="K998" s="101"/>
      <c r="L998" s="101"/>
      <c r="M998" s="207"/>
      <c r="N998" s="207"/>
      <c r="O998" s="212"/>
      <c r="P998" s="212"/>
    </row>
    <row r="999" spans="1:16" s="229" customFormat="1" ht="17.45" customHeight="1" x14ac:dyDescent="0.25">
      <c r="A999" s="154"/>
      <c r="B999" s="499" t="s">
        <v>163</v>
      </c>
      <c r="C999" s="499" t="s">
        <v>1386</v>
      </c>
      <c r="D999" s="44" t="s">
        <v>176</v>
      </c>
      <c r="E999" s="125"/>
      <c r="F999" s="125"/>
      <c r="G999" s="134"/>
      <c r="H999" s="131" t="s">
        <v>177</v>
      </c>
      <c r="I999" s="101"/>
      <c r="J999" s="102">
        <v>5000</v>
      </c>
      <c r="K999" s="101">
        <v>660</v>
      </c>
      <c r="L999" s="101">
        <v>5000</v>
      </c>
      <c r="M999" s="207"/>
      <c r="N999" s="207"/>
      <c r="O999" s="212"/>
      <c r="P999" s="212"/>
    </row>
    <row r="1000" spans="1:16" s="229" customFormat="1" ht="17.45" customHeight="1" x14ac:dyDescent="0.25">
      <c r="A1000" s="154"/>
      <c r="B1000" s="499" t="s">
        <v>163</v>
      </c>
      <c r="C1000" s="499" t="s">
        <v>1386</v>
      </c>
      <c r="D1000" s="44" t="s">
        <v>178</v>
      </c>
      <c r="E1000" s="125"/>
      <c r="F1000" s="125"/>
      <c r="G1000" s="134"/>
      <c r="H1000" s="131" t="s">
        <v>179</v>
      </c>
      <c r="I1000" s="101"/>
      <c r="J1000" s="102"/>
      <c r="K1000" s="101"/>
      <c r="L1000" s="101">
        <v>49200</v>
      </c>
      <c r="M1000" s="207"/>
      <c r="N1000" s="207"/>
      <c r="O1000" s="212"/>
      <c r="P1000" s="212"/>
    </row>
    <row r="1001" spans="1:16" s="229" customFormat="1" ht="17.45" customHeight="1" x14ac:dyDescent="0.25">
      <c r="A1001" s="154"/>
      <c r="B1001" s="499" t="s">
        <v>163</v>
      </c>
      <c r="C1001" s="499" t="s">
        <v>1386</v>
      </c>
      <c r="D1001" s="44" t="s">
        <v>250</v>
      </c>
      <c r="E1001" s="125"/>
      <c r="F1001" s="125"/>
      <c r="G1001" s="134"/>
      <c r="H1001" s="131" t="s">
        <v>179</v>
      </c>
      <c r="I1001" s="101">
        <v>4825.18</v>
      </c>
      <c r="J1001" s="102">
        <v>7200</v>
      </c>
      <c r="K1001" s="101"/>
      <c r="L1001" s="101"/>
      <c r="M1001" s="207">
        <v>7200</v>
      </c>
      <c r="N1001" s="207"/>
      <c r="O1001" s="212"/>
      <c r="P1001" s="212"/>
    </row>
    <row r="1002" spans="1:16" s="229" customFormat="1" ht="17.45" customHeight="1" x14ac:dyDescent="0.25">
      <c r="A1002" s="154"/>
      <c r="B1002" s="499" t="s">
        <v>163</v>
      </c>
      <c r="C1002" s="499" t="s">
        <v>1386</v>
      </c>
      <c r="D1002" s="44" t="s">
        <v>181</v>
      </c>
      <c r="E1002" s="125"/>
      <c r="F1002" s="125"/>
      <c r="G1002" s="134"/>
      <c r="H1002" s="131" t="s">
        <v>179</v>
      </c>
      <c r="I1002" s="101">
        <v>42000</v>
      </c>
      <c r="J1002" s="102">
        <v>42000</v>
      </c>
      <c r="K1002" s="101">
        <v>21000</v>
      </c>
      <c r="L1002" s="101"/>
      <c r="M1002" s="207">
        <v>42000</v>
      </c>
      <c r="N1002" s="207"/>
      <c r="O1002" s="212"/>
      <c r="P1002" s="212"/>
    </row>
    <row r="1003" spans="1:16" s="229" customFormat="1" ht="17.45" customHeight="1" x14ac:dyDescent="0.25">
      <c r="A1003" s="154"/>
      <c r="B1003" s="499" t="s">
        <v>163</v>
      </c>
      <c r="C1003" s="499" t="s">
        <v>1386</v>
      </c>
      <c r="D1003" s="44" t="s">
        <v>186</v>
      </c>
      <c r="E1003" s="125"/>
      <c r="F1003" s="125"/>
      <c r="G1003" s="134"/>
      <c r="H1003" s="131" t="s">
        <v>187</v>
      </c>
      <c r="I1003" s="101"/>
      <c r="J1003" s="102">
        <v>50000</v>
      </c>
      <c r="K1003" s="101"/>
      <c r="L1003" s="101">
        <v>50000</v>
      </c>
      <c r="M1003" s="207"/>
      <c r="N1003" s="207"/>
      <c r="O1003" s="212"/>
      <c r="P1003" s="212"/>
    </row>
    <row r="1004" spans="1:16" s="229" customFormat="1" ht="17.45" customHeight="1" x14ac:dyDescent="0.25">
      <c r="A1004" s="154"/>
      <c r="B1004" s="499" t="s">
        <v>163</v>
      </c>
      <c r="C1004" s="499" t="s">
        <v>1386</v>
      </c>
      <c r="D1004" s="44" t="s">
        <v>439</v>
      </c>
      <c r="E1004" s="125"/>
      <c r="F1004" s="125"/>
      <c r="G1004" s="134"/>
      <c r="H1004" s="131" t="s">
        <v>237</v>
      </c>
      <c r="I1004" s="101">
        <v>0</v>
      </c>
      <c r="J1004" s="102">
        <v>6000</v>
      </c>
      <c r="K1004" s="101"/>
      <c r="L1004" s="101">
        <v>6000</v>
      </c>
      <c r="M1004" s="207"/>
      <c r="N1004" s="207"/>
      <c r="O1004" s="212"/>
      <c r="P1004" s="212"/>
    </row>
    <row r="1005" spans="1:16" s="229" customFormat="1" ht="17.45" customHeight="1" x14ac:dyDescent="0.25">
      <c r="A1005" s="154"/>
      <c r="B1005" s="499" t="s">
        <v>163</v>
      </c>
      <c r="C1005" s="499" t="s">
        <v>1386</v>
      </c>
      <c r="D1005" s="44" t="s">
        <v>198</v>
      </c>
      <c r="E1005" s="125"/>
      <c r="F1005" s="125"/>
      <c r="G1005" s="134"/>
      <c r="H1005" s="131" t="s">
        <v>199</v>
      </c>
      <c r="I1005" s="101">
        <v>795170.9</v>
      </c>
      <c r="J1005" s="102">
        <v>470953.44</v>
      </c>
      <c r="K1005" s="101">
        <v>164400.6</v>
      </c>
      <c r="L1005" s="101">
        <v>470953.44</v>
      </c>
      <c r="M1005" s="207"/>
      <c r="N1005" s="207"/>
      <c r="O1005" s="212"/>
      <c r="P1005" s="212"/>
    </row>
    <row r="1006" spans="1:16" s="146" customFormat="1" ht="17.45" customHeight="1" x14ac:dyDescent="0.25">
      <c r="A1006" s="519"/>
      <c r="B1006" s="499" t="s">
        <v>163</v>
      </c>
      <c r="C1006" s="499" t="s">
        <v>1386</v>
      </c>
      <c r="D1006" s="536" t="s">
        <v>440</v>
      </c>
      <c r="E1006" s="499"/>
      <c r="F1006" s="499"/>
      <c r="G1006" s="491"/>
      <c r="H1006" s="131"/>
      <c r="I1006" s="101">
        <v>15000</v>
      </c>
      <c r="J1006" s="102"/>
      <c r="K1006" s="101"/>
      <c r="L1006" s="101"/>
      <c r="M1006" s="10"/>
      <c r="N1006" s="10"/>
      <c r="O1006"/>
      <c r="P1006"/>
    </row>
    <row r="1007" spans="1:16" s="146" customFormat="1" ht="17.45" customHeight="1" x14ac:dyDescent="0.25">
      <c r="A1007" s="519"/>
      <c r="B1007" s="499" t="s">
        <v>163</v>
      </c>
      <c r="C1007" s="499" t="s">
        <v>1386</v>
      </c>
      <c r="D1007" s="1602" t="s">
        <v>441</v>
      </c>
      <c r="E1007" s="1603"/>
      <c r="F1007" s="1603"/>
      <c r="G1007" s="1603"/>
      <c r="H1007" s="131"/>
      <c r="I1007" s="101">
        <v>0</v>
      </c>
      <c r="J1007" s="102">
        <v>50000</v>
      </c>
      <c r="K1007" s="101"/>
      <c r="L1007" s="101">
        <v>50000</v>
      </c>
      <c r="M1007" s="10"/>
      <c r="N1007" s="10"/>
      <c r="O1007"/>
      <c r="P1007"/>
    </row>
    <row r="1008" spans="1:16" s="146" customFormat="1" ht="17.45" customHeight="1" x14ac:dyDescent="0.25">
      <c r="A1008" s="519"/>
      <c r="B1008" s="499" t="s">
        <v>163</v>
      </c>
      <c r="C1008" s="499" t="s">
        <v>1386</v>
      </c>
      <c r="D1008" s="1602" t="s">
        <v>442</v>
      </c>
      <c r="E1008" s="1603"/>
      <c r="F1008" s="1603"/>
      <c r="G1008" s="1603"/>
      <c r="H1008" s="131"/>
      <c r="I1008" s="101">
        <v>56408</v>
      </c>
      <c r="J1008" s="102"/>
      <c r="K1008" s="101"/>
      <c r="L1008" s="101"/>
      <c r="M1008" s="10"/>
      <c r="N1008" s="10"/>
      <c r="O1008"/>
      <c r="P1008"/>
    </row>
    <row r="1009" spans="1:16" s="146" customFormat="1" ht="17.45" customHeight="1" x14ac:dyDescent="0.25">
      <c r="A1009" s="519"/>
      <c r="B1009" s="499" t="s">
        <v>163</v>
      </c>
      <c r="C1009" s="499" t="s">
        <v>1386</v>
      </c>
      <c r="D1009" s="1602" t="s">
        <v>443</v>
      </c>
      <c r="E1009" s="1603"/>
      <c r="F1009" s="1603"/>
      <c r="G1009" s="1603"/>
      <c r="H1009" s="131"/>
      <c r="I1009" s="105">
        <v>362232.12</v>
      </c>
      <c r="J1009" s="106">
        <v>1000000</v>
      </c>
      <c r="K1009" s="105">
        <v>62550.92</v>
      </c>
      <c r="L1009" s="105">
        <v>1000000</v>
      </c>
      <c r="M1009" s="10"/>
      <c r="N1009" s="10"/>
      <c r="O1009"/>
      <c r="P1009"/>
    </row>
    <row r="1010" spans="1:16" s="146" customFormat="1" ht="17.45" customHeight="1" x14ac:dyDescent="0.25">
      <c r="A1010" s="495"/>
      <c r="B1010" s="499" t="s">
        <v>201</v>
      </c>
      <c r="C1010" s="499" t="s">
        <v>1386</v>
      </c>
      <c r="D1010" s="1612" t="s">
        <v>363</v>
      </c>
      <c r="E1010" s="1612"/>
      <c r="F1010" s="496"/>
      <c r="G1010" s="496"/>
      <c r="H1010" s="97"/>
      <c r="I1010" s="101"/>
      <c r="J1010" s="102"/>
      <c r="K1010" s="101"/>
      <c r="L1010" s="121">
        <v>345000</v>
      </c>
      <c r="M1010" s="10"/>
      <c r="N1010" s="10">
        <f>115000*3</f>
        <v>345000</v>
      </c>
      <c r="O1010"/>
      <c r="P1010"/>
    </row>
    <row r="1011" spans="1:16" s="146" customFormat="1" ht="17.45" customHeight="1" x14ac:dyDescent="0.25">
      <c r="A1011" s="495"/>
      <c r="B1011" s="499" t="s">
        <v>201</v>
      </c>
      <c r="C1011" s="499" t="s">
        <v>1386</v>
      </c>
      <c r="D1011" s="502" t="s">
        <v>444</v>
      </c>
      <c r="E1011" s="499"/>
      <c r="F1011" s="496"/>
      <c r="G1011" s="496"/>
      <c r="H1011" s="97"/>
      <c r="I1011" s="101"/>
      <c r="J1011" s="102"/>
      <c r="K1011" s="101"/>
      <c r="L1011" s="101">
        <v>240000</v>
      </c>
      <c r="M1011" s="10"/>
      <c r="N1011" s="10">
        <f>80000*3</f>
        <v>240000</v>
      </c>
      <c r="O1011"/>
      <c r="P1011"/>
    </row>
    <row r="1012" spans="1:16" s="146" customFormat="1" ht="17.45" customHeight="1" x14ac:dyDescent="0.25">
      <c r="A1012" s="495"/>
      <c r="B1012" s="499" t="s">
        <v>201</v>
      </c>
      <c r="C1012" s="499" t="s">
        <v>1386</v>
      </c>
      <c r="D1012" s="502" t="s">
        <v>445</v>
      </c>
      <c r="E1012" s="499"/>
      <c r="F1012" s="496"/>
      <c r="G1012" s="496"/>
      <c r="H1012" s="97"/>
      <c r="I1012" s="101"/>
      <c r="J1012" s="102"/>
      <c r="K1012" s="101"/>
      <c r="L1012" s="101">
        <v>20000</v>
      </c>
      <c r="M1012" s="10"/>
      <c r="N1012" s="10"/>
      <c r="O1012"/>
      <c r="P1012"/>
    </row>
    <row r="1013" spans="1:16" s="146" customFormat="1" ht="17.45" customHeight="1" x14ac:dyDescent="0.25">
      <c r="A1013" s="495"/>
      <c r="B1013" s="499" t="s">
        <v>201</v>
      </c>
      <c r="C1013" s="499" t="s">
        <v>1386</v>
      </c>
      <c r="D1013" s="1611" t="s">
        <v>446</v>
      </c>
      <c r="E1013" s="1611"/>
      <c r="F1013" s="496"/>
      <c r="G1013" s="496"/>
      <c r="H1013" s="97"/>
      <c r="I1013" s="101"/>
      <c r="J1013" s="102"/>
      <c r="K1013" s="101"/>
      <c r="L1013" s="101">
        <v>70000</v>
      </c>
      <c r="M1013" s="10"/>
      <c r="N1013" s="10"/>
      <c r="O1013"/>
      <c r="P1013"/>
    </row>
    <row r="1014" spans="1:16" s="146" customFormat="1" ht="17.45" customHeight="1" x14ac:dyDescent="0.25">
      <c r="A1014" s="495"/>
      <c r="B1014" s="499" t="s">
        <v>201</v>
      </c>
      <c r="C1014" s="499" t="s">
        <v>1386</v>
      </c>
      <c r="D1014" s="1611" t="s">
        <v>447</v>
      </c>
      <c r="E1014" s="1611"/>
      <c r="F1014" s="496"/>
      <c r="G1014" s="496"/>
      <c r="H1014" s="97"/>
      <c r="I1014" s="101"/>
      <c r="J1014" s="102"/>
      <c r="K1014" s="101"/>
      <c r="L1014" s="101">
        <v>145600</v>
      </c>
      <c r="M1014" s="10"/>
      <c r="N1014" s="10"/>
      <c r="O1014"/>
      <c r="P1014"/>
    </row>
    <row r="1015" spans="1:16" s="146" customFormat="1" ht="17.45" customHeight="1" x14ac:dyDescent="0.25">
      <c r="A1015" s="495"/>
      <c r="B1015" s="499" t="s">
        <v>201</v>
      </c>
      <c r="C1015" s="499" t="s">
        <v>1386</v>
      </c>
      <c r="D1015" s="536" t="s">
        <v>448</v>
      </c>
      <c r="E1015" s="496"/>
      <c r="F1015" s="496"/>
      <c r="G1015" s="496"/>
      <c r="H1015" s="97"/>
      <c r="I1015" s="101"/>
      <c r="J1015" s="102">
        <v>95000</v>
      </c>
      <c r="K1015" s="101"/>
      <c r="L1015" s="101"/>
      <c r="M1015" s="10"/>
      <c r="N1015" s="10"/>
      <c r="O1015"/>
      <c r="P1015"/>
    </row>
    <row r="1016" spans="1:16" s="146" customFormat="1" ht="17.45" customHeight="1" x14ac:dyDescent="0.25">
      <c r="A1016" s="495"/>
      <c r="B1016" s="499" t="s">
        <v>201</v>
      </c>
      <c r="C1016" s="499" t="s">
        <v>1386</v>
      </c>
      <c r="D1016" s="536" t="s">
        <v>449</v>
      </c>
      <c r="E1016" s="496"/>
      <c r="F1016" s="496"/>
      <c r="G1016" s="496"/>
      <c r="H1016" s="97"/>
      <c r="I1016" s="101"/>
      <c r="J1016" s="102">
        <v>50000</v>
      </c>
      <c r="K1016" s="101"/>
      <c r="L1016" s="101"/>
      <c r="M1016" s="10"/>
      <c r="N1016" s="10"/>
      <c r="O1016"/>
      <c r="P1016"/>
    </row>
    <row r="1017" spans="1:16" s="146" customFormat="1" ht="17.45" customHeight="1" x14ac:dyDescent="0.25">
      <c r="A1017" s="495"/>
      <c r="B1017" s="499" t="s">
        <v>201</v>
      </c>
      <c r="C1017" s="499" t="s">
        <v>1386</v>
      </c>
      <c r="D1017" s="536" t="s">
        <v>450</v>
      </c>
      <c r="E1017" s="496"/>
      <c r="F1017" s="496"/>
      <c r="G1017" s="496"/>
      <c r="H1017" s="97"/>
      <c r="I1017" s="101"/>
      <c r="J1017" s="102">
        <v>30000</v>
      </c>
      <c r="K1017" s="101"/>
      <c r="L1017" s="101"/>
      <c r="M1017" s="10"/>
      <c r="N1017" s="10"/>
      <c r="O1017"/>
      <c r="P1017"/>
    </row>
    <row r="1018" spans="1:16" s="146" customFormat="1" ht="17.45" customHeight="1" x14ac:dyDescent="0.25">
      <c r="A1018" s="495"/>
      <c r="B1018" s="499" t="s">
        <v>201</v>
      </c>
      <c r="C1018" s="499" t="s">
        <v>1386</v>
      </c>
      <c r="D1018" s="536" t="s">
        <v>451</v>
      </c>
      <c r="E1018" s="496"/>
      <c r="F1018" s="496"/>
      <c r="G1018" s="496"/>
      <c r="H1018" s="97"/>
      <c r="I1018" s="101"/>
      <c r="J1018" s="102">
        <v>250000</v>
      </c>
      <c r="K1018" s="101"/>
      <c r="L1018" s="101"/>
      <c r="M1018" s="10"/>
      <c r="N1018" s="10"/>
      <c r="O1018"/>
      <c r="P1018"/>
    </row>
    <row r="1019" spans="1:16" s="146" customFormat="1" ht="17.45" customHeight="1" x14ac:dyDescent="0.25">
      <c r="A1019" s="495"/>
      <c r="B1019" s="499" t="s">
        <v>201</v>
      </c>
      <c r="C1019" s="499" t="s">
        <v>1386</v>
      </c>
      <c r="D1019" s="1602" t="s">
        <v>452</v>
      </c>
      <c r="E1019" s="1603"/>
      <c r="F1019" s="1603"/>
      <c r="G1019" s="1603"/>
      <c r="H1019" s="97"/>
      <c r="I1019" s="101">
        <v>78500</v>
      </c>
      <c r="J1019" s="102"/>
      <c r="K1019" s="101"/>
      <c r="L1019" s="101"/>
      <c r="M1019" s="10"/>
      <c r="N1019" s="10"/>
      <c r="O1019"/>
      <c r="P1019"/>
    </row>
    <row r="1020" spans="1:16" s="146" customFormat="1" ht="17.45" customHeight="1" x14ac:dyDescent="0.25">
      <c r="A1020" s="495"/>
      <c r="B1020" s="499" t="s">
        <v>201</v>
      </c>
      <c r="C1020" s="499" t="s">
        <v>1386</v>
      </c>
      <c r="D1020" s="1602" t="s">
        <v>453</v>
      </c>
      <c r="E1020" s="1603"/>
      <c r="F1020" s="1603"/>
      <c r="G1020" s="1603"/>
      <c r="H1020" s="97"/>
      <c r="I1020" s="101">
        <v>38500</v>
      </c>
      <c r="J1020" s="102"/>
      <c r="K1020" s="101"/>
      <c r="L1020" s="101"/>
      <c r="M1020" s="10"/>
      <c r="N1020" s="10"/>
      <c r="O1020"/>
      <c r="P1020"/>
    </row>
    <row r="1021" spans="1:16" s="146" customFormat="1" ht="17.45" customHeight="1" x14ac:dyDescent="0.25">
      <c r="A1021" s="495"/>
      <c r="B1021" s="499" t="s">
        <v>201</v>
      </c>
      <c r="C1021" s="499" t="s">
        <v>1386</v>
      </c>
      <c r="D1021" s="1602" t="s">
        <v>454</v>
      </c>
      <c r="E1021" s="1603"/>
      <c r="F1021" s="1603"/>
      <c r="G1021" s="1603"/>
      <c r="H1021" s="97"/>
      <c r="I1021" s="101">
        <v>14000</v>
      </c>
      <c r="J1021" s="102"/>
      <c r="K1021" s="101"/>
      <c r="L1021" s="101"/>
      <c r="M1021" s="10"/>
      <c r="N1021" s="10"/>
      <c r="O1021"/>
      <c r="P1021"/>
    </row>
    <row r="1022" spans="1:16" s="146" customFormat="1" ht="17.45" customHeight="1" x14ac:dyDescent="0.25">
      <c r="A1022" s="495"/>
      <c r="B1022" s="499" t="s">
        <v>201</v>
      </c>
      <c r="C1022" s="499" t="s">
        <v>1386</v>
      </c>
      <c r="D1022" s="1602" t="s">
        <v>449</v>
      </c>
      <c r="E1022" s="1603"/>
      <c r="F1022" s="1603"/>
      <c r="G1022" s="1603"/>
      <c r="H1022" s="97"/>
      <c r="I1022" s="105">
        <v>24000</v>
      </c>
      <c r="J1022" s="106"/>
      <c r="K1022" s="105"/>
      <c r="L1022" s="105"/>
      <c r="M1022" s="10"/>
      <c r="N1022" s="10"/>
      <c r="O1022"/>
      <c r="P1022"/>
    </row>
    <row r="1023" spans="1:16" s="146" customFormat="1" ht="18" x14ac:dyDescent="0.25">
      <c r="A1023" s="519"/>
      <c r="B1023" s="499" t="s">
        <v>123</v>
      </c>
      <c r="C1023" s="499" t="s">
        <v>1386</v>
      </c>
      <c r="D1023" s="1602" t="s">
        <v>124</v>
      </c>
      <c r="E1023" s="1603"/>
      <c r="F1023" s="1603"/>
      <c r="G1023" s="1603"/>
      <c r="H1023" s="131" t="s">
        <v>125</v>
      </c>
      <c r="I1023" s="101">
        <v>1476000</v>
      </c>
      <c r="J1023" s="102">
        <v>1476000</v>
      </c>
      <c r="K1023" s="101">
        <v>886277.55</v>
      </c>
      <c r="L1023" s="101">
        <v>1561524</v>
      </c>
      <c r="M1023" s="10"/>
      <c r="N1023" s="10"/>
      <c r="O1023"/>
      <c r="P1023"/>
    </row>
    <row r="1024" spans="1:16" s="146" customFormat="1" ht="18" x14ac:dyDescent="0.25">
      <c r="A1024" s="519"/>
      <c r="B1024" s="499" t="s">
        <v>123</v>
      </c>
      <c r="C1024" s="499" t="s">
        <v>1386</v>
      </c>
      <c r="D1024" s="1602" t="s">
        <v>128</v>
      </c>
      <c r="E1024" s="1603"/>
      <c r="F1024" s="1603"/>
      <c r="G1024" s="1603"/>
      <c r="H1024" s="131" t="s">
        <v>127</v>
      </c>
      <c r="I1024" s="101">
        <v>0</v>
      </c>
      <c r="J1024" s="102">
        <v>1140</v>
      </c>
      <c r="K1024" s="101"/>
      <c r="L1024" s="101">
        <v>7193.13</v>
      </c>
      <c r="M1024" s="10"/>
      <c r="N1024" s="10"/>
      <c r="O1024"/>
      <c r="P1024"/>
    </row>
    <row r="1025" spans="1:16" s="146" customFormat="1" ht="18" x14ac:dyDescent="0.25">
      <c r="A1025" s="519"/>
      <c r="B1025" s="499" t="s">
        <v>123</v>
      </c>
      <c r="C1025" s="499" t="s">
        <v>1386</v>
      </c>
      <c r="D1025" s="1602" t="s">
        <v>129</v>
      </c>
      <c r="E1025" s="1603"/>
      <c r="F1025" s="1603"/>
      <c r="G1025" s="1603"/>
      <c r="H1025" s="132" t="s">
        <v>130</v>
      </c>
      <c r="I1025" s="101">
        <v>96000</v>
      </c>
      <c r="J1025" s="102">
        <v>96000</v>
      </c>
      <c r="K1025" s="101">
        <v>56000</v>
      </c>
      <c r="L1025" s="101">
        <v>96000</v>
      </c>
      <c r="M1025" s="10"/>
      <c r="N1025" s="10"/>
      <c r="O1025"/>
      <c r="P1025"/>
    </row>
    <row r="1026" spans="1:16" s="146" customFormat="1" ht="18" x14ac:dyDescent="0.25">
      <c r="A1026" s="519"/>
      <c r="B1026" s="499" t="s">
        <v>123</v>
      </c>
      <c r="C1026" s="499" t="s">
        <v>1386</v>
      </c>
      <c r="D1026" s="1602" t="s">
        <v>131</v>
      </c>
      <c r="E1026" s="1603"/>
      <c r="F1026" s="1603"/>
      <c r="G1026" s="1603"/>
      <c r="H1026" s="131" t="s">
        <v>132</v>
      </c>
      <c r="I1026" s="101">
        <v>72000</v>
      </c>
      <c r="J1026" s="102">
        <v>72000</v>
      </c>
      <c r="K1026" s="101">
        <v>42000</v>
      </c>
      <c r="L1026" s="101">
        <v>72000</v>
      </c>
      <c r="M1026" s="10"/>
      <c r="N1026" s="10"/>
      <c r="O1026"/>
      <c r="P1026"/>
    </row>
    <row r="1027" spans="1:16" s="146" customFormat="1" ht="18" x14ac:dyDescent="0.25">
      <c r="A1027" s="519"/>
      <c r="B1027" s="499" t="s">
        <v>123</v>
      </c>
      <c r="C1027" s="499" t="s">
        <v>1386</v>
      </c>
      <c r="D1027" s="1602" t="s">
        <v>133</v>
      </c>
      <c r="E1027" s="1603"/>
      <c r="F1027" s="1603"/>
      <c r="G1027" s="1603"/>
      <c r="H1027" s="131" t="s">
        <v>134</v>
      </c>
      <c r="I1027" s="101">
        <v>72000</v>
      </c>
      <c r="J1027" s="102">
        <v>72000</v>
      </c>
      <c r="K1027" s="101">
        <v>42000</v>
      </c>
      <c r="L1027" s="101">
        <v>72000</v>
      </c>
      <c r="M1027" s="10"/>
      <c r="N1027" s="10"/>
      <c r="O1027"/>
      <c r="P1027"/>
    </row>
    <row r="1028" spans="1:16" s="146" customFormat="1" ht="18" x14ac:dyDescent="0.25">
      <c r="A1028" s="519"/>
      <c r="B1028" s="499" t="s">
        <v>123</v>
      </c>
      <c r="C1028" s="499" t="s">
        <v>1386</v>
      </c>
      <c r="D1028" s="1602" t="s">
        <v>137</v>
      </c>
      <c r="E1028" s="1603"/>
      <c r="F1028" s="1603"/>
      <c r="G1028" s="1603"/>
      <c r="H1028" s="131" t="s">
        <v>138</v>
      </c>
      <c r="I1028" s="101">
        <v>24000</v>
      </c>
      <c r="J1028" s="102">
        <v>24000</v>
      </c>
      <c r="K1028" s="101">
        <v>24000</v>
      </c>
      <c r="L1028" s="101">
        <v>24000</v>
      </c>
      <c r="M1028" s="10"/>
      <c r="N1028" s="10"/>
      <c r="O1028"/>
      <c r="P1028"/>
    </row>
    <row r="1029" spans="1:16" s="146" customFormat="1" ht="18" customHeight="1" x14ac:dyDescent="0.25">
      <c r="A1029" s="519"/>
      <c r="B1029" s="499" t="s">
        <v>123</v>
      </c>
      <c r="C1029" s="499" t="s">
        <v>1386</v>
      </c>
      <c r="D1029" s="1602" t="s">
        <v>139</v>
      </c>
      <c r="E1029" s="1603"/>
      <c r="F1029" s="1603"/>
      <c r="G1029" s="1603"/>
      <c r="H1029" s="131" t="s">
        <v>140</v>
      </c>
      <c r="I1029" s="101">
        <v>123000</v>
      </c>
      <c r="J1029" s="102">
        <v>123095</v>
      </c>
      <c r="K1029" s="101">
        <v>126612</v>
      </c>
      <c r="L1029" s="101">
        <v>130414</v>
      </c>
      <c r="M1029" s="10"/>
      <c r="N1029" s="10"/>
      <c r="O1029"/>
      <c r="P1029"/>
    </row>
    <row r="1030" spans="1:16" s="146" customFormat="1" ht="18" x14ac:dyDescent="0.25">
      <c r="A1030" s="519"/>
      <c r="B1030" s="499" t="s">
        <v>123</v>
      </c>
      <c r="C1030" s="499" t="s">
        <v>1386</v>
      </c>
      <c r="D1030" s="1602" t="s">
        <v>141</v>
      </c>
      <c r="E1030" s="1603"/>
      <c r="F1030" s="1603"/>
      <c r="G1030" s="1603"/>
      <c r="H1030" s="131" t="s">
        <v>142</v>
      </c>
      <c r="I1030" s="101">
        <v>123000</v>
      </c>
      <c r="J1030" s="102">
        <v>123095</v>
      </c>
      <c r="K1030" s="101"/>
      <c r="L1030" s="101">
        <v>131773</v>
      </c>
      <c r="M1030" s="10"/>
      <c r="N1030" s="10"/>
      <c r="O1030"/>
      <c r="P1030"/>
    </row>
    <row r="1031" spans="1:16" s="146" customFormat="1" ht="18" x14ac:dyDescent="0.25">
      <c r="A1031" s="519"/>
      <c r="B1031" s="499" t="s">
        <v>123</v>
      </c>
      <c r="C1031" s="499" t="s">
        <v>1386</v>
      </c>
      <c r="D1031" s="1602" t="s">
        <v>143</v>
      </c>
      <c r="E1031" s="1603"/>
      <c r="F1031" s="1603"/>
      <c r="G1031" s="1603"/>
      <c r="H1031" s="131" t="s">
        <v>144</v>
      </c>
      <c r="I1031" s="101">
        <v>20000</v>
      </c>
      <c r="J1031" s="102">
        <v>20000</v>
      </c>
      <c r="K1031" s="101"/>
      <c r="L1031" s="101">
        <v>20000</v>
      </c>
      <c r="M1031" s="10"/>
      <c r="N1031" s="10"/>
      <c r="O1031"/>
      <c r="P1031"/>
    </row>
    <row r="1032" spans="1:16" s="146" customFormat="1" ht="18" x14ac:dyDescent="0.25">
      <c r="A1032" s="519"/>
      <c r="B1032" s="499" t="s">
        <v>123</v>
      </c>
      <c r="C1032" s="499" t="s">
        <v>1386</v>
      </c>
      <c r="D1032" s="1602" t="s">
        <v>145</v>
      </c>
      <c r="E1032" s="1603"/>
      <c r="F1032" s="1603"/>
      <c r="G1032" s="1603"/>
      <c r="H1032" s="131" t="s">
        <v>146</v>
      </c>
      <c r="I1032" s="101">
        <v>20000</v>
      </c>
      <c r="J1032" s="102">
        <v>20000</v>
      </c>
      <c r="K1032" s="101"/>
      <c r="L1032" s="101">
        <v>20000</v>
      </c>
      <c r="M1032" s="10"/>
      <c r="N1032" s="10"/>
      <c r="O1032"/>
      <c r="P1032"/>
    </row>
    <row r="1033" spans="1:16" s="146" customFormat="1" ht="18" x14ac:dyDescent="0.25">
      <c r="A1033" s="519"/>
      <c r="B1033" s="499" t="s">
        <v>123</v>
      </c>
      <c r="C1033" s="499" t="s">
        <v>1386</v>
      </c>
      <c r="D1033" s="536" t="s">
        <v>231</v>
      </c>
      <c r="E1033" s="491"/>
      <c r="F1033" s="492"/>
      <c r="G1033" s="492"/>
      <c r="H1033" s="131" t="s">
        <v>232</v>
      </c>
      <c r="I1033" s="101"/>
      <c r="J1033" s="102"/>
      <c r="K1033" s="101"/>
      <c r="L1033" s="101">
        <v>5000</v>
      </c>
      <c r="M1033" s="10"/>
      <c r="N1033" s="10"/>
      <c r="O1033"/>
      <c r="P1033"/>
    </row>
    <row r="1034" spans="1:16" s="146" customFormat="1" ht="18" x14ac:dyDescent="0.25">
      <c r="A1034" s="519"/>
      <c r="B1034" s="499" t="s">
        <v>123</v>
      </c>
      <c r="C1034" s="499" t="s">
        <v>1386</v>
      </c>
      <c r="D1034" s="536" t="s">
        <v>147</v>
      </c>
      <c r="E1034" s="491"/>
      <c r="F1034" s="492"/>
      <c r="G1034" s="492"/>
      <c r="H1034" s="131" t="s">
        <v>148</v>
      </c>
      <c r="I1034" s="101"/>
      <c r="J1034" s="102"/>
      <c r="K1034" s="101"/>
      <c r="L1034" s="101">
        <v>12000</v>
      </c>
      <c r="M1034" s="10"/>
      <c r="N1034" s="10"/>
      <c r="O1034"/>
      <c r="P1034"/>
    </row>
    <row r="1035" spans="1:16" s="146" customFormat="1" ht="18" x14ac:dyDescent="0.25">
      <c r="A1035" s="519"/>
      <c r="B1035" s="499" t="s">
        <v>123</v>
      </c>
      <c r="C1035" s="499" t="s">
        <v>1386</v>
      </c>
      <c r="D1035" s="1602" t="s">
        <v>151</v>
      </c>
      <c r="E1035" s="1603"/>
      <c r="F1035" s="1603"/>
      <c r="G1035" s="1603"/>
      <c r="H1035" s="131" t="s">
        <v>148</v>
      </c>
      <c r="I1035" s="101">
        <v>40000</v>
      </c>
      <c r="J1035" s="102">
        <v>0</v>
      </c>
      <c r="K1035" s="101"/>
      <c r="L1035" s="101"/>
      <c r="M1035" s="10"/>
      <c r="N1035" s="10"/>
      <c r="O1035"/>
      <c r="P1035"/>
    </row>
    <row r="1036" spans="1:16" s="146" customFormat="1" ht="18" x14ac:dyDescent="0.25">
      <c r="A1036" s="519"/>
      <c r="B1036" s="499" t="s">
        <v>123</v>
      </c>
      <c r="C1036" s="499" t="s">
        <v>1386</v>
      </c>
      <c r="D1036" s="1602" t="s">
        <v>149</v>
      </c>
      <c r="E1036" s="1603"/>
      <c r="F1036" s="1603"/>
      <c r="G1036" s="1603"/>
      <c r="H1036" s="131" t="s">
        <v>136</v>
      </c>
      <c r="I1036" s="101">
        <v>26100</v>
      </c>
      <c r="J1036" s="102"/>
      <c r="K1036" s="101"/>
      <c r="L1036" s="101"/>
      <c r="M1036" s="10"/>
      <c r="N1036" s="10"/>
      <c r="O1036"/>
      <c r="P1036"/>
    </row>
    <row r="1037" spans="1:16" s="146" customFormat="1" ht="18" x14ac:dyDescent="0.25">
      <c r="A1037" s="519"/>
      <c r="B1037" s="499" t="s">
        <v>123</v>
      </c>
      <c r="C1037" s="499" t="s">
        <v>1386</v>
      </c>
      <c r="D1037" s="1611" t="s">
        <v>152</v>
      </c>
      <c r="E1037" s="1611"/>
      <c r="F1037" s="1611"/>
      <c r="G1037" s="1602"/>
      <c r="H1037" s="131"/>
      <c r="I1037" s="101">
        <v>0</v>
      </c>
      <c r="J1037" s="102">
        <v>54711.14</v>
      </c>
      <c r="K1037" s="101"/>
      <c r="L1037" s="101"/>
      <c r="M1037" s="10"/>
      <c r="N1037" s="10"/>
      <c r="O1037"/>
      <c r="P1037"/>
    </row>
    <row r="1038" spans="1:16" s="146" customFormat="1" ht="18" x14ac:dyDescent="0.25">
      <c r="A1038" s="519"/>
      <c r="B1038" s="499" t="s">
        <v>123</v>
      </c>
      <c r="C1038" s="499" t="s">
        <v>1386</v>
      </c>
      <c r="D1038" s="1602" t="s">
        <v>153</v>
      </c>
      <c r="E1038" s="1603"/>
      <c r="F1038" s="1603"/>
      <c r="G1038" s="1603"/>
      <c r="H1038" s="131" t="s">
        <v>154</v>
      </c>
      <c r="I1038" s="101">
        <v>177120</v>
      </c>
      <c r="J1038" s="102">
        <v>177256.8</v>
      </c>
      <c r="K1038" s="101">
        <v>106349.12</v>
      </c>
      <c r="L1038" s="101">
        <v>188246.06</v>
      </c>
      <c r="M1038" s="10"/>
      <c r="N1038" s="10"/>
      <c r="O1038"/>
      <c r="P1038"/>
    </row>
    <row r="1039" spans="1:16" s="146" customFormat="1" ht="18" x14ac:dyDescent="0.25">
      <c r="A1039" s="519"/>
      <c r="B1039" s="499" t="s">
        <v>123</v>
      </c>
      <c r="C1039" s="499" t="s">
        <v>1386</v>
      </c>
      <c r="D1039" s="1602" t="s">
        <v>155</v>
      </c>
      <c r="E1039" s="1603"/>
      <c r="F1039" s="1603"/>
      <c r="G1039" s="1603"/>
      <c r="H1039" s="131" t="s">
        <v>156</v>
      </c>
      <c r="I1039" s="101">
        <v>4800</v>
      </c>
      <c r="J1039" s="102">
        <v>4800</v>
      </c>
      <c r="K1039" s="101">
        <v>2800</v>
      </c>
      <c r="L1039" s="101">
        <v>4800</v>
      </c>
      <c r="M1039" s="10"/>
      <c r="N1039" s="10"/>
      <c r="O1039"/>
      <c r="P1039"/>
    </row>
    <row r="1040" spans="1:16" s="146" customFormat="1" ht="18" x14ac:dyDescent="0.25">
      <c r="A1040" s="519"/>
      <c r="B1040" s="499" t="s">
        <v>123</v>
      </c>
      <c r="C1040" s="499" t="s">
        <v>1386</v>
      </c>
      <c r="D1040" s="1602" t="s">
        <v>157</v>
      </c>
      <c r="E1040" s="1603"/>
      <c r="F1040" s="1603"/>
      <c r="G1040" s="1603"/>
      <c r="H1040" s="131" t="s">
        <v>158</v>
      </c>
      <c r="I1040" s="101">
        <v>18514.7</v>
      </c>
      <c r="J1040" s="102">
        <v>23720.34</v>
      </c>
      <c r="K1040" s="101">
        <v>11014.5</v>
      </c>
      <c r="L1040" s="101">
        <v>61199.73</v>
      </c>
      <c r="M1040" s="10"/>
      <c r="N1040" s="10"/>
      <c r="O1040"/>
      <c r="P1040"/>
    </row>
    <row r="1041" spans="1:16" s="146" customFormat="1" ht="18" x14ac:dyDescent="0.25">
      <c r="A1041" s="519"/>
      <c r="B1041" s="499" t="s">
        <v>123</v>
      </c>
      <c r="C1041" s="499" t="s">
        <v>1386</v>
      </c>
      <c r="D1041" s="1602" t="s">
        <v>159</v>
      </c>
      <c r="E1041" s="1603"/>
      <c r="F1041" s="1603"/>
      <c r="G1041" s="1603"/>
      <c r="H1041" s="131" t="s">
        <v>160</v>
      </c>
      <c r="I1041" s="101">
        <v>4800</v>
      </c>
      <c r="J1041" s="102">
        <v>4800</v>
      </c>
      <c r="K1041" s="101">
        <v>2800</v>
      </c>
      <c r="L1041" s="101">
        <v>4800</v>
      </c>
      <c r="M1041" s="10"/>
      <c r="N1041" s="10"/>
      <c r="O1041"/>
      <c r="P1041"/>
    </row>
    <row r="1042" spans="1:16" s="229" customFormat="1" ht="18" customHeight="1" x14ac:dyDescent="0.25">
      <c r="A1042" s="154"/>
      <c r="B1042" s="499" t="s">
        <v>163</v>
      </c>
      <c r="C1042" s="499" t="s">
        <v>1386</v>
      </c>
      <c r="D1042" s="44" t="s">
        <v>353</v>
      </c>
      <c r="E1042" s="125"/>
      <c r="F1042" s="125"/>
      <c r="G1042" s="134"/>
      <c r="H1042" s="131" t="s">
        <v>165</v>
      </c>
      <c r="I1042" s="101">
        <v>750</v>
      </c>
      <c r="J1042" s="102">
        <v>20000</v>
      </c>
      <c r="K1042" s="101"/>
      <c r="L1042" s="101">
        <v>15000</v>
      </c>
      <c r="M1042" s="207"/>
      <c r="N1042" s="207"/>
      <c r="O1042" s="212"/>
      <c r="P1042" s="212"/>
    </row>
    <row r="1043" spans="1:16" s="229" customFormat="1" ht="18" customHeight="1" x14ac:dyDescent="0.25">
      <c r="A1043" s="154"/>
      <c r="B1043" s="499" t="s">
        <v>163</v>
      </c>
      <c r="C1043" s="499" t="s">
        <v>1386</v>
      </c>
      <c r="D1043" s="44" t="s">
        <v>168</v>
      </c>
      <c r="E1043" s="125"/>
      <c r="F1043" s="125"/>
      <c r="G1043" s="134"/>
      <c r="H1043" s="131" t="s">
        <v>169</v>
      </c>
      <c r="I1043" s="101">
        <v>123140</v>
      </c>
      <c r="J1043" s="102">
        <v>143239</v>
      </c>
      <c r="K1043" s="101">
        <v>113528</v>
      </c>
      <c r="L1043" s="101">
        <v>199035</v>
      </c>
      <c r="M1043" s="207"/>
      <c r="N1043" s="207"/>
      <c r="O1043" s="212"/>
      <c r="P1043" s="212"/>
    </row>
    <row r="1044" spans="1:16" s="229" customFormat="1" ht="18" customHeight="1" x14ac:dyDescent="0.25">
      <c r="A1044" s="154"/>
      <c r="B1044" s="499" t="s">
        <v>163</v>
      </c>
      <c r="C1044" s="499" t="s">
        <v>1386</v>
      </c>
      <c r="D1044" s="44" t="s">
        <v>172</v>
      </c>
      <c r="E1044" s="125"/>
      <c r="F1044" s="125"/>
      <c r="G1044" s="134"/>
      <c r="H1044" s="131" t="s">
        <v>173</v>
      </c>
      <c r="I1044" s="101"/>
      <c r="J1044" s="102">
        <v>0</v>
      </c>
      <c r="K1044" s="101"/>
      <c r="L1044" s="101"/>
      <c r="M1044" s="207"/>
      <c r="N1044" s="207"/>
      <c r="O1044" s="212"/>
      <c r="P1044" s="212"/>
    </row>
    <row r="1045" spans="1:16" s="229" customFormat="1" ht="18" customHeight="1" x14ac:dyDescent="0.25">
      <c r="A1045" s="154"/>
      <c r="B1045" s="499" t="s">
        <v>163</v>
      </c>
      <c r="C1045" s="499" t="s">
        <v>1386</v>
      </c>
      <c r="D1045" s="44" t="s">
        <v>174</v>
      </c>
      <c r="E1045" s="125"/>
      <c r="F1045" s="125"/>
      <c r="G1045" s="134"/>
      <c r="H1045" s="131" t="s">
        <v>171</v>
      </c>
      <c r="I1045" s="101">
        <v>4270</v>
      </c>
      <c r="J1045" s="102">
        <v>4582</v>
      </c>
      <c r="K1045" s="101"/>
      <c r="L1045" s="101"/>
      <c r="M1045" s="207"/>
      <c r="N1045" s="207"/>
      <c r="O1045" s="212"/>
      <c r="P1045" s="212"/>
    </row>
    <row r="1046" spans="1:16" s="229" customFormat="1" ht="18" customHeight="1" x14ac:dyDescent="0.25">
      <c r="A1046" s="154"/>
      <c r="B1046" s="499" t="s">
        <v>163</v>
      </c>
      <c r="C1046" s="499" t="s">
        <v>1386</v>
      </c>
      <c r="D1046" s="44" t="s">
        <v>456</v>
      </c>
      <c r="E1046" s="125"/>
      <c r="F1046" s="125"/>
      <c r="G1046" s="134"/>
      <c r="H1046" s="131" t="s">
        <v>171</v>
      </c>
      <c r="I1046" s="101"/>
      <c r="J1046" s="102">
        <v>6000</v>
      </c>
      <c r="K1046" s="101"/>
      <c r="L1046" s="101"/>
      <c r="M1046" s="207"/>
      <c r="N1046" s="207"/>
      <c r="O1046" s="212"/>
      <c r="P1046" s="212"/>
    </row>
    <row r="1047" spans="1:16" s="229" customFormat="1" ht="18" customHeight="1" x14ac:dyDescent="0.25">
      <c r="A1047" s="154"/>
      <c r="B1047" s="499" t="s">
        <v>163</v>
      </c>
      <c r="C1047" s="499" t="s">
        <v>1386</v>
      </c>
      <c r="D1047" s="44" t="s">
        <v>213</v>
      </c>
      <c r="E1047" s="125"/>
      <c r="F1047" s="125"/>
      <c r="G1047" s="134"/>
      <c r="H1047" s="131" t="s">
        <v>171</v>
      </c>
      <c r="I1047" s="101"/>
      <c r="J1047" s="102">
        <v>12000</v>
      </c>
      <c r="K1047" s="101"/>
      <c r="L1047" s="101">
        <v>110974</v>
      </c>
      <c r="M1047" s="207"/>
      <c r="N1047" s="207"/>
      <c r="O1047" s="212"/>
      <c r="P1047" s="212"/>
    </row>
    <row r="1048" spans="1:16" s="229" customFormat="1" ht="18" customHeight="1" x14ac:dyDescent="0.25">
      <c r="A1048" s="154"/>
      <c r="B1048" s="499" t="s">
        <v>163</v>
      </c>
      <c r="C1048" s="499" t="s">
        <v>1386</v>
      </c>
      <c r="D1048" s="44" t="s">
        <v>176</v>
      </c>
      <c r="E1048" s="125"/>
      <c r="F1048" s="125"/>
      <c r="G1048" s="125"/>
      <c r="H1048" s="131" t="s">
        <v>177</v>
      </c>
      <c r="I1048" s="101"/>
      <c r="J1048" s="102">
        <v>10000</v>
      </c>
      <c r="K1048" s="101"/>
      <c r="L1048" s="101">
        <v>10000</v>
      </c>
      <c r="M1048" s="207"/>
      <c r="N1048" s="207"/>
      <c r="O1048" s="212"/>
      <c r="P1048" s="212"/>
    </row>
    <row r="1049" spans="1:16" s="229" customFormat="1" ht="18" customHeight="1" x14ac:dyDescent="0.25">
      <c r="A1049" s="154"/>
      <c r="B1049" s="499" t="s">
        <v>163</v>
      </c>
      <c r="C1049" s="499" t="s">
        <v>1386</v>
      </c>
      <c r="D1049" s="44" t="s">
        <v>178</v>
      </c>
      <c r="E1049" s="125"/>
      <c r="F1049" s="125"/>
      <c r="G1049" s="125"/>
      <c r="H1049" s="131" t="s">
        <v>179</v>
      </c>
      <c r="I1049" s="101"/>
      <c r="J1049" s="102"/>
      <c r="K1049" s="101"/>
      <c r="L1049" s="101">
        <v>42000</v>
      </c>
      <c r="M1049" s="207"/>
      <c r="N1049" s="207"/>
      <c r="O1049" s="212"/>
      <c r="P1049" s="212"/>
    </row>
    <row r="1050" spans="1:16" s="229" customFormat="1" ht="18" customHeight="1" x14ac:dyDescent="0.25">
      <c r="A1050" s="154"/>
      <c r="B1050" s="499" t="s">
        <v>163</v>
      </c>
      <c r="C1050" s="499" t="s">
        <v>1386</v>
      </c>
      <c r="D1050" s="44" t="s">
        <v>181</v>
      </c>
      <c r="E1050" s="125"/>
      <c r="F1050" s="125"/>
      <c r="G1050" s="125"/>
      <c r="H1050" s="131" t="s">
        <v>179</v>
      </c>
      <c r="I1050" s="101">
        <v>42000</v>
      </c>
      <c r="J1050" s="102">
        <v>42000</v>
      </c>
      <c r="K1050" s="101">
        <v>21000</v>
      </c>
      <c r="L1050" s="101"/>
      <c r="M1050" s="207"/>
      <c r="N1050" s="207"/>
      <c r="O1050" s="212"/>
      <c r="P1050" s="212"/>
    </row>
    <row r="1051" spans="1:16" s="229" customFormat="1" ht="18" customHeight="1" x14ac:dyDescent="0.25">
      <c r="A1051" s="154"/>
      <c r="B1051" s="499" t="s">
        <v>163</v>
      </c>
      <c r="C1051" s="499" t="s">
        <v>1386</v>
      </c>
      <c r="D1051" s="44" t="s">
        <v>182</v>
      </c>
      <c r="E1051" s="125"/>
      <c r="F1051" s="125"/>
      <c r="G1051" s="134"/>
      <c r="H1051" s="131" t="s">
        <v>183</v>
      </c>
      <c r="I1051" s="101">
        <v>24189</v>
      </c>
      <c r="J1051" s="102">
        <v>27000</v>
      </c>
      <c r="K1051" s="101">
        <v>15239.07</v>
      </c>
      <c r="L1051" s="102">
        <v>54000</v>
      </c>
      <c r="M1051" s="207"/>
      <c r="N1051" s="207"/>
      <c r="O1051" s="212"/>
      <c r="P1051" s="212"/>
    </row>
    <row r="1052" spans="1:16" s="229" customFormat="1" ht="18" customHeight="1" x14ac:dyDescent="0.25">
      <c r="A1052" s="154"/>
      <c r="B1052" s="499" t="s">
        <v>163</v>
      </c>
      <c r="C1052" s="499" t="s">
        <v>1386</v>
      </c>
      <c r="D1052" s="44" t="s">
        <v>186</v>
      </c>
      <c r="E1052" s="125"/>
      <c r="F1052" s="125"/>
      <c r="G1052" s="134"/>
      <c r="H1052" s="131" t="s">
        <v>187</v>
      </c>
      <c r="I1052" s="101"/>
      <c r="J1052" s="102">
        <v>10000</v>
      </c>
      <c r="K1052" s="101"/>
      <c r="L1052" s="101">
        <v>10000</v>
      </c>
      <c r="M1052" s="207"/>
      <c r="N1052" s="207"/>
      <c r="O1052" s="212"/>
      <c r="P1052" s="212"/>
    </row>
    <row r="1053" spans="1:16" s="229" customFormat="1" ht="18" customHeight="1" x14ac:dyDescent="0.25">
      <c r="A1053" s="154"/>
      <c r="B1053" s="499" t="s">
        <v>163</v>
      </c>
      <c r="C1053" s="499" t="s">
        <v>1386</v>
      </c>
      <c r="D1053" s="44" t="s">
        <v>457</v>
      </c>
      <c r="E1053" s="125"/>
      <c r="F1053" s="125"/>
      <c r="G1053" s="134"/>
      <c r="H1053" s="131" t="s">
        <v>237</v>
      </c>
      <c r="I1053" s="101"/>
      <c r="J1053" s="102">
        <v>6000</v>
      </c>
      <c r="K1053" s="101"/>
      <c r="L1053" s="101"/>
      <c r="M1053" s="207"/>
      <c r="N1053" s="207"/>
      <c r="O1053" s="212"/>
      <c r="P1053" s="212"/>
    </row>
    <row r="1054" spans="1:16" s="229" customFormat="1" ht="18" customHeight="1" x14ac:dyDescent="0.25">
      <c r="A1054" s="154"/>
      <c r="B1054" s="499" t="s">
        <v>163</v>
      </c>
      <c r="C1054" s="499" t="s">
        <v>1386</v>
      </c>
      <c r="D1054" s="44" t="s">
        <v>198</v>
      </c>
      <c r="E1054" s="125"/>
      <c r="F1054" s="125"/>
      <c r="G1054" s="134"/>
      <c r="H1054" s="131" t="s">
        <v>199</v>
      </c>
      <c r="I1054" s="105">
        <v>125475.13</v>
      </c>
      <c r="J1054" s="106">
        <v>313968.96000000002</v>
      </c>
      <c r="K1054" s="105">
        <v>62236.942999999999</v>
      </c>
      <c r="L1054" s="105">
        <v>319968.96000000002</v>
      </c>
      <c r="M1054" s="207"/>
      <c r="N1054" s="207"/>
      <c r="O1054" s="212"/>
      <c r="P1054" s="212"/>
    </row>
    <row r="1055" spans="1:16" s="146" customFormat="1" ht="18" customHeight="1" x14ac:dyDescent="0.25">
      <c r="A1055" s="495"/>
      <c r="B1055" s="499" t="s">
        <v>201</v>
      </c>
      <c r="C1055" s="499" t="s">
        <v>1386</v>
      </c>
      <c r="D1055" s="536" t="s">
        <v>263</v>
      </c>
      <c r="E1055" s="513"/>
      <c r="F1055" s="513"/>
      <c r="G1055" s="513"/>
      <c r="H1055" s="168"/>
      <c r="I1055" s="102"/>
      <c r="J1055" s="102"/>
      <c r="K1055" s="102"/>
      <c r="L1055" s="145">
        <v>160000</v>
      </c>
      <c r="M1055" s="10"/>
      <c r="N1055" s="10">
        <f>80000*2</f>
        <v>160000</v>
      </c>
      <c r="O1055"/>
      <c r="P1055"/>
    </row>
    <row r="1056" spans="1:16" s="146" customFormat="1" ht="18" customHeight="1" x14ac:dyDescent="0.25">
      <c r="A1056" s="495"/>
      <c r="B1056" s="499" t="s">
        <v>201</v>
      </c>
      <c r="C1056" s="499" t="s">
        <v>1386</v>
      </c>
      <c r="D1056" s="536" t="s">
        <v>458</v>
      </c>
      <c r="E1056" s="513"/>
      <c r="F1056" s="513"/>
      <c r="G1056" s="513"/>
      <c r="H1056" s="168"/>
      <c r="I1056" s="102"/>
      <c r="J1056" s="102"/>
      <c r="K1056" s="102"/>
      <c r="L1056" s="102">
        <v>40000</v>
      </c>
      <c r="M1056" s="10"/>
      <c r="N1056" s="10"/>
      <c r="O1056"/>
      <c r="P1056"/>
    </row>
    <row r="1057" spans="1:16" s="146" customFormat="1" ht="18" customHeight="1" x14ac:dyDescent="0.25">
      <c r="A1057" s="495"/>
      <c r="B1057" s="499" t="s">
        <v>201</v>
      </c>
      <c r="C1057" s="499" t="s">
        <v>1386</v>
      </c>
      <c r="D1057" s="536" t="s">
        <v>459</v>
      </c>
      <c r="E1057" s="513"/>
      <c r="F1057" s="513"/>
      <c r="G1057" s="513"/>
      <c r="H1057" s="168"/>
      <c r="I1057" s="102"/>
      <c r="J1057" s="102"/>
      <c r="K1057" s="102"/>
      <c r="L1057" s="102">
        <v>80000</v>
      </c>
      <c r="M1057" s="10"/>
      <c r="N1057" s="10"/>
      <c r="O1057"/>
      <c r="P1057"/>
    </row>
    <row r="1058" spans="1:16" s="146" customFormat="1" ht="18" x14ac:dyDescent="0.25">
      <c r="A1058" s="495"/>
      <c r="B1058" s="499" t="s">
        <v>201</v>
      </c>
      <c r="C1058" s="499" t="s">
        <v>1386</v>
      </c>
      <c r="D1058" s="1602" t="s">
        <v>460</v>
      </c>
      <c r="E1058" s="1603"/>
      <c r="F1058" s="1603"/>
      <c r="G1058" s="1603"/>
      <c r="H1058" s="97"/>
      <c r="I1058" s="101"/>
      <c r="J1058" s="102"/>
      <c r="K1058" s="101"/>
      <c r="L1058" s="101"/>
      <c r="M1058" s="10"/>
      <c r="N1058" s="10"/>
      <c r="O1058"/>
      <c r="P1058"/>
    </row>
    <row r="1059" spans="1:16" s="146" customFormat="1" ht="18" x14ac:dyDescent="0.25">
      <c r="A1059" s="495"/>
      <c r="B1059" s="499" t="s">
        <v>201</v>
      </c>
      <c r="C1059" s="499" t="s">
        <v>1386</v>
      </c>
      <c r="D1059" s="1602" t="s">
        <v>461</v>
      </c>
      <c r="E1059" s="1603"/>
      <c r="F1059" s="1603"/>
      <c r="G1059" s="1603"/>
      <c r="H1059" s="97"/>
      <c r="I1059" s="101"/>
      <c r="J1059" s="102">
        <v>30000</v>
      </c>
      <c r="K1059" s="101"/>
      <c r="L1059" s="101"/>
      <c r="M1059" s="10"/>
      <c r="N1059" s="10"/>
      <c r="O1059"/>
      <c r="P1059"/>
    </row>
    <row r="1060" spans="1:16" s="146" customFormat="1" ht="18" x14ac:dyDescent="0.25">
      <c r="A1060" s="495"/>
      <c r="B1060" s="499" t="s">
        <v>201</v>
      </c>
      <c r="C1060" s="499" t="s">
        <v>1386</v>
      </c>
      <c r="D1060" s="1602" t="s">
        <v>462</v>
      </c>
      <c r="E1060" s="1603"/>
      <c r="F1060" s="1603"/>
      <c r="G1060" s="1603"/>
      <c r="H1060" s="97"/>
      <c r="I1060" s="105"/>
      <c r="J1060" s="106">
        <v>25000</v>
      </c>
      <c r="K1060" s="105"/>
      <c r="L1060" s="105"/>
      <c r="M1060" s="10"/>
      <c r="N1060" s="10"/>
      <c r="O1060"/>
      <c r="P1060"/>
    </row>
    <row r="1061" spans="1:16" s="146" customFormat="1" ht="18" x14ac:dyDescent="0.25">
      <c r="A1061" s="519"/>
      <c r="B1061" s="499" t="s">
        <v>123</v>
      </c>
      <c r="C1061" s="499" t="s">
        <v>1387</v>
      </c>
      <c r="D1061" s="1602" t="s">
        <v>124</v>
      </c>
      <c r="E1061" s="1603"/>
      <c r="F1061" s="1603"/>
      <c r="G1061" s="1603"/>
      <c r="H1061" s="131" t="s">
        <v>125</v>
      </c>
      <c r="I1061" s="101">
        <v>8637059.4000000004</v>
      </c>
      <c r="J1061" s="102">
        <v>11490024</v>
      </c>
      <c r="K1061" s="101">
        <v>5343711.7699999996</v>
      </c>
      <c r="L1061" s="101">
        <v>12579936</v>
      </c>
      <c r="M1061" s="10"/>
      <c r="N1061" s="10"/>
      <c r="O1061"/>
      <c r="P1061"/>
    </row>
    <row r="1062" spans="1:16" s="146" customFormat="1" ht="18" x14ac:dyDescent="0.25">
      <c r="A1062" s="519"/>
      <c r="B1062" s="499" t="s">
        <v>123</v>
      </c>
      <c r="C1062" s="499" t="s">
        <v>1387</v>
      </c>
      <c r="D1062" s="1602" t="s">
        <v>126</v>
      </c>
      <c r="E1062" s="1603"/>
      <c r="F1062" s="1603"/>
      <c r="G1062" s="1603"/>
      <c r="H1062" s="131" t="s">
        <v>127</v>
      </c>
      <c r="I1062" s="101"/>
      <c r="J1062" s="102">
        <v>312456</v>
      </c>
      <c r="K1062" s="101"/>
      <c r="L1062" s="101">
        <v>339000</v>
      </c>
      <c r="M1062" s="10"/>
      <c r="N1062" s="10"/>
      <c r="O1062"/>
      <c r="P1062"/>
    </row>
    <row r="1063" spans="1:16" s="146" customFormat="1" ht="18" x14ac:dyDescent="0.25">
      <c r="A1063" s="519"/>
      <c r="B1063" s="499" t="s">
        <v>123</v>
      </c>
      <c r="C1063" s="499" t="s">
        <v>1387</v>
      </c>
      <c r="D1063" s="1602" t="s">
        <v>128</v>
      </c>
      <c r="E1063" s="1603"/>
      <c r="F1063" s="1603"/>
      <c r="G1063" s="1603"/>
      <c r="H1063" s="132" t="s">
        <v>125</v>
      </c>
      <c r="I1063" s="101">
        <v>0</v>
      </c>
      <c r="J1063" s="102">
        <v>29481</v>
      </c>
      <c r="K1063" s="101"/>
      <c r="L1063" s="101">
        <v>24171.919999999998</v>
      </c>
      <c r="M1063" s="10"/>
      <c r="N1063" s="10"/>
      <c r="O1063"/>
      <c r="P1063"/>
    </row>
    <row r="1064" spans="1:16" s="146" customFormat="1" ht="18" x14ac:dyDescent="0.25">
      <c r="A1064" s="519"/>
      <c r="B1064" s="499" t="s">
        <v>123</v>
      </c>
      <c r="C1064" s="499" t="s">
        <v>1387</v>
      </c>
      <c r="D1064" s="1602" t="s">
        <v>129</v>
      </c>
      <c r="E1064" s="1603"/>
      <c r="F1064" s="1603"/>
      <c r="G1064" s="1603"/>
      <c r="H1064" s="132" t="s">
        <v>130</v>
      </c>
      <c r="I1064" s="101">
        <v>671817.99</v>
      </c>
      <c r="J1064" s="102">
        <v>864000</v>
      </c>
      <c r="K1064" s="101">
        <v>400909.09</v>
      </c>
      <c r="L1064" s="101">
        <v>864000</v>
      </c>
      <c r="M1064" s="10"/>
      <c r="N1064" s="10">
        <f>48000+816000</f>
        <v>864000</v>
      </c>
      <c r="O1064"/>
      <c r="P1064"/>
    </row>
    <row r="1065" spans="1:16" s="146" customFormat="1" ht="18" x14ac:dyDescent="0.25">
      <c r="A1065" s="519"/>
      <c r="B1065" s="499" t="s">
        <v>123</v>
      </c>
      <c r="C1065" s="499" t="s">
        <v>1387</v>
      </c>
      <c r="D1065" s="1602" t="s">
        <v>131</v>
      </c>
      <c r="E1065" s="1603"/>
      <c r="F1065" s="1603"/>
      <c r="G1065" s="1603"/>
      <c r="H1065" s="131" t="s">
        <v>132</v>
      </c>
      <c r="I1065" s="101">
        <v>72000</v>
      </c>
      <c r="J1065" s="102">
        <v>85200</v>
      </c>
      <c r="K1065" s="101">
        <v>37500</v>
      </c>
      <c r="L1065" s="101">
        <v>85200</v>
      </c>
      <c r="M1065" s="10"/>
      <c r="N1065" s="10"/>
      <c r="O1065"/>
      <c r="P1065"/>
    </row>
    <row r="1066" spans="1:16" s="146" customFormat="1" ht="18" x14ac:dyDescent="0.25">
      <c r="A1066" s="519"/>
      <c r="B1066" s="499" t="s">
        <v>123</v>
      </c>
      <c r="C1066" s="499" t="s">
        <v>1387</v>
      </c>
      <c r="D1066" s="1602" t="s">
        <v>133</v>
      </c>
      <c r="E1066" s="1603"/>
      <c r="F1066" s="1603"/>
      <c r="G1066" s="1603"/>
      <c r="H1066" s="131" t="s">
        <v>134</v>
      </c>
      <c r="I1066" s="101">
        <v>72000</v>
      </c>
      <c r="J1066" s="102">
        <v>85200</v>
      </c>
      <c r="K1066" s="101">
        <v>37500</v>
      </c>
      <c r="L1066" s="101">
        <v>85200</v>
      </c>
      <c r="M1066" s="10"/>
      <c r="N1066" s="10"/>
      <c r="O1066"/>
      <c r="P1066"/>
    </row>
    <row r="1067" spans="1:16" s="146" customFormat="1" ht="18" x14ac:dyDescent="0.25">
      <c r="A1067" s="519"/>
      <c r="B1067" s="499" t="s">
        <v>123</v>
      </c>
      <c r="C1067" s="499" t="s">
        <v>1387</v>
      </c>
      <c r="D1067" s="1602" t="s">
        <v>135</v>
      </c>
      <c r="E1067" s="1603"/>
      <c r="F1067" s="1603"/>
      <c r="G1067" s="1603"/>
      <c r="H1067" s="131" t="s">
        <v>136</v>
      </c>
      <c r="I1067" s="101">
        <v>630991.15</v>
      </c>
      <c r="J1067" s="102"/>
      <c r="K1067" s="101">
        <v>56896.5</v>
      </c>
      <c r="L1067" s="101">
        <v>700000</v>
      </c>
      <c r="M1067" s="10"/>
      <c r="N1067" s="10"/>
      <c r="O1067"/>
      <c r="P1067"/>
    </row>
    <row r="1068" spans="1:16" s="146" customFormat="1" ht="18" x14ac:dyDescent="0.25">
      <c r="A1068" s="519"/>
      <c r="B1068" s="499" t="s">
        <v>123</v>
      </c>
      <c r="C1068" s="499" t="s">
        <v>1387</v>
      </c>
      <c r="D1068" s="1602" t="s">
        <v>137</v>
      </c>
      <c r="E1068" s="1603"/>
      <c r="F1068" s="1603"/>
      <c r="G1068" s="1603"/>
      <c r="H1068" s="131" t="s">
        <v>138</v>
      </c>
      <c r="I1068" s="101">
        <v>168000</v>
      </c>
      <c r="J1068" s="102">
        <v>216000</v>
      </c>
      <c r="K1068" s="101">
        <v>168000</v>
      </c>
      <c r="L1068" s="101">
        <v>216000</v>
      </c>
      <c r="M1068" s="10"/>
      <c r="N1068" s="10">
        <f>204000+12000</f>
        <v>216000</v>
      </c>
      <c r="O1068"/>
      <c r="P1068"/>
    </row>
    <row r="1069" spans="1:16" s="146" customFormat="1" ht="18" customHeight="1" x14ac:dyDescent="0.25">
      <c r="A1069" s="519"/>
      <c r="B1069" s="499" t="s">
        <v>123</v>
      </c>
      <c r="C1069" s="499" t="s">
        <v>1387</v>
      </c>
      <c r="D1069" s="1602" t="s">
        <v>139</v>
      </c>
      <c r="E1069" s="1603"/>
      <c r="F1069" s="1603"/>
      <c r="G1069" s="1603"/>
      <c r="H1069" s="131" t="s">
        <v>140</v>
      </c>
      <c r="I1069" s="101">
        <v>719969</v>
      </c>
      <c r="J1069" s="102">
        <v>985280</v>
      </c>
      <c r="K1069" s="101">
        <v>768580</v>
      </c>
      <c r="L1069" s="101">
        <v>1078936</v>
      </c>
      <c r="M1069" s="10"/>
      <c r="N1069" s="10">
        <f>28250+1050686</f>
        <v>1078936</v>
      </c>
      <c r="O1069"/>
      <c r="P1069"/>
    </row>
    <row r="1070" spans="1:16" s="146" customFormat="1" ht="18" x14ac:dyDescent="0.25">
      <c r="A1070" s="519"/>
      <c r="B1070" s="499" t="s">
        <v>123</v>
      </c>
      <c r="C1070" s="499" t="s">
        <v>1387</v>
      </c>
      <c r="D1070" s="1602" t="s">
        <v>141</v>
      </c>
      <c r="E1070" s="1603"/>
      <c r="F1070" s="1603"/>
      <c r="G1070" s="1603"/>
      <c r="H1070" s="131" t="s">
        <v>142</v>
      </c>
      <c r="I1070" s="101">
        <v>719969</v>
      </c>
      <c r="J1070" s="102">
        <v>986788</v>
      </c>
      <c r="K1070" s="101"/>
      <c r="L1070" s="101">
        <v>1078936</v>
      </c>
      <c r="M1070" s="10"/>
      <c r="N1070" s="10"/>
      <c r="O1070"/>
      <c r="P1070"/>
    </row>
    <row r="1071" spans="1:16" s="146" customFormat="1" ht="18" x14ac:dyDescent="0.25">
      <c r="A1071" s="519"/>
      <c r="B1071" s="499" t="s">
        <v>123</v>
      </c>
      <c r="C1071" s="499" t="s">
        <v>1387</v>
      </c>
      <c r="D1071" s="1602" t="s">
        <v>143</v>
      </c>
      <c r="E1071" s="1603"/>
      <c r="F1071" s="1603"/>
      <c r="G1071" s="1603"/>
      <c r="H1071" s="131" t="s">
        <v>144</v>
      </c>
      <c r="I1071" s="101">
        <v>140000</v>
      </c>
      <c r="J1071" s="102">
        <v>180000</v>
      </c>
      <c r="K1071" s="101"/>
      <c r="L1071" s="101">
        <v>180000</v>
      </c>
      <c r="M1071" s="10"/>
      <c r="N1071" s="10">
        <f>10000+170000</f>
        <v>180000</v>
      </c>
      <c r="O1071"/>
      <c r="P1071"/>
    </row>
    <row r="1072" spans="1:16" s="146" customFormat="1" ht="18" x14ac:dyDescent="0.25">
      <c r="A1072" s="519"/>
      <c r="B1072" s="499" t="s">
        <v>123</v>
      </c>
      <c r="C1072" s="499" t="s">
        <v>1387</v>
      </c>
      <c r="D1072" s="1602" t="s">
        <v>145</v>
      </c>
      <c r="E1072" s="1603"/>
      <c r="F1072" s="1603"/>
      <c r="G1072" s="1603"/>
      <c r="H1072" s="131" t="s">
        <v>146</v>
      </c>
      <c r="I1072" s="101">
        <v>140000</v>
      </c>
      <c r="J1072" s="102">
        <v>180000</v>
      </c>
      <c r="K1072" s="101"/>
      <c r="L1072" s="101">
        <v>180000</v>
      </c>
      <c r="M1072" s="10"/>
      <c r="N1072" s="10"/>
      <c r="O1072"/>
      <c r="P1072"/>
    </row>
    <row r="1073" spans="1:16" s="146" customFormat="1" ht="18" x14ac:dyDescent="0.25">
      <c r="A1073" s="519"/>
      <c r="B1073" s="499" t="s">
        <v>123</v>
      </c>
      <c r="C1073" s="499" t="s">
        <v>1387</v>
      </c>
      <c r="D1073" s="1602" t="s">
        <v>231</v>
      </c>
      <c r="E1073" s="1603"/>
      <c r="F1073" s="1603"/>
      <c r="G1073" s="1603"/>
      <c r="H1073" s="131" t="s">
        <v>232</v>
      </c>
      <c r="I1073" s="101"/>
      <c r="J1073" s="102">
        <v>20000</v>
      </c>
      <c r="K1073" s="101"/>
      <c r="L1073" s="101">
        <v>20000</v>
      </c>
      <c r="M1073" s="10"/>
      <c r="N1073" s="10"/>
      <c r="O1073"/>
      <c r="P1073"/>
    </row>
    <row r="1074" spans="1:16" s="146" customFormat="1" ht="18" x14ac:dyDescent="0.25">
      <c r="A1074" s="519"/>
      <c r="B1074" s="499" t="s">
        <v>123</v>
      </c>
      <c r="C1074" s="499" t="s">
        <v>1387</v>
      </c>
      <c r="D1074" s="536" t="s">
        <v>147</v>
      </c>
      <c r="E1074" s="491"/>
      <c r="F1074" s="492"/>
      <c r="G1074" s="492"/>
      <c r="H1074" s="131" t="s">
        <v>148</v>
      </c>
      <c r="I1074" s="101"/>
      <c r="J1074" s="102"/>
      <c r="K1074" s="101"/>
      <c r="L1074" s="101">
        <v>108000</v>
      </c>
      <c r="M1074" s="10"/>
      <c r="N1074" s="10">
        <f>6000+102000</f>
        <v>108000</v>
      </c>
      <c r="O1074"/>
      <c r="P1074"/>
    </row>
    <row r="1075" spans="1:16" s="146" customFormat="1" ht="18" x14ac:dyDescent="0.25">
      <c r="A1075" s="519"/>
      <c r="B1075" s="499" t="s">
        <v>123</v>
      </c>
      <c r="C1075" s="499" t="s">
        <v>1387</v>
      </c>
      <c r="D1075" s="1611" t="s">
        <v>210</v>
      </c>
      <c r="E1075" s="1620"/>
      <c r="F1075" s="1620"/>
      <c r="G1075" s="1621"/>
      <c r="H1075" s="131" t="s">
        <v>464</v>
      </c>
      <c r="I1075" s="101">
        <v>335350</v>
      </c>
      <c r="J1075" s="102">
        <v>612000</v>
      </c>
      <c r="K1075" s="101">
        <v>118850</v>
      </c>
      <c r="L1075" s="101">
        <v>612000</v>
      </c>
      <c r="M1075" s="10"/>
      <c r="N1075" s="10"/>
      <c r="O1075"/>
      <c r="P1075"/>
    </row>
    <row r="1076" spans="1:16" s="146" customFormat="1" ht="18" x14ac:dyDescent="0.25">
      <c r="A1076" s="519"/>
      <c r="B1076" s="499" t="s">
        <v>123</v>
      </c>
      <c r="C1076" s="499" t="s">
        <v>1387</v>
      </c>
      <c r="D1076" s="1611" t="s">
        <v>211</v>
      </c>
      <c r="E1076" s="1611"/>
      <c r="F1076" s="1611"/>
      <c r="G1076" s="1602"/>
      <c r="H1076" s="131" t="s">
        <v>212</v>
      </c>
      <c r="I1076" s="101">
        <v>46733.08</v>
      </c>
      <c r="J1076" s="102">
        <v>61200</v>
      </c>
      <c r="K1076" s="101">
        <v>16654.900000000001</v>
      </c>
      <c r="L1076" s="101">
        <v>61200</v>
      </c>
      <c r="M1076" s="10"/>
      <c r="N1076" s="10"/>
      <c r="O1076"/>
      <c r="P1076"/>
    </row>
    <row r="1077" spans="1:16" s="146" customFormat="1" ht="18" x14ac:dyDescent="0.25">
      <c r="A1077" s="519"/>
      <c r="B1077" s="499" t="s">
        <v>123</v>
      </c>
      <c r="C1077" s="499" t="s">
        <v>1387</v>
      </c>
      <c r="D1077" s="1611" t="s">
        <v>149</v>
      </c>
      <c r="E1077" s="1611"/>
      <c r="F1077" s="1611"/>
      <c r="G1077" s="1602"/>
      <c r="H1077" s="131" t="s">
        <v>150</v>
      </c>
      <c r="I1077" s="101">
        <v>2069070.65</v>
      </c>
      <c r="J1077" s="102">
        <v>2524277.9700000002</v>
      </c>
      <c r="K1077" s="101">
        <v>871451.5</v>
      </c>
      <c r="L1077" s="101">
        <v>2810470.58</v>
      </c>
      <c r="M1077" s="10"/>
      <c r="N1077" s="10">
        <v>2790615.67</v>
      </c>
      <c r="O1077"/>
      <c r="P1077"/>
    </row>
    <row r="1078" spans="1:16" s="146" customFormat="1" ht="18" x14ac:dyDescent="0.25">
      <c r="A1078" s="519"/>
      <c r="B1078" s="499" t="s">
        <v>123</v>
      </c>
      <c r="C1078" s="499" t="s">
        <v>1387</v>
      </c>
      <c r="D1078" s="1602" t="s">
        <v>151</v>
      </c>
      <c r="E1078" s="1603"/>
      <c r="F1078" s="1603"/>
      <c r="G1078" s="1603"/>
      <c r="H1078" s="131" t="s">
        <v>148</v>
      </c>
      <c r="I1078" s="101">
        <v>280000</v>
      </c>
      <c r="J1078" s="102"/>
      <c r="K1078" s="101"/>
      <c r="L1078" s="101"/>
      <c r="M1078" s="10"/>
      <c r="N1078" s="10"/>
      <c r="O1078"/>
      <c r="P1078"/>
    </row>
    <row r="1079" spans="1:16" s="146" customFormat="1" ht="18" x14ac:dyDescent="0.25">
      <c r="A1079" s="519"/>
      <c r="B1079" s="499" t="s">
        <v>123</v>
      </c>
      <c r="C1079" s="499" t="s">
        <v>1387</v>
      </c>
      <c r="D1079" s="536" t="s">
        <v>465</v>
      </c>
      <c r="E1079" s="499"/>
      <c r="F1079" s="499"/>
      <c r="G1079" s="491"/>
      <c r="H1079" s="131" t="s">
        <v>148</v>
      </c>
      <c r="I1079" s="101">
        <v>176513.75</v>
      </c>
      <c r="J1079" s="102"/>
      <c r="K1079" s="101"/>
      <c r="L1079" s="101"/>
      <c r="M1079" s="10"/>
      <c r="N1079" s="10"/>
      <c r="O1079"/>
      <c r="P1079"/>
    </row>
    <row r="1080" spans="1:16" s="146" customFormat="1" ht="18" x14ac:dyDescent="0.25">
      <c r="A1080" s="519"/>
      <c r="B1080" s="499" t="s">
        <v>123</v>
      </c>
      <c r="C1080" s="499" t="s">
        <v>1387</v>
      </c>
      <c r="D1080" s="1611" t="s">
        <v>152</v>
      </c>
      <c r="E1080" s="1611"/>
      <c r="F1080" s="1611"/>
      <c r="G1080" s="1602"/>
      <c r="H1080" s="97"/>
      <c r="I1080" s="101">
        <v>0</v>
      </c>
      <c r="J1080" s="102">
        <v>910937.39</v>
      </c>
      <c r="K1080" s="101"/>
      <c r="L1080" s="101"/>
      <c r="M1080" s="10"/>
      <c r="N1080" s="10"/>
      <c r="O1080"/>
      <c r="P1080"/>
    </row>
    <row r="1081" spans="1:16" s="146" customFormat="1" ht="18" x14ac:dyDescent="0.25">
      <c r="A1081" s="519"/>
      <c r="B1081" s="499" t="s">
        <v>123</v>
      </c>
      <c r="C1081" s="499" t="s">
        <v>1387</v>
      </c>
      <c r="D1081" s="1602" t="s">
        <v>153</v>
      </c>
      <c r="E1081" s="1603"/>
      <c r="F1081" s="1603"/>
      <c r="G1081" s="1603"/>
      <c r="H1081" s="131" t="s">
        <v>154</v>
      </c>
      <c r="I1081" s="101">
        <v>1036447.13</v>
      </c>
      <c r="J1081" s="102">
        <v>976315.32</v>
      </c>
      <c r="K1081" s="101">
        <v>640802.73</v>
      </c>
      <c r="L1081" s="101">
        <v>1064012.96</v>
      </c>
      <c r="M1081" s="10"/>
      <c r="N1081" s="10">
        <f>40680+1023332.96</f>
        <v>1064012.96</v>
      </c>
      <c r="O1081"/>
      <c r="P1081"/>
    </row>
    <row r="1082" spans="1:16" s="146" customFormat="1" ht="18" x14ac:dyDescent="0.25">
      <c r="A1082" s="519"/>
      <c r="B1082" s="499" t="s">
        <v>123</v>
      </c>
      <c r="C1082" s="499" t="s">
        <v>1387</v>
      </c>
      <c r="D1082" s="1602" t="s">
        <v>155</v>
      </c>
      <c r="E1082" s="1603"/>
      <c r="F1082" s="1603"/>
      <c r="G1082" s="1603"/>
      <c r="H1082" s="131" t="s">
        <v>156</v>
      </c>
      <c r="I1082" s="101">
        <v>33600</v>
      </c>
      <c r="J1082" s="102">
        <v>43200</v>
      </c>
      <c r="K1082" s="101">
        <v>20000</v>
      </c>
      <c r="L1082" s="101">
        <v>43200</v>
      </c>
      <c r="M1082" s="10"/>
      <c r="N1082" s="10">
        <f>40800+2400</f>
        <v>43200</v>
      </c>
      <c r="O1082"/>
      <c r="P1082"/>
    </row>
    <row r="1083" spans="1:16" s="146" customFormat="1" ht="18" x14ac:dyDescent="0.25">
      <c r="A1083" s="519"/>
      <c r="B1083" s="499" t="s">
        <v>123</v>
      </c>
      <c r="C1083" s="499" t="s">
        <v>1387</v>
      </c>
      <c r="D1083" s="1602" t="s">
        <v>157</v>
      </c>
      <c r="E1083" s="1603"/>
      <c r="F1083" s="1603"/>
      <c r="G1083" s="1603"/>
      <c r="H1083" s="131" t="s">
        <v>158</v>
      </c>
      <c r="I1083" s="101">
        <v>124832.06</v>
      </c>
      <c r="J1083" s="102">
        <v>197948.85</v>
      </c>
      <c r="K1083" s="101">
        <v>77183.490000000005</v>
      </c>
      <c r="L1083" s="101">
        <v>503974.24</v>
      </c>
      <c r="M1083" s="10"/>
      <c r="N1083" s="10">
        <f>13620+490354.24</f>
        <v>503974.24</v>
      </c>
      <c r="O1083"/>
      <c r="P1083"/>
    </row>
    <row r="1084" spans="1:16" s="146" customFormat="1" ht="18" x14ac:dyDescent="0.25">
      <c r="A1084" s="519"/>
      <c r="B1084" s="499" t="s">
        <v>123</v>
      </c>
      <c r="C1084" s="499" t="s">
        <v>1387</v>
      </c>
      <c r="D1084" s="1602" t="s">
        <v>159</v>
      </c>
      <c r="E1084" s="1603"/>
      <c r="F1084" s="1603"/>
      <c r="G1084" s="1603"/>
      <c r="H1084" s="131" t="s">
        <v>160</v>
      </c>
      <c r="I1084" s="105">
        <v>33600</v>
      </c>
      <c r="J1084" s="106">
        <v>43200</v>
      </c>
      <c r="K1084" s="105">
        <v>20000</v>
      </c>
      <c r="L1084" s="105">
        <v>43200</v>
      </c>
      <c r="M1084" s="10"/>
      <c r="N1084" s="10">
        <f>40800+10800</f>
        <v>51600</v>
      </c>
      <c r="O1084"/>
      <c r="P1084"/>
    </row>
    <row r="1085" spans="1:16" s="212" customFormat="1" ht="18" customHeight="1" x14ac:dyDescent="0.25">
      <c r="A1085" s="154"/>
      <c r="B1085" s="499" t="s">
        <v>163</v>
      </c>
      <c r="C1085" s="499" t="s">
        <v>1387</v>
      </c>
      <c r="D1085" s="44" t="s">
        <v>353</v>
      </c>
      <c r="E1085" s="125"/>
      <c r="F1085" s="125"/>
      <c r="G1085" s="134"/>
      <c r="H1085" s="131" t="s">
        <v>165</v>
      </c>
      <c r="I1085" s="101">
        <v>50079.32</v>
      </c>
      <c r="J1085" s="102">
        <v>826000</v>
      </c>
      <c r="K1085" s="101">
        <v>2380</v>
      </c>
      <c r="L1085" s="101">
        <v>176000</v>
      </c>
      <c r="M1085" s="207"/>
      <c r="N1085" s="207"/>
    </row>
    <row r="1086" spans="1:16" s="212" customFormat="1" ht="18" customHeight="1" x14ac:dyDescent="0.25">
      <c r="A1086" s="154"/>
      <c r="B1086" s="499" t="s">
        <v>163</v>
      </c>
      <c r="C1086" s="499" t="s">
        <v>1387</v>
      </c>
      <c r="D1086" s="44" t="s">
        <v>168</v>
      </c>
      <c r="E1086" s="125"/>
      <c r="F1086" s="125"/>
      <c r="G1086" s="134"/>
      <c r="H1086" s="131" t="s">
        <v>169</v>
      </c>
      <c r="I1086" s="101">
        <v>564940.5</v>
      </c>
      <c r="J1086" s="102">
        <v>763408</v>
      </c>
      <c r="K1086" s="101">
        <v>377106.5</v>
      </c>
      <c r="L1086" s="101">
        <v>1189083</v>
      </c>
      <c r="M1086" s="207"/>
      <c r="N1086" s="207"/>
    </row>
    <row r="1087" spans="1:16" s="212" customFormat="1" ht="18" customHeight="1" x14ac:dyDescent="0.25">
      <c r="A1087" s="154"/>
      <c r="B1087" s="499" t="s">
        <v>163</v>
      </c>
      <c r="C1087" s="499" t="s">
        <v>1387</v>
      </c>
      <c r="D1087" s="44" t="s">
        <v>466</v>
      </c>
      <c r="E1087" s="125"/>
      <c r="F1087" s="125"/>
      <c r="G1087" s="134"/>
      <c r="H1087" s="131" t="s">
        <v>467</v>
      </c>
      <c r="I1087" s="101"/>
      <c r="J1087" s="102"/>
      <c r="K1087" s="101"/>
      <c r="L1087" s="101">
        <v>17571466</v>
      </c>
      <c r="M1087" s="207"/>
      <c r="N1087" s="207"/>
    </row>
    <row r="1088" spans="1:16" s="212" customFormat="1" ht="18" x14ac:dyDescent="0.25">
      <c r="A1088" s="154"/>
      <c r="B1088" s="499" t="s">
        <v>163</v>
      </c>
      <c r="C1088" s="499" t="s">
        <v>1387</v>
      </c>
      <c r="D1088" s="44" t="s">
        <v>468</v>
      </c>
      <c r="E1088" s="134"/>
      <c r="F1088" s="97"/>
      <c r="G1088" s="97"/>
      <c r="H1088" s="131" t="s">
        <v>469</v>
      </c>
      <c r="I1088" s="101">
        <v>4463519</v>
      </c>
      <c r="J1088" s="102">
        <v>11378111</v>
      </c>
      <c r="K1088" s="101"/>
      <c r="L1088" s="101">
        <v>41354789</v>
      </c>
      <c r="M1088" s="207"/>
      <c r="N1088" s="207"/>
    </row>
    <row r="1089" spans="1:16" s="212" customFormat="1" ht="18" customHeight="1" x14ac:dyDescent="0.25">
      <c r="A1089" s="154"/>
      <c r="B1089" s="499" t="s">
        <v>163</v>
      </c>
      <c r="C1089" s="499" t="s">
        <v>1387</v>
      </c>
      <c r="D1089" s="44" t="s">
        <v>470</v>
      </c>
      <c r="E1089" s="125"/>
      <c r="F1089" s="125"/>
      <c r="G1089" s="134"/>
      <c r="H1089" s="131" t="s">
        <v>469</v>
      </c>
      <c r="I1089" s="101">
        <v>1913586.88</v>
      </c>
      <c r="J1089" s="102">
        <v>2671944</v>
      </c>
      <c r="K1089" s="101"/>
      <c r="L1089" s="101"/>
      <c r="M1089" s="207"/>
      <c r="N1089" s="207"/>
    </row>
    <row r="1090" spans="1:16" s="212" customFormat="1" ht="18" customHeight="1" x14ac:dyDescent="0.25">
      <c r="A1090" s="154"/>
      <c r="B1090" s="499" t="s">
        <v>163</v>
      </c>
      <c r="C1090" s="499" t="s">
        <v>1387</v>
      </c>
      <c r="D1090" s="44" t="s">
        <v>471</v>
      </c>
      <c r="E1090" s="125"/>
      <c r="F1090" s="125"/>
      <c r="G1090" s="134"/>
      <c r="H1090" s="131" t="s">
        <v>469</v>
      </c>
      <c r="I1090" s="101">
        <v>103427</v>
      </c>
      <c r="J1090" s="102"/>
      <c r="K1090" s="101"/>
      <c r="L1090" s="101"/>
      <c r="M1090" s="207"/>
      <c r="N1090" s="207"/>
    </row>
    <row r="1091" spans="1:16" s="212" customFormat="1" ht="18" customHeight="1" x14ac:dyDescent="0.25">
      <c r="A1091" s="154"/>
      <c r="B1091" s="499" t="s">
        <v>163</v>
      </c>
      <c r="C1091" s="499" t="s">
        <v>1387</v>
      </c>
      <c r="D1091" s="536" t="s">
        <v>170</v>
      </c>
      <c r="E1091" s="502"/>
      <c r="F1091" s="502"/>
      <c r="G1091" s="503"/>
      <c r="H1091" s="131" t="s">
        <v>171</v>
      </c>
      <c r="I1091" s="101"/>
      <c r="J1091" s="102">
        <v>367100</v>
      </c>
      <c r="K1091" s="101"/>
      <c r="L1091" s="101">
        <v>1679955</v>
      </c>
      <c r="M1091" s="207">
        <v>957749</v>
      </c>
      <c r="N1091" s="207"/>
    </row>
    <row r="1092" spans="1:16" s="212" customFormat="1" ht="18" customHeight="1" x14ac:dyDescent="0.25">
      <c r="A1092" s="154"/>
      <c r="B1092" s="499" t="s">
        <v>163</v>
      </c>
      <c r="C1092" s="499" t="s">
        <v>1387</v>
      </c>
      <c r="D1092" s="44" t="s">
        <v>174</v>
      </c>
      <c r="E1092" s="125"/>
      <c r="F1092" s="125"/>
      <c r="G1092" s="134"/>
      <c r="H1092" s="131" t="s">
        <v>171</v>
      </c>
      <c r="I1092" s="101">
        <v>135518.75</v>
      </c>
      <c r="J1092" s="102">
        <v>251751</v>
      </c>
      <c r="K1092" s="101"/>
      <c r="L1092" s="101"/>
      <c r="M1092" s="207">
        <v>722206</v>
      </c>
      <c r="N1092" s="207"/>
    </row>
    <row r="1093" spans="1:16" s="212" customFormat="1" ht="18" customHeight="1" x14ac:dyDescent="0.25">
      <c r="A1093" s="154"/>
      <c r="B1093" s="499" t="s">
        <v>163</v>
      </c>
      <c r="C1093" s="499" t="s">
        <v>1387</v>
      </c>
      <c r="D1093" s="44" t="s">
        <v>382</v>
      </c>
      <c r="E1093" s="125"/>
      <c r="F1093" s="125"/>
      <c r="G1093" s="134"/>
      <c r="H1093" s="131" t="s">
        <v>383</v>
      </c>
      <c r="I1093" s="101">
        <v>4627.95</v>
      </c>
      <c r="J1093" s="102">
        <v>10800</v>
      </c>
      <c r="K1093" s="101">
        <v>1512</v>
      </c>
      <c r="L1093" s="101">
        <v>10800</v>
      </c>
      <c r="M1093" s="207">
        <f>SUM(M1091:M1092)</f>
        <v>1679955</v>
      </c>
      <c r="N1093" s="207"/>
    </row>
    <row r="1094" spans="1:16" s="212" customFormat="1" ht="18" customHeight="1" x14ac:dyDescent="0.25">
      <c r="A1094" s="154"/>
      <c r="B1094" s="499" t="s">
        <v>163</v>
      </c>
      <c r="C1094" s="499" t="s">
        <v>1387</v>
      </c>
      <c r="D1094" s="44" t="s">
        <v>296</v>
      </c>
      <c r="E1094" s="125"/>
      <c r="F1094" s="125"/>
      <c r="G1094" s="134"/>
      <c r="H1094" s="131" t="s">
        <v>177</v>
      </c>
      <c r="I1094" s="101">
        <v>0</v>
      </c>
      <c r="J1094" s="102">
        <v>3000</v>
      </c>
      <c r="K1094" s="101"/>
      <c r="L1094" s="101">
        <v>8000</v>
      </c>
      <c r="M1094" s="207"/>
      <c r="N1094" s="207"/>
    </row>
    <row r="1095" spans="1:16" s="212" customFormat="1" ht="18" customHeight="1" x14ac:dyDescent="0.25">
      <c r="A1095" s="154"/>
      <c r="B1095" s="499" t="s">
        <v>163</v>
      </c>
      <c r="C1095" s="499" t="s">
        <v>1387</v>
      </c>
      <c r="D1095" s="44" t="s">
        <v>178</v>
      </c>
      <c r="E1095" s="125"/>
      <c r="F1095" s="125"/>
      <c r="G1095" s="134"/>
      <c r="H1095" s="131" t="s">
        <v>179</v>
      </c>
      <c r="I1095" s="101"/>
      <c r="J1095" s="102"/>
      <c r="K1095" s="101"/>
      <c r="L1095" s="101">
        <v>109200</v>
      </c>
      <c r="M1095" s="207"/>
      <c r="N1095" s="207"/>
    </row>
    <row r="1096" spans="1:16" s="212" customFormat="1" ht="18" customHeight="1" x14ac:dyDescent="0.25">
      <c r="A1096" s="154"/>
      <c r="B1096" s="499" t="s">
        <v>163</v>
      </c>
      <c r="C1096" s="499" t="s">
        <v>1387</v>
      </c>
      <c r="D1096" s="44" t="s">
        <v>181</v>
      </c>
      <c r="E1096" s="125"/>
      <c r="F1096" s="125"/>
      <c r="G1096" s="134"/>
      <c r="H1096" s="131" t="s">
        <v>179</v>
      </c>
      <c r="I1096" s="101">
        <v>45500</v>
      </c>
      <c r="J1096" s="102">
        <v>84000</v>
      </c>
      <c r="K1096" s="101">
        <v>21000</v>
      </c>
      <c r="L1096" s="101"/>
      <c r="M1096" s="112">
        <v>84000</v>
      </c>
      <c r="N1096" s="207"/>
    </row>
    <row r="1097" spans="1:16" s="212" customFormat="1" ht="18" customHeight="1" x14ac:dyDescent="0.25">
      <c r="A1097" s="154"/>
      <c r="B1097" s="499" t="s">
        <v>163</v>
      </c>
      <c r="C1097" s="499" t="s">
        <v>1387</v>
      </c>
      <c r="D1097" s="44" t="s">
        <v>250</v>
      </c>
      <c r="E1097" s="125"/>
      <c r="F1097" s="125"/>
      <c r="G1097" s="134"/>
      <c r="H1097" s="131" t="s">
        <v>179</v>
      </c>
      <c r="I1097" s="101">
        <v>25171.439999999999</v>
      </c>
      <c r="J1097" s="102">
        <v>25200</v>
      </c>
      <c r="K1097" s="101">
        <v>14683.34</v>
      </c>
      <c r="L1097" s="101"/>
      <c r="M1097" s="112">
        <v>25200</v>
      </c>
      <c r="N1097" s="207"/>
    </row>
    <row r="1098" spans="1:16" s="229" customFormat="1" ht="18" customHeight="1" x14ac:dyDescent="0.25">
      <c r="A1098" s="154"/>
      <c r="B1098" s="499" t="s">
        <v>163</v>
      </c>
      <c r="C1098" s="499" t="s">
        <v>1387</v>
      </c>
      <c r="D1098" s="44" t="s">
        <v>182</v>
      </c>
      <c r="E1098" s="125"/>
      <c r="F1098" s="125"/>
      <c r="G1098" s="134"/>
      <c r="H1098" s="131" t="s">
        <v>183</v>
      </c>
      <c r="I1098" s="101">
        <v>58770</v>
      </c>
      <c r="J1098" s="102">
        <v>97200</v>
      </c>
      <c r="K1098" s="101">
        <v>30786</v>
      </c>
      <c r="L1098" s="101">
        <v>100000</v>
      </c>
      <c r="M1098" s="207"/>
      <c r="N1098" s="207"/>
      <c r="O1098" s="212"/>
      <c r="P1098" s="212"/>
    </row>
    <row r="1099" spans="1:16" s="229" customFormat="1" ht="18" customHeight="1" x14ac:dyDescent="0.25">
      <c r="A1099" s="154"/>
      <c r="B1099" s="499" t="s">
        <v>163</v>
      </c>
      <c r="C1099" s="499" t="s">
        <v>1387</v>
      </c>
      <c r="D1099" s="44" t="s">
        <v>472</v>
      </c>
      <c r="E1099" s="125"/>
      <c r="F1099" s="125"/>
      <c r="G1099" s="134"/>
      <c r="H1099" s="131" t="s">
        <v>218</v>
      </c>
      <c r="I1099" s="101">
        <v>6000</v>
      </c>
      <c r="J1099" s="102">
        <v>9000</v>
      </c>
      <c r="K1099" s="101">
        <v>2625</v>
      </c>
      <c r="L1099" s="101">
        <v>9000</v>
      </c>
      <c r="M1099" s="207"/>
      <c r="N1099" s="207"/>
      <c r="O1099" s="212"/>
      <c r="P1099" s="212"/>
    </row>
    <row r="1100" spans="1:16" s="229" customFormat="1" ht="18" customHeight="1" x14ac:dyDescent="0.25">
      <c r="A1100" s="154"/>
      <c r="B1100" s="499" t="s">
        <v>163</v>
      </c>
      <c r="C1100" s="499" t="s">
        <v>1387</v>
      </c>
      <c r="D1100" s="44" t="s">
        <v>186</v>
      </c>
      <c r="E1100" s="125"/>
      <c r="F1100" s="125"/>
      <c r="G1100" s="134"/>
      <c r="H1100" s="131" t="s">
        <v>356</v>
      </c>
      <c r="I1100" s="101">
        <v>0</v>
      </c>
      <c r="J1100" s="102">
        <v>215000</v>
      </c>
      <c r="K1100" s="101">
        <v>771</v>
      </c>
      <c r="L1100" s="101">
        <v>250000</v>
      </c>
      <c r="M1100" s="207"/>
      <c r="N1100" s="207"/>
      <c r="O1100" s="212"/>
      <c r="P1100" s="212"/>
    </row>
    <row r="1101" spans="1:16" s="229" customFormat="1" ht="18" customHeight="1" x14ac:dyDescent="0.25">
      <c r="A1101" s="154"/>
      <c r="B1101" s="499" t="s">
        <v>163</v>
      </c>
      <c r="C1101" s="499" t="s">
        <v>1387</v>
      </c>
      <c r="D1101" s="44" t="s">
        <v>473</v>
      </c>
      <c r="E1101" s="125"/>
      <c r="F1101" s="125"/>
      <c r="G1101" s="134"/>
      <c r="H1101" s="131" t="s">
        <v>474</v>
      </c>
      <c r="I1101" s="101">
        <v>0</v>
      </c>
      <c r="J1101" s="102">
        <v>1000000</v>
      </c>
      <c r="K1101" s="101"/>
      <c r="L1101" s="101">
        <v>1000000</v>
      </c>
      <c r="M1101" s="207"/>
      <c r="N1101" s="207"/>
      <c r="O1101" s="212"/>
      <c r="P1101" s="212"/>
    </row>
    <row r="1102" spans="1:16" s="229" customFormat="1" ht="18" customHeight="1" x14ac:dyDescent="0.25">
      <c r="A1102" s="154"/>
      <c r="B1102" s="499" t="s">
        <v>163</v>
      </c>
      <c r="C1102" s="499" t="s">
        <v>1387</v>
      </c>
      <c r="D1102" s="44" t="s">
        <v>188</v>
      </c>
      <c r="E1102" s="125"/>
      <c r="F1102" s="125"/>
      <c r="G1102" s="134"/>
      <c r="H1102" s="131" t="s">
        <v>189</v>
      </c>
      <c r="I1102" s="101">
        <v>0</v>
      </c>
      <c r="J1102" s="102">
        <v>105000</v>
      </c>
      <c r="K1102" s="101"/>
      <c r="L1102" s="101">
        <v>1000000</v>
      </c>
      <c r="M1102" s="207"/>
      <c r="N1102" s="207"/>
      <c r="O1102" s="212"/>
      <c r="P1102" s="212"/>
    </row>
    <row r="1103" spans="1:16" s="229" customFormat="1" ht="18" customHeight="1" x14ac:dyDescent="0.25">
      <c r="A1103" s="154"/>
      <c r="B1103" s="499" t="s">
        <v>163</v>
      </c>
      <c r="C1103" s="499" t="s">
        <v>1387</v>
      </c>
      <c r="D1103" s="44" t="s">
        <v>439</v>
      </c>
      <c r="E1103" s="125"/>
      <c r="F1103" s="125"/>
      <c r="G1103" s="134"/>
      <c r="H1103" s="131" t="s">
        <v>237</v>
      </c>
      <c r="I1103" s="101">
        <v>0</v>
      </c>
      <c r="J1103" s="102">
        <v>10000</v>
      </c>
      <c r="K1103" s="101"/>
      <c r="L1103" s="101">
        <v>10000</v>
      </c>
      <c r="M1103" s="207"/>
      <c r="N1103" s="207"/>
      <c r="O1103" s="212"/>
      <c r="P1103" s="212"/>
    </row>
    <row r="1104" spans="1:16" s="229" customFormat="1" ht="18" customHeight="1" x14ac:dyDescent="0.25">
      <c r="A1104" s="154"/>
      <c r="B1104" s="499" t="s">
        <v>163</v>
      </c>
      <c r="C1104" s="499" t="s">
        <v>1387</v>
      </c>
      <c r="D1104" s="44" t="s">
        <v>198</v>
      </c>
      <c r="E1104" s="125"/>
      <c r="F1104" s="125"/>
      <c r="G1104" s="134"/>
      <c r="H1104" s="131" t="s">
        <v>199</v>
      </c>
      <c r="I1104" s="101">
        <v>1551312.8</v>
      </c>
      <c r="J1104" s="102">
        <v>2303755</v>
      </c>
      <c r="K1104" s="101">
        <v>1093411.57</v>
      </c>
      <c r="L1104" s="101">
        <v>5608932.1600000001</v>
      </c>
      <c r="M1104" s="207">
        <v>5553932.1600000001</v>
      </c>
      <c r="N1104" s="207"/>
      <c r="O1104" s="212"/>
      <c r="P1104" s="212"/>
    </row>
    <row r="1105" spans="1:16" s="146" customFormat="1" ht="18" x14ac:dyDescent="0.25">
      <c r="A1105" s="519"/>
      <c r="B1105" s="499" t="s">
        <v>163</v>
      </c>
      <c r="C1105" s="499" t="s">
        <v>1387</v>
      </c>
      <c r="D1105" s="231" t="s">
        <v>475</v>
      </c>
      <c r="E1105" s="491"/>
      <c r="F1105" s="492"/>
      <c r="G1105" s="492"/>
      <c r="H1105" s="131"/>
      <c r="I1105" s="105">
        <v>0</v>
      </c>
      <c r="J1105" s="106">
        <v>58000</v>
      </c>
      <c r="K1105" s="105">
        <v>11500</v>
      </c>
      <c r="L1105" s="105"/>
      <c r="M1105" s="10">
        <v>55000</v>
      </c>
      <c r="N1105" s="10"/>
      <c r="O1105"/>
      <c r="P1105"/>
    </row>
    <row r="1106" spans="1:16" s="208" customFormat="1" ht="18" customHeight="1" x14ac:dyDescent="0.25">
      <c r="A1106" s="154"/>
      <c r="B1106" s="499" t="s">
        <v>201</v>
      </c>
      <c r="C1106" s="499" t="s">
        <v>1387</v>
      </c>
      <c r="D1106" s="536" t="s">
        <v>476</v>
      </c>
      <c r="E1106" s="536"/>
      <c r="F1106" s="536"/>
      <c r="G1106" s="537"/>
      <c r="H1106" s="234"/>
      <c r="I1106" s="102"/>
      <c r="J1106" s="233"/>
      <c r="K1106" s="102"/>
      <c r="L1106" s="102">
        <v>80000</v>
      </c>
      <c r="M1106" s="207"/>
      <c r="N1106" s="207">
        <f>16000*5</f>
        <v>80000</v>
      </c>
    </row>
    <row r="1107" spans="1:16" s="208" customFormat="1" ht="18" customHeight="1" x14ac:dyDescent="0.25">
      <c r="A1107" s="154"/>
      <c r="B1107" s="499" t="s">
        <v>201</v>
      </c>
      <c r="C1107" s="499" t="s">
        <v>1387</v>
      </c>
      <c r="D1107" s="536" t="s">
        <v>477</v>
      </c>
      <c r="E1107" s="536"/>
      <c r="F1107" s="536"/>
      <c r="G1107" s="537"/>
      <c r="H1107" s="234"/>
      <c r="I1107" s="102"/>
      <c r="J1107" s="233"/>
      <c r="K1107" s="102"/>
      <c r="L1107" s="102">
        <v>375000</v>
      </c>
      <c r="M1107" s="207"/>
      <c r="N1107" s="207">
        <f>75000*5</f>
        <v>375000</v>
      </c>
    </row>
    <row r="1108" spans="1:16" s="208" customFormat="1" ht="18" customHeight="1" x14ac:dyDescent="0.25">
      <c r="A1108" s="154"/>
      <c r="B1108" s="499" t="s">
        <v>201</v>
      </c>
      <c r="C1108" s="499" t="s">
        <v>1387</v>
      </c>
      <c r="D1108" s="536" t="s">
        <v>478</v>
      </c>
      <c r="E1108" s="536"/>
      <c r="F1108" s="536"/>
      <c r="G1108" s="537"/>
      <c r="H1108" s="234"/>
      <c r="I1108" s="102"/>
      <c r="J1108" s="233"/>
      <c r="K1108" s="102"/>
      <c r="L1108" s="102">
        <v>480000</v>
      </c>
      <c r="M1108" s="207"/>
      <c r="N1108" s="207">
        <f>80000*6</f>
        <v>480000</v>
      </c>
    </row>
    <row r="1109" spans="1:16" s="208" customFormat="1" ht="18" customHeight="1" x14ac:dyDescent="0.25">
      <c r="A1109" s="154"/>
      <c r="B1109" s="499" t="s">
        <v>201</v>
      </c>
      <c r="C1109" s="499" t="s">
        <v>1387</v>
      </c>
      <c r="D1109" s="502" t="s">
        <v>479</v>
      </c>
      <c r="E1109" s="502"/>
      <c r="F1109" s="502"/>
      <c r="G1109" s="503"/>
      <c r="H1109" s="232"/>
      <c r="I1109" s="101"/>
      <c r="J1109" s="233"/>
      <c r="K1109" s="101"/>
      <c r="L1109" s="102">
        <v>60000</v>
      </c>
      <c r="M1109" s="207"/>
      <c r="N1109" s="207"/>
    </row>
    <row r="1110" spans="1:16" s="208" customFormat="1" ht="18" customHeight="1" x14ac:dyDescent="0.25">
      <c r="A1110" s="154"/>
      <c r="B1110" s="499" t="s">
        <v>201</v>
      </c>
      <c r="C1110" s="499" t="s">
        <v>1387</v>
      </c>
      <c r="D1110" s="502" t="s">
        <v>480</v>
      </c>
      <c r="E1110" s="502"/>
      <c r="F1110" s="502"/>
      <c r="G1110" s="503"/>
      <c r="H1110" s="232"/>
      <c r="I1110" s="101"/>
      <c r="J1110" s="233"/>
      <c r="K1110" s="101"/>
      <c r="L1110" s="102">
        <v>19000</v>
      </c>
      <c r="M1110" s="207"/>
      <c r="N1110" s="207"/>
    </row>
    <row r="1111" spans="1:16" s="208" customFormat="1" ht="18" customHeight="1" x14ac:dyDescent="0.25">
      <c r="A1111" s="154"/>
      <c r="B1111" s="499" t="s">
        <v>201</v>
      </c>
      <c r="C1111" s="499" t="s">
        <v>1387</v>
      </c>
      <c r="D1111" s="502" t="s">
        <v>481</v>
      </c>
      <c r="E1111" s="502"/>
      <c r="F1111" s="502"/>
      <c r="G1111" s="502"/>
      <c r="H1111" s="232"/>
      <c r="I1111" s="101"/>
      <c r="J1111" s="233"/>
      <c r="K1111" s="101"/>
      <c r="L1111" s="102">
        <v>15300</v>
      </c>
      <c r="M1111" s="207"/>
      <c r="N1111" s="207"/>
    </row>
    <row r="1112" spans="1:16" s="208" customFormat="1" ht="18" customHeight="1" x14ac:dyDescent="0.25">
      <c r="A1112" s="154"/>
      <c r="B1112" s="499" t="s">
        <v>201</v>
      </c>
      <c r="C1112" s="499" t="s">
        <v>1387</v>
      </c>
      <c r="D1112" s="502" t="s">
        <v>482</v>
      </c>
      <c r="E1112" s="502"/>
      <c r="F1112" s="502"/>
      <c r="G1112" s="502"/>
      <c r="H1112" s="232"/>
      <c r="I1112" s="101"/>
      <c r="J1112" s="233"/>
      <c r="K1112" s="101"/>
      <c r="L1112" s="102">
        <v>30000</v>
      </c>
      <c r="M1112" s="207"/>
      <c r="N1112" s="207"/>
    </row>
    <row r="1113" spans="1:16" s="208" customFormat="1" ht="18" customHeight="1" x14ac:dyDescent="0.25">
      <c r="A1113" s="154"/>
      <c r="B1113" s="499" t="s">
        <v>201</v>
      </c>
      <c r="C1113" s="499" t="s">
        <v>1387</v>
      </c>
      <c r="D1113" s="502" t="s">
        <v>483</v>
      </c>
      <c r="E1113" s="502"/>
      <c r="F1113" s="502"/>
      <c r="G1113" s="502"/>
      <c r="H1113" s="232"/>
      <c r="I1113" s="101"/>
      <c r="J1113" s="233"/>
      <c r="K1113" s="101"/>
      <c r="L1113" s="102">
        <v>25000</v>
      </c>
      <c r="M1113" s="207"/>
      <c r="N1113" s="207"/>
    </row>
    <row r="1114" spans="1:16" s="208" customFormat="1" ht="18" customHeight="1" x14ac:dyDescent="0.25">
      <c r="A1114" s="154"/>
      <c r="B1114" s="499" t="s">
        <v>201</v>
      </c>
      <c r="C1114" s="499" t="s">
        <v>1387</v>
      </c>
      <c r="D1114" s="502" t="s">
        <v>484</v>
      </c>
      <c r="E1114" s="502"/>
      <c r="F1114" s="502"/>
      <c r="G1114" s="502"/>
      <c r="H1114" s="232"/>
      <c r="I1114" s="101"/>
      <c r="J1114" s="233"/>
      <c r="K1114" s="101"/>
      <c r="L1114" s="102">
        <v>17850</v>
      </c>
      <c r="M1114" s="207"/>
      <c r="N1114" s="207"/>
    </row>
    <row r="1115" spans="1:16" s="208" customFormat="1" ht="18" customHeight="1" x14ac:dyDescent="0.25">
      <c r="A1115" s="154"/>
      <c r="B1115" s="499" t="s">
        <v>201</v>
      </c>
      <c r="C1115" s="499" t="s">
        <v>1387</v>
      </c>
      <c r="D1115" s="502" t="s">
        <v>485</v>
      </c>
      <c r="E1115" s="502"/>
      <c r="F1115" s="502"/>
      <c r="G1115" s="502"/>
      <c r="H1115" s="232"/>
      <c r="I1115" s="101"/>
      <c r="J1115" s="233"/>
      <c r="K1115" s="101"/>
      <c r="L1115" s="102">
        <v>36000</v>
      </c>
      <c r="M1115" s="207"/>
      <c r="N1115" s="207"/>
    </row>
    <row r="1116" spans="1:16" ht="18" x14ac:dyDescent="0.25">
      <c r="A1116" s="495"/>
      <c r="B1116" s="499" t="s">
        <v>201</v>
      </c>
      <c r="C1116" s="499" t="s">
        <v>1387</v>
      </c>
      <c r="D1116" s="536" t="s">
        <v>486</v>
      </c>
      <c r="E1116" s="496"/>
      <c r="F1116" s="496"/>
      <c r="G1116" s="496"/>
      <c r="H1116" s="232"/>
      <c r="I1116" s="101">
        <v>135000</v>
      </c>
      <c r="J1116" s="233"/>
      <c r="K1116" s="101"/>
      <c r="L1116" s="101"/>
    </row>
    <row r="1117" spans="1:16" ht="18" x14ac:dyDescent="0.25">
      <c r="A1117" s="495"/>
      <c r="B1117" s="499" t="s">
        <v>201</v>
      </c>
      <c r="C1117" s="499" t="s">
        <v>1387</v>
      </c>
      <c r="D1117" s="536" t="s">
        <v>487</v>
      </c>
      <c r="E1117" s="496"/>
      <c r="F1117" s="496"/>
      <c r="G1117" s="496"/>
      <c r="H1117" s="232"/>
      <c r="I1117" s="101"/>
      <c r="J1117" s="233">
        <v>2500000</v>
      </c>
      <c r="K1117" s="101"/>
      <c r="L1117" s="101"/>
    </row>
    <row r="1118" spans="1:16" ht="18" x14ac:dyDescent="0.25">
      <c r="A1118" s="495"/>
      <c r="B1118" s="499" t="s">
        <v>201</v>
      </c>
      <c r="C1118" s="499" t="s">
        <v>1387</v>
      </c>
      <c r="D1118" s="536" t="s">
        <v>488</v>
      </c>
      <c r="E1118" s="496"/>
      <c r="F1118" s="496"/>
      <c r="G1118" s="496"/>
      <c r="H1118" s="232"/>
      <c r="I1118" s="101"/>
      <c r="J1118" s="233">
        <v>75000</v>
      </c>
      <c r="K1118" s="101"/>
      <c r="L1118" s="101"/>
    </row>
    <row r="1119" spans="1:16" ht="18" customHeight="1" x14ac:dyDescent="0.25">
      <c r="A1119" s="495"/>
      <c r="B1119" s="499" t="s">
        <v>201</v>
      </c>
      <c r="C1119" s="499" t="s">
        <v>1387</v>
      </c>
      <c r="D1119" s="1611" t="s">
        <v>489</v>
      </c>
      <c r="E1119" s="1611"/>
      <c r="F1119" s="1611"/>
      <c r="G1119" s="1602"/>
      <c r="H1119" s="232"/>
      <c r="I1119" s="101"/>
      <c r="J1119" s="233">
        <v>6000</v>
      </c>
      <c r="K1119" s="101"/>
      <c r="L1119" s="101"/>
    </row>
    <row r="1120" spans="1:16" ht="18" customHeight="1" x14ac:dyDescent="0.25">
      <c r="A1120" s="495"/>
      <c r="B1120" s="499" t="s">
        <v>201</v>
      </c>
      <c r="C1120" s="499" t="s">
        <v>1387</v>
      </c>
      <c r="D1120" s="1611" t="s">
        <v>490</v>
      </c>
      <c r="E1120" s="1611"/>
      <c r="F1120" s="1611"/>
      <c r="G1120" s="1602"/>
      <c r="H1120" s="232"/>
      <c r="I1120" s="101">
        <v>237000</v>
      </c>
      <c r="J1120" s="233"/>
      <c r="K1120" s="101"/>
      <c r="L1120" s="101"/>
    </row>
    <row r="1121" spans="1:16" ht="18" customHeight="1" x14ac:dyDescent="0.25">
      <c r="A1121" s="495"/>
      <c r="B1121" s="499" t="s">
        <v>201</v>
      </c>
      <c r="C1121" s="499" t="s">
        <v>1387</v>
      </c>
      <c r="D1121" s="1611" t="s">
        <v>491</v>
      </c>
      <c r="E1121" s="1611"/>
      <c r="F1121" s="1611"/>
      <c r="G1121" s="1602"/>
      <c r="H1121" s="232"/>
      <c r="I1121" s="101">
        <v>0</v>
      </c>
      <c r="J1121" s="233">
        <v>48000</v>
      </c>
      <c r="K1121" s="101"/>
      <c r="L1121" s="101"/>
    </row>
    <row r="1122" spans="1:16" ht="18" x14ac:dyDescent="0.25">
      <c r="A1122" s="495"/>
      <c r="B1122" s="499" t="s">
        <v>201</v>
      </c>
      <c r="C1122" s="499" t="s">
        <v>1387</v>
      </c>
      <c r="D1122" s="38" t="s">
        <v>492</v>
      </c>
      <c r="E1122" s="235"/>
      <c r="F1122" s="235"/>
      <c r="G1122" s="235"/>
      <c r="H1122" s="232"/>
      <c r="I1122" s="101"/>
      <c r="J1122" s="233">
        <v>255000</v>
      </c>
      <c r="K1122" s="101"/>
      <c r="L1122" s="101"/>
    </row>
    <row r="1123" spans="1:16" ht="18" customHeight="1" x14ac:dyDescent="0.25">
      <c r="A1123" s="495"/>
      <c r="B1123" s="499" t="s">
        <v>201</v>
      </c>
      <c r="C1123" s="499" t="s">
        <v>1387</v>
      </c>
      <c r="D1123" s="1611" t="s">
        <v>493</v>
      </c>
      <c r="E1123" s="1611"/>
      <c r="F1123" s="1611"/>
      <c r="G1123" s="1602"/>
      <c r="H1123" s="97"/>
      <c r="I1123" s="101"/>
      <c r="J1123" s="233">
        <v>240000</v>
      </c>
      <c r="K1123" s="101"/>
      <c r="L1123" s="101"/>
    </row>
    <row r="1124" spans="1:16" ht="18" customHeight="1" x14ac:dyDescent="0.25">
      <c r="A1124" s="495"/>
      <c r="B1124" s="499" t="s">
        <v>201</v>
      </c>
      <c r="C1124" s="499" t="s">
        <v>1387</v>
      </c>
      <c r="D1124" s="1611" t="s">
        <v>494</v>
      </c>
      <c r="E1124" s="1611"/>
      <c r="F1124" s="1611"/>
      <c r="G1124" s="1602"/>
      <c r="H1124" s="97"/>
      <c r="I1124" s="101">
        <v>0</v>
      </c>
      <c r="J1124" s="233">
        <v>54000</v>
      </c>
      <c r="K1124" s="101"/>
      <c r="L1124" s="101"/>
    </row>
    <row r="1125" spans="1:16" ht="18" x14ac:dyDescent="0.25">
      <c r="A1125" s="495"/>
      <c r="B1125" s="499" t="s">
        <v>201</v>
      </c>
      <c r="C1125" s="499" t="s">
        <v>1387</v>
      </c>
      <c r="D1125" s="38" t="s">
        <v>495</v>
      </c>
      <c r="E1125" s="235"/>
      <c r="F1125" s="235"/>
      <c r="G1125" s="236"/>
      <c r="H1125" s="237"/>
      <c r="I1125" s="238"/>
      <c r="J1125" s="239">
        <v>150000</v>
      </c>
      <c r="K1125" s="101"/>
      <c r="L1125" s="101"/>
    </row>
    <row r="1126" spans="1:16" s="146" customFormat="1" ht="18" customHeight="1" x14ac:dyDescent="0.25">
      <c r="A1126" s="495"/>
      <c r="B1126" s="499" t="s">
        <v>201</v>
      </c>
      <c r="C1126" s="499" t="s">
        <v>1387</v>
      </c>
      <c r="D1126" s="240" t="s">
        <v>496</v>
      </c>
      <c r="E1126" s="241"/>
      <c r="F1126" s="241"/>
      <c r="G1126" s="242"/>
      <c r="H1126" s="243"/>
      <c r="I1126" s="244"/>
      <c r="J1126" s="233">
        <v>48000</v>
      </c>
      <c r="K1126" s="101"/>
      <c r="L1126" s="101"/>
      <c r="M1126" s="10"/>
      <c r="N1126" s="10"/>
      <c r="O1126"/>
      <c r="P1126"/>
    </row>
    <row r="1127" spans="1:16" s="146" customFormat="1" ht="18" x14ac:dyDescent="0.25">
      <c r="A1127" s="495"/>
      <c r="B1127" s="499" t="s">
        <v>201</v>
      </c>
      <c r="C1127" s="499" t="s">
        <v>1387</v>
      </c>
      <c r="D1127" s="240" t="s">
        <v>497</v>
      </c>
      <c r="E1127" s="241"/>
      <c r="F1127" s="241"/>
      <c r="G1127" s="242"/>
      <c r="H1127" s="243"/>
      <c r="I1127" s="244"/>
      <c r="J1127" s="233">
        <v>100000</v>
      </c>
      <c r="K1127" s="101"/>
      <c r="L1127" s="101"/>
      <c r="M1127" s="10"/>
      <c r="N1127" s="10"/>
      <c r="O1127"/>
      <c r="P1127"/>
    </row>
    <row r="1128" spans="1:16" s="146" customFormat="1" ht="18" x14ac:dyDescent="0.25">
      <c r="A1128" s="495"/>
      <c r="B1128" s="499" t="s">
        <v>201</v>
      </c>
      <c r="C1128" s="499" t="s">
        <v>1387</v>
      </c>
      <c r="D1128" s="536" t="s">
        <v>498</v>
      </c>
      <c r="E1128" s="499"/>
      <c r="F1128" s="499"/>
      <c r="G1128" s="491"/>
      <c r="H1128" s="97"/>
      <c r="I1128" s="101"/>
      <c r="J1128" s="122">
        <v>165000</v>
      </c>
      <c r="K1128" s="101"/>
      <c r="L1128" s="101"/>
      <c r="M1128" s="10"/>
      <c r="N1128" s="10"/>
      <c r="O1128"/>
      <c r="P1128"/>
    </row>
    <row r="1129" spans="1:16" s="146" customFormat="1" ht="18" customHeight="1" x14ac:dyDescent="0.25">
      <c r="A1129" s="495"/>
      <c r="B1129" s="499" t="s">
        <v>201</v>
      </c>
      <c r="C1129" s="499" t="s">
        <v>1387</v>
      </c>
      <c r="D1129" s="1611" t="s">
        <v>499</v>
      </c>
      <c r="E1129" s="1611"/>
      <c r="F1129" s="1611"/>
      <c r="G1129" s="1602"/>
      <c r="H1129" s="97"/>
      <c r="I1129" s="101"/>
      <c r="J1129" s="122">
        <v>1500000</v>
      </c>
      <c r="K1129" s="101"/>
      <c r="L1129" s="101"/>
      <c r="M1129" s="10"/>
      <c r="N1129" s="10"/>
      <c r="O1129"/>
      <c r="P1129"/>
    </row>
    <row r="1130" spans="1:16" s="146" customFormat="1" ht="18" customHeight="1" x14ac:dyDescent="0.25">
      <c r="A1130" s="495"/>
      <c r="B1130" s="499" t="s">
        <v>201</v>
      </c>
      <c r="C1130" s="499" t="s">
        <v>1387</v>
      </c>
      <c r="D1130" s="1611" t="s">
        <v>500</v>
      </c>
      <c r="E1130" s="1611"/>
      <c r="F1130" s="1611"/>
      <c r="G1130" s="1602"/>
      <c r="H1130" s="97"/>
      <c r="I1130" s="101"/>
      <c r="J1130" s="122">
        <v>81600</v>
      </c>
      <c r="K1130" s="101"/>
      <c r="L1130" s="101"/>
      <c r="M1130" s="10"/>
      <c r="N1130" s="10"/>
      <c r="O1130"/>
      <c r="P1130"/>
    </row>
    <row r="1131" spans="1:16" s="146" customFormat="1" ht="18" customHeight="1" x14ac:dyDescent="0.25">
      <c r="A1131" s="495"/>
      <c r="B1131" s="499" t="s">
        <v>201</v>
      </c>
      <c r="C1131" s="499" t="s">
        <v>1387</v>
      </c>
      <c r="D1131" s="1611" t="s">
        <v>501</v>
      </c>
      <c r="E1131" s="1611"/>
      <c r="F1131" s="1611"/>
      <c r="G1131" s="1602"/>
      <c r="H1131" s="97"/>
      <c r="I1131" s="101"/>
      <c r="J1131" s="122">
        <v>100000</v>
      </c>
      <c r="K1131" s="101"/>
      <c r="L1131" s="101"/>
      <c r="M1131" s="10"/>
      <c r="N1131" s="10"/>
      <c r="O1131"/>
      <c r="P1131"/>
    </row>
    <row r="1132" spans="1:16" s="146" customFormat="1" ht="18" x14ac:dyDescent="0.25">
      <c r="A1132" s="495"/>
      <c r="B1132" s="499" t="s">
        <v>201</v>
      </c>
      <c r="C1132" s="499" t="s">
        <v>1387</v>
      </c>
      <c r="D1132" s="245" t="s">
        <v>502</v>
      </c>
      <c r="E1132" s="97"/>
      <c r="F1132" s="97"/>
      <c r="G1132" s="97"/>
      <c r="H1132" s="97"/>
      <c r="I1132" s="101"/>
      <c r="J1132" s="122">
        <v>75000</v>
      </c>
      <c r="K1132" s="101"/>
      <c r="L1132" s="101"/>
      <c r="M1132" s="10"/>
      <c r="N1132" s="10"/>
      <c r="O1132"/>
      <c r="P1132"/>
    </row>
    <row r="1133" spans="1:16" s="146" customFormat="1" ht="18" customHeight="1" x14ac:dyDescent="0.25">
      <c r="A1133" s="495"/>
      <c r="B1133" s="499" t="s">
        <v>201</v>
      </c>
      <c r="C1133" s="499" t="s">
        <v>1387</v>
      </c>
      <c r="D1133" s="1611" t="s">
        <v>503</v>
      </c>
      <c r="E1133" s="1611"/>
      <c r="F1133" s="1611"/>
      <c r="G1133" s="1602"/>
      <c r="H1133" s="97"/>
      <c r="I1133" s="101"/>
      <c r="J1133" s="122">
        <v>220000</v>
      </c>
      <c r="K1133" s="101"/>
      <c r="L1133" s="101"/>
      <c r="M1133" s="10"/>
      <c r="N1133" s="10"/>
      <c r="O1133"/>
      <c r="P1133"/>
    </row>
    <row r="1134" spans="1:16" s="146" customFormat="1" ht="18" x14ac:dyDescent="0.25">
      <c r="A1134" s="495"/>
      <c r="B1134" s="499" t="s">
        <v>201</v>
      </c>
      <c r="C1134" s="499" t="s">
        <v>1387</v>
      </c>
      <c r="D1134" s="536" t="s">
        <v>504</v>
      </c>
      <c r="E1134" s="499"/>
      <c r="F1134" s="499"/>
      <c r="G1134" s="491"/>
      <c r="H1134" s="97"/>
      <c r="I1134" s="101"/>
      <c r="J1134" s="122">
        <v>50000</v>
      </c>
      <c r="K1134" s="101"/>
      <c r="L1134" s="101"/>
      <c r="M1134" s="10"/>
      <c r="N1134" s="10"/>
      <c r="O1134"/>
      <c r="P1134"/>
    </row>
    <row r="1135" spans="1:16" s="146" customFormat="1" ht="18" x14ac:dyDescent="0.25">
      <c r="A1135" s="495"/>
      <c r="B1135" s="499" t="s">
        <v>201</v>
      </c>
      <c r="C1135" s="499" t="s">
        <v>1387</v>
      </c>
      <c r="D1135" s="536" t="s">
        <v>505</v>
      </c>
      <c r="E1135" s="499"/>
      <c r="F1135" s="499"/>
      <c r="G1135" s="491"/>
      <c r="H1135" s="97"/>
      <c r="I1135" s="101"/>
      <c r="J1135" s="122">
        <v>15600</v>
      </c>
      <c r="K1135" s="101"/>
      <c r="L1135" s="101"/>
      <c r="M1135" s="10"/>
      <c r="N1135" s="10"/>
      <c r="O1135"/>
      <c r="P1135"/>
    </row>
    <row r="1136" spans="1:16" s="146" customFormat="1" ht="18" x14ac:dyDescent="0.25">
      <c r="A1136" s="495"/>
      <c r="B1136" s="499" t="s">
        <v>201</v>
      </c>
      <c r="C1136" s="499" t="s">
        <v>1387</v>
      </c>
      <c r="D1136" s="536" t="s">
        <v>506</v>
      </c>
      <c r="E1136" s="499"/>
      <c r="F1136" s="499"/>
      <c r="G1136" s="491"/>
      <c r="H1136" s="97"/>
      <c r="I1136" s="101"/>
      <c r="J1136" s="122">
        <v>25000</v>
      </c>
      <c r="K1136" s="101"/>
      <c r="L1136" s="101"/>
      <c r="M1136" s="10"/>
      <c r="N1136" s="10"/>
      <c r="O1136"/>
      <c r="P1136"/>
    </row>
    <row r="1137" spans="1:16" s="146" customFormat="1" ht="18" x14ac:dyDescent="0.25">
      <c r="A1137" s="495"/>
      <c r="B1137" s="499" t="s">
        <v>201</v>
      </c>
      <c r="C1137" s="499" t="s">
        <v>1387</v>
      </c>
      <c r="D1137" s="536" t="s">
        <v>507</v>
      </c>
      <c r="E1137" s="499"/>
      <c r="F1137" s="499"/>
      <c r="G1137" s="491"/>
      <c r="H1137" s="97"/>
      <c r="I1137" s="101"/>
      <c r="J1137" s="122">
        <v>5000000</v>
      </c>
      <c r="K1137" s="101"/>
      <c r="L1137" s="101"/>
      <c r="M1137" s="10"/>
      <c r="N1137" s="10"/>
      <c r="O1137"/>
      <c r="P1137"/>
    </row>
    <row r="1138" spans="1:16" s="146" customFormat="1" ht="18" x14ac:dyDescent="0.25">
      <c r="A1138" s="495"/>
      <c r="B1138" s="499" t="s">
        <v>201</v>
      </c>
      <c r="C1138" s="499" t="s">
        <v>1387</v>
      </c>
      <c r="D1138" s="536" t="s">
        <v>508</v>
      </c>
      <c r="E1138" s="499"/>
      <c r="F1138" s="499"/>
      <c r="G1138" s="491"/>
      <c r="H1138" s="97"/>
      <c r="I1138" s="101"/>
      <c r="J1138" s="122">
        <v>3000000</v>
      </c>
      <c r="K1138" s="101"/>
      <c r="L1138" s="101"/>
      <c r="M1138" s="10"/>
      <c r="N1138" s="10"/>
      <c r="O1138"/>
      <c r="P1138"/>
    </row>
    <row r="1139" spans="1:16" s="146" customFormat="1" ht="35.25" customHeight="1" x14ac:dyDescent="0.25">
      <c r="A1139" s="495"/>
      <c r="B1139" s="499" t="s">
        <v>201</v>
      </c>
      <c r="C1139" s="499" t="s">
        <v>1387</v>
      </c>
      <c r="D1139" s="1611" t="s">
        <v>509</v>
      </c>
      <c r="E1139" s="1611"/>
      <c r="F1139" s="499"/>
      <c r="G1139" s="491"/>
      <c r="H1139" s="97"/>
      <c r="I1139" s="101"/>
      <c r="J1139" s="122">
        <v>36000</v>
      </c>
      <c r="K1139" s="101"/>
      <c r="L1139" s="101"/>
      <c r="M1139" s="10"/>
      <c r="N1139" s="10" t="e">
        <f>161150-#REF!</f>
        <v>#REF!</v>
      </c>
      <c r="O1139"/>
      <c r="P1139"/>
    </row>
    <row r="1140" spans="1:16" s="146" customFormat="1" ht="18" x14ac:dyDescent="0.25">
      <c r="A1140" s="495"/>
      <c r="B1140" s="499" t="s">
        <v>201</v>
      </c>
      <c r="C1140" s="499" t="s">
        <v>1387</v>
      </c>
      <c r="D1140" s="1602" t="s">
        <v>510</v>
      </c>
      <c r="E1140" s="1603"/>
      <c r="F1140" s="1603"/>
      <c r="G1140" s="1603"/>
      <c r="H1140" s="97"/>
      <c r="I1140" s="105">
        <v>29995</v>
      </c>
      <c r="J1140" s="246"/>
      <c r="K1140" s="105"/>
      <c r="L1140" s="105"/>
      <c r="M1140" s="10"/>
      <c r="N1140" s="10"/>
      <c r="O1140"/>
      <c r="P1140"/>
    </row>
    <row r="1141" spans="1:16" ht="18" customHeight="1" x14ac:dyDescent="0.25">
      <c r="A1141" s="519"/>
      <c r="B1141" s="499" t="s">
        <v>123</v>
      </c>
      <c r="C1141" s="499" t="s">
        <v>1387</v>
      </c>
      <c r="D1141" s="1611" t="s">
        <v>124</v>
      </c>
      <c r="E1141" s="1611"/>
      <c r="F1141" s="1611"/>
      <c r="G1141" s="1602"/>
      <c r="H1141" s="131" t="s">
        <v>125</v>
      </c>
      <c r="I1141" s="101">
        <v>1624248</v>
      </c>
      <c r="J1141" s="102">
        <v>2100000</v>
      </c>
      <c r="K1141" s="101">
        <v>1168016.51</v>
      </c>
      <c r="L1141" s="101">
        <v>2269440</v>
      </c>
    </row>
    <row r="1142" spans="1:16" ht="18" customHeight="1" x14ac:dyDescent="0.25">
      <c r="A1142" s="519"/>
      <c r="B1142" s="499" t="s">
        <v>123</v>
      </c>
      <c r="C1142" s="499" t="s">
        <v>1387</v>
      </c>
      <c r="D1142" s="1611" t="s">
        <v>126</v>
      </c>
      <c r="E1142" s="1611"/>
      <c r="F1142" s="1611"/>
      <c r="G1142" s="1602"/>
      <c r="H1142" s="131" t="s">
        <v>127</v>
      </c>
      <c r="I1142" s="101">
        <v>580029.81999999995</v>
      </c>
      <c r="J1142" s="102">
        <v>680340</v>
      </c>
      <c r="K1142" s="101">
        <v>286774.40000000002</v>
      </c>
      <c r="L1142" s="102">
        <v>750636</v>
      </c>
      <c r="N1142" s="10">
        <v>757402.04</v>
      </c>
    </row>
    <row r="1143" spans="1:16" ht="18" customHeight="1" x14ac:dyDescent="0.25">
      <c r="A1143" s="519"/>
      <c r="B1143" s="499" t="s">
        <v>123</v>
      </c>
      <c r="C1143" s="499" t="s">
        <v>1387</v>
      </c>
      <c r="D1143" s="1611" t="s">
        <v>128</v>
      </c>
      <c r="E1143" s="1611"/>
      <c r="F1143" s="1611"/>
      <c r="G1143" s="1602"/>
      <c r="H1143" s="131" t="s">
        <v>125</v>
      </c>
      <c r="I1143" s="101"/>
      <c r="J1143" s="102">
        <v>4395</v>
      </c>
      <c r="K1143" s="101"/>
      <c r="L1143" s="101">
        <v>3173.91</v>
      </c>
    </row>
    <row r="1144" spans="1:16" ht="18" customHeight="1" x14ac:dyDescent="0.25">
      <c r="A1144" s="519"/>
      <c r="B1144" s="499" t="s">
        <v>123</v>
      </c>
      <c r="C1144" s="499" t="s">
        <v>1387</v>
      </c>
      <c r="D1144" s="1611" t="s">
        <v>129</v>
      </c>
      <c r="E1144" s="1611"/>
      <c r="F1144" s="1611"/>
      <c r="G1144" s="1602"/>
      <c r="H1144" s="132" t="s">
        <v>130</v>
      </c>
      <c r="I1144" s="101">
        <v>162453.68</v>
      </c>
      <c r="J1144" s="102">
        <v>264000</v>
      </c>
      <c r="K1144" s="101">
        <v>124727.25</v>
      </c>
      <c r="L1144" s="101">
        <v>264000</v>
      </c>
    </row>
    <row r="1145" spans="1:16" ht="18" customHeight="1" x14ac:dyDescent="0.25">
      <c r="A1145" s="519"/>
      <c r="B1145" s="499" t="s">
        <v>123</v>
      </c>
      <c r="C1145" s="499" t="s">
        <v>1387</v>
      </c>
      <c r="D1145" s="1611" t="s">
        <v>131</v>
      </c>
      <c r="E1145" s="1611"/>
      <c r="F1145" s="1611"/>
      <c r="G1145" s="1602"/>
      <c r="H1145" s="131" t="s">
        <v>132</v>
      </c>
      <c r="I1145" s="101">
        <v>72000</v>
      </c>
      <c r="J1145" s="102">
        <v>72000</v>
      </c>
      <c r="K1145" s="101">
        <v>39000</v>
      </c>
      <c r="L1145" s="101">
        <v>72000</v>
      </c>
    </row>
    <row r="1146" spans="1:16" ht="18" customHeight="1" x14ac:dyDescent="0.25">
      <c r="A1146" s="519"/>
      <c r="B1146" s="499" t="s">
        <v>123</v>
      </c>
      <c r="C1146" s="499" t="s">
        <v>1387</v>
      </c>
      <c r="D1146" s="1611" t="s">
        <v>133</v>
      </c>
      <c r="E1146" s="1611"/>
      <c r="F1146" s="1611"/>
      <c r="G1146" s="1602"/>
      <c r="H1146" s="131" t="s">
        <v>134</v>
      </c>
      <c r="I1146" s="101">
        <v>72000</v>
      </c>
      <c r="J1146" s="102">
        <v>72000</v>
      </c>
      <c r="K1146" s="101">
        <v>39000</v>
      </c>
      <c r="L1146" s="101">
        <v>72000</v>
      </c>
    </row>
    <row r="1147" spans="1:16" ht="18" x14ac:dyDescent="0.25">
      <c r="A1147" s="519"/>
      <c r="B1147" s="499" t="s">
        <v>123</v>
      </c>
      <c r="C1147" s="499" t="s">
        <v>1387</v>
      </c>
      <c r="D1147" s="1611" t="s">
        <v>135</v>
      </c>
      <c r="E1147" s="1611"/>
      <c r="F1147" s="1611"/>
      <c r="G1147" s="1602"/>
      <c r="H1147" s="131" t="s">
        <v>136</v>
      </c>
      <c r="I1147" s="101">
        <v>56675.87</v>
      </c>
      <c r="J1147" s="102">
        <v>320640</v>
      </c>
      <c r="K1147" s="101">
        <v>2720.98</v>
      </c>
      <c r="L1147" s="102">
        <v>320640</v>
      </c>
    </row>
    <row r="1148" spans="1:16" ht="18" customHeight="1" x14ac:dyDescent="0.25">
      <c r="A1148" s="519"/>
      <c r="B1148" s="499" t="s">
        <v>123</v>
      </c>
      <c r="C1148" s="499" t="s">
        <v>1387</v>
      </c>
      <c r="D1148" s="1611" t="s">
        <v>137</v>
      </c>
      <c r="E1148" s="1611"/>
      <c r="F1148" s="1611"/>
      <c r="G1148" s="1602"/>
      <c r="H1148" s="131" t="s">
        <v>138</v>
      </c>
      <c r="I1148" s="101">
        <v>30000</v>
      </c>
      <c r="J1148" s="102">
        <v>66000</v>
      </c>
      <c r="K1148" s="101">
        <v>48000</v>
      </c>
      <c r="L1148" s="101">
        <v>66000</v>
      </c>
    </row>
    <row r="1149" spans="1:16" ht="18" customHeight="1" x14ac:dyDescent="0.25">
      <c r="A1149" s="519"/>
      <c r="B1149" s="499" t="s">
        <v>123</v>
      </c>
      <c r="C1149" s="499" t="s">
        <v>1387</v>
      </c>
      <c r="D1149" s="1611" t="s">
        <v>139</v>
      </c>
      <c r="E1149" s="1611"/>
      <c r="F1149" s="1611"/>
      <c r="G1149" s="1602"/>
      <c r="H1149" s="131" t="s">
        <v>140</v>
      </c>
      <c r="I1149" s="101">
        <v>179630</v>
      </c>
      <c r="J1149" s="102">
        <v>231821</v>
      </c>
      <c r="K1149" s="101">
        <v>186601</v>
      </c>
      <c r="L1149" s="101">
        <v>251998</v>
      </c>
    </row>
    <row r="1150" spans="1:16" ht="18" customHeight="1" x14ac:dyDescent="0.25">
      <c r="A1150" s="519"/>
      <c r="B1150" s="499" t="s">
        <v>123</v>
      </c>
      <c r="C1150" s="499" t="s">
        <v>1387</v>
      </c>
      <c r="D1150" s="1611" t="s">
        <v>141</v>
      </c>
      <c r="E1150" s="1611"/>
      <c r="F1150" s="1611"/>
      <c r="G1150" s="1602"/>
      <c r="H1150" s="131" t="s">
        <v>142</v>
      </c>
      <c r="I1150" s="101">
        <v>179630</v>
      </c>
      <c r="J1150" s="102">
        <v>231821</v>
      </c>
      <c r="K1150" s="101"/>
      <c r="L1150" s="101">
        <v>251998</v>
      </c>
    </row>
    <row r="1151" spans="1:16" ht="18" x14ac:dyDescent="0.25">
      <c r="A1151" s="519"/>
      <c r="B1151" s="499" t="s">
        <v>123</v>
      </c>
      <c r="C1151" s="499" t="s">
        <v>1387</v>
      </c>
      <c r="D1151" s="1611" t="s">
        <v>143</v>
      </c>
      <c r="E1151" s="1611"/>
      <c r="F1151" s="1611"/>
      <c r="G1151" s="1602"/>
      <c r="H1151" s="131" t="s">
        <v>144</v>
      </c>
      <c r="I1151" s="101">
        <v>40000</v>
      </c>
      <c r="J1151" s="102">
        <v>55000</v>
      </c>
      <c r="K1151" s="101"/>
      <c r="L1151" s="101">
        <v>55000</v>
      </c>
    </row>
    <row r="1152" spans="1:16" s="146" customFormat="1" ht="18" x14ac:dyDescent="0.25">
      <c r="A1152" s="519"/>
      <c r="B1152" s="499" t="s">
        <v>123</v>
      </c>
      <c r="C1152" s="499" t="s">
        <v>1387</v>
      </c>
      <c r="D1152" s="1602" t="s">
        <v>145</v>
      </c>
      <c r="E1152" s="1603"/>
      <c r="F1152" s="1603"/>
      <c r="G1152" s="1603"/>
      <c r="H1152" s="131" t="s">
        <v>146</v>
      </c>
      <c r="I1152" s="101">
        <v>40000</v>
      </c>
      <c r="J1152" s="102">
        <v>55000</v>
      </c>
      <c r="K1152" s="101"/>
      <c r="L1152" s="101">
        <v>55000</v>
      </c>
      <c r="M1152" s="10"/>
      <c r="N1152" s="10"/>
      <c r="O1152"/>
      <c r="P1152"/>
    </row>
    <row r="1153" spans="1:16" s="146" customFormat="1" ht="18" x14ac:dyDescent="0.25">
      <c r="A1153" s="519"/>
      <c r="B1153" s="499" t="s">
        <v>123</v>
      </c>
      <c r="C1153" s="499" t="s">
        <v>1387</v>
      </c>
      <c r="D1153" s="1602" t="s">
        <v>231</v>
      </c>
      <c r="E1153" s="1603"/>
      <c r="F1153" s="1603"/>
      <c r="G1153" s="1603"/>
      <c r="H1153" s="131" t="s">
        <v>232</v>
      </c>
      <c r="I1153" s="101">
        <v>0</v>
      </c>
      <c r="J1153" s="102">
        <v>0</v>
      </c>
      <c r="K1153" s="101"/>
      <c r="L1153" s="101">
        <v>10000</v>
      </c>
      <c r="M1153" s="10"/>
      <c r="N1153" s="10"/>
      <c r="O1153"/>
      <c r="P1153"/>
    </row>
    <row r="1154" spans="1:16" s="146" customFormat="1" ht="18" x14ac:dyDescent="0.25">
      <c r="A1154" s="519"/>
      <c r="B1154" s="499" t="s">
        <v>123</v>
      </c>
      <c r="C1154" s="499" t="s">
        <v>1387</v>
      </c>
      <c r="D1154" s="536" t="s">
        <v>147</v>
      </c>
      <c r="E1154" s="499"/>
      <c r="F1154" s="499"/>
      <c r="G1154" s="491"/>
      <c r="H1154" s="131" t="s">
        <v>148</v>
      </c>
      <c r="I1154" s="101"/>
      <c r="J1154" s="102"/>
      <c r="K1154" s="101"/>
      <c r="L1154" s="101">
        <v>33000</v>
      </c>
      <c r="M1154" s="10"/>
      <c r="N1154" s="10"/>
      <c r="O1154"/>
      <c r="P1154"/>
    </row>
    <row r="1155" spans="1:16" s="146" customFormat="1" ht="18" x14ac:dyDescent="0.25">
      <c r="A1155" s="519"/>
      <c r="B1155" s="499" t="s">
        <v>123</v>
      </c>
      <c r="C1155" s="499" t="s">
        <v>1387</v>
      </c>
      <c r="D1155" s="1602" t="s">
        <v>210</v>
      </c>
      <c r="E1155" s="1603"/>
      <c r="F1155" s="1603"/>
      <c r="G1155" s="1603"/>
      <c r="H1155" s="131" t="s">
        <v>464</v>
      </c>
      <c r="I1155" s="101">
        <v>21150</v>
      </c>
      <c r="J1155" s="102">
        <v>54000</v>
      </c>
      <c r="K1155" s="101">
        <v>8450</v>
      </c>
      <c r="L1155" s="101">
        <v>54000</v>
      </c>
      <c r="M1155" s="10"/>
      <c r="N1155" s="10"/>
      <c r="O1155"/>
      <c r="P1155"/>
    </row>
    <row r="1156" spans="1:16" ht="18" x14ac:dyDescent="0.25">
      <c r="A1156" s="519"/>
      <c r="B1156" s="499" t="s">
        <v>123</v>
      </c>
      <c r="C1156" s="499" t="s">
        <v>1387</v>
      </c>
      <c r="D1156" s="513" t="s">
        <v>149</v>
      </c>
      <c r="E1156" s="499"/>
      <c r="F1156" s="499"/>
      <c r="G1156" s="491"/>
      <c r="H1156" s="131" t="s">
        <v>150</v>
      </c>
      <c r="I1156" s="101">
        <v>99225</v>
      </c>
      <c r="J1156" s="102">
        <v>120000</v>
      </c>
      <c r="K1156" s="101"/>
      <c r="L1156" s="101"/>
    </row>
    <row r="1157" spans="1:16" ht="18" x14ac:dyDescent="0.25">
      <c r="A1157" s="519"/>
      <c r="B1157" s="499" t="s">
        <v>123</v>
      </c>
      <c r="C1157" s="499" t="s">
        <v>1387</v>
      </c>
      <c r="D1157" s="1602" t="s">
        <v>151</v>
      </c>
      <c r="E1157" s="1603"/>
      <c r="F1157" s="1603"/>
      <c r="G1157" s="1603"/>
      <c r="H1157" s="131" t="s">
        <v>148</v>
      </c>
      <c r="I1157" s="101">
        <v>80000</v>
      </c>
      <c r="J1157" s="102">
        <v>0</v>
      </c>
      <c r="K1157" s="101"/>
      <c r="L1157" s="101"/>
    </row>
    <row r="1158" spans="1:16" s="146" customFormat="1" ht="18" x14ac:dyDescent="0.25">
      <c r="A1158" s="519"/>
      <c r="B1158" s="499" t="s">
        <v>123</v>
      </c>
      <c r="C1158" s="499" t="s">
        <v>1387</v>
      </c>
      <c r="D1158" s="1611" t="s">
        <v>152</v>
      </c>
      <c r="E1158" s="1611"/>
      <c r="F1158" s="1611"/>
      <c r="G1158" s="1602"/>
      <c r="H1158" s="131"/>
      <c r="I1158" s="101"/>
      <c r="J1158" s="102">
        <v>237625.59</v>
      </c>
      <c r="K1158" s="101"/>
      <c r="L1158" s="101"/>
      <c r="M1158" s="10"/>
      <c r="N1158" s="10"/>
      <c r="O1158"/>
      <c r="P1158"/>
    </row>
    <row r="1159" spans="1:16" s="146" customFormat="1" ht="18" x14ac:dyDescent="0.25">
      <c r="A1159" s="519"/>
      <c r="B1159" s="499" t="s">
        <v>123</v>
      </c>
      <c r="C1159" s="499" t="s">
        <v>1387</v>
      </c>
      <c r="D1159" s="1602" t="s">
        <v>153</v>
      </c>
      <c r="E1159" s="1603"/>
      <c r="F1159" s="1603"/>
      <c r="G1159" s="1603"/>
      <c r="H1159" s="131" t="s">
        <v>154</v>
      </c>
      <c r="I1159" s="101">
        <v>235633.2</v>
      </c>
      <c r="J1159" s="102">
        <v>334168.2</v>
      </c>
      <c r="K1159" s="101">
        <v>175241.37</v>
      </c>
      <c r="L1159" s="101">
        <v>362789.99</v>
      </c>
      <c r="M1159" s="10"/>
      <c r="N1159" s="10"/>
      <c r="O1159"/>
      <c r="P1159"/>
    </row>
    <row r="1160" spans="1:16" s="146" customFormat="1" ht="18" x14ac:dyDescent="0.25">
      <c r="A1160" s="519"/>
      <c r="B1160" s="499" t="s">
        <v>123</v>
      </c>
      <c r="C1160" s="499" t="s">
        <v>1387</v>
      </c>
      <c r="D1160" s="1602" t="s">
        <v>155</v>
      </c>
      <c r="E1160" s="1603"/>
      <c r="F1160" s="1603"/>
      <c r="G1160" s="1603"/>
      <c r="H1160" s="131" t="s">
        <v>156</v>
      </c>
      <c r="I1160" s="101">
        <v>8100</v>
      </c>
      <c r="J1160" s="102">
        <v>13200</v>
      </c>
      <c r="K1160" s="101">
        <v>6600</v>
      </c>
      <c r="L1160" s="101">
        <v>13200</v>
      </c>
      <c r="M1160" s="10"/>
      <c r="N1160" s="10"/>
      <c r="O1160"/>
      <c r="P1160"/>
    </row>
    <row r="1161" spans="1:16" s="146" customFormat="1" ht="18" x14ac:dyDescent="0.25">
      <c r="A1161" s="519"/>
      <c r="B1161" s="499" t="s">
        <v>123</v>
      </c>
      <c r="C1161" s="499" t="s">
        <v>1387</v>
      </c>
      <c r="D1161" s="1602" t="s">
        <v>157</v>
      </c>
      <c r="E1161" s="1603"/>
      <c r="F1161" s="1603"/>
      <c r="G1161" s="1603"/>
      <c r="H1161" s="131" t="s">
        <v>158</v>
      </c>
      <c r="I1161" s="101">
        <v>25728.51</v>
      </c>
      <c r="J1161" s="102">
        <v>46828.480000000003</v>
      </c>
      <c r="K1161" s="101">
        <v>20560.78</v>
      </c>
      <c r="L1161" s="101">
        <v>119430.96</v>
      </c>
      <c r="M1161" s="10"/>
      <c r="N1161" s="10"/>
      <c r="O1161"/>
      <c r="P1161"/>
    </row>
    <row r="1162" spans="1:16" s="146" customFormat="1" ht="18" x14ac:dyDescent="0.25">
      <c r="A1162" s="519"/>
      <c r="B1162" s="499" t="s">
        <v>123</v>
      </c>
      <c r="C1162" s="499" t="s">
        <v>1387</v>
      </c>
      <c r="D1162" s="1602" t="s">
        <v>159</v>
      </c>
      <c r="E1162" s="1603"/>
      <c r="F1162" s="1603"/>
      <c r="G1162" s="1603"/>
      <c r="H1162" s="131" t="s">
        <v>160</v>
      </c>
      <c r="I1162" s="101">
        <v>8100</v>
      </c>
      <c r="J1162" s="102">
        <v>13200</v>
      </c>
      <c r="K1162" s="101">
        <v>6600</v>
      </c>
      <c r="L1162" s="101">
        <v>13200</v>
      </c>
      <c r="M1162" s="10"/>
      <c r="N1162" s="10"/>
      <c r="O1162"/>
      <c r="P1162"/>
    </row>
    <row r="1163" spans="1:16" s="146" customFormat="1" ht="18" customHeight="1" x14ac:dyDescent="0.25">
      <c r="A1163" s="519"/>
      <c r="B1163" s="499" t="s">
        <v>163</v>
      </c>
      <c r="C1163" s="499" t="s">
        <v>1387</v>
      </c>
      <c r="D1163" s="44" t="s">
        <v>353</v>
      </c>
      <c r="E1163" s="113"/>
      <c r="F1163" s="113"/>
      <c r="G1163" s="114"/>
      <c r="H1163" s="131" t="s">
        <v>165</v>
      </c>
      <c r="I1163" s="101">
        <v>20722</v>
      </c>
      <c r="J1163" s="102">
        <v>50000</v>
      </c>
      <c r="K1163" s="101">
        <v>24300</v>
      </c>
      <c r="L1163" s="102">
        <v>100000</v>
      </c>
      <c r="M1163" s="10">
        <v>60000</v>
      </c>
      <c r="N1163" s="10"/>
      <c r="O1163"/>
      <c r="P1163"/>
    </row>
    <row r="1164" spans="1:16" s="146" customFormat="1" ht="18" customHeight="1" x14ac:dyDescent="0.25">
      <c r="A1164" s="519"/>
      <c r="B1164" s="499" t="s">
        <v>163</v>
      </c>
      <c r="C1164" s="499" t="s">
        <v>1387</v>
      </c>
      <c r="D1164" s="44" t="s">
        <v>168</v>
      </c>
      <c r="E1164" s="113"/>
      <c r="F1164" s="113"/>
      <c r="G1164" s="114"/>
      <c r="H1164" s="131" t="s">
        <v>169</v>
      </c>
      <c r="I1164" s="101">
        <v>84368.1</v>
      </c>
      <c r="J1164" s="102">
        <v>120000</v>
      </c>
      <c r="K1164" s="101">
        <v>111812.5</v>
      </c>
      <c r="L1164" s="101">
        <v>138756</v>
      </c>
      <c r="M1164" s="10"/>
      <c r="N1164" s="10"/>
      <c r="O1164"/>
      <c r="P1164"/>
    </row>
    <row r="1165" spans="1:16" s="146" customFormat="1" ht="18" customHeight="1" x14ac:dyDescent="0.25">
      <c r="A1165" s="519"/>
      <c r="B1165" s="499" t="s">
        <v>163</v>
      </c>
      <c r="C1165" s="499" t="s">
        <v>1387</v>
      </c>
      <c r="D1165" s="44" t="s">
        <v>172</v>
      </c>
      <c r="E1165" s="113"/>
      <c r="F1165" s="113"/>
      <c r="G1165" s="114"/>
      <c r="H1165" s="131" t="s">
        <v>173</v>
      </c>
      <c r="I1165" s="101">
        <v>0</v>
      </c>
      <c r="J1165" s="102">
        <v>0</v>
      </c>
      <c r="K1165" s="101"/>
      <c r="L1165" s="101"/>
      <c r="M1165" s="10"/>
      <c r="N1165" s="10"/>
      <c r="O1165"/>
      <c r="P1165"/>
    </row>
    <row r="1166" spans="1:16" s="146" customFormat="1" ht="18" customHeight="1" x14ac:dyDescent="0.25">
      <c r="A1166" s="519"/>
      <c r="B1166" s="499" t="s">
        <v>163</v>
      </c>
      <c r="C1166" s="499" t="s">
        <v>1387</v>
      </c>
      <c r="D1166" s="44" t="s">
        <v>511</v>
      </c>
      <c r="E1166" s="113"/>
      <c r="F1166" s="113"/>
      <c r="G1166" s="114"/>
      <c r="H1166" s="131" t="s">
        <v>171</v>
      </c>
      <c r="I1166" s="101">
        <v>0</v>
      </c>
      <c r="J1166" s="102">
        <v>0</v>
      </c>
      <c r="K1166" s="101"/>
      <c r="L1166" s="101"/>
      <c r="M1166" s="10"/>
      <c r="N1166" s="10"/>
      <c r="O1166"/>
      <c r="P1166"/>
    </row>
    <row r="1167" spans="1:16" s="146" customFormat="1" ht="18" customHeight="1" x14ac:dyDescent="0.25">
      <c r="A1167" s="519"/>
      <c r="B1167" s="499" t="s">
        <v>163</v>
      </c>
      <c r="C1167" s="499" t="s">
        <v>1387</v>
      </c>
      <c r="D1167" s="44" t="s">
        <v>174</v>
      </c>
      <c r="E1167" s="113"/>
      <c r="F1167" s="113"/>
      <c r="G1167" s="114"/>
      <c r="H1167" s="131" t="s">
        <v>171</v>
      </c>
      <c r="I1167" s="101">
        <v>9381</v>
      </c>
      <c r="J1167" s="102">
        <v>12000</v>
      </c>
      <c r="K1167" s="101"/>
      <c r="M1167" s="10"/>
      <c r="N1167" s="10"/>
      <c r="O1167"/>
      <c r="P1167"/>
    </row>
    <row r="1168" spans="1:16" s="146" customFormat="1" ht="18" customHeight="1" x14ac:dyDescent="0.25">
      <c r="A1168" s="519"/>
      <c r="B1168" s="499" t="s">
        <v>163</v>
      </c>
      <c r="C1168" s="499" t="s">
        <v>1387</v>
      </c>
      <c r="D1168" s="44" t="s">
        <v>213</v>
      </c>
      <c r="E1168" s="113"/>
      <c r="F1168" s="113"/>
      <c r="G1168" s="114"/>
      <c r="H1168" s="131" t="s">
        <v>171</v>
      </c>
      <c r="I1168" s="101">
        <v>0</v>
      </c>
      <c r="J1168" s="102"/>
      <c r="K1168" s="101"/>
      <c r="L1168" s="101">
        <v>19415</v>
      </c>
      <c r="M1168" s="10"/>
      <c r="N1168" s="10"/>
      <c r="O1168"/>
      <c r="P1168"/>
    </row>
    <row r="1169" spans="1:16" s="146" customFormat="1" ht="18" customHeight="1" x14ac:dyDescent="0.25">
      <c r="A1169" s="519"/>
      <c r="B1169" s="499" t="s">
        <v>163</v>
      </c>
      <c r="C1169" s="499" t="s">
        <v>1387</v>
      </c>
      <c r="D1169" s="44" t="s">
        <v>512</v>
      </c>
      <c r="E1169" s="113"/>
      <c r="F1169" s="113"/>
      <c r="G1169" s="114"/>
      <c r="H1169" s="131" t="s">
        <v>171</v>
      </c>
      <c r="I1169" s="101">
        <v>21000</v>
      </c>
      <c r="J1169" s="102"/>
      <c r="K1169" s="101"/>
      <c r="L1169" s="101"/>
      <c r="M1169" s="10"/>
      <c r="N1169" s="10"/>
      <c r="O1169"/>
      <c r="P1169"/>
    </row>
    <row r="1170" spans="1:16" s="146" customFormat="1" ht="18" customHeight="1" x14ac:dyDescent="0.25">
      <c r="A1170" s="519"/>
      <c r="B1170" s="499" t="s">
        <v>163</v>
      </c>
      <c r="C1170" s="499" t="s">
        <v>1387</v>
      </c>
      <c r="D1170" s="44" t="s">
        <v>176</v>
      </c>
      <c r="E1170" s="113"/>
      <c r="F1170" s="113"/>
      <c r="G1170" s="114"/>
      <c r="H1170" s="131" t="s">
        <v>177</v>
      </c>
      <c r="I1170" s="101">
        <v>0</v>
      </c>
      <c r="J1170" s="102">
        <v>1000</v>
      </c>
      <c r="K1170" s="101">
        <v>200</v>
      </c>
      <c r="L1170" s="101">
        <v>1000</v>
      </c>
      <c r="M1170" s="248"/>
      <c r="N1170" s="10"/>
      <c r="O1170"/>
      <c r="P1170"/>
    </row>
    <row r="1171" spans="1:16" s="146" customFormat="1" ht="18" customHeight="1" x14ac:dyDescent="0.25">
      <c r="A1171" s="519"/>
      <c r="B1171" s="499" t="s">
        <v>163</v>
      </c>
      <c r="C1171" s="499" t="s">
        <v>1387</v>
      </c>
      <c r="D1171" s="44" t="s">
        <v>178</v>
      </c>
      <c r="E1171" s="113"/>
      <c r="F1171" s="113"/>
      <c r="G1171" s="114"/>
      <c r="H1171" s="131" t="s">
        <v>179</v>
      </c>
      <c r="I1171" s="101"/>
      <c r="J1171" s="102"/>
      <c r="K1171" s="101"/>
      <c r="L1171" s="101">
        <v>42000</v>
      </c>
      <c r="M1171" s="248"/>
      <c r="N1171" s="10"/>
      <c r="O1171"/>
      <c r="P1171"/>
    </row>
    <row r="1172" spans="1:16" s="146" customFormat="1" ht="18" customHeight="1" x14ac:dyDescent="0.25">
      <c r="A1172" s="519"/>
      <c r="B1172" s="499" t="s">
        <v>163</v>
      </c>
      <c r="C1172" s="499" t="s">
        <v>1387</v>
      </c>
      <c r="D1172" s="44" t="s">
        <v>513</v>
      </c>
      <c r="E1172" s="113"/>
      <c r="F1172" s="113"/>
      <c r="G1172" s="114"/>
      <c r="H1172" s="131" t="s">
        <v>179</v>
      </c>
      <c r="I1172" s="101">
        <v>26387.9</v>
      </c>
      <c r="J1172" s="102">
        <v>48000</v>
      </c>
      <c r="K1172" s="101">
        <v>15393</v>
      </c>
      <c r="L1172" s="101"/>
      <c r="M1172" s="112">
        <v>48000</v>
      </c>
      <c r="N1172" s="10"/>
      <c r="O1172"/>
      <c r="P1172"/>
    </row>
    <row r="1173" spans="1:16" s="146" customFormat="1" ht="18" customHeight="1" x14ac:dyDescent="0.25">
      <c r="A1173" s="519"/>
      <c r="B1173" s="499" t="s">
        <v>163</v>
      </c>
      <c r="C1173" s="499" t="s">
        <v>1387</v>
      </c>
      <c r="D1173" s="44" t="s">
        <v>181</v>
      </c>
      <c r="E1173" s="113"/>
      <c r="F1173" s="113"/>
      <c r="G1173" s="114"/>
      <c r="H1173" s="131" t="s">
        <v>179</v>
      </c>
      <c r="I1173" s="101">
        <v>42000</v>
      </c>
      <c r="J1173" s="102">
        <v>42000</v>
      </c>
      <c r="K1173" s="101">
        <v>21000</v>
      </c>
      <c r="L1173" s="101"/>
      <c r="M1173" s="112">
        <v>42000</v>
      </c>
      <c r="N1173" s="10"/>
      <c r="O1173"/>
      <c r="P1173"/>
    </row>
    <row r="1174" spans="1:16" s="146" customFormat="1" ht="18" customHeight="1" x14ac:dyDescent="0.25">
      <c r="A1174" s="519"/>
      <c r="B1174" s="499" t="s">
        <v>163</v>
      </c>
      <c r="C1174" s="499" t="s">
        <v>1387</v>
      </c>
      <c r="D1174" s="44" t="s">
        <v>182</v>
      </c>
      <c r="E1174" s="113"/>
      <c r="F1174" s="113"/>
      <c r="G1174" s="114"/>
      <c r="H1174" s="131"/>
      <c r="I1174" s="101"/>
      <c r="J1174" s="102"/>
      <c r="K1174" s="101"/>
      <c r="L1174" s="101">
        <v>48000</v>
      </c>
      <c r="M1174" s="112"/>
      <c r="N1174" s="10"/>
      <c r="O1174"/>
      <c r="P1174"/>
    </row>
    <row r="1175" spans="1:16" s="146" customFormat="1" ht="18" customHeight="1" x14ac:dyDescent="0.25">
      <c r="A1175" s="519"/>
      <c r="B1175" s="499" t="s">
        <v>163</v>
      </c>
      <c r="C1175" s="499" t="s">
        <v>1387</v>
      </c>
      <c r="D1175" s="44" t="s">
        <v>186</v>
      </c>
      <c r="E1175" s="113"/>
      <c r="F1175" s="113"/>
      <c r="G1175" s="114"/>
      <c r="H1175" s="131" t="s">
        <v>187</v>
      </c>
      <c r="I1175" s="101">
        <v>0</v>
      </c>
      <c r="J1175" s="102">
        <v>5000</v>
      </c>
      <c r="K1175" s="101"/>
      <c r="L1175" s="101"/>
      <c r="M1175" s="248"/>
      <c r="N1175" s="10"/>
      <c r="O1175"/>
      <c r="P1175"/>
    </row>
    <row r="1176" spans="1:16" s="146" customFormat="1" ht="18" customHeight="1" x14ac:dyDescent="0.25">
      <c r="A1176" s="519"/>
      <c r="B1176" s="499" t="s">
        <v>163</v>
      </c>
      <c r="C1176" s="499" t="s">
        <v>1387</v>
      </c>
      <c r="D1176" s="44" t="s">
        <v>198</v>
      </c>
      <c r="E1176" s="113"/>
      <c r="F1176" s="113"/>
      <c r="G1176" s="114"/>
      <c r="H1176" s="131" t="s">
        <v>199</v>
      </c>
      <c r="I1176" s="105">
        <v>1144445.42</v>
      </c>
      <c r="J1176" s="106">
        <v>1051570.6399999999</v>
      </c>
      <c r="K1176" s="105">
        <v>246959.51</v>
      </c>
      <c r="L1176" s="105">
        <v>963526.56</v>
      </c>
      <c r="M1176" s="10"/>
      <c r="N1176" s="10"/>
      <c r="O1176"/>
      <c r="P1176"/>
    </row>
    <row r="1177" spans="1:16" ht="18" x14ac:dyDescent="0.25">
      <c r="A1177" s="495"/>
      <c r="B1177" s="499" t="s">
        <v>201</v>
      </c>
      <c r="C1177" s="499" t="s">
        <v>1387</v>
      </c>
      <c r="D1177" s="1602" t="s">
        <v>514</v>
      </c>
      <c r="E1177" s="1603"/>
      <c r="F1177" s="1603"/>
      <c r="G1177" s="1603"/>
      <c r="H1177" s="97"/>
      <c r="I1177" s="101">
        <v>0</v>
      </c>
      <c r="J1177" s="102">
        <v>15000</v>
      </c>
      <c r="K1177" s="101"/>
      <c r="L1177" s="121"/>
    </row>
    <row r="1178" spans="1:16" ht="18" x14ac:dyDescent="0.25">
      <c r="A1178" s="495"/>
      <c r="B1178" s="499" t="s">
        <v>201</v>
      </c>
      <c r="C1178" s="499" t="s">
        <v>1387</v>
      </c>
      <c r="D1178" s="1618" t="s">
        <v>515</v>
      </c>
      <c r="E1178" s="1619"/>
      <c r="F1178" s="1619"/>
      <c r="G1178" s="1619"/>
      <c r="H1178" s="168"/>
      <c r="I1178" s="102"/>
      <c r="J1178" s="102"/>
      <c r="K1178" s="102"/>
      <c r="L1178" s="102">
        <v>28000</v>
      </c>
      <c r="N1178" s="10">
        <f>14000*2</f>
        <v>28000</v>
      </c>
    </row>
    <row r="1179" spans="1:16" ht="18" x14ac:dyDescent="0.25">
      <c r="A1179" s="495"/>
      <c r="B1179" s="499" t="s">
        <v>201</v>
      </c>
      <c r="C1179" s="499" t="s">
        <v>1387</v>
      </c>
      <c r="D1179" s="1574" t="s">
        <v>516</v>
      </c>
      <c r="E1179" s="1618"/>
      <c r="F1179" s="526"/>
      <c r="G1179" s="526"/>
      <c r="H1179" s="168"/>
      <c r="I1179" s="102"/>
      <c r="J1179" s="102"/>
      <c r="K1179" s="102"/>
      <c r="L1179" s="102">
        <v>150000</v>
      </c>
      <c r="N1179" s="10">
        <f>75000*2</f>
        <v>150000</v>
      </c>
    </row>
    <row r="1180" spans="1:16" ht="18" x14ac:dyDescent="0.25">
      <c r="A1180" s="495"/>
      <c r="B1180" s="499" t="s">
        <v>201</v>
      </c>
      <c r="C1180" s="499" t="s">
        <v>1387</v>
      </c>
      <c r="D1180" s="1602" t="s">
        <v>517</v>
      </c>
      <c r="E1180" s="1603"/>
      <c r="F1180" s="1603"/>
      <c r="G1180" s="1603"/>
      <c r="H1180" s="97"/>
      <c r="I1180" s="101"/>
      <c r="J1180" s="102">
        <v>75000</v>
      </c>
      <c r="K1180" s="101"/>
      <c r="L1180" s="101"/>
    </row>
    <row r="1181" spans="1:16" ht="18" x14ac:dyDescent="0.25">
      <c r="A1181" s="495"/>
      <c r="B1181" s="499" t="s">
        <v>201</v>
      </c>
      <c r="C1181" s="499" t="s">
        <v>1387</v>
      </c>
      <c r="D1181" s="1602" t="s">
        <v>351</v>
      </c>
      <c r="E1181" s="1603"/>
      <c r="F1181" s="1603"/>
      <c r="G1181" s="1603"/>
      <c r="H1181" s="97"/>
      <c r="I1181" s="101"/>
      <c r="J1181" s="102">
        <v>20000</v>
      </c>
      <c r="K1181" s="101"/>
      <c r="L1181" s="101"/>
    </row>
    <row r="1182" spans="1:16" ht="18" x14ac:dyDescent="0.25">
      <c r="A1182" s="495"/>
      <c r="B1182" s="499" t="s">
        <v>201</v>
      </c>
      <c r="C1182" s="499" t="s">
        <v>1387</v>
      </c>
      <c r="D1182" s="1602" t="s">
        <v>264</v>
      </c>
      <c r="E1182" s="1603"/>
      <c r="F1182" s="1603"/>
      <c r="G1182" s="1603"/>
      <c r="H1182" s="97"/>
      <c r="I1182" s="105"/>
      <c r="J1182" s="106">
        <v>1500000</v>
      </c>
      <c r="K1182" s="105"/>
      <c r="L1182" s="105"/>
    </row>
    <row r="1183" spans="1:16" s="48" customFormat="1" ht="18" customHeight="1" x14ac:dyDescent="0.25">
      <c r="A1183" s="519"/>
      <c r="B1183" s="499" t="s">
        <v>123</v>
      </c>
      <c r="C1183" s="499" t="s">
        <v>1388</v>
      </c>
      <c r="D1183" s="1602" t="s">
        <v>124</v>
      </c>
      <c r="E1183" s="1603"/>
      <c r="F1183" s="1603"/>
      <c r="G1183" s="1603"/>
      <c r="H1183" s="131" t="s">
        <v>125</v>
      </c>
      <c r="I1183" s="101">
        <v>3092279</v>
      </c>
      <c r="J1183" s="102">
        <v>6378036</v>
      </c>
      <c r="K1183" s="101">
        <v>2211426.2000000002</v>
      </c>
      <c r="L1183" s="101">
        <v>6989580</v>
      </c>
      <c r="M1183" s="6"/>
      <c r="N1183" s="6"/>
    </row>
    <row r="1184" spans="1:16" s="48" customFormat="1" ht="18" customHeight="1" x14ac:dyDescent="0.25">
      <c r="A1184" s="519"/>
      <c r="B1184" s="499" t="s">
        <v>123</v>
      </c>
      <c r="C1184" s="499" t="s">
        <v>1388</v>
      </c>
      <c r="D1184" s="1602" t="s">
        <v>126</v>
      </c>
      <c r="E1184" s="1603"/>
      <c r="F1184" s="1603"/>
      <c r="G1184" s="1603"/>
      <c r="H1184" s="131" t="s">
        <v>127</v>
      </c>
      <c r="I1184" s="101">
        <v>150179.91</v>
      </c>
      <c r="J1184" s="102">
        <v>265104</v>
      </c>
      <c r="K1184" s="101">
        <v>70776.45</v>
      </c>
      <c r="L1184" s="101">
        <v>287856</v>
      </c>
      <c r="M1184" s="6"/>
      <c r="N1184" s="6"/>
    </row>
    <row r="1185" spans="1:14" s="48" customFormat="1" ht="18" customHeight="1" x14ac:dyDescent="0.25">
      <c r="A1185" s="519"/>
      <c r="B1185" s="499" t="s">
        <v>123</v>
      </c>
      <c r="C1185" s="499" t="s">
        <v>1388</v>
      </c>
      <c r="D1185" s="1611" t="s">
        <v>128</v>
      </c>
      <c r="E1185" s="1611"/>
      <c r="F1185" s="1611"/>
      <c r="G1185" s="1602"/>
      <c r="H1185" s="131" t="s">
        <v>125</v>
      </c>
      <c r="I1185" s="101">
        <v>0</v>
      </c>
      <c r="J1185" s="102">
        <v>9644</v>
      </c>
      <c r="K1185" s="101"/>
      <c r="L1185" s="101">
        <v>4031.63</v>
      </c>
      <c r="M1185" s="6"/>
      <c r="N1185" s="6"/>
    </row>
    <row r="1186" spans="1:14" s="48" customFormat="1" ht="18" customHeight="1" x14ac:dyDescent="0.25">
      <c r="A1186" s="519"/>
      <c r="B1186" s="499" t="s">
        <v>123</v>
      </c>
      <c r="C1186" s="499" t="s">
        <v>1388</v>
      </c>
      <c r="D1186" s="1602" t="s">
        <v>129</v>
      </c>
      <c r="E1186" s="1603"/>
      <c r="F1186" s="1603"/>
      <c r="G1186" s="1603"/>
      <c r="H1186" s="132" t="s">
        <v>130</v>
      </c>
      <c r="I1186" s="101">
        <v>422545.45</v>
      </c>
      <c r="J1186" s="102">
        <v>720000</v>
      </c>
      <c r="K1186" s="101">
        <v>268363.63</v>
      </c>
      <c r="L1186" s="101">
        <v>720000</v>
      </c>
      <c r="M1186" s="6"/>
      <c r="N1186" s="6"/>
    </row>
    <row r="1187" spans="1:14" s="48" customFormat="1" ht="18" customHeight="1" x14ac:dyDescent="0.25">
      <c r="A1187" s="519"/>
      <c r="B1187" s="499" t="s">
        <v>123</v>
      </c>
      <c r="C1187" s="499" t="s">
        <v>1388</v>
      </c>
      <c r="D1187" s="1602" t="s">
        <v>131</v>
      </c>
      <c r="E1187" s="1603"/>
      <c r="F1187" s="1603"/>
      <c r="G1187" s="1603"/>
      <c r="H1187" s="131" t="s">
        <v>132</v>
      </c>
      <c r="I1187" s="101">
        <v>72000</v>
      </c>
      <c r="J1187" s="102">
        <v>72000</v>
      </c>
      <c r="K1187" s="101">
        <v>42000</v>
      </c>
      <c r="L1187" s="101">
        <v>72000</v>
      </c>
      <c r="M1187" s="6"/>
      <c r="N1187" s="6"/>
    </row>
    <row r="1188" spans="1:14" s="48" customFormat="1" ht="18" customHeight="1" x14ac:dyDescent="0.25">
      <c r="A1188" s="519"/>
      <c r="B1188" s="499" t="s">
        <v>123</v>
      </c>
      <c r="C1188" s="499" t="s">
        <v>1388</v>
      </c>
      <c r="D1188" s="1602" t="s">
        <v>133</v>
      </c>
      <c r="E1188" s="1603"/>
      <c r="F1188" s="1603"/>
      <c r="G1188" s="1603"/>
      <c r="H1188" s="131" t="s">
        <v>134</v>
      </c>
      <c r="I1188" s="101">
        <v>72000</v>
      </c>
      <c r="J1188" s="102">
        <v>72000</v>
      </c>
      <c r="K1188" s="101">
        <v>42000</v>
      </c>
      <c r="L1188" s="101">
        <v>72000</v>
      </c>
      <c r="M1188" s="6"/>
      <c r="N1188" s="6"/>
    </row>
    <row r="1189" spans="1:14" s="48" customFormat="1" ht="18" customHeight="1" x14ac:dyDescent="0.25">
      <c r="A1189" s="519"/>
      <c r="B1189" s="499" t="s">
        <v>123</v>
      </c>
      <c r="C1189" s="499" t="s">
        <v>1388</v>
      </c>
      <c r="D1189" s="1602" t="s">
        <v>135</v>
      </c>
      <c r="E1189" s="1603"/>
      <c r="F1189" s="1603"/>
      <c r="G1189" s="1603"/>
      <c r="H1189" s="131" t="s">
        <v>136</v>
      </c>
      <c r="I1189" s="101">
        <v>176983.09</v>
      </c>
      <c r="J1189" s="102">
        <v>536811.72</v>
      </c>
      <c r="K1189" s="101">
        <v>131318.94</v>
      </c>
      <c r="L1189" s="102">
        <v>296799.95</v>
      </c>
      <c r="M1189" s="6"/>
      <c r="N1189" s="6"/>
    </row>
    <row r="1190" spans="1:14" s="48" customFormat="1" ht="18" customHeight="1" x14ac:dyDescent="0.25">
      <c r="A1190" s="519"/>
      <c r="B1190" s="499" t="s">
        <v>123</v>
      </c>
      <c r="C1190" s="499" t="s">
        <v>1388</v>
      </c>
      <c r="D1190" s="1602" t="s">
        <v>137</v>
      </c>
      <c r="E1190" s="1603"/>
      <c r="F1190" s="1603"/>
      <c r="G1190" s="1603"/>
      <c r="H1190" s="131" t="s">
        <v>138</v>
      </c>
      <c r="I1190" s="101">
        <v>102000</v>
      </c>
      <c r="J1190" s="102">
        <v>180000</v>
      </c>
      <c r="K1190" s="101">
        <v>108000</v>
      </c>
      <c r="L1190" s="101">
        <v>180000</v>
      </c>
      <c r="M1190" s="6"/>
      <c r="N1190" s="6"/>
    </row>
    <row r="1191" spans="1:14" s="48" customFormat="1" ht="18" customHeight="1" x14ac:dyDescent="0.25">
      <c r="A1191" s="519"/>
      <c r="B1191" s="499" t="s">
        <v>123</v>
      </c>
      <c r="C1191" s="499" t="s">
        <v>1388</v>
      </c>
      <c r="D1191" s="1602" t="s">
        <v>139</v>
      </c>
      <c r="E1191" s="1603"/>
      <c r="F1191" s="1603"/>
      <c r="G1191" s="1603"/>
      <c r="H1191" s="131" t="s">
        <v>140</v>
      </c>
      <c r="I1191" s="101">
        <v>268619</v>
      </c>
      <c r="J1191" s="102">
        <v>554137</v>
      </c>
      <c r="K1191" s="101">
        <v>319500</v>
      </c>
      <c r="L1191" s="101">
        <v>606885</v>
      </c>
      <c r="M1191" s="6"/>
      <c r="N1191" s="6"/>
    </row>
    <row r="1192" spans="1:14" s="48" customFormat="1" ht="18" customHeight="1" x14ac:dyDescent="0.25">
      <c r="A1192" s="519"/>
      <c r="B1192" s="499" t="s">
        <v>123</v>
      </c>
      <c r="C1192" s="499" t="s">
        <v>1388</v>
      </c>
      <c r="D1192" s="1602" t="s">
        <v>141</v>
      </c>
      <c r="E1192" s="1603"/>
      <c r="F1192" s="1603"/>
      <c r="G1192" s="1603"/>
      <c r="H1192" s="131" t="s">
        <v>142</v>
      </c>
      <c r="I1192" s="101">
        <v>268756</v>
      </c>
      <c r="J1192" s="102">
        <v>554909</v>
      </c>
      <c r="K1192" s="101"/>
      <c r="L1192" s="101">
        <v>606885</v>
      </c>
      <c r="M1192" s="6"/>
      <c r="N1192" s="6"/>
    </row>
    <row r="1193" spans="1:14" s="48" customFormat="1" ht="18" customHeight="1" x14ac:dyDescent="0.25">
      <c r="A1193" s="519"/>
      <c r="B1193" s="499" t="s">
        <v>123</v>
      </c>
      <c r="C1193" s="499" t="s">
        <v>1388</v>
      </c>
      <c r="D1193" s="1602" t="s">
        <v>143</v>
      </c>
      <c r="E1193" s="1603"/>
      <c r="F1193" s="1603"/>
      <c r="G1193" s="1603"/>
      <c r="H1193" s="131" t="s">
        <v>144</v>
      </c>
      <c r="I1193" s="101">
        <v>90000</v>
      </c>
      <c r="J1193" s="102">
        <v>150000</v>
      </c>
      <c r="K1193" s="101"/>
      <c r="L1193" s="101">
        <v>150000</v>
      </c>
      <c r="M1193" s="6"/>
      <c r="N1193" s="6"/>
    </row>
    <row r="1194" spans="1:14" s="48" customFormat="1" ht="18" customHeight="1" x14ac:dyDescent="0.25">
      <c r="A1194" s="519"/>
      <c r="B1194" s="499" t="s">
        <v>123</v>
      </c>
      <c r="C1194" s="499" t="s">
        <v>1388</v>
      </c>
      <c r="D1194" s="1602" t="s">
        <v>145</v>
      </c>
      <c r="E1194" s="1603"/>
      <c r="F1194" s="1603"/>
      <c r="G1194" s="1603"/>
      <c r="H1194" s="131" t="s">
        <v>146</v>
      </c>
      <c r="I1194" s="101">
        <v>90000</v>
      </c>
      <c r="J1194" s="102">
        <v>150000</v>
      </c>
      <c r="K1194" s="101"/>
      <c r="L1194" s="101">
        <v>150000</v>
      </c>
      <c r="M1194" s="6"/>
      <c r="N1194" s="6"/>
    </row>
    <row r="1195" spans="1:14" s="48" customFormat="1" ht="18" customHeight="1" x14ac:dyDescent="0.25">
      <c r="A1195" s="519"/>
      <c r="B1195" s="499" t="s">
        <v>123</v>
      </c>
      <c r="C1195" s="499" t="s">
        <v>1388</v>
      </c>
      <c r="D1195" s="1611" t="s">
        <v>231</v>
      </c>
      <c r="E1195" s="1611"/>
      <c r="F1195" s="1611"/>
      <c r="G1195" s="1602"/>
      <c r="H1195" s="131" t="s">
        <v>232</v>
      </c>
      <c r="I1195" s="101"/>
      <c r="J1195" s="102">
        <v>0</v>
      </c>
      <c r="K1195" s="101"/>
      <c r="L1195" s="101">
        <v>15000</v>
      </c>
      <c r="M1195" s="6"/>
      <c r="N1195" s="6"/>
    </row>
    <row r="1196" spans="1:14" s="48" customFormat="1" ht="18" customHeight="1" x14ac:dyDescent="0.25">
      <c r="A1196" s="519"/>
      <c r="B1196" s="499" t="s">
        <v>123</v>
      </c>
      <c r="C1196" s="499" t="s">
        <v>1388</v>
      </c>
      <c r="D1196" s="536" t="s">
        <v>147</v>
      </c>
      <c r="E1196" s="499"/>
      <c r="F1196" s="499"/>
      <c r="G1196" s="491"/>
      <c r="H1196" s="131" t="s">
        <v>148</v>
      </c>
      <c r="I1196" s="101"/>
      <c r="J1196" s="102"/>
      <c r="K1196" s="101"/>
      <c r="L1196" s="101">
        <v>90000</v>
      </c>
      <c r="M1196" s="6"/>
      <c r="N1196" s="6"/>
    </row>
    <row r="1197" spans="1:14" s="48" customFormat="1" ht="18" customHeight="1" x14ac:dyDescent="0.25">
      <c r="A1197" s="519"/>
      <c r="B1197" s="499" t="s">
        <v>123</v>
      </c>
      <c r="C1197" s="499" t="s">
        <v>1388</v>
      </c>
      <c r="D1197" s="513" t="s">
        <v>149</v>
      </c>
      <c r="E1197" s="499"/>
      <c r="F1197" s="499"/>
      <c r="G1197" s="491"/>
      <c r="H1197" s="131" t="s">
        <v>150</v>
      </c>
      <c r="I1197" s="101">
        <v>121725</v>
      </c>
      <c r="J1197" s="102">
        <v>0</v>
      </c>
      <c r="K1197" s="101"/>
      <c r="L1197" s="101"/>
      <c r="M1197" s="6"/>
      <c r="N1197" s="6"/>
    </row>
    <row r="1198" spans="1:14" s="48" customFormat="1" ht="18" customHeight="1" x14ac:dyDescent="0.25">
      <c r="A1198" s="519"/>
      <c r="B1198" s="499" t="s">
        <v>123</v>
      </c>
      <c r="C1198" s="499" t="s">
        <v>1388</v>
      </c>
      <c r="D1198" s="1602" t="s">
        <v>151</v>
      </c>
      <c r="E1198" s="1603"/>
      <c r="F1198" s="1603"/>
      <c r="G1198" s="1603"/>
      <c r="H1198" s="131" t="s">
        <v>148</v>
      </c>
      <c r="I1198" s="101">
        <v>180000</v>
      </c>
      <c r="J1198" s="102">
        <v>0</v>
      </c>
      <c r="K1198" s="101"/>
      <c r="L1198" s="101"/>
      <c r="M1198" s="6"/>
      <c r="N1198" s="6"/>
    </row>
    <row r="1199" spans="1:14" s="48" customFormat="1" ht="18" customHeight="1" x14ac:dyDescent="0.25">
      <c r="A1199" s="519"/>
      <c r="B1199" s="499" t="s">
        <v>123</v>
      </c>
      <c r="C1199" s="499" t="s">
        <v>1388</v>
      </c>
      <c r="D1199" s="1611" t="s">
        <v>152</v>
      </c>
      <c r="E1199" s="1611"/>
      <c r="F1199" s="1611"/>
      <c r="G1199" s="1602"/>
      <c r="H1199" s="131"/>
      <c r="I1199" s="101">
        <v>0</v>
      </c>
      <c r="J1199" s="102">
        <v>503146.82</v>
      </c>
      <c r="K1199" s="101"/>
      <c r="L1199" s="101"/>
      <c r="M1199" s="6"/>
      <c r="N1199" s="6"/>
    </row>
    <row r="1200" spans="1:14" s="48" customFormat="1" ht="18" customHeight="1" x14ac:dyDescent="0.25">
      <c r="A1200" s="519"/>
      <c r="B1200" s="499" t="s">
        <v>123</v>
      </c>
      <c r="C1200" s="499" t="s">
        <v>1388</v>
      </c>
      <c r="D1200" s="1602" t="s">
        <v>153</v>
      </c>
      <c r="E1200" s="1603"/>
      <c r="F1200" s="1603"/>
      <c r="G1200" s="1603"/>
      <c r="H1200" s="131" t="s">
        <v>154</v>
      </c>
      <c r="I1200" s="101">
        <v>381242.88</v>
      </c>
      <c r="J1200" s="102">
        <v>798334.08</v>
      </c>
      <c r="K1200" s="101">
        <v>272306.09000000003</v>
      </c>
      <c r="L1200" s="101">
        <v>873776.12</v>
      </c>
      <c r="M1200" s="6"/>
      <c r="N1200" s="6"/>
    </row>
    <row r="1201" spans="1:14" s="48" customFormat="1" ht="18" customHeight="1" x14ac:dyDescent="0.25">
      <c r="A1201" s="519"/>
      <c r="B1201" s="499" t="s">
        <v>123</v>
      </c>
      <c r="C1201" s="499" t="s">
        <v>1388</v>
      </c>
      <c r="D1201" s="1602" t="s">
        <v>155</v>
      </c>
      <c r="E1201" s="1603"/>
      <c r="F1201" s="1603"/>
      <c r="G1201" s="1603"/>
      <c r="H1201" s="131" t="s">
        <v>156</v>
      </c>
      <c r="I1201" s="101">
        <v>21100</v>
      </c>
      <c r="J1201" s="102">
        <v>36000</v>
      </c>
      <c r="K1201" s="101">
        <v>13600</v>
      </c>
      <c r="L1201" s="101">
        <v>36000</v>
      </c>
      <c r="M1201" s="6"/>
      <c r="N1201" s="6"/>
    </row>
    <row r="1202" spans="1:14" s="48" customFormat="1" ht="18" customHeight="1" x14ac:dyDescent="0.25">
      <c r="A1202" s="519"/>
      <c r="B1202" s="499" t="s">
        <v>123</v>
      </c>
      <c r="C1202" s="499" t="s">
        <v>1388</v>
      </c>
      <c r="D1202" s="1602" t="s">
        <v>157</v>
      </c>
      <c r="E1202" s="1603"/>
      <c r="F1202" s="1603"/>
      <c r="G1202" s="1603"/>
      <c r="H1202" s="131" t="s">
        <v>158</v>
      </c>
      <c r="I1202" s="101">
        <v>47573.06</v>
      </c>
      <c r="J1202" s="102">
        <v>114830.24</v>
      </c>
      <c r="K1202" s="101">
        <v>34804.33</v>
      </c>
      <c r="L1202" s="101">
        <v>291221.27</v>
      </c>
      <c r="M1202" s="6"/>
      <c r="N1202" s="6"/>
    </row>
    <row r="1203" spans="1:14" s="48" customFormat="1" ht="18" customHeight="1" x14ac:dyDescent="0.25">
      <c r="A1203" s="519"/>
      <c r="B1203" s="499" t="s">
        <v>123</v>
      </c>
      <c r="C1203" s="499" t="s">
        <v>1388</v>
      </c>
      <c r="D1203" s="1602" t="s">
        <v>159</v>
      </c>
      <c r="E1203" s="1603"/>
      <c r="F1203" s="1603"/>
      <c r="G1203" s="1603"/>
      <c r="H1203" s="131" t="s">
        <v>160</v>
      </c>
      <c r="I1203" s="101">
        <v>21100</v>
      </c>
      <c r="J1203" s="102">
        <v>36000</v>
      </c>
      <c r="K1203" s="101">
        <v>13600</v>
      </c>
      <c r="L1203" s="101">
        <v>36000</v>
      </c>
      <c r="M1203" s="6"/>
      <c r="N1203" s="6"/>
    </row>
    <row r="1204" spans="1:14" s="48" customFormat="1" ht="18" customHeight="1" x14ac:dyDescent="0.25">
      <c r="A1204" s="154"/>
      <c r="B1204" s="499" t="s">
        <v>163</v>
      </c>
      <c r="C1204" s="499" t="s">
        <v>1388</v>
      </c>
      <c r="D1204" s="44" t="s">
        <v>164</v>
      </c>
      <c r="E1204" s="125"/>
      <c r="F1204" s="125"/>
      <c r="G1204" s="134"/>
      <c r="H1204" s="131" t="s">
        <v>165</v>
      </c>
      <c r="I1204" s="101">
        <v>436061</v>
      </c>
      <c r="J1204" s="102">
        <v>890000</v>
      </c>
      <c r="K1204" s="101">
        <v>293615</v>
      </c>
      <c r="L1204" s="101">
        <v>932000</v>
      </c>
      <c r="M1204" s="6"/>
      <c r="N1204" s="6"/>
    </row>
    <row r="1205" spans="1:14" s="48" customFormat="1" ht="18" customHeight="1" x14ac:dyDescent="0.25">
      <c r="A1205" s="154"/>
      <c r="B1205" s="499" t="s">
        <v>163</v>
      </c>
      <c r="C1205" s="499" t="s">
        <v>1388</v>
      </c>
      <c r="D1205" s="44" t="s">
        <v>166</v>
      </c>
      <c r="E1205" s="125"/>
      <c r="F1205" s="125"/>
      <c r="G1205" s="134"/>
      <c r="H1205" s="131" t="s">
        <v>293</v>
      </c>
      <c r="I1205" s="101"/>
      <c r="J1205" s="102"/>
      <c r="K1205" s="101"/>
      <c r="L1205" s="101">
        <v>50000</v>
      </c>
      <c r="M1205" s="6"/>
      <c r="N1205" s="6"/>
    </row>
    <row r="1206" spans="1:14" s="48" customFormat="1" ht="18" customHeight="1" x14ac:dyDescent="0.25">
      <c r="A1206" s="154"/>
      <c r="B1206" s="499" t="s">
        <v>163</v>
      </c>
      <c r="C1206" s="499" t="s">
        <v>1388</v>
      </c>
      <c r="D1206" s="44" t="s">
        <v>168</v>
      </c>
      <c r="E1206" s="125"/>
      <c r="F1206" s="125"/>
      <c r="G1206" s="134"/>
      <c r="H1206" s="131" t="s">
        <v>169</v>
      </c>
      <c r="I1206" s="101">
        <v>320917.34999999998</v>
      </c>
      <c r="J1206" s="102">
        <v>457586.25</v>
      </c>
      <c r="K1206" s="101">
        <v>211691</v>
      </c>
      <c r="L1206" s="102">
        <v>1087166.5</v>
      </c>
      <c r="M1206" s="6"/>
      <c r="N1206" s="6"/>
    </row>
    <row r="1207" spans="1:14" s="48" customFormat="1" ht="18" customHeight="1" x14ac:dyDescent="0.25">
      <c r="A1207" s="154"/>
      <c r="B1207" s="499" t="s">
        <v>163</v>
      </c>
      <c r="C1207" s="499" t="s">
        <v>1388</v>
      </c>
      <c r="D1207" s="44" t="s">
        <v>172</v>
      </c>
      <c r="E1207" s="125"/>
      <c r="F1207" s="125"/>
      <c r="G1207" s="134"/>
      <c r="H1207" s="131" t="s">
        <v>173</v>
      </c>
      <c r="I1207" s="101"/>
      <c r="J1207" s="102">
        <v>0</v>
      </c>
      <c r="K1207" s="101"/>
      <c r="L1207" s="102"/>
      <c r="M1207" s="6"/>
      <c r="N1207" s="6"/>
    </row>
    <row r="1208" spans="1:14" s="48" customFormat="1" ht="18" customHeight="1" x14ac:dyDescent="0.25">
      <c r="A1208" s="154"/>
      <c r="B1208" s="499" t="s">
        <v>163</v>
      </c>
      <c r="C1208" s="499" t="s">
        <v>1388</v>
      </c>
      <c r="D1208" s="44" t="s">
        <v>170</v>
      </c>
      <c r="E1208" s="125"/>
      <c r="F1208" s="125"/>
      <c r="G1208" s="134"/>
      <c r="H1208" s="131" t="s">
        <v>171</v>
      </c>
      <c r="I1208" s="101"/>
      <c r="J1208" s="102"/>
      <c r="K1208" s="101"/>
      <c r="L1208" s="102">
        <v>417885</v>
      </c>
      <c r="M1208" s="6"/>
      <c r="N1208" s="6"/>
    </row>
    <row r="1209" spans="1:14" s="48" customFormat="1" ht="18" customHeight="1" x14ac:dyDescent="0.25">
      <c r="A1209" s="154"/>
      <c r="B1209" s="499" t="s">
        <v>163</v>
      </c>
      <c r="C1209" s="499" t="s">
        <v>1388</v>
      </c>
      <c r="D1209" s="536" t="s">
        <v>519</v>
      </c>
      <c r="F1209" s="502"/>
      <c r="G1209" s="503"/>
      <c r="H1209" s="131" t="s">
        <v>171</v>
      </c>
      <c r="I1209" s="101"/>
      <c r="J1209" s="102">
        <v>15000</v>
      </c>
      <c r="K1209" s="101"/>
      <c r="L1209" s="101"/>
      <c r="M1209" s="6"/>
      <c r="N1209" s="6"/>
    </row>
    <row r="1210" spans="1:14" s="48" customFormat="1" ht="18" customHeight="1" x14ac:dyDescent="0.25">
      <c r="A1210" s="154"/>
      <c r="B1210" s="499" t="s">
        <v>163</v>
      </c>
      <c r="C1210" s="499" t="s">
        <v>1388</v>
      </c>
      <c r="D1210" s="536" t="s">
        <v>520</v>
      </c>
      <c r="F1210" s="502"/>
      <c r="G1210" s="503"/>
      <c r="H1210" s="131" t="s">
        <v>171</v>
      </c>
      <c r="I1210" s="101"/>
      <c r="J1210" s="102">
        <v>18500</v>
      </c>
      <c r="K1210" s="101"/>
      <c r="L1210" s="101"/>
      <c r="M1210" s="6"/>
      <c r="N1210" s="6"/>
    </row>
    <row r="1211" spans="1:14" s="48" customFormat="1" ht="18" customHeight="1" x14ac:dyDescent="0.25">
      <c r="A1211" s="154"/>
      <c r="B1211" s="499" t="s">
        <v>163</v>
      </c>
      <c r="C1211" s="499" t="s">
        <v>1388</v>
      </c>
      <c r="D1211" s="536" t="s">
        <v>521</v>
      </c>
      <c r="F1211" s="502"/>
      <c r="G1211" s="503"/>
      <c r="H1211" s="131" t="s">
        <v>171</v>
      </c>
      <c r="I1211" s="101"/>
      <c r="J1211" s="102">
        <v>3600</v>
      </c>
      <c r="K1211" s="101"/>
      <c r="L1211" s="101"/>
      <c r="M1211" s="6"/>
      <c r="N1211" s="6"/>
    </row>
    <row r="1212" spans="1:14" s="48" customFormat="1" ht="18" customHeight="1" x14ac:dyDescent="0.25">
      <c r="A1212" s="154"/>
      <c r="B1212" s="499" t="s">
        <v>163</v>
      </c>
      <c r="C1212" s="499" t="s">
        <v>1388</v>
      </c>
      <c r="D1212" s="536" t="s">
        <v>522</v>
      </c>
      <c r="F1212" s="502"/>
      <c r="G1212" s="503"/>
      <c r="H1212" s="131" t="s">
        <v>171</v>
      </c>
      <c r="I1212" s="101"/>
      <c r="J1212" s="102">
        <v>7500</v>
      </c>
      <c r="K1212" s="101"/>
      <c r="L1212" s="101"/>
      <c r="M1212" s="6"/>
      <c r="N1212" s="6"/>
    </row>
    <row r="1213" spans="1:14" s="48" customFormat="1" ht="18" customHeight="1" x14ac:dyDescent="0.25">
      <c r="A1213" s="154"/>
      <c r="B1213" s="499" t="s">
        <v>163</v>
      </c>
      <c r="C1213" s="499" t="s">
        <v>1388</v>
      </c>
      <c r="D1213" s="536" t="s">
        <v>523</v>
      </c>
      <c r="F1213" s="502"/>
      <c r="G1213" s="503"/>
      <c r="H1213" s="131" t="s">
        <v>171</v>
      </c>
      <c r="I1213" s="101"/>
      <c r="J1213" s="102">
        <v>6000</v>
      </c>
      <c r="K1213" s="101"/>
      <c r="L1213" s="101"/>
      <c r="M1213" s="6"/>
      <c r="N1213" s="6"/>
    </row>
    <row r="1214" spans="1:14" s="48" customFormat="1" ht="18" customHeight="1" x14ac:dyDescent="0.25">
      <c r="A1214" s="154"/>
      <c r="B1214" s="499" t="s">
        <v>163</v>
      </c>
      <c r="C1214" s="499" t="s">
        <v>1388</v>
      </c>
      <c r="D1214" s="536" t="s">
        <v>524</v>
      </c>
      <c r="F1214" s="502"/>
      <c r="G1214" s="503"/>
      <c r="H1214" s="131" t="s">
        <v>171</v>
      </c>
      <c r="I1214" s="101"/>
      <c r="J1214" s="102">
        <v>10300</v>
      </c>
      <c r="K1214" s="101"/>
      <c r="L1214" s="101"/>
      <c r="M1214" s="6"/>
      <c r="N1214" s="6"/>
    </row>
    <row r="1215" spans="1:14" s="48" customFormat="1" ht="18" customHeight="1" x14ac:dyDescent="0.25">
      <c r="A1215" s="154"/>
      <c r="B1215" s="499" t="s">
        <v>163</v>
      </c>
      <c r="C1215" s="499" t="s">
        <v>1388</v>
      </c>
      <c r="D1215" s="536" t="s">
        <v>525</v>
      </c>
      <c r="F1215" s="502"/>
      <c r="G1215" s="503"/>
      <c r="H1215" s="131" t="s">
        <v>171</v>
      </c>
      <c r="I1215" s="101"/>
      <c r="J1215" s="102">
        <v>10000</v>
      </c>
      <c r="K1215" s="101"/>
      <c r="L1215" s="101"/>
      <c r="M1215" s="6"/>
      <c r="N1215" s="6"/>
    </row>
    <row r="1216" spans="1:14" s="48" customFormat="1" ht="18" customHeight="1" x14ac:dyDescent="0.25">
      <c r="A1216" s="154"/>
      <c r="B1216" s="499" t="s">
        <v>163</v>
      </c>
      <c r="C1216" s="499" t="s">
        <v>1388</v>
      </c>
      <c r="D1216" s="536" t="s">
        <v>526</v>
      </c>
      <c r="F1216" s="502"/>
      <c r="G1216" s="503"/>
      <c r="H1216" s="131" t="s">
        <v>171</v>
      </c>
      <c r="I1216" s="101"/>
      <c r="J1216" s="102">
        <v>130000</v>
      </c>
      <c r="K1216" s="101"/>
      <c r="L1216" s="101"/>
      <c r="M1216" s="6"/>
      <c r="N1216" s="6"/>
    </row>
    <row r="1217" spans="1:14" s="48" customFormat="1" ht="18" customHeight="1" x14ac:dyDescent="0.25">
      <c r="A1217" s="154"/>
      <c r="B1217" s="499" t="s">
        <v>163</v>
      </c>
      <c r="C1217" s="499" t="s">
        <v>1388</v>
      </c>
      <c r="D1217" s="44" t="s">
        <v>527</v>
      </c>
      <c r="F1217" s="125"/>
      <c r="G1217" s="134"/>
      <c r="H1217" s="131" t="s">
        <v>171</v>
      </c>
      <c r="I1217" s="101">
        <v>40000</v>
      </c>
      <c r="J1217" s="102">
        <v>0</v>
      </c>
      <c r="K1217" s="101"/>
      <c r="L1217" s="101"/>
      <c r="M1217" s="6"/>
      <c r="N1217" s="6"/>
    </row>
    <row r="1218" spans="1:14" s="48" customFormat="1" ht="18" customHeight="1" x14ac:dyDescent="0.25">
      <c r="A1218" s="154"/>
      <c r="B1218" s="499" t="s">
        <v>163</v>
      </c>
      <c r="C1218" s="499" t="s">
        <v>1388</v>
      </c>
      <c r="D1218" s="44" t="s">
        <v>174</v>
      </c>
      <c r="E1218" s="125"/>
      <c r="F1218" s="125"/>
      <c r="G1218" s="134"/>
      <c r="H1218" s="131" t="s">
        <v>171</v>
      </c>
      <c r="I1218" s="101">
        <v>20999</v>
      </c>
      <c r="J1218" s="102">
        <v>280500</v>
      </c>
      <c r="K1218" s="101"/>
      <c r="L1218" s="101"/>
      <c r="M1218" s="6"/>
      <c r="N1218" s="6"/>
    </row>
    <row r="1219" spans="1:14" s="48" customFormat="1" ht="18" customHeight="1" x14ac:dyDescent="0.25">
      <c r="A1219" s="154"/>
      <c r="B1219" s="499" t="s">
        <v>163</v>
      </c>
      <c r="C1219" s="499" t="s">
        <v>1388</v>
      </c>
      <c r="D1219" s="44" t="s">
        <v>176</v>
      </c>
      <c r="E1219" s="125"/>
      <c r="F1219" s="125"/>
      <c r="G1219" s="134"/>
      <c r="H1219" s="131" t="s">
        <v>177</v>
      </c>
      <c r="I1219" s="101">
        <v>0</v>
      </c>
      <c r="J1219" s="102">
        <v>4500</v>
      </c>
      <c r="K1219" s="101"/>
      <c r="L1219" s="101">
        <v>4500</v>
      </c>
      <c r="M1219" s="6"/>
      <c r="N1219" s="6"/>
    </row>
    <row r="1220" spans="1:14" s="48" customFormat="1" ht="18" customHeight="1" x14ac:dyDescent="0.25">
      <c r="A1220" s="154"/>
      <c r="B1220" s="499" t="s">
        <v>163</v>
      </c>
      <c r="C1220" s="499" t="s">
        <v>1388</v>
      </c>
      <c r="D1220" s="44" t="s">
        <v>178</v>
      </c>
      <c r="E1220" s="125"/>
      <c r="F1220" s="125"/>
      <c r="G1220" s="134"/>
      <c r="H1220" s="131" t="s">
        <v>179</v>
      </c>
      <c r="I1220" s="101"/>
      <c r="J1220" s="102"/>
      <c r="K1220" s="101"/>
      <c r="L1220" s="102">
        <v>84000</v>
      </c>
      <c r="M1220" s="6"/>
      <c r="N1220" s="6"/>
    </row>
    <row r="1221" spans="1:14" s="48" customFormat="1" ht="18" customHeight="1" x14ac:dyDescent="0.25">
      <c r="A1221" s="154"/>
      <c r="B1221" s="499" t="s">
        <v>163</v>
      </c>
      <c r="C1221" s="499" t="s">
        <v>1388</v>
      </c>
      <c r="D1221" s="44" t="s">
        <v>181</v>
      </c>
      <c r="E1221" s="125"/>
      <c r="F1221" s="125"/>
      <c r="G1221" s="134"/>
      <c r="H1221" s="131" t="s">
        <v>179</v>
      </c>
      <c r="I1221" s="101">
        <v>42000</v>
      </c>
      <c r="J1221" s="102">
        <v>42000</v>
      </c>
      <c r="K1221" s="101">
        <v>21000</v>
      </c>
      <c r="L1221" s="102"/>
      <c r="M1221" s="112">
        <v>42000</v>
      </c>
      <c r="N1221" s="6"/>
    </row>
    <row r="1222" spans="1:14" s="48" customFormat="1" ht="18" customHeight="1" x14ac:dyDescent="0.25">
      <c r="A1222" s="154"/>
      <c r="B1222" s="499" t="s">
        <v>163</v>
      </c>
      <c r="C1222" s="499" t="s">
        <v>1388</v>
      </c>
      <c r="D1222" s="44" t="s">
        <v>289</v>
      </c>
      <c r="E1222" s="125"/>
      <c r="F1222" s="125"/>
      <c r="G1222" s="134"/>
      <c r="H1222" s="131" t="s">
        <v>179</v>
      </c>
      <c r="I1222" s="101">
        <v>24350.23</v>
      </c>
      <c r="J1222" s="102">
        <v>42000</v>
      </c>
      <c r="K1222" s="101">
        <v>21306.45</v>
      </c>
      <c r="L1222" s="102"/>
      <c r="M1222" s="112">
        <v>42000</v>
      </c>
      <c r="N1222" s="6"/>
    </row>
    <row r="1223" spans="1:14" s="48" customFormat="1" ht="18" customHeight="1" x14ac:dyDescent="0.25">
      <c r="A1223" s="154"/>
      <c r="B1223" s="499" t="s">
        <v>163</v>
      </c>
      <c r="C1223" s="499" t="s">
        <v>1388</v>
      </c>
      <c r="D1223" s="44" t="s">
        <v>182</v>
      </c>
      <c r="E1223" s="125"/>
      <c r="F1223" s="125"/>
      <c r="G1223" s="134"/>
      <c r="H1223" s="131" t="s">
        <v>183</v>
      </c>
      <c r="I1223" s="101">
        <v>12175.12</v>
      </c>
      <c r="J1223" s="102"/>
      <c r="K1223" s="101"/>
      <c r="L1223" s="102"/>
      <c r="M1223" s="6"/>
      <c r="N1223" s="6"/>
    </row>
    <row r="1224" spans="1:14" s="48" customFormat="1" ht="18" customHeight="1" x14ac:dyDescent="0.25">
      <c r="A1224" s="154"/>
      <c r="B1224" s="499" t="s">
        <v>163</v>
      </c>
      <c r="C1224" s="499" t="s">
        <v>1388</v>
      </c>
      <c r="D1224" s="44" t="s">
        <v>186</v>
      </c>
      <c r="E1224" s="125"/>
      <c r="F1224" s="125"/>
      <c r="G1224" s="134"/>
      <c r="H1224" s="131" t="s">
        <v>187</v>
      </c>
      <c r="I1224" s="101">
        <v>13000</v>
      </c>
      <c r="J1224" s="102">
        <v>155000</v>
      </c>
      <c r="K1224" s="101"/>
      <c r="L1224" s="101">
        <v>185000</v>
      </c>
      <c r="M1224" s="6"/>
      <c r="N1224" s="6">
        <f>155000+30000</f>
        <v>185000</v>
      </c>
    </row>
    <row r="1225" spans="1:14" s="48" customFormat="1" ht="18" customHeight="1" x14ac:dyDescent="0.25">
      <c r="A1225" s="154"/>
      <c r="B1225" s="499" t="s">
        <v>163</v>
      </c>
      <c r="C1225" s="499" t="s">
        <v>1388</v>
      </c>
      <c r="D1225" s="44" t="s">
        <v>528</v>
      </c>
      <c r="E1225" s="125"/>
      <c r="F1225" s="125"/>
      <c r="G1225" s="134"/>
      <c r="H1225" s="131" t="s">
        <v>189</v>
      </c>
      <c r="I1225" s="101"/>
      <c r="J1225" s="102">
        <v>0</v>
      </c>
      <c r="K1225" s="101"/>
      <c r="L1225" s="101">
        <v>100000</v>
      </c>
      <c r="M1225" s="6"/>
      <c r="N1225" s="6"/>
    </row>
    <row r="1226" spans="1:14" s="48" customFormat="1" ht="18" customHeight="1" x14ac:dyDescent="0.25">
      <c r="A1226" s="154"/>
      <c r="B1226" s="499" t="s">
        <v>163</v>
      </c>
      <c r="C1226" s="499" t="s">
        <v>1388</v>
      </c>
      <c r="D1226" s="44" t="s">
        <v>457</v>
      </c>
      <c r="E1226" s="125"/>
      <c r="F1226" s="125"/>
      <c r="G1226" s="134"/>
      <c r="H1226" s="131" t="s">
        <v>237</v>
      </c>
      <c r="I1226" s="101"/>
      <c r="J1226" s="102"/>
      <c r="K1226" s="101"/>
      <c r="L1226" s="101"/>
      <c r="M1226" s="6"/>
      <c r="N1226" s="6"/>
    </row>
    <row r="1227" spans="1:14" s="48" customFormat="1" ht="18" customHeight="1" x14ac:dyDescent="0.25">
      <c r="A1227" s="154"/>
      <c r="B1227" s="499" t="s">
        <v>163</v>
      </c>
      <c r="C1227" s="499" t="s">
        <v>1388</v>
      </c>
      <c r="D1227" s="44" t="s">
        <v>198</v>
      </c>
      <c r="E1227" s="125"/>
      <c r="F1227" s="125"/>
      <c r="G1227" s="134"/>
      <c r="H1227" s="131" t="s">
        <v>199</v>
      </c>
      <c r="I1227" s="101">
        <v>371478.43</v>
      </c>
      <c r="J1227" s="102">
        <v>1343892.4</v>
      </c>
      <c r="K1227" s="101">
        <v>271288.32000000001</v>
      </c>
      <c r="L1227" s="105">
        <v>2056360.4</v>
      </c>
      <c r="M1227" s="6">
        <f>2106360.4-50000</f>
        <v>2056360.4</v>
      </c>
      <c r="N1227" s="6"/>
    </row>
    <row r="1228" spans="1:14" s="136" customFormat="1" ht="18" customHeight="1" x14ac:dyDescent="0.25">
      <c r="A1228" s="164"/>
      <c r="B1228" s="499" t="s">
        <v>201</v>
      </c>
      <c r="C1228" s="499" t="s">
        <v>1388</v>
      </c>
      <c r="D1228" s="535" t="s">
        <v>529</v>
      </c>
      <c r="E1228" s="529"/>
      <c r="F1228" s="529"/>
      <c r="G1228" s="529"/>
      <c r="H1228" s="120"/>
      <c r="I1228" s="121"/>
      <c r="J1228" s="145"/>
      <c r="K1228" s="121"/>
      <c r="L1228" s="121">
        <v>183600</v>
      </c>
      <c r="M1228" s="6"/>
      <c r="N1228" s="6"/>
    </row>
    <row r="1229" spans="1:14" s="136" customFormat="1" ht="18" customHeight="1" x14ac:dyDescent="0.25">
      <c r="A1229" s="519"/>
      <c r="B1229" s="499" t="s">
        <v>201</v>
      </c>
      <c r="C1229" s="499" t="s">
        <v>1388</v>
      </c>
      <c r="D1229" s="536" t="s">
        <v>530</v>
      </c>
      <c r="E1229" s="499"/>
      <c r="F1229" s="499"/>
      <c r="G1229" s="499"/>
      <c r="H1229" s="97"/>
      <c r="I1229" s="101"/>
      <c r="J1229" s="102"/>
      <c r="K1229" s="101"/>
      <c r="L1229" s="101">
        <v>56000</v>
      </c>
      <c r="M1229" s="6"/>
      <c r="N1229" s="6"/>
    </row>
    <row r="1230" spans="1:14" s="136" customFormat="1" ht="18" customHeight="1" x14ac:dyDescent="0.25">
      <c r="A1230" s="519"/>
      <c r="B1230" s="499" t="s">
        <v>201</v>
      </c>
      <c r="C1230" s="499" t="s">
        <v>1388</v>
      </c>
      <c r="D1230" s="536" t="s">
        <v>531</v>
      </c>
      <c r="E1230" s="499"/>
      <c r="F1230" s="499"/>
      <c r="G1230" s="499"/>
      <c r="H1230" s="97"/>
      <c r="I1230" s="101"/>
      <c r="J1230" s="102"/>
      <c r="K1230" s="101"/>
      <c r="L1230" s="101">
        <v>40000</v>
      </c>
      <c r="M1230" s="6"/>
      <c r="N1230" s="6"/>
    </row>
    <row r="1231" spans="1:14" s="136" customFormat="1" ht="18" customHeight="1" x14ac:dyDescent="0.25">
      <c r="A1231" s="519"/>
      <c r="B1231" s="499" t="s">
        <v>201</v>
      </c>
      <c r="C1231" s="499" t="s">
        <v>1388</v>
      </c>
      <c r="D1231" s="536" t="s">
        <v>532</v>
      </c>
      <c r="E1231" s="499"/>
      <c r="F1231" s="499"/>
      <c r="G1231" s="499"/>
      <c r="H1231" s="97"/>
      <c r="I1231" s="101"/>
      <c r="J1231" s="102"/>
      <c r="K1231" s="101"/>
      <c r="L1231" s="101">
        <v>58500</v>
      </c>
      <c r="M1231" s="6"/>
      <c r="N1231" s="6"/>
    </row>
    <row r="1232" spans="1:14" s="136" customFormat="1" ht="18" customHeight="1" x14ac:dyDescent="0.25">
      <c r="A1232" s="519"/>
      <c r="B1232" s="499" t="s">
        <v>201</v>
      </c>
      <c r="C1232" s="499" t="s">
        <v>1388</v>
      </c>
      <c r="D1232" s="536" t="s">
        <v>203</v>
      </c>
      <c r="E1232" s="499"/>
      <c r="F1232" s="499"/>
      <c r="G1232" s="499"/>
      <c r="H1232" s="97"/>
      <c r="I1232" s="101"/>
      <c r="J1232" s="102"/>
      <c r="K1232" s="101"/>
      <c r="L1232" s="101">
        <v>115000</v>
      </c>
      <c r="M1232" s="6"/>
      <c r="N1232" s="6"/>
    </row>
    <row r="1233" spans="1:14" s="136" customFormat="1" ht="18" customHeight="1" x14ac:dyDescent="0.25">
      <c r="A1233" s="519"/>
      <c r="B1233" s="499" t="s">
        <v>201</v>
      </c>
      <c r="C1233" s="499" t="s">
        <v>1388</v>
      </c>
      <c r="D1233" s="536" t="s">
        <v>533</v>
      </c>
      <c r="E1233" s="513"/>
      <c r="F1233" s="499"/>
      <c r="G1233" s="499"/>
      <c r="H1233" s="97"/>
      <c r="I1233" s="101"/>
      <c r="J1233" s="102"/>
      <c r="K1233" s="101"/>
      <c r="L1233" s="101">
        <v>90000</v>
      </c>
      <c r="M1233" s="6"/>
      <c r="N1233" s="6"/>
    </row>
    <row r="1234" spans="1:14" s="136" customFormat="1" ht="18" customHeight="1" x14ac:dyDescent="0.25">
      <c r="A1234" s="519"/>
      <c r="B1234" s="499" t="s">
        <v>201</v>
      </c>
      <c r="C1234" s="499" t="s">
        <v>1388</v>
      </c>
      <c r="D1234" s="536" t="s">
        <v>534</v>
      </c>
      <c r="E1234" s="513"/>
      <c r="F1234" s="499"/>
      <c r="G1234" s="499"/>
      <c r="H1234" s="97"/>
      <c r="I1234" s="101"/>
      <c r="J1234" s="102"/>
      <c r="K1234" s="101"/>
      <c r="L1234" s="101">
        <v>600000</v>
      </c>
      <c r="M1234" s="6"/>
      <c r="N1234" s="6"/>
    </row>
    <row r="1235" spans="1:14" s="136" customFormat="1" ht="18" customHeight="1" x14ac:dyDescent="0.25">
      <c r="A1235" s="519"/>
      <c r="B1235" s="499" t="s">
        <v>201</v>
      </c>
      <c r="C1235" s="499" t="s">
        <v>1388</v>
      </c>
      <c r="D1235" s="536" t="s">
        <v>535</v>
      </c>
      <c r="E1235" s="513"/>
      <c r="F1235" s="499"/>
      <c r="G1235" s="499"/>
      <c r="H1235" s="97"/>
      <c r="I1235" s="101"/>
      <c r="J1235" s="102"/>
      <c r="K1235" s="112"/>
      <c r="L1235" s="101">
        <v>4000000</v>
      </c>
      <c r="M1235" s="6"/>
      <c r="N1235" s="6"/>
    </row>
    <row r="1236" spans="1:14" s="136" customFormat="1" ht="18" customHeight="1" x14ac:dyDescent="0.25">
      <c r="A1236" s="519"/>
      <c r="B1236" s="499" t="s">
        <v>201</v>
      </c>
      <c r="C1236" s="499" t="s">
        <v>1388</v>
      </c>
      <c r="D1236" s="1602" t="s">
        <v>536</v>
      </c>
      <c r="E1236" s="1603"/>
      <c r="F1236" s="1603"/>
      <c r="G1236" s="1603"/>
      <c r="H1236" s="97"/>
      <c r="I1236" s="101"/>
      <c r="J1236" s="102">
        <v>30000</v>
      </c>
      <c r="K1236" s="112"/>
      <c r="L1236" s="101"/>
      <c r="M1236" s="6"/>
      <c r="N1236" s="6"/>
    </row>
    <row r="1237" spans="1:14" s="136" customFormat="1" ht="18" customHeight="1" x14ac:dyDescent="0.25">
      <c r="A1237" s="519"/>
      <c r="B1237" s="499" t="s">
        <v>201</v>
      </c>
      <c r="C1237" s="499" t="s">
        <v>1388</v>
      </c>
      <c r="D1237" s="1602" t="s">
        <v>537</v>
      </c>
      <c r="E1237" s="1603"/>
      <c r="F1237" s="1603"/>
      <c r="G1237" s="1603"/>
      <c r="H1237" s="232"/>
      <c r="I1237" s="101"/>
      <c r="J1237" s="102">
        <v>30000</v>
      </c>
      <c r="K1237" s="141"/>
      <c r="L1237" s="101"/>
      <c r="M1237" s="6"/>
      <c r="N1237" s="6"/>
    </row>
    <row r="1238" spans="1:14" s="136" customFormat="1" ht="18" customHeight="1" x14ac:dyDescent="0.25">
      <c r="A1238" s="519"/>
      <c r="B1238" s="499" t="s">
        <v>201</v>
      </c>
      <c r="C1238" s="499" t="s">
        <v>1388</v>
      </c>
      <c r="D1238" s="1602" t="s">
        <v>538</v>
      </c>
      <c r="E1238" s="1603"/>
      <c r="F1238" s="1603"/>
      <c r="G1238" s="1603"/>
      <c r="H1238" s="97"/>
      <c r="I1238" s="101"/>
      <c r="J1238" s="102">
        <v>40000</v>
      </c>
      <c r="K1238" s="112"/>
      <c r="L1238" s="101"/>
      <c r="M1238" s="6"/>
      <c r="N1238" s="6"/>
    </row>
    <row r="1239" spans="1:14" s="48" customFormat="1" ht="18" customHeight="1" x14ac:dyDescent="0.25">
      <c r="A1239" s="495"/>
      <c r="B1239" s="499" t="s">
        <v>201</v>
      </c>
      <c r="C1239" s="499" t="s">
        <v>1388</v>
      </c>
      <c r="D1239" s="1611" t="s">
        <v>539</v>
      </c>
      <c r="E1239" s="1611"/>
      <c r="F1239" s="496"/>
      <c r="G1239" s="496"/>
      <c r="H1239" s="97"/>
      <c r="I1239" s="101"/>
      <c r="J1239" s="102">
        <v>35000</v>
      </c>
      <c r="K1239" s="112"/>
      <c r="L1239" s="101"/>
      <c r="M1239" s="6"/>
      <c r="N1239" s="6"/>
    </row>
    <row r="1240" spans="1:14" s="136" customFormat="1" ht="18" customHeight="1" x14ac:dyDescent="0.25">
      <c r="A1240" s="519"/>
      <c r="B1240" s="499" t="s">
        <v>201</v>
      </c>
      <c r="C1240" s="499" t="s">
        <v>1388</v>
      </c>
      <c r="D1240" s="1602" t="s">
        <v>540</v>
      </c>
      <c r="E1240" s="1603"/>
      <c r="F1240" s="1603"/>
      <c r="G1240" s="1603"/>
      <c r="H1240" s="97"/>
      <c r="I1240" s="101"/>
      <c r="J1240" s="102">
        <v>25230</v>
      </c>
      <c r="K1240" s="112"/>
      <c r="L1240" s="101"/>
      <c r="M1240" s="6"/>
      <c r="N1240" s="6"/>
    </row>
    <row r="1241" spans="1:14" s="136" customFormat="1" ht="18" customHeight="1" x14ac:dyDescent="0.25">
      <c r="A1241" s="519"/>
      <c r="B1241" s="499" t="s">
        <v>201</v>
      </c>
      <c r="C1241" s="499" t="s">
        <v>1388</v>
      </c>
      <c r="D1241" s="1602" t="s">
        <v>541</v>
      </c>
      <c r="E1241" s="1603"/>
      <c r="F1241" s="1603"/>
      <c r="G1241" s="1603"/>
      <c r="H1241" s="97"/>
      <c r="I1241" s="101"/>
      <c r="J1241" s="102">
        <v>120000</v>
      </c>
      <c r="K1241" s="112"/>
      <c r="L1241" s="101"/>
      <c r="M1241" s="6"/>
      <c r="N1241" s="6"/>
    </row>
    <row r="1242" spans="1:14" s="136" customFormat="1" ht="18" customHeight="1" x14ac:dyDescent="0.25">
      <c r="A1242" s="519"/>
      <c r="B1242" s="499" t="s">
        <v>201</v>
      </c>
      <c r="C1242" s="499" t="s">
        <v>1388</v>
      </c>
      <c r="D1242" s="1602" t="s">
        <v>542</v>
      </c>
      <c r="E1242" s="1603"/>
      <c r="F1242" s="1603"/>
      <c r="G1242" s="1603"/>
      <c r="H1242" s="97"/>
      <c r="I1242" s="101"/>
      <c r="J1242" s="102">
        <v>25000</v>
      </c>
      <c r="K1242" s="112"/>
      <c r="L1242" s="101"/>
      <c r="M1242" s="6"/>
      <c r="N1242" s="6"/>
    </row>
    <row r="1243" spans="1:14" s="136" customFormat="1" ht="18" customHeight="1" x14ac:dyDescent="0.25">
      <c r="A1243" s="519"/>
      <c r="B1243" s="499" t="s">
        <v>201</v>
      </c>
      <c r="C1243" s="499" t="s">
        <v>1388</v>
      </c>
      <c r="D1243" s="1602" t="s">
        <v>543</v>
      </c>
      <c r="E1243" s="1603"/>
      <c r="F1243" s="1603"/>
      <c r="G1243" s="1603"/>
      <c r="H1243" s="97"/>
      <c r="I1243" s="101"/>
      <c r="J1243" s="102">
        <v>32365</v>
      </c>
      <c r="K1243" s="112"/>
      <c r="L1243" s="101"/>
      <c r="M1243" s="6"/>
      <c r="N1243" s="6"/>
    </row>
    <row r="1244" spans="1:14" s="136" customFormat="1" ht="18" customHeight="1" x14ac:dyDescent="0.25">
      <c r="A1244" s="519"/>
      <c r="B1244" s="499" t="s">
        <v>201</v>
      </c>
      <c r="C1244" s="499" t="s">
        <v>1388</v>
      </c>
      <c r="D1244" s="1602" t="s">
        <v>544</v>
      </c>
      <c r="E1244" s="1603"/>
      <c r="F1244" s="1603"/>
      <c r="G1244" s="1603"/>
      <c r="H1244" s="97"/>
      <c r="I1244" s="101"/>
      <c r="J1244" s="102">
        <v>23800</v>
      </c>
      <c r="K1244" s="112"/>
      <c r="L1244" s="101"/>
      <c r="M1244" s="6"/>
      <c r="N1244" s="6"/>
    </row>
    <row r="1245" spans="1:14" s="136" customFormat="1" ht="18" customHeight="1" x14ac:dyDescent="0.25">
      <c r="A1245" s="519"/>
      <c r="B1245" s="499" t="s">
        <v>201</v>
      </c>
      <c r="C1245" s="499" t="s">
        <v>1388</v>
      </c>
      <c r="D1245" s="1602" t="s">
        <v>545</v>
      </c>
      <c r="E1245" s="1603"/>
      <c r="F1245" s="1603"/>
      <c r="G1245" s="1603"/>
      <c r="H1245" s="97"/>
      <c r="I1245" s="101"/>
      <c r="J1245" s="102">
        <v>50000</v>
      </c>
      <c r="K1245" s="112"/>
      <c r="L1245" s="101"/>
      <c r="M1245" s="6"/>
      <c r="N1245" s="6"/>
    </row>
    <row r="1246" spans="1:14" s="136" customFormat="1" ht="18" customHeight="1" x14ac:dyDescent="0.25">
      <c r="A1246" s="519"/>
      <c r="B1246" s="499" t="s">
        <v>201</v>
      </c>
      <c r="C1246" s="499" t="s">
        <v>1388</v>
      </c>
      <c r="D1246" s="1602" t="s">
        <v>546</v>
      </c>
      <c r="E1246" s="1603"/>
      <c r="F1246" s="1603"/>
      <c r="G1246" s="1603"/>
      <c r="H1246" s="97"/>
      <c r="I1246" s="101"/>
      <c r="J1246" s="102">
        <v>40000</v>
      </c>
      <c r="K1246" s="112"/>
      <c r="L1246" s="101"/>
      <c r="M1246" s="6"/>
      <c r="N1246" s="6"/>
    </row>
    <row r="1247" spans="1:14" s="136" customFormat="1" ht="18" customHeight="1" x14ac:dyDescent="0.25">
      <c r="A1247" s="519"/>
      <c r="B1247" s="499" t="s">
        <v>201</v>
      </c>
      <c r="C1247" s="499" t="s">
        <v>1388</v>
      </c>
      <c r="D1247" s="1602" t="s">
        <v>547</v>
      </c>
      <c r="E1247" s="1603"/>
      <c r="F1247" s="1603"/>
      <c r="G1247" s="1603"/>
      <c r="H1247" s="97"/>
      <c r="I1247" s="101"/>
      <c r="J1247" s="102">
        <v>30000</v>
      </c>
      <c r="K1247" s="112"/>
      <c r="L1247" s="101"/>
      <c r="M1247" s="6"/>
      <c r="N1247" s="6"/>
    </row>
    <row r="1248" spans="1:14" s="136" customFormat="1" ht="21" customHeight="1" x14ac:dyDescent="0.25">
      <c r="A1248" s="519"/>
      <c r="B1248" s="499" t="s">
        <v>201</v>
      </c>
      <c r="C1248" s="499" t="s">
        <v>1388</v>
      </c>
      <c r="D1248" s="1602" t="s">
        <v>548</v>
      </c>
      <c r="E1248" s="1603"/>
      <c r="F1248" s="1603"/>
      <c r="G1248" s="1603"/>
      <c r="H1248" s="97"/>
      <c r="I1248" s="101"/>
      <c r="J1248" s="102">
        <v>250000</v>
      </c>
      <c r="K1248" s="112"/>
      <c r="L1248" s="101"/>
      <c r="M1248" s="6"/>
      <c r="N1248" s="6"/>
    </row>
    <row r="1249" spans="1:16" s="136" customFormat="1" ht="18" customHeight="1" x14ac:dyDescent="0.25">
      <c r="A1249" s="519"/>
      <c r="B1249" s="499" t="s">
        <v>201</v>
      </c>
      <c r="C1249" s="499" t="s">
        <v>1388</v>
      </c>
      <c r="D1249" s="1602" t="s">
        <v>549</v>
      </c>
      <c r="E1249" s="1603"/>
      <c r="F1249" s="1603"/>
      <c r="G1249" s="1603"/>
      <c r="H1249" s="97"/>
      <c r="I1249" s="101"/>
      <c r="J1249" s="102">
        <v>100000</v>
      </c>
      <c r="K1249" s="112"/>
      <c r="L1249" s="101"/>
      <c r="M1249" s="6"/>
      <c r="N1249" s="6"/>
    </row>
    <row r="1250" spans="1:16" s="48" customFormat="1" ht="18" customHeight="1" x14ac:dyDescent="0.25">
      <c r="A1250" s="495"/>
      <c r="B1250" s="499" t="s">
        <v>201</v>
      </c>
      <c r="C1250" s="499" t="s">
        <v>1388</v>
      </c>
      <c r="D1250" s="1602" t="s">
        <v>203</v>
      </c>
      <c r="E1250" s="1603"/>
      <c r="F1250" s="1603"/>
      <c r="G1250" s="1603"/>
      <c r="H1250" s="97"/>
      <c r="I1250" s="101"/>
      <c r="J1250" s="102">
        <v>80000</v>
      </c>
      <c r="K1250" s="112"/>
      <c r="L1250" s="101"/>
      <c r="M1250" s="6"/>
      <c r="N1250" s="6"/>
    </row>
    <row r="1251" spans="1:16" s="48" customFormat="1" ht="21" customHeight="1" x14ac:dyDescent="0.25">
      <c r="A1251" s="495"/>
      <c r="B1251" s="499" t="s">
        <v>201</v>
      </c>
      <c r="C1251" s="499" t="s">
        <v>1388</v>
      </c>
      <c r="D1251" s="1602" t="s">
        <v>550</v>
      </c>
      <c r="E1251" s="1603"/>
      <c r="F1251" s="1603"/>
      <c r="G1251" s="1603"/>
      <c r="H1251" s="97"/>
      <c r="I1251" s="101"/>
      <c r="J1251" s="102">
        <v>230000</v>
      </c>
      <c r="K1251" s="112"/>
      <c r="L1251" s="105"/>
      <c r="M1251" s="6"/>
      <c r="N1251" s="6"/>
    </row>
    <row r="1252" spans="1:16" ht="18" customHeight="1" x14ac:dyDescent="0.25">
      <c r="A1252" s="519"/>
      <c r="B1252" s="499" t="s">
        <v>123</v>
      </c>
      <c r="C1252" s="499" t="s">
        <v>1388</v>
      </c>
      <c r="D1252" s="1602" t="s">
        <v>124</v>
      </c>
      <c r="E1252" s="1603"/>
      <c r="F1252" s="1603"/>
      <c r="G1252" s="1603"/>
      <c r="H1252" s="131" t="s">
        <v>125</v>
      </c>
      <c r="I1252" s="101">
        <v>1262292</v>
      </c>
      <c r="J1252" s="102">
        <v>1262292</v>
      </c>
      <c r="K1252" s="101">
        <v>754831</v>
      </c>
      <c r="L1252" s="101">
        <v>1325712</v>
      </c>
    </row>
    <row r="1253" spans="1:16" ht="18" customHeight="1" x14ac:dyDescent="0.25">
      <c r="A1253" s="519"/>
      <c r="B1253" s="499" t="s">
        <v>123</v>
      </c>
      <c r="C1253" s="499" t="s">
        <v>1388</v>
      </c>
      <c r="D1253" s="1611" t="s">
        <v>128</v>
      </c>
      <c r="E1253" s="1611"/>
      <c r="F1253" s="1611"/>
      <c r="G1253" s="1602"/>
      <c r="H1253" s="131" t="s">
        <v>125</v>
      </c>
      <c r="I1253" s="101">
        <v>0</v>
      </c>
      <c r="J1253" s="102">
        <v>0</v>
      </c>
      <c r="K1253" s="101"/>
      <c r="L1253" s="101">
        <v>2634</v>
      </c>
    </row>
    <row r="1254" spans="1:16" ht="18" customHeight="1" x14ac:dyDescent="0.25">
      <c r="A1254" s="519"/>
      <c r="B1254" s="499" t="s">
        <v>123</v>
      </c>
      <c r="C1254" s="499" t="s">
        <v>1388</v>
      </c>
      <c r="D1254" s="1602" t="s">
        <v>129</v>
      </c>
      <c r="E1254" s="1603"/>
      <c r="F1254" s="1603"/>
      <c r="G1254" s="1603"/>
      <c r="H1254" s="132" t="s">
        <v>130</v>
      </c>
      <c r="I1254" s="101">
        <v>72000</v>
      </c>
      <c r="J1254" s="102">
        <v>72000</v>
      </c>
      <c r="K1254" s="101">
        <v>42000</v>
      </c>
      <c r="L1254" s="101">
        <v>72000</v>
      </c>
    </row>
    <row r="1255" spans="1:16" s="146" customFormat="1" ht="18" customHeight="1" x14ac:dyDescent="0.25">
      <c r="A1255" s="519"/>
      <c r="B1255" s="499" t="s">
        <v>123</v>
      </c>
      <c r="C1255" s="499" t="s">
        <v>1388</v>
      </c>
      <c r="D1255" s="1602" t="s">
        <v>131</v>
      </c>
      <c r="E1255" s="1603"/>
      <c r="F1255" s="1603"/>
      <c r="G1255" s="1603"/>
      <c r="H1255" s="131" t="s">
        <v>132</v>
      </c>
      <c r="I1255" s="101">
        <v>70500</v>
      </c>
      <c r="J1255" s="102">
        <v>72000</v>
      </c>
      <c r="K1255" s="101">
        <v>40500</v>
      </c>
      <c r="L1255" s="101">
        <v>72000</v>
      </c>
      <c r="M1255" s="10"/>
      <c r="N1255" s="10"/>
      <c r="O1255"/>
      <c r="P1255"/>
    </row>
    <row r="1256" spans="1:16" s="146" customFormat="1" ht="18" customHeight="1" x14ac:dyDescent="0.25">
      <c r="A1256" s="519"/>
      <c r="B1256" s="499" t="s">
        <v>123</v>
      </c>
      <c r="C1256" s="499" t="s">
        <v>1388</v>
      </c>
      <c r="D1256" s="1602" t="s">
        <v>133</v>
      </c>
      <c r="E1256" s="1603"/>
      <c r="F1256" s="1603"/>
      <c r="G1256" s="1603"/>
      <c r="H1256" s="131" t="s">
        <v>134</v>
      </c>
      <c r="I1256" s="101">
        <v>70500</v>
      </c>
      <c r="J1256" s="102">
        <v>72000</v>
      </c>
      <c r="K1256" s="101">
        <v>40500</v>
      </c>
      <c r="L1256" s="101">
        <v>72000</v>
      </c>
      <c r="M1256" s="10"/>
      <c r="N1256" s="10"/>
      <c r="O1256"/>
      <c r="P1256"/>
    </row>
    <row r="1257" spans="1:16" s="146" customFormat="1" ht="18" customHeight="1" x14ac:dyDescent="0.25">
      <c r="A1257" s="519"/>
      <c r="B1257" s="499" t="s">
        <v>123</v>
      </c>
      <c r="C1257" s="499" t="s">
        <v>1388</v>
      </c>
      <c r="D1257" s="1602" t="s">
        <v>1370</v>
      </c>
      <c r="E1257" s="1603"/>
      <c r="F1257" s="1603"/>
      <c r="G1257" s="1603"/>
      <c r="H1257" s="131" t="s">
        <v>329</v>
      </c>
      <c r="I1257" s="101"/>
      <c r="J1257" s="102"/>
      <c r="K1257" s="101"/>
      <c r="L1257" s="101">
        <v>1801733.3</v>
      </c>
      <c r="M1257" s="10"/>
      <c r="N1257" s="10"/>
      <c r="O1257"/>
      <c r="P1257"/>
    </row>
    <row r="1258" spans="1:16" s="146" customFormat="1" ht="18" customHeight="1" x14ac:dyDescent="0.25">
      <c r="A1258" s="519"/>
      <c r="B1258" s="499" t="s">
        <v>123</v>
      </c>
      <c r="C1258" s="499" t="s">
        <v>1388</v>
      </c>
      <c r="D1258" s="1602" t="s">
        <v>135</v>
      </c>
      <c r="E1258" s="1603"/>
      <c r="F1258" s="1603"/>
      <c r="G1258" s="1603"/>
      <c r="H1258" s="131" t="s">
        <v>136</v>
      </c>
      <c r="I1258" s="101">
        <v>11812.16</v>
      </c>
      <c r="J1258" s="102">
        <v>97851.56</v>
      </c>
      <c r="K1258" s="101"/>
      <c r="L1258" s="101">
        <v>40812.5</v>
      </c>
      <c r="M1258" s="10"/>
      <c r="N1258" s="10"/>
      <c r="O1258"/>
      <c r="P1258"/>
    </row>
    <row r="1259" spans="1:16" s="146" customFormat="1" ht="18" customHeight="1" x14ac:dyDescent="0.25">
      <c r="A1259" s="519"/>
      <c r="B1259" s="499" t="s">
        <v>123</v>
      </c>
      <c r="C1259" s="499" t="s">
        <v>1388</v>
      </c>
      <c r="D1259" s="1602" t="s">
        <v>137</v>
      </c>
      <c r="E1259" s="1603"/>
      <c r="F1259" s="1603"/>
      <c r="G1259" s="1603"/>
      <c r="H1259" s="131" t="s">
        <v>138</v>
      </c>
      <c r="I1259" s="101">
        <v>18000</v>
      </c>
      <c r="J1259" s="102">
        <v>18000</v>
      </c>
      <c r="K1259" s="101">
        <v>18000</v>
      </c>
      <c r="L1259" s="101">
        <v>18000</v>
      </c>
      <c r="M1259" s="10"/>
      <c r="N1259" s="10"/>
      <c r="O1259"/>
      <c r="P1259"/>
    </row>
    <row r="1260" spans="1:16" s="146" customFormat="1" ht="18" customHeight="1" x14ac:dyDescent="0.25">
      <c r="A1260" s="519"/>
      <c r="B1260" s="499" t="s">
        <v>123</v>
      </c>
      <c r="C1260" s="499" t="s">
        <v>1388</v>
      </c>
      <c r="D1260" s="1602" t="s">
        <v>139</v>
      </c>
      <c r="E1260" s="1603"/>
      <c r="F1260" s="1603"/>
      <c r="G1260" s="1603"/>
      <c r="H1260" s="131" t="s">
        <v>140</v>
      </c>
      <c r="I1260" s="101">
        <v>105191</v>
      </c>
      <c r="J1260" s="102">
        <v>105191</v>
      </c>
      <c r="K1260" s="101">
        <v>107833</v>
      </c>
      <c r="L1260" s="101">
        <v>110707</v>
      </c>
      <c r="M1260" s="10"/>
      <c r="N1260" s="10"/>
      <c r="O1260"/>
      <c r="P1260"/>
    </row>
    <row r="1261" spans="1:16" s="146" customFormat="1" ht="18" customHeight="1" x14ac:dyDescent="0.25">
      <c r="A1261" s="519"/>
      <c r="B1261" s="499" t="s">
        <v>123</v>
      </c>
      <c r="C1261" s="499" t="s">
        <v>1388</v>
      </c>
      <c r="D1261" s="1602" t="s">
        <v>141</v>
      </c>
      <c r="E1261" s="1603"/>
      <c r="F1261" s="1603"/>
      <c r="G1261" s="1603"/>
      <c r="H1261" s="131" t="s">
        <v>142</v>
      </c>
      <c r="I1261" s="101">
        <v>105191</v>
      </c>
      <c r="J1261" s="102">
        <v>105191</v>
      </c>
      <c r="K1261" s="101"/>
      <c r="L1261" s="101">
        <v>110707</v>
      </c>
      <c r="M1261" s="10"/>
      <c r="N1261" s="10"/>
      <c r="O1261"/>
      <c r="P1261"/>
    </row>
    <row r="1262" spans="1:16" s="146" customFormat="1" ht="18" customHeight="1" x14ac:dyDescent="0.25">
      <c r="A1262" s="519"/>
      <c r="B1262" s="499" t="s">
        <v>123</v>
      </c>
      <c r="C1262" s="499" t="s">
        <v>1388</v>
      </c>
      <c r="D1262" s="1602" t="s">
        <v>143</v>
      </c>
      <c r="E1262" s="1603"/>
      <c r="F1262" s="1603"/>
      <c r="G1262" s="1603"/>
      <c r="H1262" s="131" t="s">
        <v>144</v>
      </c>
      <c r="I1262" s="101">
        <v>15000</v>
      </c>
      <c r="J1262" s="102">
        <v>15000</v>
      </c>
      <c r="K1262" s="101"/>
      <c r="L1262" s="101">
        <v>15000</v>
      </c>
      <c r="M1262" s="10"/>
      <c r="N1262" s="10"/>
      <c r="O1262"/>
      <c r="P1262"/>
    </row>
    <row r="1263" spans="1:16" s="146" customFormat="1" ht="18" customHeight="1" x14ac:dyDescent="0.25">
      <c r="A1263" s="519"/>
      <c r="B1263" s="499" t="s">
        <v>123</v>
      </c>
      <c r="C1263" s="499" t="s">
        <v>1388</v>
      </c>
      <c r="D1263" s="1602" t="s">
        <v>145</v>
      </c>
      <c r="E1263" s="1603"/>
      <c r="F1263" s="1603"/>
      <c r="G1263" s="1603"/>
      <c r="H1263" s="131" t="s">
        <v>146</v>
      </c>
      <c r="I1263" s="101">
        <v>15000</v>
      </c>
      <c r="J1263" s="102">
        <v>15000</v>
      </c>
      <c r="K1263" s="101"/>
      <c r="L1263" s="101">
        <v>15000</v>
      </c>
      <c r="M1263" s="10"/>
      <c r="N1263" s="10"/>
      <c r="O1263"/>
      <c r="P1263"/>
    </row>
    <row r="1264" spans="1:16" s="146" customFormat="1" ht="18" customHeight="1" x14ac:dyDescent="0.25">
      <c r="A1264" s="519"/>
      <c r="B1264" s="499" t="s">
        <v>123</v>
      </c>
      <c r="C1264" s="499" t="s">
        <v>1388</v>
      </c>
      <c r="D1264" s="536" t="s">
        <v>147</v>
      </c>
      <c r="E1264" s="499"/>
      <c r="F1264" s="499"/>
      <c r="G1264" s="491"/>
      <c r="H1264" s="131" t="s">
        <v>148</v>
      </c>
      <c r="I1264" s="101"/>
      <c r="J1264" s="102"/>
      <c r="K1264" s="101"/>
      <c r="L1264" s="101">
        <v>9000</v>
      </c>
      <c r="M1264" s="10"/>
      <c r="N1264" s="10"/>
      <c r="O1264"/>
      <c r="P1264"/>
    </row>
    <row r="1265" spans="1:16" s="146" customFormat="1" ht="18" customHeight="1" x14ac:dyDescent="0.25">
      <c r="A1265" s="519"/>
      <c r="B1265" s="499" t="s">
        <v>123</v>
      </c>
      <c r="C1265" s="499" t="s">
        <v>1388</v>
      </c>
      <c r="D1265" s="513" t="s">
        <v>149</v>
      </c>
      <c r="E1265" s="499"/>
      <c r="F1265" s="499"/>
      <c r="G1265" s="491"/>
      <c r="H1265" s="131" t="s">
        <v>150</v>
      </c>
      <c r="I1265" s="101">
        <v>33750</v>
      </c>
      <c r="J1265" s="102"/>
      <c r="K1265" s="101"/>
      <c r="L1265" s="101"/>
      <c r="M1265" s="10"/>
      <c r="N1265" s="10"/>
      <c r="O1265"/>
      <c r="P1265"/>
    </row>
    <row r="1266" spans="1:16" s="146" customFormat="1" ht="18" customHeight="1" x14ac:dyDescent="0.25">
      <c r="A1266" s="519"/>
      <c r="B1266" s="499" t="s">
        <v>123</v>
      </c>
      <c r="C1266" s="499" t="s">
        <v>1388</v>
      </c>
      <c r="D1266" s="1602" t="s">
        <v>151</v>
      </c>
      <c r="E1266" s="1603"/>
      <c r="F1266" s="1603"/>
      <c r="G1266" s="1603"/>
      <c r="H1266" s="131" t="s">
        <v>148</v>
      </c>
      <c r="I1266" s="101">
        <v>30000</v>
      </c>
      <c r="J1266" s="102">
        <v>0</v>
      </c>
      <c r="K1266" s="101"/>
      <c r="L1266" s="101"/>
      <c r="M1266" s="10"/>
      <c r="N1266" s="10"/>
      <c r="O1266"/>
      <c r="P1266"/>
    </row>
    <row r="1267" spans="1:16" s="146" customFormat="1" ht="18" customHeight="1" x14ac:dyDescent="0.25">
      <c r="A1267" s="519"/>
      <c r="B1267" s="499" t="s">
        <v>123</v>
      </c>
      <c r="C1267" s="499" t="s">
        <v>1388</v>
      </c>
      <c r="D1267" s="1611" t="s">
        <v>152</v>
      </c>
      <c r="E1267" s="1611"/>
      <c r="F1267" s="1611"/>
      <c r="G1267" s="1602"/>
      <c r="H1267" s="131"/>
      <c r="I1267" s="101">
        <v>0</v>
      </c>
      <c r="J1267" s="102">
        <v>48943.39</v>
      </c>
      <c r="K1267" s="101"/>
      <c r="L1267" s="101"/>
      <c r="M1267" s="10"/>
      <c r="N1267" s="10"/>
      <c r="O1267"/>
      <c r="P1267"/>
    </row>
    <row r="1268" spans="1:16" s="146" customFormat="1" ht="18" customHeight="1" x14ac:dyDescent="0.25">
      <c r="A1268" s="519"/>
      <c r="B1268" s="499" t="s">
        <v>123</v>
      </c>
      <c r="C1268" s="499" t="s">
        <v>1388</v>
      </c>
      <c r="D1268" s="1602" t="s">
        <v>153</v>
      </c>
      <c r="E1268" s="1603"/>
      <c r="F1268" s="1603"/>
      <c r="G1268" s="1603"/>
      <c r="H1268" s="131" t="s">
        <v>154</v>
      </c>
      <c r="I1268" s="101">
        <v>151475.04</v>
      </c>
      <c r="J1268" s="102">
        <v>151475.04</v>
      </c>
      <c r="K1268" s="101">
        <v>90579.72</v>
      </c>
      <c r="L1268" s="101">
        <v>159401.51999999999</v>
      </c>
      <c r="M1268" s="10"/>
      <c r="N1268" s="10"/>
      <c r="O1268"/>
      <c r="P1268"/>
    </row>
    <row r="1269" spans="1:16" s="146" customFormat="1" ht="18" customHeight="1" x14ac:dyDescent="0.25">
      <c r="A1269" s="519"/>
      <c r="B1269" s="499" t="s">
        <v>123</v>
      </c>
      <c r="C1269" s="499" t="s">
        <v>1388</v>
      </c>
      <c r="D1269" s="1602" t="s">
        <v>155</v>
      </c>
      <c r="E1269" s="1603"/>
      <c r="F1269" s="1603"/>
      <c r="G1269" s="1603"/>
      <c r="H1269" s="131" t="s">
        <v>156</v>
      </c>
      <c r="I1269" s="101">
        <v>3600</v>
      </c>
      <c r="J1269" s="102">
        <v>3600</v>
      </c>
      <c r="K1269" s="101">
        <v>2100</v>
      </c>
      <c r="L1269" s="101">
        <v>3600</v>
      </c>
      <c r="M1269" s="10"/>
      <c r="N1269" s="10"/>
      <c r="O1269"/>
      <c r="P1269"/>
    </row>
    <row r="1270" spans="1:16" s="146" customFormat="1" ht="18" customHeight="1" x14ac:dyDescent="0.25">
      <c r="A1270" s="519"/>
      <c r="B1270" s="499" t="s">
        <v>123</v>
      </c>
      <c r="C1270" s="499" t="s">
        <v>1388</v>
      </c>
      <c r="D1270" s="1602" t="s">
        <v>157</v>
      </c>
      <c r="E1270" s="1603"/>
      <c r="F1270" s="1603"/>
      <c r="G1270" s="1603"/>
      <c r="H1270" s="131" t="s">
        <v>158</v>
      </c>
      <c r="I1270" s="101">
        <v>15309.02</v>
      </c>
      <c r="J1270" s="102">
        <v>19960.5</v>
      </c>
      <c r="K1270" s="101">
        <v>9042.73</v>
      </c>
      <c r="L1270" s="101">
        <v>51561.36</v>
      </c>
      <c r="M1270" s="10"/>
      <c r="N1270" s="10"/>
      <c r="O1270"/>
      <c r="P1270"/>
    </row>
    <row r="1271" spans="1:16" ht="18" customHeight="1" x14ac:dyDescent="0.25">
      <c r="A1271" s="519"/>
      <c r="B1271" s="499" t="s">
        <v>123</v>
      </c>
      <c r="C1271" s="499" t="s">
        <v>1388</v>
      </c>
      <c r="D1271" s="1602" t="s">
        <v>159</v>
      </c>
      <c r="E1271" s="1603"/>
      <c r="F1271" s="1603"/>
      <c r="G1271" s="1603"/>
      <c r="H1271" s="131" t="s">
        <v>160</v>
      </c>
      <c r="I1271" s="101">
        <v>3600</v>
      </c>
      <c r="J1271" s="102">
        <v>3600</v>
      </c>
      <c r="K1271" s="101">
        <v>2100</v>
      </c>
      <c r="L1271" s="101">
        <v>3600</v>
      </c>
    </row>
    <row r="1272" spans="1:16" ht="18" customHeight="1" x14ac:dyDescent="0.25">
      <c r="A1272" s="519"/>
      <c r="B1272" s="499" t="s">
        <v>163</v>
      </c>
      <c r="C1272" s="499" t="s">
        <v>1388</v>
      </c>
      <c r="D1272" s="44" t="s">
        <v>164</v>
      </c>
      <c r="E1272" s="113"/>
      <c r="F1272" s="113"/>
      <c r="G1272" s="114"/>
      <c r="H1272" s="131" t="s">
        <v>165</v>
      </c>
      <c r="I1272" s="101">
        <v>4030</v>
      </c>
      <c r="J1272" s="102">
        <v>54000</v>
      </c>
      <c r="K1272" s="101"/>
      <c r="L1272" s="101">
        <v>30000</v>
      </c>
    </row>
    <row r="1273" spans="1:16" ht="18" customHeight="1" x14ac:dyDescent="0.25">
      <c r="A1273" s="519"/>
      <c r="B1273" s="499" t="s">
        <v>163</v>
      </c>
      <c r="C1273" s="499" t="s">
        <v>1388</v>
      </c>
      <c r="D1273" s="44" t="s">
        <v>168</v>
      </c>
      <c r="E1273" s="113"/>
      <c r="F1273" s="113"/>
      <c r="G1273" s="114"/>
      <c r="H1273" s="131" t="s">
        <v>169</v>
      </c>
      <c r="I1273" s="101">
        <v>57584</v>
      </c>
      <c r="J1273" s="102">
        <v>144146</v>
      </c>
      <c r="K1273" s="101">
        <v>52392</v>
      </c>
      <c r="L1273" s="101">
        <v>99547</v>
      </c>
      <c r="M1273" s="10">
        <f>15008+79568+4971</f>
        <v>99547</v>
      </c>
      <c r="N1273" s="10">
        <f>208576+52000</f>
        <v>260576</v>
      </c>
    </row>
    <row r="1274" spans="1:16" ht="18" customHeight="1" x14ac:dyDescent="0.25">
      <c r="A1274" s="519"/>
      <c r="B1274" s="499" t="s">
        <v>163</v>
      </c>
      <c r="C1274" s="499" t="s">
        <v>1388</v>
      </c>
      <c r="D1274" s="44" t="s">
        <v>172</v>
      </c>
      <c r="E1274" s="113"/>
      <c r="F1274" s="113"/>
      <c r="G1274" s="114"/>
      <c r="H1274" s="131" t="s">
        <v>173</v>
      </c>
      <c r="I1274" s="101"/>
      <c r="J1274" s="102">
        <v>86000</v>
      </c>
      <c r="K1274" s="101"/>
      <c r="L1274" s="101"/>
    </row>
    <row r="1275" spans="1:16" ht="18" customHeight="1" x14ac:dyDescent="0.25">
      <c r="A1275" s="519"/>
      <c r="B1275" s="499" t="s">
        <v>163</v>
      </c>
      <c r="C1275" s="499" t="s">
        <v>1388</v>
      </c>
      <c r="D1275" s="44" t="s">
        <v>552</v>
      </c>
      <c r="E1275" s="113"/>
      <c r="F1275" s="113"/>
      <c r="G1275" s="114"/>
      <c r="H1275" s="131" t="s">
        <v>171</v>
      </c>
      <c r="I1275" s="101">
        <v>16925</v>
      </c>
      <c r="J1275" s="102">
        <v>13820</v>
      </c>
      <c r="K1275" s="101"/>
      <c r="L1275" s="101"/>
    </row>
    <row r="1276" spans="1:16" ht="18" customHeight="1" x14ac:dyDescent="0.25">
      <c r="A1276" s="519"/>
      <c r="B1276" s="499" t="s">
        <v>163</v>
      </c>
      <c r="C1276" s="499" t="s">
        <v>1388</v>
      </c>
      <c r="D1276" s="44" t="s">
        <v>248</v>
      </c>
      <c r="E1276" s="113"/>
      <c r="F1276" s="113"/>
      <c r="G1276" s="114"/>
      <c r="H1276" s="131" t="s">
        <v>171</v>
      </c>
      <c r="I1276" s="101"/>
      <c r="J1276" s="102"/>
      <c r="K1276" s="101"/>
      <c r="L1276" s="102">
        <v>574810</v>
      </c>
      <c r="M1276" s="10">
        <f>570060+4750</f>
        <v>574810</v>
      </c>
    </row>
    <row r="1277" spans="1:16" ht="18" customHeight="1" x14ac:dyDescent="0.25">
      <c r="A1277" s="519"/>
      <c r="B1277" s="499" t="s">
        <v>163</v>
      </c>
      <c r="C1277" s="499" t="s">
        <v>1388</v>
      </c>
      <c r="D1277" s="44" t="s">
        <v>214</v>
      </c>
      <c r="E1277" s="113"/>
      <c r="F1277" s="113"/>
      <c r="G1277" s="114"/>
      <c r="H1277" s="131" t="s">
        <v>171</v>
      </c>
      <c r="I1277" s="101"/>
      <c r="J1277" s="102">
        <v>20200</v>
      </c>
      <c r="K1277" s="101"/>
      <c r="L1277" s="101"/>
    </row>
    <row r="1278" spans="1:16" ht="18" customHeight="1" x14ac:dyDescent="0.25">
      <c r="A1278" s="519"/>
      <c r="B1278" s="499" t="s">
        <v>163</v>
      </c>
      <c r="C1278" s="499" t="s">
        <v>1388</v>
      </c>
      <c r="D1278" s="44" t="s">
        <v>178</v>
      </c>
      <c r="E1278" s="113"/>
      <c r="F1278" s="113"/>
      <c r="G1278" s="114"/>
      <c r="H1278" s="131" t="s">
        <v>179</v>
      </c>
      <c r="I1278" s="101"/>
      <c r="J1278" s="102"/>
      <c r="K1278" s="101"/>
      <c r="L1278" s="101">
        <v>42000</v>
      </c>
    </row>
    <row r="1279" spans="1:16" ht="18" customHeight="1" x14ac:dyDescent="0.25">
      <c r="A1279" s="519"/>
      <c r="B1279" s="499" t="s">
        <v>163</v>
      </c>
      <c r="C1279" s="499" t="s">
        <v>1388</v>
      </c>
      <c r="D1279" s="44" t="s">
        <v>181</v>
      </c>
      <c r="E1279" s="113"/>
      <c r="F1279" s="113"/>
      <c r="G1279" s="114"/>
      <c r="H1279" s="131" t="s">
        <v>179</v>
      </c>
      <c r="I1279" s="101">
        <v>42000</v>
      </c>
      <c r="J1279" s="102">
        <v>42000</v>
      </c>
      <c r="K1279" s="101">
        <v>21000</v>
      </c>
      <c r="L1279" s="101"/>
    </row>
    <row r="1280" spans="1:16" ht="18" customHeight="1" x14ac:dyDescent="0.25">
      <c r="A1280" s="519"/>
      <c r="B1280" s="499" t="s">
        <v>163</v>
      </c>
      <c r="C1280" s="499" t="s">
        <v>1388</v>
      </c>
      <c r="D1280" s="44" t="s">
        <v>553</v>
      </c>
      <c r="E1280" s="113"/>
      <c r="F1280" s="113"/>
      <c r="G1280" s="114"/>
      <c r="H1280" s="131" t="s">
        <v>356</v>
      </c>
      <c r="I1280" s="101"/>
      <c r="J1280" s="102">
        <v>10000</v>
      </c>
      <c r="K1280" s="101"/>
      <c r="L1280" s="101">
        <v>10000</v>
      </c>
    </row>
    <row r="1281" spans="1:16" ht="18" customHeight="1" x14ac:dyDescent="0.25">
      <c r="A1281" s="519"/>
      <c r="B1281" s="499" t="s">
        <v>163</v>
      </c>
      <c r="C1281" s="499" t="s">
        <v>1388</v>
      </c>
      <c r="D1281" s="44" t="s">
        <v>393</v>
      </c>
      <c r="E1281" s="113"/>
      <c r="F1281" s="113"/>
      <c r="G1281" s="114"/>
      <c r="H1281" s="131" t="s">
        <v>189</v>
      </c>
      <c r="I1281" s="101"/>
      <c r="J1281" s="102">
        <v>10000</v>
      </c>
      <c r="K1281" s="101"/>
      <c r="L1281" s="101">
        <v>10000</v>
      </c>
    </row>
    <row r="1282" spans="1:16" ht="18" customHeight="1" x14ac:dyDescent="0.25">
      <c r="A1282" s="527"/>
      <c r="B1282" s="499" t="s">
        <v>163</v>
      </c>
      <c r="C1282" s="499" t="s">
        <v>1388</v>
      </c>
      <c r="D1282" s="44" t="s">
        <v>198</v>
      </c>
      <c r="E1282" s="170"/>
      <c r="F1282" s="170"/>
      <c r="G1282" s="171"/>
      <c r="H1282" s="172" t="s">
        <v>199</v>
      </c>
      <c r="I1282" s="102">
        <v>0</v>
      </c>
      <c r="J1282" s="102">
        <v>160000</v>
      </c>
      <c r="K1282" s="102"/>
      <c r="L1282" s="106">
        <v>200000</v>
      </c>
    </row>
    <row r="1283" spans="1:16" s="194" customFormat="1" ht="18" customHeight="1" x14ac:dyDescent="0.25">
      <c r="A1283" s="527"/>
      <c r="B1283" s="499" t="s">
        <v>201</v>
      </c>
      <c r="C1283" s="499" t="s">
        <v>1388</v>
      </c>
      <c r="D1283" s="536" t="s">
        <v>554</v>
      </c>
      <c r="E1283" s="513"/>
      <c r="F1283" s="513"/>
      <c r="G1283" s="513"/>
      <c r="H1283" s="168"/>
      <c r="I1283" s="102"/>
      <c r="J1283" s="102"/>
      <c r="K1283" s="102"/>
      <c r="L1283" s="102">
        <v>23900</v>
      </c>
      <c r="M1283" s="10"/>
      <c r="N1283" s="10"/>
      <c r="O1283" s="191"/>
      <c r="P1283" s="191"/>
    </row>
    <row r="1284" spans="1:16" s="146" customFormat="1" ht="36" x14ac:dyDescent="0.25">
      <c r="A1284" s="522"/>
      <c r="B1284" s="499" t="s">
        <v>201</v>
      </c>
      <c r="C1284" s="499" t="s">
        <v>1388</v>
      </c>
      <c r="D1284" s="1574" t="s">
        <v>204</v>
      </c>
      <c r="E1284" s="1574"/>
      <c r="F1284" s="1574"/>
      <c r="G1284" s="1618"/>
      <c r="H1284" s="258"/>
      <c r="I1284" s="106"/>
      <c r="J1284" s="106"/>
      <c r="K1284" s="106"/>
      <c r="L1284" s="106">
        <v>80000</v>
      </c>
      <c r="M1284" s="10"/>
      <c r="N1284" s="10"/>
      <c r="O1284"/>
      <c r="P1284"/>
    </row>
    <row r="1285" spans="1:16" s="146" customFormat="1" ht="36" x14ac:dyDescent="0.25">
      <c r="A1285" s="519"/>
      <c r="B1285" s="499" t="s">
        <v>123</v>
      </c>
      <c r="C1285" s="499" t="s">
        <v>1388</v>
      </c>
      <c r="D1285" s="1611" t="s">
        <v>124</v>
      </c>
      <c r="E1285" s="1611"/>
      <c r="F1285" s="1611"/>
      <c r="G1285" s="1602"/>
      <c r="H1285" s="131" t="s">
        <v>125</v>
      </c>
      <c r="I1285" s="101">
        <v>6156284.6299999999</v>
      </c>
      <c r="J1285" s="102">
        <v>8489460</v>
      </c>
      <c r="K1285" s="101">
        <v>3723223.5</v>
      </c>
      <c r="L1285" s="101">
        <v>9234504</v>
      </c>
      <c r="M1285" s="10"/>
      <c r="N1285" s="10"/>
      <c r="O1285"/>
      <c r="P1285"/>
    </row>
    <row r="1286" spans="1:16" s="146" customFormat="1" ht="36" x14ac:dyDescent="0.25">
      <c r="A1286" s="519"/>
      <c r="B1286" s="499" t="s">
        <v>123</v>
      </c>
      <c r="C1286" s="499" t="s">
        <v>1388</v>
      </c>
      <c r="D1286" s="1611" t="s">
        <v>126</v>
      </c>
      <c r="E1286" s="1611"/>
      <c r="F1286" s="1611"/>
      <c r="G1286" s="1602"/>
      <c r="H1286" s="131" t="s">
        <v>127</v>
      </c>
      <c r="I1286" s="101">
        <v>984154.85</v>
      </c>
      <c r="J1286" s="102">
        <v>1139964</v>
      </c>
      <c r="K1286" s="101">
        <v>409404.63</v>
      </c>
      <c r="L1286" s="101">
        <v>1237056</v>
      </c>
      <c r="M1286" s="10"/>
      <c r="N1286" s="10"/>
      <c r="O1286"/>
      <c r="P1286"/>
    </row>
    <row r="1287" spans="1:16" s="146" customFormat="1" ht="36" x14ac:dyDescent="0.25">
      <c r="A1287" s="519"/>
      <c r="B1287" s="499" t="s">
        <v>123</v>
      </c>
      <c r="C1287" s="499" t="s">
        <v>1388</v>
      </c>
      <c r="D1287" s="1611" t="s">
        <v>128</v>
      </c>
      <c r="E1287" s="1611"/>
      <c r="F1287" s="1611"/>
      <c r="G1287" s="1602"/>
      <c r="H1287" s="131" t="s">
        <v>127</v>
      </c>
      <c r="I1287" s="101"/>
      <c r="J1287" s="102">
        <v>18092.5</v>
      </c>
      <c r="K1287" s="101"/>
      <c r="L1287" s="101">
        <v>9942.7199999999993</v>
      </c>
      <c r="M1287" s="10"/>
      <c r="N1287" s="10"/>
      <c r="O1287"/>
      <c r="P1287"/>
    </row>
    <row r="1288" spans="1:16" s="146" customFormat="1" ht="36" x14ac:dyDescent="0.25">
      <c r="A1288" s="519"/>
      <c r="B1288" s="499" t="s">
        <v>123</v>
      </c>
      <c r="C1288" s="499" t="s">
        <v>1388</v>
      </c>
      <c r="D1288" s="1611" t="s">
        <v>129</v>
      </c>
      <c r="E1288" s="1611"/>
      <c r="F1288" s="1611"/>
      <c r="G1288" s="1602"/>
      <c r="H1288" s="132" t="s">
        <v>130</v>
      </c>
      <c r="I1288" s="101">
        <v>936090.38</v>
      </c>
      <c r="J1288" s="102">
        <v>1296000</v>
      </c>
      <c r="K1288" s="101">
        <v>550272.68000000005</v>
      </c>
      <c r="L1288" s="101">
        <v>1296000</v>
      </c>
      <c r="M1288" s="10"/>
      <c r="N1288" s="10"/>
      <c r="O1288"/>
      <c r="P1288"/>
    </row>
    <row r="1289" spans="1:16" s="146" customFormat="1" ht="36" x14ac:dyDescent="0.25">
      <c r="A1289" s="519"/>
      <c r="B1289" s="499" t="s">
        <v>123</v>
      </c>
      <c r="C1289" s="499" t="s">
        <v>1388</v>
      </c>
      <c r="D1289" s="1611" t="s">
        <v>131</v>
      </c>
      <c r="E1289" s="1611"/>
      <c r="F1289" s="1611"/>
      <c r="G1289" s="1602"/>
      <c r="H1289" s="131" t="s">
        <v>132</v>
      </c>
      <c r="I1289" s="101">
        <v>70500</v>
      </c>
      <c r="J1289" s="102">
        <v>72000</v>
      </c>
      <c r="K1289" s="101">
        <v>40500</v>
      </c>
      <c r="L1289" s="101">
        <v>72000</v>
      </c>
      <c r="M1289" s="10"/>
      <c r="N1289" s="10"/>
      <c r="O1289"/>
      <c r="P1289"/>
    </row>
    <row r="1290" spans="1:16" s="146" customFormat="1" ht="36" x14ac:dyDescent="0.25">
      <c r="A1290" s="519"/>
      <c r="B1290" s="499" t="s">
        <v>123</v>
      </c>
      <c r="C1290" s="499" t="s">
        <v>1388</v>
      </c>
      <c r="D1290" s="1611" t="s">
        <v>133</v>
      </c>
      <c r="E1290" s="1611"/>
      <c r="F1290" s="1611"/>
      <c r="G1290" s="1602"/>
      <c r="H1290" s="131" t="s">
        <v>134</v>
      </c>
      <c r="I1290" s="101">
        <v>70500</v>
      </c>
      <c r="J1290" s="102">
        <v>72000</v>
      </c>
      <c r="K1290" s="101">
        <v>40500</v>
      </c>
      <c r="L1290" s="101">
        <v>72000</v>
      </c>
      <c r="M1290" s="10"/>
      <c r="N1290" s="10"/>
      <c r="O1290"/>
      <c r="P1290"/>
    </row>
    <row r="1291" spans="1:16" s="146" customFormat="1" ht="36" x14ac:dyDescent="0.25">
      <c r="A1291" s="519"/>
      <c r="B1291" s="499" t="s">
        <v>123</v>
      </c>
      <c r="C1291" s="499" t="s">
        <v>1388</v>
      </c>
      <c r="D1291" s="1611" t="s">
        <v>135</v>
      </c>
      <c r="E1291" s="1611"/>
      <c r="F1291" s="1611"/>
      <c r="G1291" s="1602"/>
      <c r="H1291" s="131" t="s">
        <v>136</v>
      </c>
      <c r="I1291" s="101">
        <v>105493.65</v>
      </c>
      <c r="J1291" s="102">
        <v>372794.2</v>
      </c>
      <c r="K1291" s="101"/>
      <c r="L1291" s="102">
        <v>372794.2</v>
      </c>
      <c r="M1291" s="10"/>
      <c r="N1291" s="10"/>
      <c r="O1291"/>
      <c r="P1291"/>
    </row>
    <row r="1292" spans="1:16" s="146" customFormat="1" ht="36" x14ac:dyDescent="0.25">
      <c r="A1292" s="519"/>
      <c r="B1292" s="499" t="s">
        <v>123</v>
      </c>
      <c r="C1292" s="499" t="s">
        <v>1388</v>
      </c>
      <c r="D1292" s="1611" t="s">
        <v>137</v>
      </c>
      <c r="E1292" s="1611"/>
      <c r="F1292" s="1611"/>
      <c r="G1292" s="1602"/>
      <c r="H1292" s="131" t="s">
        <v>138</v>
      </c>
      <c r="I1292" s="101">
        <v>210000</v>
      </c>
      <c r="J1292" s="102">
        <v>324000</v>
      </c>
      <c r="K1292" s="101">
        <v>240000</v>
      </c>
      <c r="L1292" s="101">
        <v>324000</v>
      </c>
      <c r="M1292" s="10"/>
      <c r="N1292" s="10"/>
      <c r="O1292"/>
      <c r="P1292"/>
    </row>
    <row r="1293" spans="1:16" s="146" customFormat="1" ht="18" customHeight="1" x14ac:dyDescent="0.25">
      <c r="A1293" s="519"/>
      <c r="B1293" s="499" t="s">
        <v>123</v>
      </c>
      <c r="C1293" s="499" t="s">
        <v>1388</v>
      </c>
      <c r="D1293" s="1602" t="s">
        <v>139</v>
      </c>
      <c r="E1293" s="1603"/>
      <c r="F1293" s="1603"/>
      <c r="G1293" s="1603"/>
      <c r="H1293" s="131" t="s">
        <v>140</v>
      </c>
      <c r="I1293" s="101">
        <v>588978</v>
      </c>
      <c r="J1293" s="102">
        <v>802578</v>
      </c>
      <c r="K1293" s="101">
        <v>599071</v>
      </c>
      <c r="L1293" s="101">
        <v>873602</v>
      </c>
      <c r="M1293" s="10"/>
      <c r="N1293" s="10"/>
      <c r="O1293"/>
      <c r="P1293"/>
    </row>
    <row r="1294" spans="1:16" s="146" customFormat="1" ht="36" x14ac:dyDescent="0.25">
      <c r="A1294" s="519"/>
      <c r="B1294" s="499" t="s">
        <v>123</v>
      </c>
      <c r="C1294" s="499" t="s">
        <v>1388</v>
      </c>
      <c r="D1294" s="1611" t="s">
        <v>141</v>
      </c>
      <c r="E1294" s="1611"/>
      <c r="F1294" s="1611"/>
      <c r="G1294" s="1602"/>
      <c r="H1294" s="131" t="s">
        <v>142</v>
      </c>
      <c r="I1294" s="101">
        <v>589332</v>
      </c>
      <c r="J1294" s="102">
        <v>804553</v>
      </c>
      <c r="K1294" s="101"/>
      <c r="L1294" s="101">
        <v>873602</v>
      </c>
      <c r="M1294" s="10"/>
      <c r="N1294" s="10"/>
      <c r="O1294"/>
      <c r="P1294"/>
    </row>
    <row r="1295" spans="1:16" s="146" customFormat="1" ht="36" x14ac:dyDescent="0.25">
      <c r="A1295" s="519"/>
      <c r="B1295" s="499" t="s">
        <v>123</v>
      </c>
      <c r="C1295" s="499" t="s">
        <v>1388</v>
      </c>
      <c r="D1295" s="1611" t="s">
        <v>143</v>
      </c>
      <c r="E1295" s="1611"/>
      <c r="F1295" s="1611"/>
      <c r="G1295" s="1602"/>
      <c r="H1295" s="131" t="s">
        <v>144</v>
      </c>
      <c r="I1295" s="101">
        <v>210000</v>
      </c>
      <c r="J1295" s="102">
        <v>270000</v>
      </c>
      <c r="K1295" s="101"/>
      <c r="L1295" s="101">
        <v>270000</v>
      </c>
      <c r="M1295" s="10"/>
      <c r="N1295" s="10"/>
      <c r="O1295"/>
      <c r="P1295"/>
    </row>
    <row r="1296" spans="1:16" s="146" customFormat="1" ht="36" x14ac:dyDescent="0.25">
      <c r="A1296" s="519"/>
      <c r="B1296" s="499" t="s">
        <v>123</v>
      </c>
      <c r="C1296" s="499" t="s">
        <v>1388</v>
      </c>
      <c r="D1296" s="1611" t="s">
        <v>145</v>
      </c>
      <c r="E1296" s="1611"/>
      <c r="F1296" s="1611"/>
      <c r="G1296" s="1602"/>
      <c r="H1296" s="131" t="s">
        <v>146</v>
      </c>
      <c r="I1296" s="101">
        <v>205000</v>
      </c>
      <c r="J1296" s="102">
        <v>270000</v>
      </c>
      <c r="K1296" s="101"/>
      <c r="L1296" s="101">
        <v>270000</v>
      </c>
      <c r="M1296" s="10"/>
      <c r="N1296" s="10"/>
      <c r="O1296"/>
      <c r="P1296"/>
    </row>
    <row r="1297" spans="1:16" s="146" customFormat="1" ht="36" x14ac:dyDescent="0.25">
      <c r="A1297" s="519"/>
      <c r="B1297" s="499" t="s">
        <v>123</v>
      </c>
      <c r="C1297" s="499" t="s">
        <v>1388</v>
      </c>
      <c r="D1297" s="1574" t="s">
        <v>231</v>
      </c>
      <c r="E1297" s="1574"/>
      <c r="F1297" s="1574"/>
      <c r="G1297" s="1618"/>
      <c r="H1297" s="131" t="s">
        <v>232</v>
      </c>
      <c r="I1297" s="101">
        <v>35000</v>
      </c>
      <c r="J1297" s="102">
        <v>20000</v>
      </c>
      <c r="K1297" s="101"/>
      <c r="L1297" s="101">
        <v>45000</v>
      </c>
      <c r="M1297" s="10"/>
      <c r="N1297" s="10"/>
      <c r="O1297"/>
      <c r="P1297"/>
    </row>
    <row r="1298" spans="1:16" s="146" customFormat="1" ht="36" x14ac:dyDescent="0.25">
      <c r="A1298" s="519"/>
      <c r="B1298" s="499" t="s">
        <v>123</v>
      </c>
      <c r="C1298" s="499" t="s">
        <v>1388</v>
      </c>
      <c r="D1298" s="536" t="s">
        <v>147</v>
      </c>
      <c r="E1298" s="499"/>
      <c r="F1298" s="499"/>
      <c r="G1298" s="491"/>
      <c r="H1298" s="131" t="s">
        <v>148</v>
      </c>
      <c r="I1298" s="101"/>
      <c r="J1298" s="102"/>
      <c r="K1298" s="101"/>
      <c r="L1298" s="101">
        <v>162000</v>
      </c>
      <c r="M1298" s="10"/>
      <c r="N1298" s="10"/>
      <c r="O1298"/>
      <c r="P1298"/>
    </row>
    <row r="1299" spans="1:16" s="146" customFormat="1" ht="36" x14ac:dyDescent="0.25">
      <c r="A1299" s="519"/>
      <c r="B1299" s="499" t="s">
        <v>123</v>
      </c>
      <c r="C1299" s="499" t="s">
        <v>1388</v>
      </c>
      <c r="D1299" s="513" t="s">
        <v>149</v>
      </c>
      <c r="E1299" s="499"/>
      <c r="F1299" s="499"/>
      <c r="G1299" s="491"/>
      <c r="H1299" s="131" t="s">
        <v>150</v>
      </c>
      <c r="I1299" s="101">
        <v>314550</v>
      </c>
      <c r="J1299" s="102"/>
      <c r="K1299" s="101"/>
      <c r="L1299" s="101"/>
      <c r="M1299" s="10"/>
      <c r="N1299" s="10"/>
      <c r="O1299"/>
      <c r="P1299"/>
    </row>
    <row r="1300" spans="1:16" s="146" customFormat="1" ht="36" x14ac:dyDescent="0.25">
      <c r="A1300" s="519"/>
      <c r="B1300" s="499" t="s">
        <v>123</v>
      </c>
      <c r="C1300" s="499" t="s">
        <v>1388</v>
      </c>
      <c r="D1300" s="1602" t="s">
        <v>151</v>
      </c>
      <c r="E1300" s="1603"/>
      <c r="F1300" s="1603"/>
      <c r="G1300" s="1603"/>
      <c r="H1300" s="131" t="s">
        <v>148</v>
      </c>
      <c r="I1300" s="101">
        <v>410000</v>
      </c>
      <c r="J1300" s="102">
        <v>0</v>
      </c>
      <c r="K1300" s="101"/>
      <c r="L1300" s="101"/>
      <c r="M1300" s="10"/>
      <c r="N1300" s="10"/>
      <c r="O1300"/>
      <c r="P1300"/>
    </row>
    <row r="1301" spans="1:16" ht="36" x14ac:dyDescent="0.25">
      <c r="A1301" s="519"/>
      <c r="B1301" s="499" t="s">
        <v>123</v>
      </c>
      <c r="C1301" s="499" t="s">
        <v>1388</v>
      </c>
      <c r="D1301" s="1611" t="s">
        <v>152</v>
      </c>
      <c r="E1301" s="1611"/>
      <c r="F1301" s="1611"/>
      <c r="G1301" s="1602"/>
      <c r="H1301" s="131"/>
      <c r="I1301" s="101">
        <v>0</v>
      </c>
      <c r="J1301" s="102">
        <v>542421.31000000006</v>
      </c>
      <c r="K1301" s="101"/>
      <c r="L1301" s="101"/>
      <c r="N1301" s="10">
        <v>541002.86</v>
      </c>
    </row>
    <row r="1302" spans="1:16" ht="36" x14ac:dyDescent="0.25">
      <c r="A1302" s="519"/>
      <c r="B1302" s="499" t="s">
        <v>123</v>
      </c>
      <c r="C1302" s="499" t="s">
        <v>1388</v>
      </c>
      <c r="D1302" s="1611" t="s">
        <v>153</v>
      </c>
      <c r="E1302" s="1611"/>
      <c r="F1302" s="1611"/>
      <c r="G1302" s="1602"/>
      <c r="H1302" s="131" t="s">
        <v>154</v>
      </c>
      <c r="I1302" s="101">
        <v>805487.75</v>
      </c>
      <c r="J1302" s="102">
        <v>1157222.46</v>
      </c>
      <c r="K1302" s="101">
        <v>497324.99</v>
      </c>
      <c r="L1302" s="101">
        <v>1257780.33</v>
      </c>
    </row>
    <row r="1303" spans="1:16" ht="36" x14ac:dyDescent="0.25">
      <c r="A1303" s="519"/>
      <c r="B1303" s="499" t="s">
        <v>123</v>
      </c>
      <c r="C1303" s="499" t="s">
        <v>1388</v>
      </c>
      <c r="D1303" s="1611" t="s">
        <v>155</v>
      </c>
      <c r="E1303" s="1611"/>
      <c r="F1303" s="1611"/>
      <c r="G1303" s="1602"/>
      <c r="H1303" s="131" t="s">
        <v>156</v>
      </c>
      <c r="I1303" s="101">
        <v>46800</v>
      </c>
      <c r="J1303" s="102">
        <v>64800</v>
      </c>
      <c r="K1303" s="101">
        <v>27900</v>
      </c>
      <c r="L1303" s="101">
        <v>64800</v>
      </c>
    </row>
    <row r="1304" spans="1:16" ht="36" x14ac:dyDescent="0.25">
      <c r="A1304" s="519"/>
      <c r="B1304" s="499" t="s">
        <v>123</v>
      </c>
      <c r="C1304" s="499" t="s">
        <v>1388</v>
      </c>
      <c r="D1304" s="1611" t="s">
        <v>157</v>
      </c>
      <c r="E1304" s="1611"/>
      <c r="F1304" s="1611"/>
      <c r="G1304" s="1602"/>
      <c r="H1304" s="131" t="s">
        <v>158</v>
      </c>
      <c r="I1304" s="101">
        <v>96143.34</v>
      </c>
      <c r="J1304" s="102">
        <v>165626.12</v>
      </c>
      <c r="K1304" s="101">
        <v>59987.040000000001</v>
      </c>
      <c r="L1304" s="101">
        <v>415621.71</v>
      </c>
    </row>
    <row r="1305" spans="1:16" ht="36" x14ac:dyDescent="0.25">
      <c r="A1305" s="519"/>
      <c r="B1305" s="499" t="s">
        <v>123</v>
      </c>
      <c r="C1305" s="499" t="s">
        <v>1388</v>
      </c>
      <c r="D1305" s="1611" t="s">
        <v>159</v>
      </c>
      <c r="E1305" s="1611"/>
      <c r="F1305" s="1611"/>
      <c r="G1305" s="1602"/>
      <c r="H1305" s="131" t="s">
        <v>160</v>
      </c>
      <c r="I1305" s="105">
        <v>46806.48</v>
      </c>
      <c r="J1305" s="106">
        <v>64800</v>
      </c>
      <c r="K1305" s="105">
        <v>27900</v>
      </c>
      <c r="L1305" s="105">
        <v>64800</v>
      </c>
    </row>
    <row r="1306" spans="1:16" ht="18" customHeight="1" x14ac:dyDescent="0.25">
      <c r="A1306" s="519"/>
      <c r="B1306" s="499" t="s">
        <v>163</v>
      </c>
      <c r="C1306" s="499" t="s">
        <v>1388</v>
      </c>
      <c r="D1306" s="44" t="s">
        <v>164</v>
      </c>
      <c r="E1306" s="113"/>
      <c r="F1306" s="113"/>
      <c r="G1306" s="114"/>
      <c r="H1306" s="131" t="s">
        <v>165</v>
      </c>
      <c r="I1306" s="101">
        <v>5900</v>
      </c>
      <c r="J1306" s="102">
        <v>75000</v>
      </c>
      <c r="K1306" s="101"/>
      <c r="L1306" s="101">
        <v>75000</v>
      </c>
    </row>
    <row r="1307" spans="1:16" ht="18" customHeight="1" x14ac:dyDescent="0.25">
      <c r="A1307" s="519"/>
      <c r="B1307" s="499" t="s">
        <v>163</v>
      </c>
      <c r="C1307" s="499" t="s">
        <v>1388</v>
      </c>
      <c r="D1307" s="44" t="s">
        <v>555</v>
      </c>
      <c r="E1307" s="113"/>
      <c r="F1307" s="113"/>
      <c r="G1307" s="114"/>
      <c r="H1307" s="131" t="s">
        <v>169</v>
      </c>
      <c r="I1307" s="101">
        <v>126695.6</v>
      </c>
      <c r="J1307" s="102">
        <v>233027</v>
      </c>
      <c r="K1307" s="101">
        <v>161308</v>
      </c>
      <c r="L1307" s="101">
        <v>270816</v>
      </c>
    </row>
    <row r="1308" spans="1:16" ht="18" customHeight="1" x14ac:dyDescent="0.25">
      <c r="A1308" s="519"/>
      <c r="B1308" s="499" t="s">
        <v>163</v>
      </c>
      <c r="C1308" s="499" t="s">
        <v>1388</v>
      </c>
      <c r="D1308" s="44" t="s">
        <v>213</v>
      </c>
      <c r="E1308" s="113"/>
      <c r="F1308" s="113"/>
      <c r="G1308" s="114"/>
      <c r="H1308" s="131" t="s">
        <v>171</v>
      </c>
      <c r="I1308" s="101"/>
      <c r="J1308" s="102"/>
      <c r="K1308" s="101"/>
      <c r="L1308" s="101">
        <v>216240</v>
      </c>
    </row>
    <row r="1309" spans="1:16" ht="18" customHeight="1" x14ac:dyDescent="0.25">
      <c r="A1309" s="519"/>
      <c r="B1309" s="499" t="s">
        <v>163</v>
      </c>
      <c r="C1309" s="499" t="s">
        <v>1388</v>
      </c>
      <c r="D1309" s="44" t="s">
        <v>556</v>
      </c>
      <c r="E1309" s="113"/>
      <c r="F1309" s="113"/>
      <c r="G1309" s="114"/>
      <c r="H1309" s="131" t="s">
        <v>171</v>
      </c>
      <c r="I1309" s="101">
        <v>8975</v>
      </c>
      <c r="J1309" s="102">
        <v>17754</v>
      </c>
      <c r="K1309" s="101"/>
      <c r="L1309" s="101"/>
    </row>
    <row r="1310" spans="1:16" ht="18" customHeight="1" x14ac:dyDescent="0.25">
      <c r="A1310" s="519"/>
      <c r="B1310" s="499" t="s">
        <v>163</v>
      </c>
      <c r="C1310" s="499" t="s">
        <v>1388</v>
      </c>
      <c r="D1310" s="44" t="s">
        <v>382</v>
      </c>
      <c r="E1310" s="113"/>
      <c r="F1310" s="113"/>
      <c r="G1310" s="114"/>
      <c r="H1310" s="131" t="s">
        <v>383</v>
      </c>
      <c r="I1310" s="101"/>
      <c r="J1310" s="102">
        <v>60000</v>
      </c>
      <c r="K1310" s="101"/>
      <c r="L1310" s="101">
        <v>35000</v>
      </c>
    </row>
    <row r="1311" spans="1:16" s="146" customFormat="1" ht="18" customHeight="1" x14ac:dyDescent="0.25">
      <c r="A1311" s="519"/>
      <c r="B1311" s="499" t="s">
        <v>163</v>
      </c>
      <c r="C1311" s="499" t="s">
        <v>1388</v>
      </c>
      <c r="D1311" s="44" t="s">
        <v>178</v>
      </c>
      <c r="E1311" s="113"/>
      <c r="F1311" s="113"/>
      <c r="G1311" s="114"/>
      <c r="H1311" s="131" t="s">
        <v>179</v>
      </c>
      <c r="I1311" s="101"/>
      <c r="J1311" s="102"/>
      <c r="K1311" s="101"/>
      <c r="L1311" s="101">
        <v>42000</v>
      </c>
      <c r="M1311" s="10"/>
      <c r="N1311" s="10"/>
      <c r="O1311"/>
      <c r="P1311"/>
    </row>
    <row r="1312" spans="1:16" s="146" customFormat="1" ht="18" customHeight="1" x14ac:dyDescent="0.25">
      <c r="A1312" s="519"/>
      <c r="B1312" s="499" t="s">
        <v>163</v>
      </c>
      <c r="C1312" s="499" t="s">
        <v>1388</v>
      </c>
      <c r="D1312" s="44" t="s">
        <v>181</v>
      </c>
      <c r="E1312" s="113"/>
      <c r="F1312" s="113"/>
      <c r="G1312" s="114"/>
      <c r="H1312" s="131" t="s">
        <v>179</v>
      </c>
      <c r="I1312" s="101">
        <v>42000</v>
      </c>
      <c r="J1312" s="102">
        <v>42000</v>
      </c>
      <c r="K1312" s="101">
        <v>21000</v>
      </c>
      <c r="L1312" s="101"/>
      <c r="M1312" s="10"/>
      <c r="N1312" s="10"/>
      <c r="O1312"/>
      <c r="P1312"/>
    </row>
    <row r="1313" spans="1:16" s="146" customFormat="1" ht="18" customHeight="1" x14ac:dyDescent="0.25">
      <c r="A1313" s="519"/>
      <c r="B1313" s="499" t="s">
        <v>163</v>
      </c>
      <c r="C1313" s="499" t="s">
        <v>1388</v>
      </c>
      <c r="D1313" s="44" t="s">
        <v>182</v>
      </c>
      <c r="E1313" s="113"/>
      <c r="F1313" s="113"/>
      <c r="G1313" s="114"/>
      <c r="H1313" s="131" t="s">
        <v>179</v>
      </c>
      <c r="I1313" s="101">
        <v>36525.35</v>
      </c>
      <c r="J1313" s="102">
        <v>54000</v>
      </c>
      <c r="K1313" s="101"/>
      <c r="L1313" s="101">
        <v>54000</v>
      </c>
      <c r="M1313" s="10"/>
      <c r="N1313" s="10"/>
      <c r="O1313"/>
      <c r="P1313"/>
    </row>
    <row r="1314" spans="1:16" s="146" customFormat="1" ht="18" customHeight="1" x14ac:dyDescent="0.25">
      <c r="A1314" s="519"/>
      <c r="B1314" s="499" t="s">
        <v>163</v>
      </c>
      <c r="C1314" s="499" t="s">
        <v>1388</v>
      </c>
      <c r="D1314" s="44" t="s">
        <v>355</v>
      </c>
      <c r="E1314" s="113"/>
      <c r="F1314" s="113"/>
      <c r="G1314" s="114"/>
      <c r="H1314" s="131" t="s">
        <v>187</v>
      </c>
      <c r="I1314" s="101">
        <v>2400</v>
      </c>
      <c r="J1314" s="102">
        <v>100000</v>
      </c>
      <c r="K1314" s="101"/>
      <c r="L1314" s="101">
        <v>50000</v>
      </c>
      <c r="M1314" s="10"/>
      <c r="N1314" s="10"/>
      <c r="O1314"/>
      <c r="P1314"/>
    </row>
    <row r="1315" spans="1:16" s="146" customFormat="1" ht="18" customHeight="1" x14ac:dyDescent="0.25">
      <c r="A1315" s="519"/>
      <c r="B1315" s="499" t="s">
        <v>163</v>
      </c>
      <c r="C1315" s="499" t="s">
        <v>1388</v>
      </c>
      <c r="D1315" s="44" t="s">
        <v>557</v>
      </c>
      <c r="E1315" s="113"/>
      <c r="F1315" s="113"/>
      <c r="G1315" s="114"/>
      <c r="H1315" s="131" t="s">
        <v>189</v>
      </c>
      <c r="I1315" s="101">
        <v>536047.02</v>
      </c>
      <c r="J1315" s="102">
        <v>5315000</v>
      </c>
      <c r="K1315" s="101">
        <v>168993</v>
      </c>
      <c r="L1315" s="101">
        <v>5000000</v>
      </c>
      <c r="M1315" s="10"/>
      <c r="N1315" s="10"/>
      <c r="O1315"/>
      <c r="P1315"/>
    </row>
    <row r="1316" spans="1:16" s="146" customFormat="1" ht="18" customHeight="1" x14ac:dyDescent="0.25">
      <c r="A1316" s="519"/>
      <c r="B1316" s="499" t="s">
        <v>163</v>
      </c>
      <c r="C1316" s="499" t="s">
        <v>1388</v>
      </c>
      <c r="D1316" s="44" t="s">
        <v>457</v>
      </c>
      <c r="E1316" s="113"/>
      <c r="F1316" s="113"/>
      <c r="G1316" s="114"/>
      <c r="H1316" s="131" t="s">
        <v>237</v>
      </c>
      <c r="I1316" s="101">
        <v>0</v>
      </c>
      <c r="J1316" s="102">
        <v>7000</v>
      </c>
      <c r="K1316" s="101"/>
      <c r="L1316" s="101">
        <v>7000</v>
      </c>
      <c r="M1316" s="10"/>
      <c r="N1316" s="10"/>
      <c r="O1316"/>
      <c r="P1316"/>
    </row>
    <row r="1317" spans="1:16" s="146" customFormat="1" ht="18" customHeight="1" x14ac:dyDescent="0.25">
      <c r="A1317" s="519"/>
      <c r="B1317" s="499" t="s">
        <v>163</v>
      </c>
      <c r="C1317" s="499" t="s">
        <v>1388</v>
      </c>
      <c r="D1317" s="44" t="s">
        <v>198</v>
      </c>
      <c r="E1317" s="113"/>
      <c r="F1317" s="113"/>
      <c r="G1317" s="114"/>
      <c r="H1317" s="131" t="s">
        <v>199</v>
      </c>
      <c r="I1317" s="101">
        <v>1613193.71</v>
      </c>
      <c r="J1317" s="102">
        <v>2989610.88</v>
      </c>
      <c r="K1317" s="101">
        <v>580328.39</v>
      </c>
      <c r="L1317" s="101">
        <v>2372108.16</v>
      </c>
      <c r="M1317" s="10"/>
      <c r="N1317" s="10"/>
      <c r="O1317"/>
      <c r="P1317"/>
    </row>
    <row r="1318" spans="1:16" s="146" customFormat="1" ht="18" customHeight="1" x14ac:dyDescent="0.25">
      <c r="A1318" s="519"/>
      <c r="B1318" s="499" t="s">
        <v>163</v>
      </c>
      <c r="C1318" s="499" t="s">
        <v>1388</v>
      </c>
      <c r="D1318" s="44" t="s">
        <v>558</v>
      </c>
      <c r="E1318" s="170"/>
      <c r="F1318" s="261"/>
      <c r="G1318" s="262"/>
      <c r="H1318" s="172"/>
      <c r="I1318" s="101">
        <v>999700</v>
      </c>
      <c r="J1318" s="102">
        <v>2500000</v>
      </c>
      <c r="K1318" s="101"/>
      <c r="L1318" s="105">
        <v>3500000</v>
      </c>
      <c r="M1318" s="10"/>
      <c r="N1318" s="10"/>
      <c r="O1318"/>
      <c r="P1318"/>
    </row>
    <row r="1319" spans="1:16" s="194" customFormat="1" ht="18" customHeight="1" x14ac:dyDescent="0.25">
      <c r="A1319" s="519"/>
      <c r="B1319" s="499" t="s">
        <v>201</v>
      </c>
      <c r="C1319" s="499" t="s">
        <v>1388</v>
      </c>
      <c r="D1319" s="535" t="s">
        <v>559</v>
      </c>
      <c r="E1319" s="529"/>
      <c r="F1319" s="529"/>
      <c r="G1319" s="529"/>
      <c r="H1319" s="97"/>
      <c r="I1319" s="101"/>
      <c r="J1319" s="102"/>
      <c r="K1319" s="112"/>
      <c r="L1319" s="121">
        <v>76300</v>
      </c>
      <c r="M1319" s="10"/>
      <c r="N1319" s="10"/>
      <c r="O1319" s="191"/>
      <c r="P1319" s="191"/>
    </row>
    <row r="1320" spans="1:16" s="194" customFormat="1" ht="18" customHeight="1" x14ac:dyDescent="0.25">
      <c r="A1320" s="519"/>
      <c r="B1320" s="499" t="s">
        <v>201</v>
      </c>
      <c r="C1320" s="499" t="s">
        <v>1388</v>
      </c>
      <c r="D1320" s="536" t="s">
        <v>560</v>
      </c>
      <c r="E1320" s="499"/>
      <c r="F1320" s="529"/>
      <c r="G1320" s="529"/>
      <c r="H1320" s="97"/>
      <c r="I1320" s="101"/>
      <c r="J1320" s="102"/>
      <c r="K1320" s="112"/>
      <c r="L1320" s="101">
        <v>62400</v>
      </c>
      <c r="M1320" s="10"/>
      <c r="N1320" s="10"/>
      <c r="O1320" s="191"/>
      <c r="P1320" s="191"/>
    </row>
    <row r="1321" spans="1:16" s="194" customFormat="1" ht="18" customHeight="1" x14ac:dyDescent="0.25">
      <c r="A1321" s="519"/>
      <c r="B1321" s="499" t="s">
        <v>201</v>
      </c>
      <c r="C1321" s="499" t="s">
        <v>1388</v>
      </c>
      <c r="D1321" s="536" t="s">
        <v>516</v>
      </c>
      <c r="E1321" s="499"/>
      <c r="F1321" s="529"/>
      <c r="G1321" s="529"/>
      <c r="H1321" s="97"/>
      <c r="I1321" s="101"/>
      <c r="J1321" s="102"/>
      <c r="K1321" s="112"/>
      <c r="L1321" s="101">
        <v>230000</v>
      </c>
      <c r="M1321" s="10"/>
      <c r="N1321" s="10">
        <f>115000*2</f>
        <v>230000</v>
      </c>
      <c r="O1321" s="191"/>
      <c r="P1321" s="191"/>
    </row>
    <row r="1322" spans="1:16" s="194" customFormat="1" ht="18" customHeight="1" x14ac:dyDescent="0.25">
      <c r="A1322" s="519"/>
      <c r="B1322" s="499" t="s">
        <v>201</v>
      </c>
      <c r="C1322" s="499" t="s">
        <v>1388</v>
      </c>
      <c r="D1322" s="536" t="s">
        <v>351</v>
      </c>
      <c r="E1322" s="499"/>
      <c r="F1322" s="529"/>
      <c r="G1322" s="530"/>
      <c r="H1322" s="97"/>
      <c r="I1322" s="101"/>
      <c r="J1322" s="102"/>
      <c r="K1322" s="112"/>
      <c r="L1322" s="101">
        <v>25000</v>
      </c>
      <c r="M1322" s="10"/>
      <c r="N1322" s="10"/>
      <c r="O1322" s="191"/>
      <c r="P1322" s="191"/>
    </row>
    <row r="1323" spans="1:16" s="194" customFormat="1" ht="18" customHeight="1" x14ac:dyDescent="0.25">
      <c r="A1323" s="519"/>
      <c r="B1323" s="499" t="s">
        <v>201</v>
      </c>
      <c r="C1323" s="499" t="s">
        <v>1388</v>
      </c>
      <c r="D1323" s="536" t="s">
        <v>561</v>
      </c>
      <c r="E1323" s="513"/>
      <c r="F1323" s="513"/>
      <c r="G1323" s="525"/>
      <c r="H1323" s="168"/>
      <c r="I1323" s="102"/>
      <c r="J1323" s="102"/>
      <c r="K1323" s="111"/>
      <c r="L1323" s="102">
        <v>200000</v>
      </c>
      <c r="M1323" s="10"/>
      <c r="N1323" s="10"/>
      <c r="O1323" s="191"/>
      <c r="P1323" s="191"/>
    </row>
    <row r="1324" spans="1:16" s="194" customFormat="1" ht="18" customHeight="1" x14ac:dyDescent="0.25">
      <c r="A1324" s="519"/>
      <c r="B1324" s="499" t="s">
        <v>201</v>
      </c>
      <c r="C1324" s="499" t="s">
        <v>1388</v>
      </c>
      <c r="D1324" s="536" t="s">
        <v>562</v>
      </c>
      <c r="E1324" s="513"/>
      <c r="F1324" s="513"/>
      <c r="G1324" s="525"/>
      <c r="H1324" s="168"/>
      <c r="I1324" s="102"/>
      <c r="J1324" s="102"/>
      <c r="K1324" s="111"/>
      <c r="L1324" s="102">
        <v>250000</v>
      </c>
      <c r="M1324" s="10"/>
      <c r="N1324" s="10"/>
      <c r="O1324" s="191"/>
      <c r="P1324" s="191"/>
    </row>
    <row r="1325" spans="1:16" s="194" customFormat="1" ht="18" customHeight="1" x14ac:dyDescent="0.25">
      <c r="A1325" s="519"/>
      <c r="B1325" s="499" t="s">
        <v>201</v>
      </c>
      <c r="C1325" s="499" t="s">
        <v>1388</v>
      </c>
      <c r="D1325" s="536" t="s">
        <v>517</v>
      </c>
      <c r="E1325" s="513"/>
      <c r="F1325" s="513"/>
      <c r="G1325" s="525"/>
      <c r="H1325" s="168"/>
      <c r="I1325" s="102"/>
      <c r="J1325" s="102"/>
      <c r="K1325" s="111"/>
      <c r="L1325" s="102">
        <v>135000</v>
      </c>
      <c r="M1325" s="10"/>
      <c r="N1325" s="10"/>
      <c r="O1325" s="191"/>
      <c r="P1325" s="191"/>
    </row>
    <row r="1326" spans="1:16" s="146" customFormat="1" ht="35.25" customHeight="1" x14ac:dyDescent="0.25">
      <c r="A1326" s="495"/>
      <c r="B1326" s="499" t="s">
        <v>201</v>
      </c>
      <c r="C1326" s="499" t="s">
        <v>1388</v>
      </c>
      <c r="D1326" s="1611" t="s">
        <v>563</v>
      </c>
      <c r="E1326" s="1611"/>
      <c r="F1326" s="1611"/>
      <c r="G1326" s="1602"/>
      <c r="H1326" s="97"/>
      <c r="I1326" s="101"/>
      <c r="J1326" s="102">
        <v>75000</v>
      </c>
      <c r="K1326" s="112"/>
      <c r="L1326" s="101"/>
      <c r="M1326" s="10"/>
      <c r="N1326" s="10"/>
      <c r="O1326"/>
      <c r="P1326"/>
    </row>
    <row r="1327" spans="1:16" s="146" customFormat="1" ht="36" x14ac:dyDescent="0.25">
      <c r="A1327" s="495"/>
      <c r="B1327" s="499" t="s">
        <v>201</v>
      </c>
      <c r="C1327" s="499" t="s">
        <v>1388</v>
      </c>
      <c r="D1327" s="1611" t="s">
        <v>564</v>
      </c>
      <c r="E1327" s="1611"/>
      <c r="F1327" s="1611"/>
      <c r="G1327" s="1602"/>
      <c r="H1327" s="97"/>
      <c r="I1327" s="101"/>
      <c r="J1327" s="102">
        <v>30000</v>
      </c>
      <c r="K1327" s="112"/>
      <c r="L1327" s="101"/>
      <c r="M1327" s="10"/>
      <c r="N1327" s="10"/>
      <c r="O1327"/>
      <c r="P1327"/>
    </row>
    <row r="1328" spans="1:16" s="146" customFormat="1" ht="36" x14ac:dyDescent="0.25">
      <c r="A1328" s="495"/>
      <c r="B1328" s="499" t="s">
        <v>201</v>
      </c>
      <c r="C1328" s="499" t="s">
        <v>1388</v>
      </c>
      <c r="D1328" s="536" t="s">
        <v>565</v>
      </c>
      <c r="E1328" s="499"/>
      <c r="F1328" s="499"/>
      <c r="G1328" s="491"/>
      <c r="H1328" s="97"/>
      <c r="I1328" s="101"/>
      <c r="J1328" s="102">
        <v>360000</v>
      </c>
      <c r="K1328" s="112"/>
      <c r="L1328" s="105"/>
      <c r="M1328" s="10"/>
      <c r="N1328" s="10"/>
      <c r="O1328"/>
      <c r="P1328"/>
    </row>
    <row r="1329" spans="1:16" s="146" customFormat="1" ht="36" x14ac:dyDescent="0.25">
      <c r="A1329" s="519"/>
      <c r="B1329" s="499" t="s">
        <v>123</v>
      </c>
      <c r="C1329" s="499" t="s">
        <v>1388</v>
      </c>
      <c r="D1329" s="1602" t="s">
        <v>124</v>
      </c>
      <c r="E1329" s="1603"/>
      <c r="F1329" s="1603"/>
      <c r="G1329" s="1603"/>
      <c r="H1329" s="131" t="s">
        <v>125</v>
      </c>
      <c r="I1329" s="101">
        <v>1497444</v>
      </c>
      <c r="J1329" s="102">
        <v>1711680</v>
      </c>
      <c r="K1329" s="101">
        <v>990049.04</v>
      </c>
      <c r="L1329" s="101">
        <v>1855656</v>
      </c>
      <c r="M1329" s="10"/>
      <c r="N1329" s="10"/>
      <c r="O1329"/>
      <c r="P1329"/>
    </row>
    <row r="1330" spans="1:16" s="146" customFormat="1" ht="36" x14ac:dyDescent="0.25">
      <c r="A1330" s="519"/>
      <c r="B1330" s="499" t="s">
        <v>123</v>
      </c>
      <c r="C1330" s="499" t="s">
        <v>1388</v>
      </c>
      <c r="D1330" s="1602" t="s">
        <v>126</v>
      </c>
      <c r="E1330" s="1603"/>
      <c r="F1330" s="1603"/>
      <c r="G1330" s="1603"/>
      <c r="H1330" s="131" t="s">
        <v>127</v>
      </c>
      <c r="I1330" s="101">
        <v>147691.04999999999</v>
      </c>
      <c r="J1330" s="102">
        <v>132552</v>
      </c>
      <c r="K1330" s="101">
        <v>70776.45</v>
      </c>
      <c r="L1330" s="101">
        <v>143928</v>
      </c>
      <c r="M1330" s="10"/>
      <c r="N1330" s="10"/>
      <c r="O1330"/>
      <c r="P1330"/>
    </row>
    <row r="1331" spans="1:16" s="146" customFormat="1" ht="36" x14ac:dyDescent="0.25">
      <c r="A1331" s="519"/>
      <c r="B1331" s="499" t="s">
        <v>123</v>
      </c>
      <c r="C1331" s="499" t="s">
        <v>1388</v>
      </c>
      <c r="D1331" s="1602" t="s">
        <v>128</v>
      </c>
      <c r="E1331" s="1603"/>
      <c r="F1331" s="1603"/>
      <c r="G1331" s="1603"/>
      <c r="H1331" s="131" t="s">
        <v>125</v>
      </c>
      <c r="I1331" s="101"/>
      <c r="J1331" s="102">
        <v>8160</v>
      </c>
      <c r="K1331" s="101"/>
      <c r="L1331" s="101">
        <v>930</v>
      </c>
      <c r="M1331" s="10"/>
      <c r="N1331" s="10"/>
      <c r="O1331"/>
      <c r="P1331"/>
    </row>
    <row r="1332" spans="1:16" s="146" customFormat="1" ht="36" x14ac:dyDescent="0.25">
      <c r="A1332" s="519"/>
      <c r="B1332" s="499" t="s">
        <v>123</v>
      </c>
      <c r="C1332" s="499" t="s">
        <v>1388</v>
      </c>
      <c r="D1332" s="1602" t="s">
        <v>129</v>
      </c>
      <c r="E1332" s="1603"/>
      <c r="F1332" s="1603"/>
      <c r="G1332" s="1603"/>
      <c r="H1332" s="132" t="s">
        <v>130</v>
      </c>
      <c r="I1332" s="101">
        <v>110181.56</v>
      </c>
      <c r="J1332" s="102">
        <v>144000</v>
      </c>
      <c r="K1332" s="101">
        <v>77272.72</v>
      </c>
      <c r="L1332" s="101">
        <v>144000</v>
      </c>
      <c r="M1332" s="10"/>
      <c r="N1332" s="10"/>
      <c r="O1332"/>
      <c r="P1332"/>
    </row>
    <row r="1333" spans="1:16" s="146" customFormat="1" ht="36" x14ac:dyDescent="0.25">
      <c r="A1333" s="519"/>
      <c r="B1333" s="499" t="s">
        <v>123</v>
      </c>
      <c r="C1333" s="499" t="s">
        <v>1388</v>
      </c>
      <c r="D1333" s="1602" t="s">
        <v>131</v>
      </c>
      <c r="E1333" s="1603"/>
      <c r="F1333" s="1603"/>
      <c r="G1333" s="1603"/>
      <c r="H1333" s="131" t="s">
        <v>132</v>
      </c>
      <c r="I1333" s="101">
        <v>72000</v>
      </c>
      <c r="J1333" s="102">
        <v>72000</v>
      </c>
      <c r="K1333" s="101">
        <v>40500</v>
      </c>
      <c r="L1333" s="101">
        <v>72000</v>
      </c>
      <c r="M1333" s="10"/>
      <c r="N1333" s="10"/>
      <c r="O1333"/>
      <c r="P1333"/>
    </row>
    <row r="1334" spans="1:16" s="146" customFormat="1" ht="36" x14ac:dyDescent="0.25">
      <c r="A1334" s="519"/>
      <c r="B1334" s="499" t="s">
        <v>123</v>
      </c>
      <c r="C1334" s="499" t="s">
        <v>1388</v>
      </c>
      <c r="D1334" s="1602" t="s">
        <v>133</v>
      </c>
      <c r="E1334" s="1603"/>
      <c r="F1334" s="1603"/>
      <c r="G1334" s="1603"/>
      <c r="H1334" s="131" t="s">
        <v>134</v>
      </c>
      <c r="I1334" s="101">
        <v>72000</v>
      </c>
      <c r="J1334" s="102">
        <v>72000</v>
      </c>
      <c r="K1334" s="101">
        <v>40500</v>
      </c>
      <c r="L1334" s="101">
        <v>72000</v>
      </c>
      <c r="M1334" s="10"/>
      <c r="N1334" s="10"/>
      <c r="O1334"/>
      <c r="P1334"/>
    </row>
    <row r="1335" spans="1:16" s="146" customFormat="1" ht="36" x14ac:dyDescent="0.25">
      <c r="A1335" s="519"/>
      <c r="B1335" s="499" t="s">
        <v>123</v>
      </c>
      <c r="C1335" s="499" t="s">
        <v>1388</v>
      </c>
      <c r="D1335" s="1611" t="s">
        <v>135</v>
      </c>
      <c r="E1335" s="1611"/>
      <c r="F1335" s="1611"/>
      <c r="G1335" s="1602"/>
      <c r="H1335" s="131" t="s">
        <v>136</v>
      </c>
      <c r="I1335" s="101">
        <v>15492.52</v>
      </c>
      <c r="J1335" s="102">
        <v>37971.800000000003</v>
      </c>
      <c r="K1335" s="101">
        <v>24999.96</v>
      </c>
      <c r="L1335" s="102">
        <v>37971.800000000003</v>
      </c>
      <c r="M1335" s="10"/>
      <c r="N1335" s="10"/>
      <c r="O1335"/>
      <c r="P1335"/>
    </row>
    <row r="1336" spans="1:16" s="146" customFormat="1" ht="36" x14ac:dyDescent="0.25">
      <c r="A1336" s="519"/>
      <c r="B1336" s="499" t="s">
        <v>123</v>
      </c>
      <c r="C1336" s="499" t="s">
        <v>1388</v>
      </c>
      <c r="D1336" s="1602" t="s">
        <v>137</v>
      </c>
      <c r="E1336" s="1603"/>
      <c r="F1336" s="1603"/>
      <c r="G1336" s="1603"/>
      <c r="H1336" s="131" t="s">
        <v>138</v>
      </c>
      <c r="I1336" s="101">
        <v>24000</v>
      </c>
      <c r="J1336" s="102">
        <v>36000</v>
      </c>
      <c r="K1336" s="101">
        <v>30000</v>
      </c>
      <c r="L1336" s="101">
        <v>36000</v>
      </c>
      <c r="M1336" s="10"/>
      <c r="N1336" s="10"/>
      <c r="O1336"/>
      <c r="P1336"/>
    </row>
    <row r="1337" spans="1:16" s="146" customFormat="1" ht="18" customHeight="1" x14ac:dyDescent="0.25">
      <c r="A1337" s="519"/>
      <c r="B1337" s="499" t="s">
        <v>123</v>
      </c>
      <c r="C1337" s="499" t="s">
        <v>1388</v>
      </c>
      <c r="D1337" s="1602" t="s">
        <v>139</v>
      </c>
      <c r="E1337" s="1603"/>
      <c r="F1337" s="1603"/>
      <c r="G1337" s="1603"/>
      <c r="H1337" s="131" t="s">
        <v>140</v>
      </c>
      <c r="I1337" s="101">
        <v>135833</v>
      </c>
      <c r="J1337" s="102">
        <v>154039</v>
      </c>
      <c r="K1337" s="101">
        <v>140555</v>
      </c>
      <c r="L1337" s="101">
        <v>166725</v>
      </c>
      <c r="M1337" s="10"/>
      <c r="N1337" s="10"/>
      <c r="O1337"/>
      <c r="P1337"/>
    </row>
    <row r="1338" spans="1:16" s="146" customFormat="1" ht="36" x14ac:dyDescent="0.25">
      <c r="A1338" s="519"/>
      <c r="B1338" s="499" t="s">
        <v>123</v>
      </c>
      <c r="C1338" s="499" t="s">
        <v>1388</v>
      </c>
      <c r="D1338" s="1602" t="s">
        <v>141</v>
      </c>
      <c r="E1338" s="1603"/>
      <c r="F1338" s="1603"/>
      <c r="G1338" s="1603"/>
      <c r="H1338" s="131" t="s">
        <v>142</v>
      </c>
      <c r="I1338" s="101">
        <v>135833</v>
      </c>
      <c r="J1338" s="102">
        <v>155347</v>
      </c>
      <c r="K1338" s="101"/>
      <c r="L1338" s="101">
        <v>166725</v>
      </c>
      <c r="M1338" s="10"/>
      <c r="N1338" s="10"/>
      <c r="O1338"/>
      <c r="P1338"/>
    </row>
    <row r="1339" spans="1:16" s="146" customFormat="1" ht="36" x14ac:dyDescent="0.25">
      <c r="A1339" s="519"/>
      <c r="B1339" s="499" t="s">
        <v>123</v>
      </c>
      <c r="C1339" s="499" t="s">
        <v>1388</v>
      </c>
      <c r="D1339" s="1602" t="s">
        <v>143</v>
      </c>
      <c r="E1339" s="1603"/>
      <c r="F1339" s="1603"/>
      <c r="G1339" s="1603"/>
      <c r="H1339" s="131" t="s">
        <v>144</v>
      </c>
      <c r="I1339" s="101">
        <v>25000</v>
      </c>
      <c r="J1339" s="102">
        <v>30000</v>
      </c>
      <c r="K1339" s="101"/>
      <c r="L1339" s="101">
        <v>30000</v>
      </c>
      <c r="M1339" s="10"/>
      <c r="N1339" s="10"/>
      <c r="O1339"/>
      <c r="P1339"/>
    </row>
    <row r="1340" spans="1:16" s="146" customFormat="1" ht="36" x14ac:dyDescent="0.25">
      <c r="A1340" s="519"/>
      <c r="B1340" s="499" t="s">
        <v>123</v>
      </c>
      <c r="C1340" s="499" t="s">
        <v>1388</v>
      </c>
      <c r="D1340" s="1602" t="s">
        <v>145</v>
      </c>
      <c r="E1340" s="1603"/>
      <c r="F1340" s="1603"/>
      <c r="G1340" s="1603"/>
      <c r="H1340" s="131" t="s">
        <v>146</v>
      </c>
      <c r="I1340" s="101">
        <v>25000</v>
      </c>
      <c r="J1340" s="102">
        <v>30000</v>
      </c>
      <c r="K1340" s="101"/>
      <c r="L1340" s="101">
        <v>30000</v>
      </c>
      <c r="M1340" s="10"/>
      <c r="N1340" s="10"/>
      <c r="O1340"/>
      <c r="P1340"/>
    </row>
    <row r="1341" spans="1:16" s="146" customFormat="1" ht="36" x14ac:dyDescent="0.25">
      <c r="A1341" s="519"/>
      <c r="B1341" s="499" t="s">
        <v>123</v>
      </c>
      <c r="C1341" s="499" t="s">
        <v>1388</v>
      </c>
      <c r="D1341" s="536" t="s">
        <v>147</v>
      </c>
      <c r="E1341" s="499"/>
      <c r="F1341" s="499"/>
      <c r="G1341" s="491"/>
      <c r="H1341" s="131" t="s">
        <v>148</v>
      </c>
      <c r="I1341" s="101"/>
      <c r="J1341" s="102"/>
      <c r="K1341" s="101"/>
      <c r="L1341" s="101">
        <v>18000</v>
      </c>
      <c r="M1341" s="10"/>
      <c r="N1341" s="10"/>
      <c r="O1341"/>
      <c r="P1341"/>
    </row>
    <row r="1342" spans="1:16" s="146" customFormat="1" ht="36" x14ac:dyDescent="0.25">
      <c r="A1342" s="519"/>
      <c r="B1342" s="499" t="s">
        <v>123</v>
      </c>
      <c r="C1342" s="499" t="s">
        <v>1388</v>
      </c>
      <c r="D1342" s="513" t="s">
        <v>149</v>
      </c>
      <c r="E1342" s="499"/>
      <c r="F1342" s="499"/>
      <c r="G1342" s="491"/>
      <c r="H1342" s="131" t="s">
        <v>150</v>
      </c>
      <c r="I1342" s="101">
        <v>4725</v>
      </c>
      <c r="J1342" s="102"/>
      <c r="K1342" s="101"/>
      <c r="L1342" s="101"/>
      <c r="M1342" s="10"/>
      <c r="N1342" s="10"/>
      <c r="O1342"/>
      <c r="P1342"/>
    </row>
    <row r="1343" spans="1:16" s="146" customFormat="1" ht="36" x14ac:dyDescent="0.25">
      <c r="A1343" s="519"/>
      <c r="B1343" s="499" t="s">
        <v>123</v>
      </c>
      <c r="C1343" s="499" t="s">
        <v>1388</v>
      </c>
      <c r="D1343" s="1602" t="s">
        <v>151</v>
      </c>
      <c r="E1343" s="1603"/>
      <c r="F1343" s="1603"/>
      <c r="G1343" s="1603"/>
      <c r="H1343" s="131" t="s">
        <v>148</v>
      </c>
      <c r="I1343" s="101">
        <v>50000</v>
      </c>
      <c r="J1343" s="102">
        <v>0</v>
      </c>
      <c r="K1343" s="101"/>
      <c r="L1343" s="101"/>
      <c r="M1343" s="10"/>
      <c r="N1343" s="10"/>
      <c r="O1343"/>
      <c r="P1343"/>
    </row>
    <row r="1344" spans="1:16" s="146" customFormat="1" ht="18" customHeight="1" x14ac:dyDescent="0.25">
      <c r="A1344" s="519"/>
      <c r="B1344" s="499" t="s">
        <v>123</v>
      </c>
      <c r="C1344" s="499" t="s">
        <v>1388</v>
      </c>
      <c r="D1344" s="1611" t="s">
        <v>152</v>
      </c>
      <c r="E1344" s="1611"/>
      <c r="F1344" s="1611"/>
      <c r="G1344" s="1602"/>
      <c r="H1344" s="131"/>
      <c r="I1344" s="101">
        <v>0</v>
      </c>
      <c r="J1344" s="102">
        <v>88328.6</v>
      </c>
      <c r="K1344" s="101"/>
      <c r="L1344" s="101"/>
      <c r="M1344" s="10"/>
      <c r="N1344" s="10"/>
      <c r="O1344"/>
      <c r="P1344"/>
    </row>
    <row r="1345" spans="1:16" s="146" customFormat="1" ht="36" x14ac:dyDescent="0.25">
      <c r="A1345" s="519"/>
      <c r="B1345" s="499" t="s">
        <v>123</v>
      </c>
      <c r="C1345" s="499" t="s">
        <v>1388</v>
      </c>
      <c r="D1345" s="1602" t="s">
        <v>153</v>
      </c>
      <c r="E1345" s="1603"/>
      <c r="F1345" s="1603"/>
      <c r="G1345" s="1603"/>
      <c r="H1345" s="131" t="s">
        <v>154</v>
      </c>
      <c r="I1345" s="101">
        <v>189862.68</v>
      </c>
      <c r="J1345" s="102">
        <v>222287.04</v>
      </c>
      <c r="K1345" s="101">
        <v>127172.23</v>
      </c>
      <c r="L1345" s="101">
        <v>239379.12</v>
      </c>
      <c r="M1345" s="10"/>
      <c r="N1345" s="10"/>
      <c r="O1345"/>
      <c r="P1345"/>
    </row>
    <row r="1346" spans="1:16" s="146" customFormat="1" ht="36" x14ac:dyDescent="0.25">
      <c r="A1346" s="519"/>
      <c r="B1346" s="499" t="s">
        <v>123</v>
      </c>
      <c r="C1346" s="499" t="s">
        <v>1388</v>
      </c>
      <c r="D1346" s="1602" t="s">
        <v>155</v>
      </c>
      <c r="E1346" s="1603"/>
      <c r="F1346" s="1603"/>
      <c r="G1346" s="1603"/>
      <c r="H1346" s="131" t="s">
        <v>156</v>
      </c>
      <c r="I1346" s="101">
        <v>5500</v>
      </c>
      <c r="J1346" s="102">
        <v>7200</v>
      </c>
      <c r="K1346" s="101">
        <v>4000</v>
      </c>
      <c r="L1346" s="101">
        <v>7200</v>
      </c>
      <c r="M1346" s="10"/>
      <c r="N1346" s="10"/>
      <c r="O1346"/>
      <c r="P1346"/>
    </row>
    <row r="1347" spans="1:16" s="146" customFormat="1" ht="36" x14ac:dyDescent="0.25">
      <c r="A1347" s="519"/>
      <c r="B1347" s="499" t="s">
        <v>123</v>
      </c>
      <c r="C1347" s="499" t="s">
        <v>1388</v>
      </c>
      <c r="D1347" s="1602" t="s">
        <v>157</v>
      </c>
      <c r="E1347" s="1603"/>
      <c r="F1347" s="1603"/>
      <c r="G1347" s="1603"/>
      <c r="H1347" s="131" t="s">
        <v>158</v>
      </c>
      <c r="I1347" s="101">
        <v>20024.650000000001</v>
      </c>
      <c r="J1347" s="102">
        <v>30218.58</v>
      </c>
      <c r="K1347" s="101">
        <v>13911.19</v>
      </c>
      <c r="L1347" s="101">
        <v>77821.2</v>
      </c>
      <c r="M1347" s="10"/>
      <c r="N1347" s="10"/>
      <c r="O1347"/>
      <c r="P1347"/>
    </row>
    <row r="1348" spans="1:16" s="146" customFormat="1" ht="36" x14ac:dyDescent="0.25">
      <c r="A1348" s="519"/>
      <c r="B1348" s="499" t="s">
        <v>123</v>
      </c>
      <c r="C1348" s="499" t="s">
        <v>1388</v>
      </c>
      <c r="D1348" s="1602" t="s">
        <v>159</v>
      </c>
      <c r="E1348" s="1603"/>
      <c r="F1348" s="1603"/>
      <c r="G1348" s="1603"/>
      <c r="H1348" s="131" t="s">
        <v>160</v>
      </c>
      <c r="I1348" s="101">
        <v>5500</v>
      </c>
      <c r="J1348" s="102">
        <v>7200</v>
      </c>
      <c r="K1348" s="101">
        <v>4000</v>
      </c>
      <c r="L1348" s="101">
        <v>7200</v>
      </c>
      <c r="M1348" s="10"/>
      <c r="N1348" s="10"/>
      <c r="O1348"/>
      <c r="P1348"/>
    </row>
    <row r="1349" spans="1:16" s="229" customFormat="1" ht="18" customHeight="1" x14ac:dyDescent="0.25">
      <c r="A1349" s="154"/>
      <c r="B1349" s="499" t="s">
        <v>163</v>
      </c>
      <c r="C1349" s="499" t="s">
        <v>1388</v>
      </c>
      <c r="D1349" s="44" t="s">
        <v>164</v>
      </c>
      <c r="E1349" s="125"/>
      <c r="F1349" s="125"/>
      <c r="G1349" s="134"/>
      <c r="H1349" s="131" t="s">
        <v>165</v>
      </c>
      <c r="I1349" s="101"/>
      <c r="J1349" s="102">
        <v>35000</v>
      </c>
      <c r="K1349" s="101"/>
      <c r="L1349" s="101">
        <v>35000</v>
      </c>
      <c r="M1349" s="207"/>
      <c r="N1349" s="207"/>
      <c r="O1349" s="212"/>
      <c r="P1349" s="212"/>
    </row>
    <row r="1350" spans="1:16" s="229" customFormat="1" ht="18" customHeight="1" x14ac:dyDescent="0.25">
      <c r="A1350" s="154"/>
      <c r="B1350" s="499" t="s">
        <v>163</v>
      </c>
      <c r="C1350" s="499" t="s">
        <v>1388</v>
      </c>
      <c r="D1350" s="44" t="s">
        <v>555</v>
      </c>
      <c r="E1350" s="125"/>
      <c r="F1350" s="125"/>
      <c r="G1350" s="134"/>
      <c r="H1350" s="131" t="s">
        <v>169</v>
      </c>
      <c r="I1350" s="101">
        <v>327395.45</v>
      </c>
      <c r="J1350" s="102">
        <v>397352</v>
      </c>
      <c r="K1350" s="101">
        <v>317462.5</v>
      </c>
      <c r="L1350" s="101">
        <v>255222.5</v>
      </c>
      <c r="M1350" s="207"/>
      <c r="N1350" s="207"/>
      <c r="O1350" s="212"/>
      <c r="P1350" s="212"/>
    </row>
    <row r="1351" spans="1:16" s="229" customFormat="1" ht="18" customHeight="1" x14ac:dyDescent="0.25">
      <c r="A1351" s="154"/>
      <c r="B1351" s="499" t="s">
        <v>163</v>
      </c>
      <c r="C1351" s="499" t="s">
        <v>1388</v>
      </c>
      <c r="D1351" s="44" t="s">
        <v>172</v>
      </c>
      <c r="E1351" s="125"/>
      <c r="F1351" s="125"/>
      <c r="G1351" s="134"/>
      <c r="H1351" s="131" t="s">
        <v>173</v>
      </c>
      <c r="I1351" s="101"/>
      <c r="J1351" s="102">
        <v>0</v>
      </c>
      <c r="K1351" s="101"/>
      <c r="L1351" s="101"/>
      <c r="M1351" s="207"/>
      <c r="N1351" s="207"/>
      <c r="O1351" s="212"/>
      <c r="P1351" s="212"/>
    </row>
    <row r="1352" spans="1:16" s="229" customFormat="1" ht="18" customHeight="1" x14ac:dyDescent="0.25">
      <c r="A1352" s="154"/>
      <c r="B1352" s="499" t="s">
        <v>163</v>
      </c>
      <c r="C1352" s="499" t="s">
        <v>1388</v>
      </c>
      <c r="D1352" s="44" t="s">
        <v>213</v>
      </c>
      <c r="E1352" s="125"/>
      <c r="F1352" s="125"/>
      <c r="G1352" s="134"/>
      <c r="H1352" s="131" t="s">
        <v>171</v>
      </c>
      <c r="I1352" s="101"/>
      <c r="J1352" s="102"/>
      <c r="K1352" s="101"/>
      <c r="L1352" s="101">
        <v>39017</v>
      </c>
      <c r="M1352" s="207"/>
      <c r="N1352" s="207"/>
      <c r="O1352" s="212"/>
      <c r="P1352" s="212"/>
    </row>
    <row r="1353" spans="1:16" s="229" customFormat="1" ht="18" customHeight="1" x14ac:dyDescent="0.25">
      <c r="A1353" s="154"/>
      <c r="B1353" s="499" t="s">
        <v>163</v>
      </c>
      <c r="C1353" s="499" t="s">
        <v>1388</v>
      </c>
      <c r="D1353" s="44" t="s">
        <v>566</v>
      </c>
      <c r="E1353" s="264"/>
      <c r="F1353" s="125"/>
      <c r="G1353" s="134"/>
      <c r="H1353" s="131" t="s">
        <v>171</v>
      </c>
      <c r="I1353" s="101"/>
      <c r="J1353" s="102">
        <v>4000</v>
      </c>
      <c r="K1353" s="101"/>
      <c r="L1353" s="101"/>
      <c r="M1353" s="207"/>
      <c r="N1353" s="207"/>
      <c r="O1353" s="212"/>
      <c r="P1353" s="212"/>
    </row>
    <row r="1354" spans="1:16" s="229" customFormat="1" ht="18" customHeight="1" x14ac:dyDescent="0.25">
      <c r="A1354" s="154"/>
      <c r="B1354" s="499" t="s">
        <v>163</v>
      </c>
      <c r="C1354" s="499" t="s">
        <v>1388</v>
      </c>
      <c r="D1354" s="44" t="s">
        <v>556</v>
      </c>
      <c r="E1354" s="125"/>
      <c r="F1354" s="125"/>
      <c r="G1354" s="134"/>
      <c r="H1354" s="131" t="s">
        <v>171</v>
      </c>
      <c r="I1354" s="101">
        <v>18830</v>
      </c>
      <c r="J1354" s="102">
        <v>25547</v>
      </c>
      <c r="K1354" s="101"/>
      <c r="L1354" s="101"/>
      <c r="M1354" s="207"/>
      <c r="N1354" s="207"/>
      <c r="O1354" s="212"/>
      <c r="P1354" s="212"/>
    </row>
    <row r="1355" spans="1:16" s="229" customFormat="1" ht="18" customHeight="1" x14ac:dyDescent="0.25">
      <c r="A1355" s="154"/>
      <c r="B1355" s="499" t="s">
        <v>163</v>
      </c>
      <c r="C1355" s="499" t="s">
        <v>1388</v>
      </c>
      <c r="D1355" s="44" t="s">
        <v>176</v>
      </c>
      <c r="E1355" s="125"/>
      <c r="F1355" s="125"/>
      <c r="G1355" s="134"/>
      <c r="H1355" s="131" t="s">
        <v>177</v>
      </c>
      <c r="I1355" s="101">
        <v>5400</v>
      </c>
      <c r="J1355" s="102">
        <v>5900</v>
      </c>
      <c r="K1355" s="101">
        <v>5650</v>
      </c>
      <c r="L1355" s="101">
        <v>7800</v>
      </c>
      <c r="M1355" s="207"/>
      <c r="N1355" s="207"/>
      <c r="O1355" s="212"/>
      <c r="P1355" s="212"/>
    </row>
    <row r="1356" spans="1:16" s="229" customFormat="1" ht="18" customHeight="1" x14ac:dyDescent="0.25">
      <c r="A1356" s="154"/>
      <c r="B1356" s="499" t="s">
        <v>163</v>
      </c>
      <c r="C1356" s="499" t="s">
        <v>1388</v>
      </c>
      <c r="D1356" s="44" t="s">
        <v>567</v>
      </c>
      <c r="E1356" s="125"/>
      <c r="F1356" s="125"/>
      <c r="G1356" s="134"/>
      <c r="H1356" s="131" t="s">
        <v>179</v>
      </c>
      <c r="I1356" s="101"/>
      <c r="J1356" s="102">
        <v>30000</v>
      </c>
      <c r="K1356" s="101">
        <v>13194</v>
      </c>
      <c r="L1356" s="102">
        <v>60000</v>
      </c>
      <c r="M1356" s="207"/>
      <c r="N1356" s="207"/>
      <c r="O1356" s="212"/>
      <c r="P1356" s="212"/>
    </row>
    <row r="1357" spans="1:16" s="229" customFormat="1" ht="18" customHeight="1" x14ac:dyDescent="0.25">
      <c r="A1357" s="154"/>
      <c r="B1357" s="499" t="s">
        <v>163</v>
      </c>
      <c r="C1357" s="499" t="s">
        <v>1388</v>
      </c>
      <c r="D1357" s="44" t="s">
        <v>178</v>
      </c>
      <c r="E1357" s="125"/>
      <c r="F1357" s="125"/>
      <c r="G1357" s="134"/>
      <c r="H1357" s="131" t="s">
        <v>179</v>
      </c>
      <c r="I1357" s="101"/>
      <c r="J1357" s="102"/>
      <c r="K1357" s="101"/>
      <c r="L1357" s="101">
        <v>42000</v>
      </c>
      <c r="M1357" s="207"/>
      <c r="N1357" s="207"/>
      <c r="O1357" s="212"/>
      <c r="P1357" s="212"/>
    </row>
    <row r="1358" spans="1:16" s="229" customFormat="1" ht="18" customHeight="1" x14ac:dyDescent="0.25">
      <c r="A1358" s="154"/>
      <c r="B1358" s="499" t="s">
        <v>163</v>
      </c>
      <c r="C1358" s="499" t="s">
        <v>1388</v>
      </c>
      <c r="D1358" s="44" t="s">
        <v>181</v>
      </c>
      <c r="E1358" s="125"/>
      <c r="F1358" s="125"/>
      <c r="G1358" s="134"/>
      <c r="H1358" s="131" t="s">
        <v>179</v>
      </c>
      <c r="I1358" s="101">
        <v>42000</v>
      </c>
      <c r="J1358" s="102">
        <v>42000</v>
      </c>
      <c r="K1358" s="101">
        <v>17500</v>
      </c>
      <c r="L1358" s="101"/>
      <c r="M1358" s="207"/>
      <c r="N1358" s="207"/>
      <c r="O1358" s="212"/>
      <c r="P1358" s="212"/>
    </row>
    <row r="1359" spans="1:16" s="229" customFormat="1" ht="18" customHeight="1" x14ac:dyDescent="0.25">
      <c r="A1359" s="154"/>
      <c r="B1359" s="499" t="s">
        <v>163</v>
      </c>
      <c r="C1359" s="499" t="s">
        <v>1388</v>
      </c>
      <c r="D1359" s="44" t="s">
        <v>355</v>
      </c>
      <c r="E1359" s="125"/>
      <c r="F1359" s="125"/>
      <c r="G1359" s="134"/>
      <c r="H1359" s="131" t="s">
        <v>187</v>
      </c>
      <c r="I1359" s="101">
        <v>11620</v>
      </c>
      <c r="J1359" s="102">
        <v>65000</v>
      </c>
      <c r="K1359" s="101"/>
      <c r="L1359" s="101">
        <v>80000</v>
      </c>
      <c r="M1359" s="207"/>
      <c r="N1359" s="207"/>
      <c r="O1359" s="212"/>
      <c r="P1359" s="212"/>
    </row>
    <row r="1360" spans="1:16" s="229" customFormat="1" ht="18" customHeight="1" x14ac:dyDescent="0.25">
      <c r="A1360" s="154"/>
      <c r="B1360" s="499" t="s">
        <v>163</v>
      </c>
      <c r="C1360" s="499" t="s">
        <v>1388</v>
      </c>
      <c r="D1360" s="44" t="s">
        <v>457</v>
      </c>
      <c r="E1360" s="125"/>
      <c r="F1360" s="125"/>
      <c r="G1360" s="134"/>
      <c r="H1360" s="131" t="s">
        <v>199</v>
      </c>
      <c r="I1360" s="101"/>
      <c r="J1360" s="102">
        <v>7000</v>
      </c>
      <c r="K1360" s="101"/>
      <c r="L1360" s="101">
        <v>7000</v>
      </c>
      <c r="M1360" s="207"/>
      <c r="N1360" s="207"/>
      <c r="O1360" s="212"/>
      <c r="P1360" s="212"/>
    </row>
    <row r="1361" spans="1:16" s="229" customFormat="1" ht="18" customHeight="1" x14ac:dyDescent="0.25">
      <c r="A1361" s="154"/>
      <c r="B1361" s="499" t="s">
        <v>163</v>
      </c>
      <c r="C1361" s="499" t="s">
        <v>1388</v>
      </c>
      <c r="D1361" s="44" t="s">
        <v>198</v>
      </c>
      <c r="E1361" s="125"/>
      <c r="F1361" s="125"/>
      <c r="G1361" s="134"/>
      <c r="H1361" s="131" t="s">
        <v>199</v>
      </c>
      <c r="I1361" s="101">
        <v>334924.61</v>
      </c>
      <c r="J1361" s="102">
        <v>1024539.44</v>
      </c>
      <c r="K1361" s="101">
        <v>117623.02</v>
      </c>
      <c r="L1361" s="105">
        <v>1151063.6000000001</v>
      </c>
      <c r="M1361" s="207"/>
      <c r="N1361" s="207"/>
      <c r="O1361" s="212"/>
      <c r="P1361" s="212"/>
    </row>
    <row r="1362" spans="1:16" s="146" customFormat="1" ht="36" x14ac:dyDescent="0.25">
      <c r="A1362" s="495"/>
      <c r="B1362" s="499" t="s">
        <v>201</v>
      </c>
      <c r="C1362" s="499" t="s">
        <v>1388</v>
      </c>
      <c r="D1362" s="1612" t="s">
        <v>568</v>
      </c>
      <c r="E1362" s="1612"/>
      <c r="F1362" s="1612"/>
      <c r="G1362" s="1613"/>
      <c r="H1362" s="97"/>
      <c r="I1362" s="101"/>
      <c r="J1362" s="102">
        <v>70000</v>
      </c>
      <c r="K1362" s="101"/>
      <c r="L1362" s="101"/>
      <c r="M1362" s="10"/>
      <c r="N1362" s="10"/>
      <c r="O1362"/>
      <c r="P1362"/>
    </row>
    <row r="1363" spans="1:16" s="146" customFormat="1" ht="36" x14ac:dyDescent="0.25">
      <c r="A1363" s="495"/>
      <c r="B1363" s="499" t="s">
        <v>201</v>
      </c>
      <c r="C1363" s="499" t="s">
        <v>1388</v>
      </c>
      <c r="D1363" s="1611" t="s">
        <v>569</v>
      </c>
      <c r="E1363" s="1611"/>
      <c r="F1363" s="1611"/>
      <c r="G1363" s="1602"/>
      <c r="H1363" s="97"/>
      <c r="I1363" s="101">
        <v>0</v>
      </c>
      <c r="J1363" s="102">
        <v>30000</v>
      </c>
      <c r="K1363" s="101"/>
      <c r="L1363" s="101">
        <v>32000</v>
      </c>
      <c r="M1363" s="10"/>
      <c r="N1363" s="10">
        <f>16000*2</f>
        <v>32000</v>
      </c>
      <c r="O1363"/>
      <c r="P1363"/>
    </row>
    <row r="1364" spans="1:16" s="146" customFormat="1" ht="36" x14ac:dyDescent="0.25">
      <c r="A1364" s="495"/>
      <c r="B1364" s="499" t="s">
        <v>201</v>
      </c>
      <c r="C1364" s="499" t="s">
        <v>1388</v>
      </c>
      <c r="D1364" s="536" t="s">
        <v>203</v>
      </c>
      <c r="E1364" s="499"/>
      <c r="F1364" s="499"/>
      <c r="G1364" s="491"/>
      <c r="H1364" s="97"/>
      <c r="I1364" s="101"/>
      <c r="J1364" s="102"/>
      <c r="K1364" s="101"/>
      <c r="L1364" s="101">
        <v>75000</v>
      </c>
      <c r="M1364" s="10"/>
      <c r="N1364" s="10"/>
      <c r="O1364"/>
      <c r="P1364"/>
    </row>
    <row r="1365" spans="1:16" s="146" customFormat="1" ht="36" x14ac:dyDescent="0.25">
      <c r="A1365" s="495"/>
      <c r="B1365" s="499" t="s">
        <v>201</v>
      </c>
      <c r="C1365" s="499" t="s">
        <v>1388</v>
      </c>
      <c r="D1365" s="1611" t="s">
        <v>570</v>
      </c>
      <c r="E1365" s="1611"/>
      <c r="F1365" s="1611"/>
      <c r="G1365" s="1602"/>
      <c r="H1365" s="97"/>
      <c r="I1365" s="101">
        <v>0</v>
      </c>
      <c r="J1365" s="102">
        <v>60000</v>
      </c>
      <c r="K1365" s="101"/>
      <c r="L1365" s="101"/>
      <c r="M1365" s="10"/>
      <c r="N1365" s="10"/>
      <c r="O1365"/>
      <c r="P1365"/>
    </row>
    <row r="1366" spans="1:16" s="146" customFormat="1" ht="36" x14ac:dyDescent="0.25">
      <c r="A1366" s="495"/>
      <c r="B1366" s="499" t="s">
        <v>201</v>
      </c>
      <c r="C1366" s="499" t="s">
        <v>1388</v>
      </c>
      <c r="D1366" s="1611" t="s">
        <v>571</v>
      </c>
      <c r="E1366" s="1611"/>
      <c r="F1366" s="1611"/>
      <c r="G1366" s="1602"/>
      <c r="H1366" s="97"/>
      <c r="I1366" s="101">
        <v>0</v>
      </c>
      <c r="J1366" s="102">
        <v>50000</v>
      </c>
      <c r="K1366" s="101"/>
      <c r="L1366" s="101"/>
      <c r="M1366" s="10"/>
      <c r="N1366" s="10"/>
      <c r="O1366"/>
      <c r="P1366"/>
    </row>
    <row r="1367" spans="1:16" ht="36" x14ac:dyDescent="0.25">
      <c r="A1367" s="495"/>
      <c r="B1367" s="499" t="s">
        <v>201</v>
      </c>
      <c r="C1367" s="499" t="s">
        <v>1388</v>
      </c>
      <c r="D1367" s="1611" t="s">
        <v>572</v>
      </c>
      <c r="E1367" s="1611"/>
      <c r="F1367" s="1611"/>
      <c r="G1367" s="1602"/>
      <c r="H1367" s="97"/>
      <c r="I1367" s="101">
        <v>0</v>
      </c>
      <c r="J1367" s="102">
        <v>100000</v>
      </c>
      <c r="K1367" s="101"/>
      <c r="L1367" s="101">
        <v>100000</v>
      </c>
    </row>
    <row r="1368" spans="1:16" ht="36" x14ac:dyDescent="0.25">
      <c r="A1368" s="495"/>
      <c r="B1368" s="499" t="s">
        <v>201</v>
      </c>
      <c r="C1368" s="499" t="s">
        <v>1388</v>
      </c>
      <c r="D1368" s="536" t="s">
        <v>573</v>
      </c>
      <c r="E1368" s="499"/>
      <c r="F1368" s="499"/>
      <c r="G1368" s="491"/>
      <c r="H1368" s="97"/>
      <c r="I1368" s="101"/>
      <c r="J1368" s="102">
        <v>70000</v>
      </c>
      <c r="K1368" s="101"/>
      <c r="L1368" s="105"/>
    </row>
    <row r="1369" spans="1:16" x14ac:dyDescent="0.25">
      <c r="I1369" s="265"/>
      <c r="J1369" s="177"/>
      <c r="K1369" s="265"/>
    </row>
    <row r="1370" spans="1:16" x14ac:dyDescent="0.25">
      <c r="I1370" s="265"/>
      <c r="J1370" s="177"/>
      <c r="K1370" s="265"/>
    </row>
    <row r="1371" spans="1:16" x14ac:dyDescent="0.25">
      <c r="I1371" s="265"/>
      <c r="J1371" s="177"/>
      <c r="K1371" s="265"/>
    </row>
    <row r="1372" spans="1:16" ht="18" customHeight="1" x14ac:dyDescent="0.25">
      <c r="A1372" s="8" t="s">
        <v>112</v>
      </c>
    </row>
    <row r="1373" spans="1:16" ht="18" customHeight="1" x14ac:dyDescent="0.25">
      <c r="A1373" s="8" t="s">
        <v>574</v>
      </c>
    </row>
    <row r="1374" spans="1:16" ht="18" customHeight="1" x14ac:dyDescent="0.25">
      <c r="A1374" s="1636" t="s">
        <v>113</v>
      </c>
      <c r="B1374" s="1636"/>
      <c r="C1374" s="1636"/>
      <c r="D1374" s="1636"/>
      <c r="E1374" s="1636"/>
      <c r="F1374" s="1636"/>
      <c r="G1374" s="1636"/>
      <c r="H1374" s="1636"/>
      <c r="I1374" s="1636"/>
      <c r="J1374" s="1636"/>
      <c r="K1374" s="1636"/>
      <c r="L1374" s="1636"/>
    </row>
    <row r="1375" spans="1:16" s="7" customFormat="1" ht="18" customHeight="1" x14ac:dyDescent="0.25">
      <c r="A1375" s="1624" t="s">
        <v>114</v>
      </c>
      <c r="B1375" s="1624"/>
      <c r="C1375" s="1624"/>
      <c r="D1375" s="1624"/>
      <c r="E1375" s="1624"/>
      <c r="F1375" s="1624"/>
      <c r="G1375" s="1624"/>
      <c r="H1375" s="1624"/>
      <c r="I1375" s="1624"/>
      <c r="J1375" s="1624"/>
      <c r="K1375" s="1624"/>
      <c r="L1375" s="1624"/>
      <c r="M1375" s="6"/>
      <c r="N1375" s="6"/>
    </row>
    <row r="1376" spans="1:16" ht="16.5" thickBot="1" x14ac:dyDescent="0.3">
      <c r="A1376" s="256"/>
      <c r="B1376" s="256"/>
      <c r="C1376" s="256"/>
      <c r="D1376" s="255"/>
      <c r="E1376" s="256"/>
      <c r="F1376" s="256"/>
      <c r="G1376" s="256"/>
      <c r="H1376" s="256"/>
      <c r="I1376" s="266"/>
      <c r="J1376" s="267"/>
      <c r="K1376" s="266"/>
      <c r="L1376" s="266"/>
    </row>
    <row r="1377" spans="1:16" ht="47.25" customHeight="1" thickBot="1" x14ac:dyDescent="0.3">
      <c r="A1377" s="1655" t="s">
        <v>115</v>
      </c>
      <c r="B1377" s="1655"/>
      <c r="C1377" s="1655"/>
      <c r="D1377" s="1655"/>
      <c r="E1377" s="1655"/>
      <c r="F1377" s="1655"/>
      <c r="G1377" s="1655"/>
      <c r="H1377" s="501" t="s">
        <v>116</v>
      </c>
      <c r="I1377" s="130" t="s">
        <v>117</v>
      </c>
      <c r="J1377" s="130" t="s">
        <v>118</v>
      </c>
      <c r="K1377" s="202" t="s">
        <v>119</v>
      </c>
      <c r="L1377" s="130" t="s">
        <v>120</v>
      </c>
    </row>
    <row r="1378" spans="1:16" ht="18" x14ac:dyDescent="0.25">
      <c r="A1378" s="268" t="s">
        <v>575</v>
      </c>
      <c r="B1378" s="606"/>
      <c r="C1378" s="606"/>
      <c r="D1378" s="36" t="s">
        <v>576</v>
      </c>
      <c r="E1378" s="75"/>
      <c r="F1378" s="75"/>
      <c r="G1378" s="269"/>
      <c r="H1378" s="253"/>
      <c r="I1378" s="101"/>
      <c r="J1378" s="102"/>
      <c r="K1378" s="250"/>
      <c r="L1378" s="250"/>
    </row>
    <row r="1379" spans="1:16" ht="18" x14ac:dyDescent="0.25">
      <c r="A1379" s="251"/>
      <c r="B1379" s="75"/>
      <c r="C1379" s="75"/>
      <c r="D1379" s="36" t="s">
        <v>577</v>
      </c>
      <c r="E1379" s="75"/>
      <c r="F1379" s="75"/>
      <c r="G1379" s="269"/>
      <c r="H1379" s="253"/>
      <c r="I1379" s="101"/>
      <c r="J1379" s="102"/>
      <c r="K1379" s="250"/>
      <c r="L1379" s="101"/>
    </row>
    <row r="1380" spans="1:16" s="146" customFormat="1" ht="18" x14ac:dyDescent="0.25">
      <c r="A1380" s="270"/>
      <c r="B1380" s="557"/>
      <c r="C1380" s="557"/>
      <c r="D1380" s="38" t="s">
        <v>578</v>
      </c>
      <c r="E1380" s="271"/>
      <c r="F1380" s="271"/>
      <c r="G1380" s="272"/>
      <c r="H1380" s="273"/>
      <c r="I1380" s="101">
        <v>13415388.58</v>
      </c>
      <c r="J1380" s="233">
        <v>32978691.050000001</v>
      </c>
      <c r="K1380" s="250">
        <v>594614.53</v>
      </c>
      <c r="L1380" s="101"/>
      <c r="M1380" s="10"/>
      <c r="N1380" s="10"/>
      <c r="O1380"/>
      <c r="P1380"/>
    </row>
    <row r="1381" spans="1:16" s="146" customFormat="1" ht="18" x14ac:dyDescent="0.25">
      <c r="A1381" s="270"/>
      <c r="B1381" s="557"/>
      <c r="C1381" s="557"/>
      <c r="D1381" s="36" t="s">
        <v>579</v>
      </c>
      <c r="E1381" s="271"/>
      <c r="F1381" s="271"/>
      <c r="G1381" s="272"/>
      <c r="H1381" s="273"/>
      <c r="I1381" s="101"/>
      <c r="J1381" s="233"/>
      <c r="K1381" s="250"/>
      <c r="L1381" s="101"/>
      <c r="M1381" s="10"/>
      <c r="N1381" s="10"/>
      <c r="O1381"/>
      <c r="P1381"/>
    </row>
    <row r="1382" spans="1:16" s="146" customFormat="1" ht="36.75" customHeight="1" x14ac:dyDescent="0.25">
      <c r="A1382" s="270"/>
      <c r="B1382" s="557"/>
      <c r="C1382" s="557"/>
      <c r="D1382" s="1617" t="s">
        <v>580</v>
      </c>
      <c r="E1382" s="1617"/>
      <c r="F1382" s="271"/>
      <c r="G1382" s="272"/>
      <c r="H1382" s="273"/>
      <c r="I1382" s="101"/>
      <c r="J1382" s="233"/>
      <c r="K1382" s="250"/>
      <c r="L1382" s="101">
        <v>500000</v>
      </c>
      <c r="M1382" s="10"/>
      <c r="N1382" s="10"/>
      <c r="O1382"/>
      <c r="P1382"/>
    </row>
    <row r="1383" spans="1:16" s="146" customFormat="1" ht="18" x14ac:dyDescent="0.25">
      <c r="A1383" s="270"/>
      <c r="B1383" s="557"/>
      <c r="C1383" s="557"/>
      <c r="D1383" s="38" t="s">
        <v>581</v>
      </c>
      <c r="E1383" s="271"/>
      <c r="F1383" s="271"/>
      <c r="G1383" s="272"/>
      <c r="H1383" s="273"/>
      <c r="I1383" s="101"/>
      <c r="J1383" s="233"/>
      <c r="K1383" s="250"/>
      <c r="L1383" s="101">
        <v>1000000</v>
      </c>
      <c r="M1383" s="10"/>
      <c r="N1383" s="10"/>
      <c r="O1383"/>
      <c r="P1383"/>
    </row>
    <row r="1384" spans="1:16" s="146" customFormat="1" ht="35.25" customHeight="1" x14ac:dyDescent="0.25">
      <c r="A1384" s="270"/>
      <c r="B1384" s="557"/>
      <c r="C1384" s="557"/>
      <c r="D1384" s="1617" t="s">
        <v>582</v>
      </c>
      <c r="E1384" s="1617"/>
      <c r="F1384" s="271"/>
      <c r="G1384" s="272"/>
      <c r="H1384" s="273"/>
      <c r="I1384" s="101"/>
      <c r="J1384" s="233"/>
      <c r="K1384" s="250"/>
      <c r="L1384" s="101">
        <v>2000000</v>
      </c>
      <c r="M1384" s="10"/>
      <c r="N1384" s="10"/>
      <c r="O1384"/>
      <c r="P1384"/>
    </row>
    <row r="1385" spans="1:16" s="282" customFormat="1" ht="16.5" customHeight="1" x14ac:dyDescent="0.25">
      <c r="A1385" s="274"/>
      <c r="B1385" s="607"/>
      <c r="C1385" s="607"/>
      <c r="D1385" s="275" t="s">
        <v>583</v>
      </c>
      <c r="F1385" s="275"/>
      <c r="G1385" s="276"/>
      <c r="H1385" s="277"/>
      <c r="I1385" s="119"/>
      <c r="J1385" s="278"/>
      <c r="K1385" s="279"/>
      <c r="L1385" s="119">
        <f>SUM(L1382:L1384)</f>
        <v>3500000</v>
      </c>
      <c r="M1385" s="280"/>
      <c r="N1385" s="280"/>
      <c r="O1385" s="281"/>
      <c r="P1385" s="281"/>
    </row>
    <row r="1386" spans="1:16" s="146" customFormat="1" ht="18" x14ac:dyDescent="0.25">
      <c r="A1386" s="270"/>
      <c r="B1386" s="557"/>
      <c r="C1386" s="557"/>
      <c r="D1386" s="36" t="s">
        <v>584</v>
      </c>
      <c r="E1386" s="271"/>
      <c r="F1386" s="271"/>
      <c r="G1386" s="272"/>
      <c r="H1386" s="273"/>
      <c r="I1386" s="101"/>
      <c r="J1386" s="233"/>
      <c r="K1386" s="250"/>
      <c r="L1386" s="101"/>
      <c r="M1386" s="10"/>
      <c r="N1386" s="10"/>
      <c r="O1386"/>
      <c r="P1386"/>
    </row>
    <row r="1387" spans="1:16" s="146" customFormat="1" ht="57" customHeight="1" x14ac:dyDescent="0.25">
      <c r="A1387" s="270"/>
      <c r="B1387" s="557"/>
      <c r="C1387" s="557"/>
      <c r="D1387" s="1628" t="s">
        <v>585</v>
      </c>
      <c r="E1387" s="1628"/>
      <c r="F1387" s="271"/>
      <c r="G1387" s="272"/>
      <c r="H1387" s="273"/>
      <c r="I1387" s="101"/>
      <c r="J1387" s="233"/>
      <c r="K1387" s="250"/>
      <c r="L1387" s="101">
        <v>1300000</v>
      </c>
      <c r="M1387" s="10"/>
      <c r="N1387" s="10"/>
      <c r="O1387"/>
      <c r="P1387"/>
    </row>
    <row r="1388" spans="1:16" s="146" customFormat="1" ht="15.75" customHeight="1" x14ac:dyDescent="0.25">
      <c r="A1388" s="270"/>
      <c r="B1388" s="557"/>
      <c r="C1388" s="557"/>
      <c r="D1388" s="516" t="s">
        <v>586</v>
      </c>
      <c r="E1388" s="534"/>
      <c r="F1388" s="271"/>
      <c r="G1388" s="272"/>
      <c r="H1388" s="273"/>
      <c r="I1388" s="101"/>
      <c r="J1388" s="233"/>
      <c r="K1388" s="250"/>
      <c r="L1388" s="101">
        <v>50000</v>
      </c>
      <c r="M1388" s="10"/>
      <c r="N1388" s="10"/>
      <c r="O1388"/>
      <c r="P1388"/>
    </row>
    <row r="1389" spans="1:16" s="146" customFormat="1" ht="35.25" customHeight="1" x14ac:dyDescent="0.25">
      <c r="A1389" s="270"/>
      <c r="B1389" s="557"/>
      <c r="C1389" s="557"/>
      <c r="D1389" s="1617" t="s">
        <v>587</v>
      </c>
      <c r="E1389" s="1617"/>
      <c r="F1389" s="271"/>
      <c r="G1389" s="272"/>
      <c r="H1389" s="273"/>
      <c r="I1389" s="101"/>
      <c r="J1389" s="233"/>
      <c r="K1389" s="250"/>
      <c r="L1389" s="101">
        <v>100000</v>
      </c>
      <c r="M1389" s="10"/>
      <c r="N1389" s="10"/>
      <c r="O1389"/>
      <c r="P1389"/>
    </row>
    <row r="1390" spans="1:16" s="146" customFormat="1" ht="108.75" customHeight="1" x14ac:dyDescent="0.25">
      <c r="A1390" s="270"/>
      <c r="B1390" s="557"/>
      <c r="C1390" s="557"/>
      <c r="D1390" s="1628" t="s">
        <v>588</v>
      </c>
      <c r="E1390" s="1628"/>
      <c r="F1390" s="271"/>
      <c r="G1390" s="272"/>
      <c r="H1390" s="273"/>
      <c r="I1390" s="101"/>
      <c r="J1390" s="233"/>
      <c r="K1390" s="250"/>
      <c r="L1390" s="101">
        <v>100000</v>
      </c>
      <c r="M1390" s="10"/>
      <c r="N1390" s="10"/>
      <c r="O1390"/>
      <c r="P1390"/>
    </row>
    <row r="1391" spans="1:16" s="146" customFormat="1" ht="18" x14ac:dyDescent="0.25">
      <c r="A1391" s="270"/>
      <c r="B1391" s="557"/>
      <c r="C1391" s="557"/>
      <c r="D1391" s="38" t="s">
        <v>589</v>
      </c>
      <c r="E1391" s="271"/>
      <c r="F1391" s="271"/>
      <c r="G1391" s="272"/>
      <c r="H1391" s="273"/>
      <c r="I1391" s="101"/>
      <c r="J1391" s="233"/>
      <c r="K1391" s="250"/>
      <c r="L1391" s="101">
        <v>450000</v>
      </c>
      <c r="M1391" s="10"/>
      <c r="N1391" s="10"/>
      <c r="O1391"/>
      <c r="P1391"/>
    </row>
    <row r="1392" spans="1:16" s="146" customFormat="1" ht="37.5" customHeight="1" x14ac:dyDescent="0.25">
      <c r="A1392" s="270"/>
      <c r="B1392" s="557"/>
      <c r="C1392" s="557"/>
      <c r="D1392" s="1628" t="s">
        <v>590</v>
      </c>
      <c r="E1392" s="1628"/>
      <c r="F1392" s="271"/>
      <c r="G1392" s="272"/>
      <c r="H1392" s="273"/>
      <c r="I1392" s="101"/>
      <c r="J1392" s="233"/>
      <c r="K1392" s="250"/>
      <c r="L1392" s="101">
        <v>2000000</v>
      </c>
      <c r="M1392" s="10"/>
      <c r="N1392" s="10"/>
      <c r="O1392"/>
      <c r="P1392"/>
    </row>
    <row r="1393" spans="1:16" s="146" customFormat="1" ht="74.25" customHeight="1" x14ac:dyDescent="0.25">
      <c r="A1393" s="270"/>
      <c r="B1393" s="557"/>
      <c r="C1393" s="557"/>
      <c r="D1393" s="1628" t="s">
        <v>591</v>
      </c>
      <c r="E1393" s="1628"/>
      <c r="F1393" s="271"/>
      <c r="G1393" s="272"/>
      <c r="H1393" s="273"/>
      <c r="I1393" s="101"/>
      <c r="J1393" s="233"/>
      <c r="K1393" s="250"/>
      <c r="L1393" s="101">
        <v>600000</v>
      </c>
      <c r="M1393" s="10"/>
      <c r="N1393" s="10"/>
      <c r="O1393"/>
      <c r="P1393"/>
    </row>
    <row r="1394" spans="1:16" s="146" customFormat="1" ht="17.45" customHeight="1" x14ac:dyDescent="0.25">
      <c r="A1394" s="270"/>
      <c r="B1394" s="557"/>
      <c r="C1394" s="557"/>
      <c r="D1394" s="38" t="s">
        <v>592</v>
      </c>
      <c r="E1394" s="271"/>
      <c r="F1394" s="271"/>
      <c r="G1394" s="272"/>
      <c r="H1394" s="273"/>
      <c r="I1394" s="101"/>
      <c r="J1394" s="233"/>
      <c r="K1394" s="250"/>
      <c r="L1394" s="101">
        <v>155000</v>
      </c>
      <c r="M1394" s="10"/>
      <c r="N1394" s="10"/>
      <c r="O1394"/>
      <c r="P1394"/>
    </row>
    <row r="1395" spans="1:16" s="146" customFormat="1" ht="17.45" customHeight="1" x14ac:dyDescent="0.25">
      <c r="A1395" s="270"/>
      <c r="B1395" s="557"/>
      <c r="C1395" s="557"/>
      <c r="D1395" s="38" t="s">
        <v>241</v>
      </c>
      <c r="E1395" s="271"/>
      <c r="F1395" s="271"/>
      <c r="G1395" s="272"/>
      <c r="H1395" s="273"/>
      <c r="I1395" s="101"/>
      <c r="J1395" s="233"/>
      <c r="K1395" s="250"/>
      <c r="L1395" s="101">
        <v>45000</v>
      </c>
      <c r="M1395" s="10"/>
      <c r="N1395" s="10"/>
      <c r="O1395"/>
      <c r="P1395"/>
    </row>
    <row r="1396" spans="1:16" s="146" customFormat="1" ht="17.45" customHeight="1" x14ac:dyDescent="0.25">
      <c r="A1396" s="270"/>
      <c r="B1396" s="557"/>
      <c r="C1396" s="557"/>
      <c r="D1396" s="38" t="s">
        <v>593</v>
      </c>
      <c r="E1396" s="271"/>
      <c r="F1396" s="271"/>
      <c r="G1396" s="272"/>
      <c r="H1396" s="273"/>
      <c r="I1396" s="101"/>
      <c r="J1396" s="233"/>
      <c r="K1396" s="250"/>
      <c r="L1396" s="101">
        <v>100000</v>
      </c>
      <c r="M1396" s="10"/>
      <c r="N1396" s="10"/>
      <c r="O1396"/>
      <c r="P1396"/>
    </row>
    <row r="1397" spans="1:16" s="146" customFormat="1" ht="17.45" customHeight="1" x14ac:dyDescent="0.25">
      <c r="A1397" s="270"/>
      <c r="B1397" s="557"/>
      <c r="C1397" s="557"/>
      <c r="D1397" s="38" t="s">
        <v>594</v>
      </c>
      <c r="E1397" s="271"/>
      <c r="F1397" s="271"/>
      <c r="G1397" s="272"/>
      <c r="H1397" s="273"/>
      <c r="I1397" s="101"/>
      <c r="J1397" s="233"/>
      <c r="K1397" s="250"/>
      <c r="L1397" s="101">
        <v>2000000</v>
      </c>
      <c r="M1397" s="10"/>
      <c r="N1397" s="10"/>
      <c r="O1397"/>
      <c r="P1397"/>
    </row>
    <row r="1398" spans="1:16" s="146" customFormat="1" ht="17.45" customHeight="1" x14ac:dyDescent="0.25">
      <c r="A1398" s="270"/>
      <c r="B1398" s="557"/>
      <c r="C1398" s="557"/>
      <c r="D1398" s="38" t="s">
        <v>595</v>
      </c>
      <c r="E1398" s="271"/>
      <c r="F1398" s="271"/>
      <c r="G1398" s="272"/>
      <c r="H1398" s="273"/>
      <c r="I1398" s="101"/>
      <c r="J1398" s="233"/>
      <c r="K1398" s="250"/>
      <c r="L1398" s="101">
        <v>3000000</v>
      </c>
      <c r="M1398" s="10"/>
      <c r="N1398" s="10"/>
      <c r="O1398"/>
      <c r="P1398"/>
    </row>
    <row r="1399" spans="1:16" s="146" customFormat="1" ht="17.45" customHeight="1" x14ac:dyDescent="0.25">
      <c r="A1399" s="270"/>
      <c r="B1399" s="557"/>
      <c r="C1399" s="557"/>
      <c r="D1399" s="38" t="s">
        <v>596</v>
      </c>
      <c r="E1399" s="271"/>
      <c r="F1399" s="271"/>
      <c r="G1399" s="272"/>
      <c r="H1399" s="273"/>
      <c r="I1399" s="101"/>
      <c r="J1399" s="233"/>
      <c r="K1399" s="250"/>
      <c r="L1399" s="101">
        <v>2000000</v>
      </c>
      <c r="M1399" s="10"/>
      <c r="N1399" s="10"/>
      <c r="O1399"/>
      <c r="P1399"/>
    </row>
    <row r="1400" spans="1:16" s="282" customFormat="1" ht="17.45" customHeight="1" x14ac:dyDescent="0.25">
      <c r="A1400" s="274"/>
      <c r="B1400" s="607"/>
      <c r="C1400" s="607"/>
      <c r="D1400" s="275" t="s">
        <v>583</v>
      </c>
      <c r="F1400" s="275"/>
      <c r="G1400" s="276"/>
      <c r="H1400" s="277"/>
      <c r="I1400" s="119"/>
      <c r="J1400" s="278"/>
      <c r="K1400" s="279"/>
      <c r="L1400" s="119">
        <f>SUM(L1387:L1399)</f>
        <v>11900000</v>
      </c>
      <c r="M1400" s="280"/>
      <c r="N1400" s="280"/>
      <c r="O1400" s="281"/>
      <c r="P1400" s="281"/>
    </row>
    <row r="1401" spans="1:16" s="282" customFormat="1" ht="17.45" customHeight="1" x14ac:dyDescent="0.25">
      <c r="A1401" s="274"/>
      <c r="B1401" s="607"/>
      <c r="C1401" s="607"/>
      <c r="D1401" s="275"/>
      <c r="F1401" s="275"/>
      <c r="G1401" s="276"/>
      <c r="H1401" s="277"/>
      <c r="I1401" s="155"/>
      <c r="J1401" s="247"/>
      <c r="K1401" s="370"/>
      <c r="L1401" s="155"/>
      <c r="M1401" s="280"/>
      <c r="N1401" s="280"/>
      <c r="O1401" s="281"/>
      <c r="P1401" s="281"/>
    </row>
    <row r="1402" spans="1:16" s="146" customFormat="1" ht="18" x14ac:dyDescent="0.25">
      <c r="A1402" s="270"/>
      <c r="B1402" s="557"/>
      <c r="C1402" s="557"/>
      <c r="D1402" s="36" t="s">
        <v>597</v>
      </c>
      <c r="E1402" s="271"/>
      <c r="F1402" s="271"/>
      <c r="G1402" s="272"/>
      <c r="H1402" s="273"/>
      <c r="I1402" s="101"/>
      <c r="J1402" s="233"/>
      <c r="K1402" s="250"/>
      <c r="L1402" s="101"/>
      <c r="M1402" s="10"/>
      <c r="N1402" s="10"/>
      <c r="O1402"/>
      <c r="P1402"/>
    </row>
    <row r="1403" spans="1:16" s="146" customFormat="1" ht="18" x14ac:dyDescent="0.25">
      <c r="A1403" s="270"/>
      <c r="B1403" s="557"/>
      <c r="C1403" s="557"/>
      <c r="D1403" s="516" t="s">
        <v>598</v>
      </c>
      <c r="E1403" s="283"/>
      <c r="F1403" s="271"/>
      <c r="G1403" s="272"/>
      <c r="H1403" s="273"/>
      <c r="I1403" s="101"/>
      <c r="J1403" s="233"/>
      <c r="K1403" s="250"/>
      <c r="L1403" s="101">
        <v>12815451.880000001</v>
      </c>
      <c r="M1403" s="10"/>
      <c r="N1403" s="10"/>
      <c r="O1403"/>
      <c r="P1403"/>
    </row>
    <row r="1404" spans="1:16" s="146" customFormat="1" ht="54" customHeight="1" x14ac:dyDescent="0.25">
      <c r="A1404" s="270"/>
      <c r="B1404" s="557"/>
      <c r="C1404" s="557"/>
      <c r="D1404" s="1617" t="s">
        <v>599</v>
      </c>
      <c r="E1404" s="1617"/>
      <c r="F1404" s="271"/>
      <c r="G1404" s="272"/>
      <c r="H1404" s="273"/>
      <c r="I1404" s="101"/>
      <c r="J1404" s="233"/>
      <c r="K1404" s="250"/>
      <c r="L1404" s="101">
        <v>1000000</v>
      </c>
      <c r="M1404" s="10"/>
      <c r="N1404" s="10"/>
      <c r="O1404"/>
      <c r="P1404"/>
    </row>
    <row r="1405" spans="1:16" s="146" customFormat="1" ht="54.75" customHeight="1" x14ac:dyDescent="0.25">
      <c r="A1405" s="270"/>
      <c r="B1405" s="557"/>
      <c r="C1405" s="557"/>
      <c r="D1405" s="1617" t="s">
        <v>600</v>
      </c>
      <c r="E1405" s="1617"/>
      <c r="F1405" s="271"/>
      <c r="G1405" s="272"/>
      <c r="H1405" s="273"/>
      <c r="I1405" s="101"/>
      <c r="J1405" s="233"/>
      <c r="K1405" s="250"/>
      <c r="L1405" s="101">
        <v>600000</v>
      </c>
      <c r="M1405" s="10"/>
      <c r="N1405" s="10"/>
      <c r="O1405"/>
      <c r="P1405"/>
    </row>
    <row r="1406" spans="1:16" s="146" customFormat="1" ht="18" x14ac:dyDescent="0.25">
      <c r="A1406" s="270"/>
      <c r="B1406" s="557"/>
      <c r="C1406" s="557"/>
      <c r="D1406" s="516" t="s">
        <v>601</v>
      </c>
      <c r="E1406" s="283"/>
      <c r="F1406" s="271"/>
      <c r="G1406" s="272"/>
      <c r="H1406" s="273"/>
      <c r="I1406" s="101"/>
      <c r="J1406" s="233"/>
      <c r="K1406" s="250"/>
      <c r="L1406" s="101">
        <v>200000</v>
      </c>
      <c r="M1406" s="10"/>
      <c r="N1406" s="10"/>
      <c r="O1406"/>
      <c r="P1406"/>
    </row>
    <row r="1407" spans="1:16" s="146" customFormat="1" ht="18" x14ac:dyDescent="0.25">
      <c r="A1407" s="270"/>
      <c r="B1407" s="557"/>
      <c r="C1407" s="557"/>
      <c r="D1407" s="516" t="s">
        <v>602</v>
      </c>
      <c r="E1407" s="283"/>
      <c r="F1407" s="271"/>
      <c r="G1407" s="272"/>
      <c r="H1407" s="273"/>
      <c r="I1407" s="101"/>
      <c r="J1407" s="233"/>
      <c r="K1407" s="250"/>
      <c r="L1407" s="101">
        <v>1000000</v>
      </c>
      <c r="M1407" s="10"/>
      <c r="N1407" s="10"/>
      <c r="O1407"/>
      <c r="P1407"/>
    </row>
    <row r="1408" spans="1:16" s="146" customFormat="1" ht="36.75" customHeight="1" x14ac:dyDescent="0.25">
      <c r="A1408" s="270"/>
      <c r="B1408" s="557"/>
      <c r="C1408" s="557"/>
      <c r="D1408" s="1617" t="s">
        <v>603</v>
      </c>
      <c r="E1408" s="1617"/>
      <c r="F1408" s="271"/>
      <c r="G1408" s="272"/>
      <c r="H1408" s="273"/>
      <c r="I1408" s="101"/>
      <c r="J1408" s="233"/>
      <c r="K1408" s="250"/>
      <c r="L1408" s="101">
        <v>6000000</v>
      </c>
      <c r="M1408" s="10"/>
      <c r="N1408" s="10"/>
      <c r="O1408"/>
      <c r="P1408"/>
    </row>
    <row r="1409" spans="1:16" s="146" customFormat="1" ht="18" x14ac:dyDescent="0.25">
      <c r="A1409" s="270"/>
      <c r="B1409" s="557"/>
      <c r="C1409" s="557"/>
      <c r="D1409" s="516" t="s">
        <v>604</v>
      </c>
      <c r="E1409" s="283"/>
      <c r="F1409" s="271"/>
      <c r="G1409" s="272"/>
      <c r="H1409" s="273"/>
      <c r="I1409" s="101"/>
      <c r="J1409" s="233"/>
      <c r="K1409" s="250"/>
      <c r="L1409" s="101">
        <v>1000000</v>
      </c>
      <c r="M1409" s="10"/>
      <c r="N1409" s="10"/>
      <c r="O1409"/>
      <c r="P1409"/>
    </row>
    <row r="1410" spans="1:16" s="146" customFormat="1" ht="39" customHeight="1" x14ac:dyDescent="0.25">
      <c r="A1410" s="270"/>
      <c r="B1410" s="557"/>
      <c r="C1410" s="557"/>
      <c r="D1410" s="1628" t="s">
        <v>605</v>
      </c>
      <c r="E1410" s="1628"/>
      <c r="F1410" s="271"/>
      <c r="G1410" s="272"/>
      <c r="H1410" s="273"/>
      <c r="I1410" s="101"/>
      <c r="J1410" s="233"/>
      <c r="K1410" s="250"/>
      <c r="L1410" s="101">
        <v>1500000</v>
      </c>
      <c r="M1410" s="10"/>
      <c r="N1410" s="10"/>
      <c r="O1410"/>
      <c r="P1410"/>
    </row>
    <row r="1411" spans="1:16" s="146" customFormat="1" ht="36.75" customHeight="1" x14ac:dyDescent="0.25">
      <c r="A1411" s="270"/>
      <c r="B1411" s="557"/>
      <c r="C1411" s="557"/>
      <c r="D1411" s="1628" t="s">
        <v>606</v>
      </c>
      <c r="E1411" s="1628"/>
      <c r="F1411" s="271"/>
      <c r="G1411" s="272"/>
      <c r="H1411" s="273"/>
      <c r="I1411" s="101"/>
      <c r="J1411" s="233"/>
      <c r="K1411" s="250"/>
      <c r="L1411" s="101">
        <v>1500000</v>
      </c>
      <c r="M1411" s="10"/>
      <c r="N1411" s="10"/>
      <c r="O1411"/>
      <c r="P1411"/>
    </row>
    <row r="1412" spans="1:16" s="146" customFormat="1" ht="18" x14ac:dyDescent="0.25">
      <c r="A1412" s="270"/>
      <c r="B1412" s="557"/>
      <c r="C1412" s="557"/>
      <c r="D1412" s="516" t="s">
        <v>607</v>
      </c>
      <c r="E1412" s="283"/>
      <c r="F1412" s="271"/>
      <c r="G1412" s="272"/>
      <c r="H1412" s="273"/>
      <c r="I1412" s="101"/>
      <c r="J1412" s="233"/>
      <c r="K1412" s="250"/>
      <c r="L1412" s="101">
        <v>1000000</v>
      </c>
      <c r="M1412" s="10"/>
      <c r="N1412" s="10"/>
      <c r="O1412"/>
      <c r="P1412"/>
    </row>
    <row r="1413" spans="1:16" s="146" customFormat="1" ht="37.5" customHeight="1" x14ac:dyDescent="0.25">
      <c r="A1413" s="270"/>
      <c r="B1413" s="557"/>
      <c r="C1413" s="557"/>
      <c r="D1413" s="1628" t="s">
        <v>608</v>
      </c>
      <c r="E1413" s="1628"/>
      <c r="F1413" s="271"/>
      <c r="G1413" s="272"/>
      <c r="H1413" s="273"/>
      <c r="I1413" s="101"/>
      <c r="J1413" s="233"/>
      <c r="K1413" s="250"/>
      <c r="L1413" s="101">
        <v>702721.05</v>
      </c>
      <c r="M1413" s="10"/>
      <c r="N1413" s="10"/>
      <c r="O1413"/>
      <c r="P1413"/>
    </row>
    <row r="1414" spans="1:16" s="282" customFormat="1" ht="18" x14ac:dyDescent="0.25">
      <c r="A1414" s="274"/>
      <c r="B1414" s="607"/>
      <c r="C1414" s="607"/>
      <c r="D1414" s="275" t="s">
        <v>583</v>
      </c>
      <c r="F1414" s="275"/>
      <c r="G1414" s="276"/>
      <c r="H1414" s="277"/>
      <c r="I1414" s="119"/>
      <c r="J1414" s="278"/>
      <c r="K1414" s="279"/>
      <c r="L1414" s="119">
        <f>SUM(L1403:L1413)</f>
        <v>27318172.930000003</v>
      </c>
      <c r="M1414" s="280"/>
      <c r="N1414" s="280"/>
      <c r="O1414" s="281"/>
      <c r="P1414" s="281"/>
    </row>
    <row r="1415" spans="1:16" s="282" customFormat="1" ht="18.75" thickBot="1" x14ac:dyDescent="0.3">
      <c r="A1415" s="274"/>
      <c r="B1415" s="607"/>
      <c r="C1415" s="607"/>
      <c r="D1415" s="275" t="s">
        <v>609</v>
      </c>
      <c r="F1415" s="275"/>
      <c r="G1415" s="276"/>
      <c r="H1415" s="277"/>
      <c r="I1415" s="259"/>
      <c r="J1415" s="284"/>
      <c r="K1415" s="285"/>
      <c r="L1415" s="259">
        <f>L1414+L1400+L1385</f>
        <v>42718172.930000007</v>
      </c>
      <c r="M1415" s="280"/>
      <c r="N1415" s="280"/>
      <c r="O1415" s="281"/>
      <c r="P1415" s="281"/>
    </row>
    <row r="1416" spans="1:16" s="146" customFormat="1" ht="18" x14ac:dyDescent="0.25">
      <c r="A1416" s="286"/>
      <c r="B1416" s="286"/>
      <c r="C1416" s="286"/>
      <c r="D1416" s="287"/>
      <c r="E1416" s="288"/>
      <c r="F1416" s="288"/>
      <c r="G1416" s="288"/>
      <c r="H1416" s="288"/>
      <c r="I1416" s="289"/>
      <c r="J1416" s="290"/>
      <c r="K1416" s="289"/>
      <c r="L1416" s="289"/>
      <c r="M1416" s="10"/>
      <c r="N1416" s="10"/>
      <c r="O1416"/>
      <c r="P1416"/>
    </row>
    <row r="1417" spans="1:16" s="146" customFormat="1" ht="18" x14ac:dyDescent="0.25">
      <c r="A1417" s="557"/>
      <c r="B1417" s="557"/>
      <c r="C1417" s="557"/>
      <c r="D1417" s="38"/>
      <c r="E1417" s="271"/>
      <c r="F1417" s="271"/>
      <c r="G1417" s="271"/>
      <c r="H1417" s="271"/>
      <c r="I1417" s="141"/>
      <c r="J1417" s="122"/>
      <c r="K1417" s="141"/>
      <c r="L1417" s="141"/>
      <c r="M1417" s="10"/>
      <c r="N1417" s="10"/>
      <c r="O1417"/>
      <c r="P1417"/>
    </row>
    <row r="1418" spans="1:16" ht="18" customHeight="1" x14ac:dyDescent="0.25">
      <c r="A1418" s="8" t="s">
        <v>112</v>
      </c>
    </row>
    <row r="1419" spans="1:16" ht="18" customHeight="1" x14ac:dyDescent="0.25">
      <c r="A1419" s="8" t="s">
        <v>610</v>
      </c>
    </row>
    <row r="1420" spans="1:16" ht="18" customHeight="1" x14ac:dyDescent="0.25">
      <c r="A1420" s="1636" t="s">
        <v>113</v>
      </c>
      <c r="B1420" s="1636"/>
      <c r="C1420" s="1636"/>
      <c r="D1420" s="1636"/>
      <c r="E1420" s="1636"/>
      <c r="F1420" s="1636"/>
      <c r="G1420" s="1636"/>
      <c r="H1420" s="1636"/>
      <c r="I1420" s="1636"/>
      <c r="J1420" s="1636"/>
      <c r="K1420" s="1636"/>
      <c r="L1420" s="1636"/>
    </row>
    <row r="1421" spans="1:16" s="7" customFormat="1" ht="18" customHeight="1" x14ac:dyDescent="0.25">
      <c r="A1421" s="1624" t="s">
        <v>114</v>
      </c>
      <c r="B1421" s="1624"/>
      <c r="C1421" s="1624"/>
      <c r="D1421" s="1624"/>
      <c r="E1421" s="1624"/>
      <c r="F1421" s="1624"/>
      <c r="G1421" s="1624"/>
      <c r="H1421" s="1624"/>
      <c r="I1421" s="1624"/>
      <c r="J1421" s="1624"/>
      <c r="K1421" s="1624"/>
      <c r="L1421" s="1624"/>
      <c r="M1421" s="6"/>
      <c r="N1421" s="6"/>
    </row>
    <row r="1422" spans="1:16" ht="16.5" thickBot="1" x14ac:dyDescent="0.3">
      <c r="A1422" s="256"/>
      <c r="B1422" s="256"/>
      <c r="C1422" s="256"/>
      <c r="D1422" s="255"/>
      <c r="E1422" s="256"/>
      <c r="F1422" s="256"/>
      <c r="G1422" s="256"/>
      <c r="H1422" s="256"/>
      <c r="I1422" s="266"/>
      <c r="J1422" s="267"/>
      <c r="K1422" s="266"/>
      <c r="L1422" s="266"/>
    </row>
    <row r="1423" spans="1:16" ht="47.25" customHeight="1" thickBot="1" x14ac:dyDescent="0.3">
      <c r="A1423" s="1655" t="s">
        <v>115</v>
      </c>
      <c r="B1423" s="1655"/>
      <c r="C1423" s="1655"/>
      <c r="D1423" s="1655"/>
      <c r="E1423" s="1655"/>
      <c r="F1423" s="1655"/>
      <c r="G1423" s="1655"/>
      <c r="H1423" s="501" t="s">
        <v>116</v>
      </c>
      <c r="I1423" s="130" t="s">
        <v>117</v>
      </c>
      <c r="J1423" s="130" t="s">
        <v>118</v>
      </c>
      <c r="K1423" s="130" t="s">
        <v>119</v>
      </c>
      <c r="L1423" s="130" t="s">
        <v>120</v>
      </c>
    </row>
    <row r="1424" spans="1:16" ht="18.75" thickBot="1" x14ac:dyDescent="0.3">
      <c r="A1424" s="270"/>
      <c r="B1424" s="557"/>
      <c r="C1424" s="557"/>
      <c r="D1424" s="38" t="s">
        <v>611</v>
      </c>
      <c r="E1424" s="75"/>
      <c r="F1424" s="75"/>
      <c r="G1424" s="269"/>
      <c r="H1424" s="253"/>
      <c r="I1424" s="219">
        <v>215000</v>
      </c>
      <c r="J1424" s="291">
        <v>215000</v>
      </c>
      <c r="K1424" s="257"/>
      <c r="L1424" s="219">
        <v>215000</v>
      </c>
    </row>
    <row r="1425" spans="1:16" s="146" customFormat="1" ht="18.75" thickBot="1" x14ac:dyDescent="0.3">
      <c r="A1425" s="254"/>
      <c r="B1425" s="271"/>
      <c r="C1425" s="271"/>
      <c r="D1425" s="1673" t="s">
        <v>612</v>
      </c>
      <c r="E1425" s="1673"/>
      <c r="F1425" s="1673"/>
      <c r="G1425" s="1674"/>
      <c r="H1425" s="292"/>
      <c r="I1425" s="293">
        <f>SUM(I1380:I1424)</f>
        <v>13630388.58</v>
      </c>
      <c r="J1425" s="293">
        <f>SUM(J1380:J1424)</f>
        <v>33193691.050000001</v>
      </c>
      <c r="K1425" s="293">
        <f>SUM(K1380:K1424)</f>
        <v>594614.53</v>
      </c>
      <c r="L1425" s="293">
        <f>L1424+L1415</f>
        <v>42933172.930000007</v>
      </c>
      <c r="M1425" s="10"/>
      <c r="N1425" s="10"/>
      <c r="O1425"/>
      <c r="P1425"/>
    </row>
    <row r="1426" spans="1:16" s="146" customFormat="1" ht="18" x14ac:dyDescent="0.25">
      <c r="A1426" s="254"/>
      <c r="B1426" s="271"/>
      <c r="C1426" s="271"/>
      <c r="D1426" s="36"/>
      <c r="E1426" s="271"/>
      <c r="F1426" s="271"/>
      <c r="G1426" s="272"/>
      <c r="H1426" s="273"/>
      <c r="I1426" s="101"/>
      <c r="J1426" s="102"/>
      <c r="K1426" s="250"/>
      <c r="L1426" s="250"/>
      <c r="M1426" s="10"/>
      <c r="N1426" s="10"/>
      <c r="O1426"/>
      <c r="P1426"/>
    </row>
    <row r="1427" spans="1:16" s="146" customFormat="1" ht="18" x14ac:dyDescent="0.25">
      <c r="A1427" s="254"/>
      <c r="B1427" s="271"/>
      <c r="C1427" s="271"/>
      <c r="D1427" s="36"/>
      <c r="E1427" s="271"/>
      <c r="F1427" s="271"/>
      <c r="G1427" s="272"/>
      <c r="H1427" s="273"/>
      <c r="I1427" s="101"/>
      <c r="J1427" s="102"/>
      <c r="K1427" s="250"/>
      <c r="L1427" s="250"/>
      <c r="M1427" s="10"/>
      <c r="N1427" s="10"/>
      <c r="O1427"/>
      <c r="P1427"/>
    </row>
    <row r="1428" spans="1:16" ht="18" customHeight="1" x14ac:dyDescent="0.25">
      <c r="A1428" s="1667" t="s">
        <v>613</v>
      </c>
      <c r="B1428" s="1620"/>
      <c r="C1428" s="1620"/>
      <c r="D1428" s="1620"/>
      <c r="E1428" s="1620"/>
      <c r="F1428" s="235"/>
      <c r="G1428" s="236"/>
      <c r="H1428" s="237"/>
      <c r="I1428" s="238"/>
      <c r="J1428" s="294"/>
      <c r="K1428" s="238"/>
      <c r="L1428" s="238"/>
    </row>
    <row r="1429" spans="1:16" s="146" customFormat="1" ht="18" x14ac:dyDescent="0.25">
      <c r="A1429" s="1667"/>
      <c r="B1429" s="1620"/>
      <c r="C1429" s="1620"/>
      <c r="D1429" s="1620"/>
      <c r="E1429" s="1620"/>
      <c r="F1429" s="152"/>
      <c r="G1429" s="295"/>
      <c r="H1429" s="100"/>
      <c r="I1429" s="101"/>
      <c r="J1429" s="102"/>
      <c r="K1429" s="101"/>
      <c r="L1429" s="101"/>
      <c r="M1429" s="10"/>
      <c r="N1429" s="10"/>
      <c r="O1429"/>
      <c r="P1429"/>
    </row>
    <row r="1430" spans="1:16" s="146" customFormat="1" ht="18" x14ac:dyDescent="0.25">
      <c r="A1430" s="296" t="s">
        <v>614</v>
      </c>
      <c r="B1430" s="198"/>
      <c r="C1430" s="198"/>
      <c r="D1430" s="38"/>
      <c r="E1430" s="199"/>
      <c r="F1430" s="199"/>
      <c r="G1430" s="297"/>
      <c r="H1430" s="100"/>
      <c r="I1430" s="101"/>
      <c r="J1430" s="102"/>
      <c r="K1430" s="101"/>
      <c r="L1430" s="101"/>
      <c r="M1430" s="10"/>
      <c r="N1430" s="10"/>
      <c r="O1430"/>
      <c r="P1430"/>
    </row>
    <row r="1431" spans="1:16" s="146" customFormat="1" ht="18" x14ac:dyDescent="0.25">
      <c r="A1431" s="296"/>
      <c r="B1431" s="198"/>
      <c r="C1431" s="198"/>
      <c r="D1431" s="38" t="s">
        <v>615</v>
      </c>
      <c r="E1431" s="199"/>
      <c r="F1431" s="199"/>
      <c r="G1431" s="297"/>
      <c r="H1431" s="100"/>
      <c r="I1431" s="101"/>
      <c r="J1431" s="102"/>
      <c r="K1431" s="101"/>
      <c r="L1431" s="101">
        <v>20000000</v>
      </c>
      <c r="M1431" s="10"/>
      <c r="N1431" s="10"/>
      <c r="O1431"/>
      <c r="P1431"/>
    </row>
    <row r="1432" spans="1:16" s="146" customFormat="1" ht="36.75" customHeight="1" x14ac:dyDescent="0.25">
      <c r="A1432" s="296"/>
      <c r="B1432" s="198"/>
      <c r="C1432" s="198"/>
      <c r="D1432" s="1617" t="s">
        <v>616</v>
      </c>
      <c r="E1432" s="1617"/>
      <c r="F1432" s="199"/>
      <c r="G1432" s="297"/>
      <c r="H1432" s="100"/>
      <c r="I1432" s="101"/>
      <c r="J1432" s="102"/>
      <c r="K1432" s="101"/>
      <c r="L1432" s="101">
        <v>10000000</v>
      </c>
      <c r="M1432" s="10"/>
      <c r="N1432" s="10"/>
      <c r="O1432"/>
      <c r="P1432"/>
    </row>
    <row r="1433" spans="1:16" s="146" customFormat="1" ht="18" x14ac:dyDescent="0.25">
      <c r="A1433" s="296"/>
      <c r="B1433" s="198"/>
      <c r="C1433" s="198"/>
      <c r="D1433" s="38" t="s">
        <v>615</v>
      </c>
      <c r="E1433" s="199"/>
      <c r="F1433" s="199"/>
      <c r="G1433" s="297"/>
      <c r="H1433" s="100"/>
      <c r="I1433" s="105"/>
      <c r="J1433" s="106">
        <v>20000000</v>
      </c>
      <c r="K1433" s="105">
        <v>0</v>
      </c>
      <c r="L1433" s="105"/>
      <c r="M1433" s="10"/>
      <c r="N1433" s="10"/>
      <c r="O1433"/>
      <c r="P1433"/>
    </row>
    <row r="1434" spans="1:16" s="146" customFormat="1" ht="18" x14ac:dyDescent="0.25">
      <c r="A1434" s="298"/>
      <c r="B1434" s="199"/>
      <c r="C1434" s="199"/>
      <c r="D1434" s="518" t="s">
        <v>200</v>
      </c>
      <c r="F1434" s="299"/>
      <c r="G1434" s="300"/>
      <c r="H1434" s="301"/>
      <c r="I1434" s="150">
        <f>SUM(I1433:I1433)</f>
        <v>0</v>
      </c>
      <c r="J1434" s="150">
        <f>SUM(J1433:J1433)</f>
        <v>20000000</v>
      </c>
      <c r="K1434" s="150">
        <f>SUM(K1433:K1433)</f>
        <v>0</v>
      </c>
      <c r="L1434" s="150">
        <f>SUM(L1431:L1433)</f>
        <v>30000000</v>
      </c>
      <c r="M1434" s="10"/>
      <c r="N1434" s="10"/>
      <c r="O1434"/>
      <c r="P1434"/>
    </row>
    <row r="1435" spans="1:16" s="146" customFormat="1" ht="18" x14ac:dyDescent="0.25">
      <c r="A1435" s="298"/>
      <c r="B1435" s="199"/>
      <c r="C1435" s="199"/>
      <c r="D1435" s="38"/>
      <c r="E1435" s="518"/>
      <c r="F1435" s="299"/>
      <c r="G1435" s="300"/>
      <c r="H1435" s="301"/>
      <c r="I1435" s="156"/>
      <c r="J1435" s="156"/>
      <c r="K1435" s="156"/>
      <c r="L1435" s="156"/>
      <c r="M1435" s="10"/>
      <c r="N1435" s="10"/>
      <c r="O1435"/>
      <c r="P1435"/>
    </row>
    <row r="1436" spans="1:16" s="146" customFormat="1" ht="18" x14ac:dyDescent="0.25">
      <c r="A1436" s="296" t="s">
        <v>617</v>
      </c>
      <c r="B1436" s="198"/>
      <c r="C1436" s="198"/>
      <c r="D1436" s="38"/>
      <c r="E1436" s="199"/>
      <c r="F1436" s="199"/>
      <c r="G1436" s="297"/>
      <c r="H1436" s="100"/>
      <c r="I1436" s="101"/>
      <c r="J1436" s="102"/>
      <c r="K1436" s="101"/>
      <c r="L1436" s="101"/>
      <c r="M1436" s="10"/>
      <c r="N1436" s="10"/>
      <c r="O1436"/>
      <c r="P1436"/>
    </row>
    <row r="1437" spans="1:16" ht="17.25" customHeight="1" x14ac:dyDescent="0.25">
      <c r="A1437" s="296"/>
      <c r="B1437" s="198"/>
      <c r="C1437" s="198"/>
      <c r="D1437" s="38" t="s">
        <v>618</v>
      </c>
      <c r="E1437" s="199"/>
      <c r="F1437" s="199"/>
      <c r="G1437" s="297"/>
      <c r="H1437" s="100"/>
      <c r="I1437" s="101">
        <v>0</v>
      </c>
      <c r="J1437" s="102">
        <v>28182064.199999999</v>
      </c>
      <c r="K1437" s="101">
        <v>0</v>
      </c>
      <c r="L1437" s="101">
        <v>40261034.799999997</v>
      </c>
    </row>
    <row r="1438" spans="1:16" ht="18" x14ac:dyDescent="0.25">
      <c r="A1438" s="296"/>
      <c r="B1438" s="198"/>
      <c r="C1438" s="198"/>
      <c r="D1438" s="38" t="s">
        <v>619</v>
      </c>
      <c r="E1438" s="199"/>
      <c r="F1438" s="199"/>
      <c r="G1438" s="297"/>
      <c r="H1438" s="100"/>
      <c r="I1438" s="101">
        <v>0</v>
      </c>
      <c r="J1438" s="102">
        <v>2500000</v>
      </c>
      <c r="K1438" s="101">
        <v>0</v>
      </c>
      <c r="L1438" s="101">
        <v>500000</v>
      </c>
    </row>
    <row r="1439" spans="1:16" ht="18" x14ac:dyDescent="0.25">
      <c r="A1439" s="296"/>
      <c r="B1439" s="198"/>
      <c r="C1439" s="198"/>
      <c r="D1439" s="38" t="s">
        <v>620</v>
      </c>
      <c r="E1439" s="199"/>
      <c r="F1439" s="199"/>
      <c r="G1439" s="297"/>
      <c r="H1439" s="100"/>
      <c r="I1439" s="101"/>
      <c r="J1439" s="102"/>
      <c r="K1439" s="101"/>
      <c r="L1439" s="101">
        <v>20000000</v>
      </c>
    </row>
    <row r="1440" spans="1:16" ht="18" x14ac:dyDescent="0.25">
      <c r="A1440" s="296"/>
      <c r="B1440" s="198"/>
      <c r="C1440" s="198"/>
      <c r="D1440" s="38" t="s">
        <v>621</v>
      </c>
      <c r="E1440" s="199"/>
      <c r="F1440" s="199"/>
      <c r="G1440" s="297"/>
      <c r="H1440" s="100"/>
      <c r="I1440" s="101"/>
      <c r="J1440" s="102"/>
      <c r="K1440" s="101"/>
      <c r="L1440" s="101">
        <v>2000000</v>
      </c>
    </row>
    <row r="1441" spans="1:16" ht="18" x14ac:dyDescent="0.25">
      <c r="A1441" s="296"/>
      <c r="B1441" s="198"/>
      <c r="C1441" s="198"/>
      <c r="D1441" s="38" t="s">
        <v>622</v>
      </c>
      <c r="E1441" s="199"/>
      <c r="F1441" s="199"/>
      <c r="G1441" s="297"/>
      <c r="H1441" s="100"/>
      <c r="I1441" s="101">
        <v>0</v>
      </c>
      <c r="J1441" s="102">
        <v>2000000</v>
      </c>
      <c r="K1441" s="101">
        <v>0</v>
      </c>
      <c r="L1441" s="101"/>
    </row>
    <row r="1442" spans="1:16" ht="18" x14ac:dyDescent="0.25">
      <c r="A1442" s="296"/>
      <c r="B1442" s="198"/>
      <c r="C1442" s="198"/>
      <c r="D1442" s="38" t="s">
        <v>623</v>
      </c>
      <c r="E1442" s="199"/>
      <c r="F1442" s="199"/>
      <c r="G1442" s="297"/>
      <c r="H1442" s="100"/>
      <c r="I1442" s="101">
        <v>0</v>
      </c>
      <c r="J1442" s="102">
        <v>5000000</v>
      </c>
      <c r="K1442" s="101">
        <v>0</v>
      </c>
      <c r="L1442" s="101">
        <v>5000000</v>
      </c>
    </row>
    <row r="1443" spans="1:16" ht="19.5" customHeight="1" x14ac:dyDescent="0.25">
      <c r="A1443" s="302"/>
      <c r="B1443" s="608"/>
      <c r="C1443" s="608"/>
      <c r="D1443" s="1634" t="s">
        <v>624</v>
      </c>
      <c r="E1443" s="1634"/>
      <c r="F1443" s="1634"/>
      <c r="G1443" s="1653"/>
      <c r="H1443" s="100"/>
      <c r="I1443" s="101"/>
      <c r="J1443" s="102"/>
      <c r="K1443" s="101"/>
      <c r="L1443" s="101">
        <v>2000000</v>
      </c>
    </row>
    <row r="1444" spans="1:16" ht="18" x14ac:dyDescent="0.25">
      <c r="A1444" s="296"/>
      <c r="B1444" s="198"/>
      <c r="C1444" s="198"/>
      <c r="D1444" s="38" t="s">
        <v>625</v>
      </c>
      <c r="E1444" s="199"/>
      <c r="F1444" s="199"/>
      <c r="G1444" s="297"/>
      <c r="H1444" s="100"/>
      <c r="I1444" s="101">
        <v>0</v>
      </c>
      <c r="J1444" s="102">
        <v>5000000</v>
      </c>
      <c r="K1444" s="101">
        <v>0</v>
      </c>
      <c r="L1444" s="101">
        <v>5000000</v>
      </c>
    </row>
    <row r="1445" spans="1:16" ht="18" x14ac:dyDescent="0.25">
      <c r="A1445" s="296"/>
      <c r="B1445" s="198"/>
      <c r="C1445" s="198"/>
      <c r="D1445" s="38" t="s">
        <v>626</v>
      </c>
      <c r="E1445" s="199"/>
      <c r="F1445" s="199"/>
      <c r="G1445" s="297"/>
      <c r="H1445" s="100"/>
      <c r="I1445" s="101"/>
      <c r="J1445" s="102"/>
      <c r="K1445" s="101"/>
      <c r="L1445" s="101"/>
    </row>
    <row r="1446" spans="1:16" ht="18" x14ac:dyDescent="0.25">
      <c r="A1446" s="296"/>
      <c r="B1446" s="198"/>
      <c r="C1446" s="198"/>
      <c r="D1446" s="38" t="s">
        <v>627</v>
      </c>
      <c r="E1446" s="199"/>
      <c r="F1446" s="199"/>
      <c r="G1446" s="297"/>
      <c r="H1446" s="100"/>
      <c r="I1446" s="101"/>
      <c r="J1446" s="102"/>
      <c r="K1446" s="101"/>
      <c r="L1446" s="101">
        <v>5000000</v>
      </c>
    </row>
    <row r="1447" spans="1:16" ht="18" x14ac:dyDescent="0.25">
      <c r="A1447" s="296"/>
      <c r="B1447" s="198"/>
      <c r="C1447" s="198"/>
      <c r="D1447" s="38" t="s">
        <v>628</v>
      </c>
      <c r="E1447" s="199"/>
      <c r="F1447" s="199"/>
      <c r="G1447" s="297"/>
      <c r="H1447" s="100"/>
      <c r="I1447" s="101"/>
      <c r="J1447" s="102"/>
      <c r="K1447" s="101"/>
      <c r="L1447" s="101">
        <v>3000000</v>
      </c>
    </row>
    <row r="1448" spans="1:16" ht="18" customHeight="1" x14ac:dyDescent="0.25">
      <c r="A1448" s="296"/>
      <c r="B1448" s="198"/>
      <c r="C1448" s="198"/>
      <c r="D1448" s="1634" t="s">
        <v>629</v>
      </c>
      <c r="E1448" s="1634"/>
      <c r="F1448" s="1634"/>
      <c r="G1448" s="1653"/>
      <c r="H1448" s="100"/>
      <c r="I1448" s="101">
        <v>0</v>
      </c>
      <c r="J1448" s="102">
        <v>1500000</v>
      </c>
      <c r="K1448" s="101">
        <v>0</v>
      </c>
      <c r="L1448" s="101"/>
    </row>
    <row r="1449" spans="1:16" ht="18" x14ac:dyDescent="0.25">
      <c r="A1449" s="296"/>
      <c r="B1449" s="198"/>
      <c r="C1449" s="198"/>
      <c r="D1449" s="38" t="s">
        <v>630</v>
      </c>
      <c r="E1449" s="303"/>
      <c r="F1449" s="199"/>
      <c r="G1449" s="297"/>
      <c r="H1449" s="100"/>
      <c r="I1449" s="101">
        <v>0</v>
      </c>
      <c r="J1449" s="102">
        <v>2000000</v>
      </c>
      <c r="K1449" s="101">
        <v>0</v>
      </c>
      <c r="L1449" s="101"/>
    </row>
    <row r="1450" spans="1:16" ht="18" x14ac:dyDescent="0.25">
      <c r="A1450" s="296"/>
      <c r="B1450" s="198"/>
      <c r="C1450" s="198"/>
      <c r="D1450" s="38" t="s">
        <v>631</v>
      </c>
      <c r="E1450" s="303"/>
      <c r="F1450" s="199"/>
      <c r="G1450" s="297"/>
      <c r="H1450" s="100"/>
      <c r="I1450" s="101"/>
      <c r="J1450" s="102">
        <v>3000000</v>
      </c>
      <c r="K1450" s="101">
        <v>0</v>
      </c>
      <c r="L1450" s="101"/>
    </row>
    <row r="1451" spans="1:16" ht="36.75" customHeight="1" x14ac:dyDescent="0.25">
      <c r="A1451" s="302"/>
      <c r="B1451" s="608"/>
      <c r="C1451" s="608"/>
      <c r="D1451" s="1637" t="s">
        <v>632</v>
      </c>
      <c r="E1451" s="1637"/>
      <c r="F1451" s="1637"/>
      <c r="G1451" s="1641"/>
      <c r="H1451" s="100"/>
      <c r="I1451" s="101">
        <v>0</v>
      </c>
      <c r="J1451" s="102">
        <v>2000000</v>
      </c>
      <c r="K1451" s="101">
        <v>0</v>
      </c>
      <c r="L1451" s="101"/>
    </row>
    <row r="1452" spans="1:16" s="146" customFormat="1" ht="18" x14ac:dyDescent="0.25">
      <c r="A1452" s="304"/>
      <c r="B1452" s="609"/>
      <c r="C1452" s="609"/>
      <c r="D1452" s="206" t="s">
        <v>633</v>
      </c>
      <c r="E1452" s="199"/>
      <c r="F1452" s="199"/>
      <c r="G1452" s="297"/>
      <c r="H1452" s="100"/>
      <c r="I1452" s="105">
        <v>0</v>
      </c>
      <c r="J1452" s="106">
        <v>8000000</v>
      </c>
      <c r="K1452" s="105">
        <v>7999000</v>
      </c>
      <c r="L1452" s="105"/>
      <c r="M1452" s="10"/>
      <c r="N1452" s="10"/>
      <c r="O1452"/>
      <c r="P1452"/>
    </row>
    <row r="1453" spans="1:16" s="146" customFormat="1" ht="18.75" thickBot="1" x14ac:dyDescent="0.3">
      <c r="A1453" s="298"/>
      <c r="B1453" s="199"/>
      <c r="C1453" s="199"/>
      <c r="D1453" s="518" t="s">
        <v>200</v>
      </c>
      <c r="F1453" s="306"/>
      <c r="G1453" s="307"/>
      <c r="H1453" s="308"/>
      <c r="I1453" s="119">
        <f>SUM(I1437:I1452)</f>
        <v>0</v>
      </c>
      <c r="J1453" s="150">
        <f>SUM(J1437:J1452)</f>
        <v>59182064.200000003</v>
      </c>
      <c r="K1453" s="150">
        <f>SUM(K1437:K1452)</f>
        <v>7999000</v>
      </c>
      <c r="L1453" s="119">
        <f>SUM(L1437:L1452)</f>
        <v>82761034.799999997</v>
      </c>
      <c r="M1453" s="10"/>
      <c r="N1453" s="10"/>
      <c r="O1453"/>
      <c r="P1453"/>
    </row>
    <row r="1454" spans="1:16" s="146" customFormat="1" ht="18" x14ac:dyDescent="0.25">
      <c r="A1454" s="298"/>
      <c r="B1454" s="199"/>
      <c r="C1454" s="199"/>
      <c r="D1454" s="38"/>
      <c r="E1454" s="305"/>
      <c r="F1454" s="303"/>
      <c r="G1454" s="309"/>
      <c r="H1454" s="100"/>
      <c r="I1454" s="155"/>
      <c r="J1454" s="156"/>
      <c r="K1454" s="155"/>
      <c r="L1454" s="155"/>
      <c r="M1454" s="10"/>
      <c r="N1454" s="10"/>
      <c r="O1454"/>
      <c r="P1454"/>
    </row>
    <row r="1455" spans="1:16" ht="18" x14ac:dyDescent="0.25">
      <c r="A1455" s="296" t="s">
        <v>634</v>
      </c>
      <c r="B1455" s="198"/>
      <c r="C1455" s="198"/>
      <c r="D1455" s="36"/>
      <c r="E1455" s="198"/>
      <c r="F1455" s="198"/>
      <c r="G1455" s="310"/>
      <c r="H1455" s="100"/>
      <c r="I1455" s="101"/>
      <c r="J1455" s="102"/>
      <c r="K1455" s="101"/>
      <c r="L1455" s="101"/>
    </row>
    <row r="1456" spans="1:16" ht="18" x14ac:dyDescent="0.25">
      <c r="A1456" s="298"/>
      <c r="B1456" s="199"/>
      <c r="C1456" s="199"/>
      <c r="D1456" s="38" t="s">
        <v>635</v>
      </c>
      <c r="E1456" s="199"/>
      <c r="F1456" s="199"/>
      <c r="G1456" s="297"/>
      <c r="H1456" s="100"/>
      <c r="I1456" s="101"/>
      <c r="J1456" s="102"/>
      <c r="K1456" s="101"/>
      <c r="L1456" s="101"/>
    </row>
    <row r="1457" spans="1:16" ht="36.75" customHeight="1" x14ac:dyDescent="0.25">
      <c r="A1457" s="298"/>
      <c r="B1457" s="199"/>
      <c r="C1457" s="199"/>
      <c r="D1457" s="1617" t="s">
        <v>636</v>
      </c>
      <c r="E1457" s="1617"/>
      <c r="F1457" s="199"/>
      <c r="G1457" s="297"/>
      <c r="H1457" s="100"/>
      <c r="I1457" s="101">
        <v>401768.98</v>
      </c>
      <c r="J1457" s="102">
        <v>420000</v>
      </c>
      <c r="K1457" s="101">
        <v>195005.5</v>
      </c>
      <c r="L1457" s="101">
        <v>500000</v>
      </c>
    </row>
    <row r="1458" spans="1:16" ht="39" customHeight="1" x14ac:dyDescent="0.25">
      <c r="A1458" s="298"/>
      <c r="B1458" s="199"/>
      <c r="C1458" s="199"/>
      <c r="D1458" s="1628" t="s">
        <v>637</v>
      </c>
      <c r="E1458" s="1628"/>
      <c r="F1458" s="199"/>
      <c r="G1458" s="297"/>
      <c r="H1458" s="100"/>
      <c r="I1458" s="101"/>
      <c r="J1458" s="102"/>
      <c r="K1458" s="101"/>
      <c r="L1458" s="101">
        <v>8000000</v>
      </c>
    </row>
    <row r="1459" spans="1:16" ht="18.75" customHeight="1" x14ac:dyDescent="0.25">
      <c r="A1459" s="298"/>
      <c r="B1459" s="199"/>
      <c r="C1459" s="199"/>
      <c r="D1459" s="1617" t="s">
        <v>638</v>
      </c>
      <c r="E1459" s="1617"/>
      <c r="F1459" s="199"/>
      <c r="G1459" s="297"/>
      <c r="H1459" s="100"/>
      <c r="I1459" s="101"/>
      <c r="J1459" s="102"/>
      <c r="K1459" s="101"/>
      <c r="L1459" s="101">
        <v>5000000</v>
      </c>
    </row>
    <row r="1460" spans="1:16" ht="18" x14ac:dyDescent="0.25">
      <c r="A1460" s="298"/>
      <c r="B1460" s="199"/>
      <c r="C1460" s="199"/>
      <c r="D1460" s="38" t="s">
        <v>639</v>
      </c>
      <c r="E1460" s="303"/>
      <c r="F1460" s="199"/>
      <c r="G1460" s="297"/>
      <c r="H1460" s="100"/>
      <c r="I1460" s="101">
        <v>7999000</v>
      </c>
      <c r="J1460" s="102"/>
      <c r="K1460" s="101"/>
      <c r="L1460" s="101"/>
    </row>
    <row r="1461" spans="1:16" ht="18" x14ac:dyDescent="0.25">
      <c r="A1461" s="298"/>
      <c r="B1461" s="199"/>
      <c r="C1461" s="199"/>
      <c r="D1461" s="38" t="s">
        <v>640</v>
      </c>
      <c r="E1461" s="303"/>
      <c r="F1461" s="199"/>
      <c r="G1461" s="297"/>
      <c r="H1461" s="100"/>
      <c r="I1461" s="101">
        <v>0</v>
      </c>
      <c r="J1461" s="102">
        <v>5000000</v>
      </c>
      <c r="K1461" s="101"/>
      <c r="L1461" s="101"/>
    </row>
    <row r="1462" spans="1:16" s="313" customFormat="1" ht="18" customHeight="1" x14ac:dyDescent="0.25">
      <c r="A1462" s="173"/>
      <c r="B1462" s="505"/>
      <c r="C1462" s="505"/>
      <c r="D1462" s="1672" t="s">
        <v>641</v>
      </c>
      <c r="E1462" s="1672"/>
      <c r="F1462" s="510"/>
      <c r="G1462" s="311"/>
      <c r="H1462" s="312"/>
      <c r="I1462" s="102"/>
      <c r="J1462" s="102"/>
      <c r="K1462" s="102"/>
      <c r="L1462" s="102"/>
      <c r="M1462" s="193"/>
      <c r="N1462" s="193"/>
      <c r="O1462" s="179"/>
      <c r="P1462" s="179"/>
    </row>
    <row r="1463" spans="1:16" s="313" customFormat="1" ht="18" customHeight="1" x14ac:dyDescent="0.25">
      <c r="A1463" s="173"/>
      <c r="B1463" s="505"/>
      <c r="C1463" s="505"/>
      <c r="D1463" s="528" t="s">
        <v>642</v>
      </c>
      <c r="E1463" s="528"/>
      <c r="F1463" s="510"/>
      <c r="G1463" s="311"/>
      <c r="H1463" s="312"/>
      <c r="I1463" s="102"/>
      <c r="J1463" s="102"/>
      <c r="K1463" s="102"/>
      <c r="L1463" s="102">
        <v>20000000</v>
      </c>
      <c r="M1463" s="193"/>
      <c r="N1463" s="193"/>
      <c r="O1463" s="179"/>
      <c r="P1463" s="179"/>
    </row>
    <row r="1464" spans="1:16" ht="37.5" customHeight="1" x14ac:dyDescent="0.25">
      <c r="A1464" s="298"/>
      <c r="B1464" s="199"/>
      <c r="C1464" s="199"/>
      <c r="D1464" s="1637" t="s">
        <v>643</v>
      </c>
      <c r="E1464" s="1637"/>
      <c r="F1464" s="199"/>
      <c r="G1464" s="297"/>
      <c r="H1464" s="100"/>
      <c r="I1464" s="101"/>
      <c r="J1464" s="102">
        <v>10000000</v>
      </c>
      <c r="K1464" s="101"/>
      <c r="L1464" s="101"/>
    </row>
    <row r="1465" spans="1:16" ht="18" x14ac:dyDescent="0.25">
      <c r="A1465" s="298"/>
      <c r="B1465" s="199"/>
      <c r="C1465" s="199"/>
      <c r="D1465" s="206" t="s">
        <v>644</v>
      </c>
      <c r="E1465" s="303"/>
      <c r="F1465" s="199"/>
      <c r="G1465" s="297"/>
      <c r="H1465" s="100"/>
      <c r="I1465" s="101"/>
      <c r="J1465" s="102">
        <v>2500000</v>
      </c>
      <c r="K1465" s="101"/>
      <c r="L1465" s="101"/>
    </row>
    <row r="1466" spans="1:16" ht="18" x14ac:dyDescent="0.25">
      <c r="A1466" s="298"/>
      <c r="B1466" s="199"/>
      <c r="C1466" s="199"/>
      <c r="D1466" s="206" t="s">
        <v>645</v>
      </c>
      <c r="E1466" s="303"/>
      <c r="F1466" s="199"/>
      <c r="G1466" s="297"/>
      <c r="H1466" s="100"/>
      <c r="I1466" s="101"/>
      <c r="J1466" s="102">
        <v>5000000</v>
      </c>
      <c r="K1466" s="101"/>
      <c r="L1466" s="101"/>
    </row>
    <row r="1467" spans="1:16" ht="18" x14ac:dyDescent="0.25">
      <c r="A1467" s="298"/>
      <c r="B1467" s="199"/>
      <c r="C1467" s="199"/>
      <c r="D1467" s="516" t="s">
        <v>646</v>
      </c>
      <c r="E1467" s="303"/>
      <c r="F1467" s="199"/>
      <c r="G1467" s="297"/>
      <c r="H1467" s="100"/>
      <c r="I1467" s="101"/>
      <c r="J1467" s="102">
        <v>3500000</v>
      </c>
      <c r="K1467" s="101"/>
      <c r="L1467" s="101"/>
    </row>
    <row r="1468" spans="1:16" ht="37.5" customHeight="1" x14ac:dyDescent="0.25">
      <c r="A1468" s="298"/>
      <c r="B1468" s="199"/>
      <c r="C1468" s="199"/>
      <c r="D1468" s="1637" t="s">
        <v>647</v>
      </c>
      <c r="E1468" s="1637"/>
      <c r="F1468" s="199"/>
      <c r="G1468" s="297"/>
      <c r="H1468" s="100"/>
      <c r="I1468" s="101"/>
      <c r="J1468" s="102">
        <v>1500000</v>
      </c>
      <c r="K1468" s="101"/>
      <c r="L1468" s="101"/>
    </row>
    <row r="1469" spans="1:16" ht="18" x14ac:dyDescent="0.25">
      <c r="A1469" s="298"/>
      <c r="B1469" s="199"/>
      <c r="C1469" s="199"/>
      <c r="D1469" s="206" t="s">
        <v>648</v>
      </c>
      <c r="E1469" s="303"/>
      <c r="F1469" s="199"/>
      <c r="G1469" s="297"/>
      <c r="H1469" s="100"/>
      <c r="I1469" s="105"/>
      <c r="J1469" s="106">
        <v>2000000</v>
      </c>
      <c r="K1469" s="105"/>
      <c r="L1469" s="105">
        <v>2000000</v>
      </c>
    </row>
    <row r="1470" spans="1:16" s="146" customFormat="1" ht="18" x14ac:dyDescent="0.25">
      <c r="A1470" s="519"/>
      <c r="B1470" s="499"/>
      <c r="C1470" s="499"/>
      <c r="D1470" s="518" t="s">
        <v>200</v>
      </c>
      <c r="E1470" s="305"/>
      <c r="F1470" s="496"/>
      <c r="G1470" s="493"/>
      <c r="H1470" s="301"/>
      <c r="I1470" s="189">
        <f>SUM(I1456:I1469)</f>
        <v>8400768.9800000004</v>
      </c>
      <c r="J1470" s="156">
        <f>SUM(J1456:J1469)</f>
        <v>29920000</v>
      </c>
      <c r="K1470" s="155">
        <f>SUM(K1456:K1469)</f>
        <v>195005.5</v>
      </c>
      <c r="L1470" s="189">
        <f>SUM(L1456:L1469)</f>
        <v>35500000</v>
      </c>
      <c r="M1470" s="10"/>
      <c r="N1470" s="10"/>
      <c r="O1470"/>
      <c r="P1470"/>
    </row>
    <row r="1471" spans="1:16" s="146" customFormat="1" ht="18" x14ac:dyDescent="0.25">
      <c r="A1471" s="519"/>
      <c r="B1471" s="499"/>
      <c r="C1471" s="499"/>
      <c r="D1471" s="513"/>
      <c r="E1471" s="499"/>
      <c r="F1471" s="499"/>
      <c r="G1471" s="491"/>
      <c r="H1471" s="100"/>
      <c r="I1471" s="314"/>
      <c r="J1471" s="106"/>
      <c r="K1471" s="105"/>
      <c r="L1471" s="314"/>
      <c r="M1471" s="10"/>
      <c r="N1471" s="10"/>
      <c r="O1471"/>
      <c r="P1471"/>
    </row>
    <row r="1472" spans="1:16" s="146" customFormat="1" ht="18" x14ac:dyDescent="0.25">
      <c r="A1472" s="107"/>
      <c r="B1472" s="610"/>
      <c r="C1472" s="610"/>
      <c r="D1472" s="558" t="s">
        <v>649</v>
      </c>
      <c r="E1472" s="559"/>
      <c r="F1472" s="496"/>
      <c r="G1472" s="493"/>
      <c r="H1472" s="301"/>
      <c r="I1472" s="315">
        <f>SUM(I1470+I1453+I1434)</f>
        <v>8400768.9800000004</v>
      </c>
      <c r="J1472" s="316">
        <f>SUM(J1470+J1453+J1434)</f>
        <v>109102064.2</v>
      </c>
      <c r="K1472" s="150">
        <f>SUM(K1470+K1453+K1434)</f>
        <v>8194005.5</v>
      </c>
      <c r="L1472" s="316">
        <f>SUM(L1470+L1453+L1434)</f>
        <v>148261034.80000001</v>
      </c>
      <c r="M1472" s="10"/>
      <c r="N1472" s="10"/>
      <c r="O1472"/>
      <c r="P1472"/>
    </row>
    <row r="1473" spans="1:16" s="146" customFormat="1" ht="18.75" thickBot="1" x14ac:dyDescent="0.3">
      <c r="A1473" s="317"/>
      <c r="B1473" s="318"/>
      <c r="C1473" s="318"/>
      <c r="D1473" s="560" t="s">
        <v>650</v>
      </c>
      <c r="E1473" s="561"/>
      <c r="F1473" s="228"/>
      <c r="G1473" s="319"/>
      <c r="H1473" s="320"/>
      <c r="I1473" s="321">
        <f>I1472+I1425</f>
        <v>22031157.560000002</v>
      </c>
      <c r="J1473" s="321">
        <f>J1472+J1425</f>
        <v>142295755.25</v>
      </c>
      <c r="K1473" s="321">
        <f>K1472+K1425</f>
        <v>8788620.0299999993</v>
      </c>
      <c r="L1473" s="321">
        <f>L1472+L1425</f>
        <v>191194207.73000002</v>
      </c>
      <c r="M1473" s="10"/>
      <c r="N1473" s="10"/>
    </row>
    <row r="1474" spans="1:16" s="146" customFormat="1" ht="18" x14ac:dyDescent="0.25">
      <c r="A1474" s="499"/>
      <c r="B1474" s="499"/>
      <c r="C1474" s="499"/>
      <c r="D1474" s="513"/>
      <c r="E1474" s="496"/>
      <c r="F1474" s="496"/>
      <c r="G1474" s="496"/>
      <c r="H1474" s="322"/>
      <c r="I1474" s="323"/>
      <c r="J1474" s="127"/>
      <c r="K1474" s="126"/>
      <c r="L1474" s="126"/>
      <c r="M1474" s="10"/>
      <c r="N1474" s="10"/>
      <c r="O1474"/>
      <c r="P1474"/>
    </row>
    <row r="1475" spans="1:16" s="146" customFormat="1" ht="18" x14ac:dyDescent="0.25">
      <c r="A1475" s="499"/>
      <c r="B1475" s="499"/>
      <c r="C1475" s="499"/>
      <c r="D1475" s="513"/>
      <c r="E1475" s="496"/>
      <c r="F1475" s="496"/>
      <c r="G1475" s="496"/>
      <c r="H1475" s="322"/>
      <c r="I1475" s="323"/>
      <c r="J1475" s="127"/>
      <c r="K1475" s="126"/>
      <c r="L1475" s="126"/>
      <c r="M1475" s="10"/>
      <c r="N1475" s="10"/>
      <c r="O1475"/>
      <c r="P1475"/>
    </row>
    <row r="1476" spans="1:16" s="146" customFormat="1" ht="18" x14ac:dyDescent="0.25">
      <c r="A1476" s="499"/>
      <c r="B1476" s="499"/>
      <c r="C1476" s="499"/>
      <c r="D1476" s="513"/>
      <c r="E1476" s="496"/>
      <c r="F1476" s="496"/>
      <c r="G1476" s="496"/>
      <c r="H1476" s="322"/>
      <c r="I1476" s="323"/>
      <c r="J1476" s="127"/>
      <c r="K1476" s="126"/>
      <c r="L1476" s="126"/>
      <c r="M1476" s="10"/>
      <c r="N1476" s="10"/>
      <c r="O1476"/>
      <c r="P1476"/>
    </row>
    <row r="1477" spans="1:16" s="146" customFormat="1" ht="18" x14ac:dyDescent="0.25">
      <c r="A1477" s="499"/>
      <c r="B1477" s="499"/>
      <c r="C1477" s="499"/>
      <c r="D1477" s="513"/>
      <c r="E1477" s="496"/>
      <c r="F1477" s="496"/>
      <c r="G1477" s="496"/>
      <c r="H1477" s="322"/>
      <c r="I1477" s="323"/>
      <c r="J1477" s="127"/>
      <c r="K1477" s="126"/>
      <c r="L1477" s="126"/>
      <c r="M1477" s="10"/>
      <c r="N1477" s="10"/>
      <c r="O1477"/>
      <c r="P1477"/>
    </row>
    <row r="1478" spans="1:16" s="146" customFormat="1" ht="18" x14ac:dyDescent="0.25">
      <c r="A1478" s="499"/>
      <c r="B1478" s="499"/>
      <c r="C1478" s="499"/>
      <c r="D1478" s="513"/>
      <c r="E1478" s="496"/>
      <c r="F1478" s="496"/>
      <c r="G1478" s="496"/>
      <c r="H1478" s="322"/>
      <c r="I1478" s="323"/>
      <c r="J1478" s="127"/>
      <c r="K1478" s="126"/>
      <c r="L1478" s="126"/>
      <c r="M1478" s="10"/>
      <c r="N1478" s="10"/>
      <c r="O1478"/>
      <c r="P1478"/>
    </row>
    <row r="1479" spans="1:16" s="146" customFormat="1" ht="18" customHeight="1" x14ac:dyDescent="0.25">
      <c r="A1479" s="9" t="s">
        <v>112</v>
      </c>
      <c r="B1479" s="9"/>
      <c r="C1479" s="9"/>
      <c r="D1479" s="9"/>
      <c r="E1479" s="9"/>
      <c r="F1479" s="9"/>
      <c r="G1479" s="9"/>
      <c r="H1479" s="9"/>
      <c r="I1479" s="5"/>
      <c r="J1479" s="5"/>
      <c r="K1479" s="177"/>
      <c r="L1479" s="5"/>
      <c r="M1479" s="10"/>
      <c r="N1479" s="10"/>
    </row>
    <row r="1480" spans="1:16" ht="18" customHeight="1" x14ac:dyDescent="0.25">
      <c r="A1480" s="8" t="s">
        <v>651</v>
      </c>
      <c r="K1480" s="249"/>
    </row>
    <row r="1481" spans="1:16" ht="18" customHeight="1" x14ac:dyDescent="0.25">
      <c r="A1481" s="1636" t="s">
        <v>113</v>
      </c>
      <c r="B1481" s="1636"/>
      <c r="C1481" s="1636"/>
      <c r="D1481" s="1636"/>
      <c r="E1481" s="1636"/>
      <c r="F1481" s="1636"/>
      <c r="G1481" s="1636"/>
      <c r="H1481" s="1636"/>
      <c r="I1481" s="1636"/>
      <c r="J1481" s="1636"/>
      <c r="K1481" s="1636"/>
      <c r="L1481" s="1636"/>
    </row>
    <row r="1482" spans="1:16" s="7" customFormat="1" ht="18" customHeight="1" x14ac:dyDescent="0.25">
      <c r="A1482" s="1624" t="s">
        <v>114</v>
      </c>
      <c r="B1482" s="1624"/>
      <c r="C1482" s="1624"/>
      <c r="D1482" s="1624"/>
      <c r="E1482" s="1624"/>
      <c r="F1482" s="1624"/>
      <c r="G1482" s="1624"/>
      <c r="H1482" s="1624"/>
      <c r="I1482" s="1624"/>
      <c r="J1482" s="1624"/>
      <c r="K1482" s="1624"/>
      <c r="L1482" s="1624"/>
      <c r="M1482" s="6"/>
      <c r="N1482" s="6"/>
    </row>
    <row r="1483" spans="1:16" ht="16.5" thickBot="1" x14ac:dyDescent="0.3">
      <c r="I1483" s="265"/>
    </row>
    <row r="1484" spans="1:16" s="146" customFormat="1" ht="64.5" customHeight="1" thickBot="1" x14ac:dyDescent="0.3">
      <c r="A1484" s="1655" t="s">
        <v>115</v>
      </c>
      <c r="B1484" s="1655"/>
      <c r="C1484" s="1655"/>
      <c r="D1484" s="1655"/>
      <c r="E1484" s="1655"/>
      <c r="F1484" s="1655"/>
      <c r="G1484" s="1655"/>
      <c r="H1484" s="501" t="s">
        <v>116</v>
      </c>
      <c r="I1484" s="130" t="s">
        <v>117</v>
      </c>
      <c r="J1484" s="130" t="s">
        <v>118</v>
      </c>
      <c r="K1484" s="130" t="s">
        <v>119</v>
      </c>
      <c r="L1484" s="130" t="s">
        <v>120</v>
      </c>
      <c r="M1484" s="10"/>
      <c r="N1484" s="10"/>
      <c r="O1484"/>
      <c r="P1484"/>
    </row>
    <row r="1485" spans="1:16" s="146" customFormat="1" ht="18" x14ac:dyDescent="0.25">
      <c r="A1485" s="1670" t="s">
        <v>652</v>
      </c>
      <c r="B1485" s="1670"/>
      <c r="C1485" s="1670"/>
      <c r="D1485" s="1670"/>
      <c r="E1485" s="1670"/>
      <c r="F1485" s="1670"/>
      <c r="G1485" s="1670"/>
      <c r="H1485" s="324"/>
      <c r="I1485" s="325"/>
      <c r="J1485" s="326"/>
      <c r="K1485" s="325"/>
      <c r="L1485" s="325"/>
      <c r="M1485" s="10"/>
      <c r="N1485" s="10"/>
      <c r="O1485"/>
      <c r="P1485"/>
    </row>
    <row r="1486" spans="1:16" s="146" customFormat="1" ht="18" customHeight="1" x14ac:dyDescent="0.25">
      <c r="A1486" s="327" t="s">
        <v>653</v>
      </c>
      <c r="B1486" s="369"/>
      <c r="C1486" s="369"/>
      <c r="E1486" s="542"/>
      <c r="F1486" s="542"/>
      <c r="G1486" s="542"/>
      <c r="H1486" s="328"/>
      <c r="I1486" s="329"/>
      <c r="J1486" s="329"/>
      <c r="K1486" s="329"/>
      <c r="L1486" s="329"/>
      <c r="M1486" s="10"/>
      <c r="N1486" s="10"/>
    </row>
    <row r="1487" spans="1:16" s="146" customFormat="1" ht="18" x14ac:dyDescent="0.25">
      <c r="A1487" s="495"/>
      <c r="B1487" s="496"/>
      <c r="C1487" s="496"/>
      <c r="D1487" s="1620" t="s">
        <v>654</v>
      </c>
      <c r="E1487" s="1620"/>
      <c r="F1487" s="1620"/>
      <c r="G1487" s="1620"/>
      <c r="H1487" s="97"/>
      <c r="I1487" s="98"/>
      <c r="J1487" s="99"/>
      <c r="K1487" s="98"/>
      <c r="L1487" s="98"/>
      <c r="M1487" s="10"/>
      <c r="N1487" s="10"/>
      <c r="O1487"/>
      <c r="P1487"/>
    </row>
    <row r="1488" spans="1:16" s="146" customFormat="1" ht="18" x14ac:dyDescent="0.25">
      <c r="A1488" s="495"/>
      <c r="B1488" s="496"/>
      <c r="C1488" s="496"/>
      <c r="D1488" s="1618" t="s">
        <v>655</v>
      </c>
      <c r="E1488" s="1619"/>
      <c r="F1488" s="1619"/>
      <c r="G1488" s="1671"/>
      <c r="H1488" s="168"/>
      <c r="I1488" s="330">
        <v>2129500</v>
      </c>
      <c r="J1488" s="102">
        <v>5500000</v>
      </c>
      <c r="K1488" s="330">
        <v>869900</v>
      </c>
      <c r="L1488" s="330">
        <v>4000000</v>
      </c>
      <c r="M1488" s="10"/>
      <c r="N1488" s="10">
        <f>14000000-5000000</f>
        <v>9000000</v>
      </c>
      <c r="O1488"/>
      <c r="P1488"/>
    </row>
    <row r="1489" spans="1:16" s="146" customFormat="1" ht="18" x14ac:dyDescent="0.25">
      <c r="A1489" s="495"/>
      <c r="B1489" s="496"/>
      <c r="C1489" s="496"/>
      <c r="D1489" s="536" t="s">
        <v>656</v>
      </c>
      <c r="E1489" s="513"/>
      <c r="F1489" s="513"/>
      <c r="G1489" s="513"/>
      <c r="H1489" s="168"/>
      <c r="I1489" s="330"/>
      <c r="J1489" s="102"/>
      <c r="K1489" s="330"/>
      <c r="L1489" s="330">
        <v>1000000</v>
      </c>
      <c r="M1489" s="10"/>
      <c r="N1489" s="10"/>
      <c r="O1489"/>
      <c r="P1489"/>
    </row>
    <row r="1490" spans="1:16" s="146" customFormat="1" ht="18" x14ac:dyDescent="0.25">
      <c r="A1490" s="495"/>
      <c r="B1490" s="496"/>
      <c r="C1490" s="496"/>
      <c r="D1490" s="1574" t="s">
        <v>657</v>
      </c>
      <c r="E1490" s="1574"/>
      <c r="F1490" s="1574"/>
      <c r="G1490" s="1574"/>
      <c r="H1490" s="168"/>
      <c r="I1490" s="330">
        <v>1464548</v>
      </c>
      <c r="J1490" s="102">
        <v>2700000</v>
      </c>
      <c r="K1490" s="330">
        <v>903180</v>
      </c>
      <c r="L1490" s="330">
        <v>3000000</v>
      </c>
      <c r="M1490" s="10"/>
      <c r="N1490" s="10"/>
      <c r="O1490"/>
      <c r="P1490"/>
    </row>
    <row r="1491" spans="1:16" s="146" customFormat="1" ht="18" x14ac:dyDescent="0.25">
      <c r="A1491" s="495"/>
      <c r="B1491" s="496"/>
      <c r="C1491" s="496"/>
      <c r="D1491" s="1574" t="s">
        <v>658</v>
      </c>
      <c r="E1491" s="1574"/>
      <c r="F1491" s="1574"/>
      <c r="G1491" s="1574"/>
      <c r="H1491" s="168"/>
      <c r="I1491" s="102">
        <v>0</v>
      </c>
      <c r="J1491" s="102">
        <v>40000</v>
      </c>
      <c r="K1491" s="330"/>
      <c r="L1491" s="330"/>
      <c r="M1491" s="10"/>
      <c r="N1491" s="10"/>
      <c r="O1491"/>
      <c r="P1491"/>
    </row>
    <row r="1492" spans="1:16" s="146" customFormat="1" ht="18" x14ac:dyDescent="0.25">
      <c r="A1492" s="495"/>
      <c r="B1492" s="496"/>
      <c r="C1492" s="496"/>
      <c r="D1492" s="536" t="s">
        <v>659</v>
      </c>
      <c r="E1492" s="499"/>
      <c r="F1492" s="499"/>
      <c r="G1492" s="499"/>
      <c r="H1492" s="97"/>
      <c r="I1492" s="101"/>
      <c r="J1492" s="102">
        <v>1000000</v>
      </c>
      <c r="K1492" s="331"/>
      <c r="L1492" s="331">
        <v>1000000</v>
      </c>
      <c r="M1492" s="10"/>
      <c r="N1492" s="10"/>
      <c r="O1492"/>
      <c r="P1492"/>
    </row>
    <row r="1493" spans="1:16" s="313" customFormat="1" ht="55.5" customHeight="1" x14ac:dyDescent="0.25">
      <c r="A1493" s="332"/>
      <c r="B1493" s="524"/>
      <c r="C1493" s="524"/>
      <c r="D1493" s="1669" t="s">
        <v>660</v>
      </c>
      <c r="E1493" s="1669"/>
      <c r="F1493" s="505"/>
      <c r="G1493" s="505"/>
      <c r="H1493" s="333"/>
      <c r="I1493" s="101"/>
      <c r="J1493" s="102"/>
      <c r="K1493" s="331"/>
      <c r="L1493" s="331"/>
      <c r="M1493" s="193"/>
      <c r="N1493" s="193"/>
      <c r="O1493" s="179"/>
      <c r="P1493" s="179"/>
    </row>
    <row r="1494" spans="1:16" s="313" customFormat="1" ht="22.5" customHeight="1" x14ac:dyDescent="0.25">
      <c r="A1494" s="332"/>
      <c r="B1494" s="524"/>
      <c r="C1494" s="524"/>
      <c r="D1494" s="1622" t="s">
        <v>661</v>
      </c>
      <c r="E1494" s="1622"/>
      <c r="F1494" s="505"/>
      <c r="G1494" s="505"/>
      <c r="H1494" s="333"/>
      <c r="I1494" s="101"/>
      <c r="J1494" s="102"/>
      <c r="K1494" s="331"/>
      <c r="L1494" s="331"/>
      <c r="M1494" s="193"/>
      <c r="N1494" s="193"/>
      <c r="O1494" s="179"/>
      <c r="P1494" s="179"/>
    </row>
    <row r="1495" spans="1:16" s="313" customFormat="1" ht="22.5" customHeight="1" x14ac:dyDescent="0.25">
      <c r="A1495" s="332"/>
      <c r="B1495" s="524"/>
      <c r="C1495" s="524"/>
      <c r="D1495" s="1622" t="s">
        <v>662</v>
      </c>
      <c r="E1495" s="1622"/>
      <c r="F1495" s="505"/>
      <c r="G1495" s="505"/>
      <c r="H1495" s="333"/>
      <c r="I1495" s="101"/>
      <c r="J1495" s="102"/>
      <c r="K1495" s="331"/>
      <c r="L1495" s="331">
        <v>20000</v>
      </c>
      <c r="M1495" s="193"/>
      <c r="N1495" s="193"/>
      <c r="O1495" s="179"/>
      <c r="P1495" s="179"/>
    </row>
    <row r="1496" spans="1:16" s="313" customFormat="1" ht="22.5" customHeight="1" x14ac:dyDescent="0.25">
      <c r="A1496" s="332"/>
      <c r="B1496" s="524"/>
      <c r="C1496" s="524"/>
      <c r="D1496" s="1622" t="s">
        <v>663</v>
      </c>
      <c r="E1496" s="1622"/>
      <c r="F1496" s="505"/>
      <c r="G1496" s="505"/>
      <c r="H1496" s="333"/>
      <c r="I1496" s="101"/>
      <c r="J1496" s="102"/>
      <c r="K1496" s="331"/>
      <c r="L1496" s="331">
        <v>20000</v>
      </c>
      <c r="M1496" s="193"/>
      <c r="N1496" s="193"/>
      <c r="O1496" s="179"/>
      <c r="P1496" s="179"/>
    </row>
    <row r="1497" spans="1:16" s="313" customFormat="1" ht="22.5" customHeight="1" x14ac:dyDescent="0.25">
      <c r="A1497" s="332"/>
      <c r="B1497" s="524"/>
      <c r="C1497" s="524"/>
      <c r="D1497" s="1622" t="s">
        <v>664</v>
      </c>
      <c r="E1497" s="1622"/>
      <c r="F1497" s="505"/>
      <c r="G1497" s="505"/>
      <c r="H1497" s="333"/>
      <c r="I1497" s="101"/>
      <c r="J1497" s="102"/>
      <c r="K1497" s="331"/>
      <c r="L1497" s="331">
        <v>250000</v>
      </c>
      <c r="M1497" s="193"/>
      <c r="N1497" s="193"/>
      <c r="O1497" s="179"/>
      <c r="P1497" s="179"/>
    </row>
    <row r="1498" spans="1:16" s="313" customFormat="1" ht="37.5" customHeight="1" x14ac:dyDescent="0.25">
      <c r="A1498" s="332"/>
      <c r="B1498" s="524"/>
      <c r="C1498" s="524"/>
      <c r="D1498" s="1622" t="s">
        <v>665</v>
      </c>
      <c r="E1498" s="1622"/>
      <c r="F1498" s="505"/>
      <c r="G1498" s="505"/>
      <c r="H1498" s="333"/>
      <c r="I1498" s="101"/>
      <c r="J1498" s="102"/>
      <c r="K1498" s="331"/>
      <c r="L1498" s="331">
        <v>50000</v>
      </c>
      <c r="M1498" s="193"/>
      <c r="N1498" s="193"/>
      <c r="O1498" s="179"/>
      <c r="P1498" s="179"/>
    </row>
    <row r="1499" spans="1:16" s="313" customFormat="1" ht="37.5" customHeight="1" x14ac:dyDescent="0.25">
      <c r="A1499" s="332"/>
      <c r="B1499" s="524"/>
      <c r="C1499" s="524"/>
      <c r="D1499" s="1622" t="s">
        <v>666</v>
      </c>
      <c r="E1499" s="1622"/>
      <c r="F1499" s="505"/>
      <c r="G1499" s="505"/>
      <c r="H1499" s="333"/>
      <c r="I1499" s="101"/>
      <c r="J1499" s="102"/>
      <c r="K1499" s="331"/>
      <c r="L1499" s="330">
        <v>300000</v>
      </c>
      <c r="M1499" s="193"/>
      <c r="N1499" s="193"/>
      <c r="O1499" s="179"/>
      <c r="P1499" s="179"/>
    </row>
    <row r="1500" spans="1:16" s="313" customFormat="1" ht="37.5" customHeight="1" x14ac:dyDescent="0.25">
      <c r="A1500" s="332"/>
      <c r="B1500" s="524"/>
      <c r="C1500" s="524"/>
      <c r="D1500" s="1622" t="s">
        <v>667</v>
      </c>
      <c r="E1500" s="1622"/>
      <c r="F1500" s="505"/>
      <c r="G1500" s="505"/>
      <c r="H1500" s="333"/>
      <c r="I1500" s="101"/>
      <c r="J1500" s="102"/>
      <c r="K1500" s="331"/>
      <c r="L1500" s="331">
        <v>25000</v>
      </c>
      <c r="M1500" s="193"/>
      <c r="N1500" s="193"/>
      <c r="O1500" s="179"/>
      <c r="P1500" s="179"/>
    </row>
    <row r="1501" spans="1:16" s="313" customFormat="1" ht="18.75" customHeight="1" x14ac:dyDescent="0.25">
      <c r="A1501" s="332"/>
      <c r="B1501" s="524"/>
      <c r="C1501" s="524"/>
      <c r="D1501" s="1622" t="s">
        <v>668</v>
      </c>
      <c r="E1501" s="1622"/>
      <c r="F1501" s="505"/>
      <c r="G1501" s="505"/>
      <c r="H1501" s="333"/>
      <c r="I1501" s="101"/>
      <c r="J1501" s="102"/>
      <c r="K1501" s="331"/>
      <c r="L1501" s="331">
        <v>20000</v>
      </c>
      <c r="M1501" s="193"/>
      <c r="N1501" s="193"/>
      <c r="O1501" s="179"/>
      <c r="P1501" s="179"/>
    </row>
    <row r="1502" spans="1:16" s="313" customFormat="1" ht="34.5" customHeight="1" x14ac:dyDescent="0.25">
      <c r="A1502" s="332"/>
      <c r="B1502" s="524"/>
      <c r="C1502" s="524"/>
      <c r="D1502" s="1622" t="s">
        <v>669</v>
      </c>
      <c r="E1502" s="1622"/>
      <c r="F1502" s="505"/>
      <c r="G1502" s="505"/>
      <c r="H1502" s="333"/>
      <c r="I1502" s="101"/>
      <c r="J1502" s="102"/>
      <c r="K1502" s="331"/>
      <c r="L1502" s="331">
        <v>20000</v>
      </c>
      <c r="M1502" s="193"/>
      <c r="N1502" s="193"/>
      <c r="O1502" s="179"/>
      <c r="P1502" s="179"/>
    </row>
    <row r="1503" spans="1:16" s="313" customFormat="1" ht="20.25" customHeight="1" x14ac:dyDescent="0.25">
      <c r="A1503" s="332"/>
      <c r="B1503" s="524"/>
      <c r="C1503" s="524"/>
      <c r="D1503" s="1622" t="s">
        <v>670</v>
      </c>
      <c r="E1503" s="1622"/>
      <c r="F1503" s="505"/>
      <c r="G1503" s="505"/>
      <c r="H1503" s="333"/>
      <c r="I1503" s="101"/>
      <c r="J1503" s="102"/>
      <c r="K1503" s="331"/>
      <c r="L1503" s="331"/>
      <c r="M1503" s="193"/>
      <c r="N1503" s="193"/>
      <c r="O1503" s="179"/>
      <c r="P1503" s="179"/>
    </row>
    <row r="1504" spans="1:16" s="313" customFormat="1" ht="20.25" customHeight="1" x14ac:dyDescent="0.25">
      <c r="A1504" s="332"/>
      <c r="B1504" s="524"/>
      <c r="C1504" s="524"/>
      <c r="D1504" s="1622" t="s">
        <v>671</v>
      </c>
      <c r="E1504" s="1622"/>
      <c r="F1504" s="505"/>
      <c r="G1504" s="505"/>
      <c r="H1504" s="333"/>
      <c r="I1504" s="101"/>
      <c r="J1504" s="102"/>
      <c r="K1504" s="331"/>
      <c r="L1504" s="331">
        <v>30000</v>
      </c>
      <c r="M1504" s="193"/>
      <c r="N1504" s="193"/>
      <c r="O1504" s="179"/>
      <c r="P1504" s="179"/>
    </row>
    <row r="1505" spans="1:16" s="313" customFormat="1" ht="20.25" customHeight="1" x14ac:dyDescent="0.25">
      <c r="A1505" s="332"/>
      <c r="B1505" s="524"/>
      <c r="C1505" s="524"/>
      <c r="D1505" s="1622" t="s">
        <v>672</v>
      </c>
      <c r="E1505" s="1622"/>
      <c r="F1505" s="505"/>
      <c r="G1505" s="505"/>
      <c r="H1505" s="333"/>
      <c r="I1505" s="101"/>
      <c r="J1505" s="102"/>
      <c r="K1505" s="331"/>
      <c r="L1505" s="331">
        <v>42000</v>
      </c>
      <c r="M1505" s="193"/>
      <c r="N1505" s="193"/>
      <c r="O1505" s="179"/>
      <c r="P1505" s="179"/>
    </row>
    <row r="1506" spans="1:16" s="313" customFormat="1" ht="20.25" customHeight="1" x14ac:dyDescent="0.25">
      <c r="A1506" s="332"/>
      <c r="B1506" s="524"/>
      <c r="C1506" s="524"/>
      <c r="D1506" s="1622" t="s">
        <v>673</v>
      </c>
      <c r="E1506" s="1622"/>
      <c r="F1506" s="505"/>
      <c r="G1506" s="505"/>
      <c r="H1506" s="333"/>
      <c r="I1506" s="101"/>
      <c r="J1506" s="102"/>
      <c r="K1506" s="331"/>
      <c r="L1506" s="331"/>
      <c r="M1506" s="193"/>
      <c r="N1506" s="193"/>
      <c r="O1506" s="179"/>
      <c r="P1506" s="179"/>
    </row>
    <row r="1507" spans="1:16" s="313" customFormat="1" ht="20.25" customHeight="1" x14ac:dyDescent="0.25">
      <c r="A1507" s="332"/>
      <c r="B1507" s="524"/>
      <c r="C1507" s="524"/>
      <c r="D1507" s="1622" t="s">
        <v>674</v>
      </c>
      <c r="E1507" s="1622"/>
      <c r="F1507" s="505"/>
      <c r="G1507" s="505"/>
      <c r="H1507" s="333"/>
      <c r="I1507" s="101"/>
      <c r="J1507" s="102"/>
      <c r="K1507" s="331"/>
      <c r="L1507" s="331">
        <v>50000</v>
      </c>
      <c r="M1507" s="193"/>
      <c r="N1507" s="193"/>
      <c r="O1507" s="179"/>
      <c r="P1507" s="179"/>
    </row>
    <row r="1508" spans="1:16" s="313" customFormat="1" ht="20.25" customHeight="1" x14ac:dyDescent="0.25">
      <c r="A1508" s="332"/>
      <c r="B1508" s="524"/>
      <c r="C1508" s="524"/>
      <c r="D1508" s="1622" t="s">
        <v>675</v>
      </c>
      <c r="E1508" s="1622"/>
      <c r="F1508" s="505"/>
      <c r="G1508" s="505"/>
      <c r="H1508" s="333"/>
      <c r="I1508" s="101"/>
      <c r="J1508" s="102"/>
      <c r="K1508" s="331"/>
      <c r="L1508" s="331">
        <v>20000</v>
      </c>
      <c r="M1508" s="193"/>
      <c r="N1508" s="193"/>
      <c r="O1508" s="179"/>
      <c r="P1508" s="179"/>
    </row>
    <row r="1509" spans="1:16" s="313" customFormat="1" ht="20.25" customHeight="1" x14ac:dyDescent="0.25">
      <c r="A1509" s="332"/>
      <c r="B1509" s="524"/>
      <c r="C1509" s="524"/>
      <c r="D1509" s="1622" t="s">
        <v>676</v>
      </c>
      <c r="E1509" s="1622"/>
      <c r="F1509" s="505"/>
      <c r="G1509" s="505"/>
      <c r="H1509" s="333"/>
      <c r="I1509" s="101"/>
      <c r="J1509" s="102"/>
      <c r="K1509" s="331"/>
      <c r="L1509" s="331">
        <v>100000</v>
      </c>
      <c r="M1509" s="193"/>
      <c r="N1509" s="193"/>
      <c r="O1509" s="179"/>
      <c r="P1509" s="179"/>
    </row>
    <row r="1510" spans="1:16" s="313" customFormat="1" ht="37.5" customHeight="1" x14ac:dyDescent="0.25">
      <c r="A1510" s="332"/>
      <c r="B1510" s="524"/>
      <c r="C1510" s="524"/>
      <c r="D1510" s="1669" t="s">
        <v>677</v>
      </c>
      <c r="E1510" s="1669"/>
      <c r="F1510" s="505"/>
      <c r="G1510" s="505"/>
      <c r="H1510" s="333"/>
      <c r="I1510" s="101"/>
      <c r="J1510" s="102"/>
      <c r="K1510" s="331"/>
      <c r="L1510" s="331"/>
      <c r="M1510" s="193"/>
      <c r="N1510" s="193"/>
      <c r="O1510" s="179"/>
      <c r="P1510" s="179"/>
    </row>
    <row r="1511" spans="1:16" s="313" customFormat="1" ht="20.25" customHeight="1" x14ac:dyDescent="0.25">
      <c r="A1511" s="332"/>
      <c r="B1511" s="524"/>
      <c r="C1511" s="524"/>
      <c r="D1511" s="1622" t="s">
        <v>678</v>
      </c>
      <c r="E1511" s="1622"/>
      <c r="F1511" s="505"/>
      <c r="G1511" s="505"/>
      <c r="H1511" s="333"/>
      <c r="I1511" s="101"/>
      <c r="J1511" s="102"/>
      <c r="K1511" s="331"/>
      <c r="L1511" s="331">
        <v>60000</v>
      </c>
      <c r="M1511" s="193"/>
      <c r="N1511" s="193"/>
      <c r="O1511" s="179"/>
      <c r="P1511" s="179"/>
    </row>
    <row r="1512" spans="1:16" s="313" customFormat="1" ht="20.25" customHeight="1" x14ac:dyDescent="0.25">
      <c r="A1512" s="332"/>
      <c r="B1512" s="524"/>
      <c r="C1512" s="524"/>
      <c r="D1512" s="1622" t="s">
        <v>679</v>
      </c>
      <c r="E1512" s="1622"/>
      <c r="F1512" s="505"/>
      <c r="G1512" s="505"/>
      <c r="H1512" s="333"/>
      <c r="I1512" s="101"/>
      <c r="J1512" s="102"/>
      <c r="K1512" s="331"/>
      <c r="L1512" s="331">
        <v>30000</v>
      </c>
      <c r="M1512" s="193"/>
      <c r="N1512" s="193"/>
      <c r="O1512" s="179"/>
      <c r="P1512" s="179"/>
    </row>
    <row r="1513" spans="1:16" s="313" customFormat="1" ht="20.25" customHeight="1" x14ac:dyDescent="0.25">
      <c r="A1513" s="332"/>
      <c r="B1513" s="524"/>
      <c r="C1513" s="524"/>
      <c r="D1513" s="1622" t="s">
        <v>680</v>
      </c>
      <c r="E1513" s="1622"/>
      <c r="F1513" s="505"/>
      <c r="G1513" s="505"/>
      <c r="H1513" s="333"/>
      <c r="I1513" s="101"/>
      <c r="J1513" s="102"/>
      <c r="K1513" s="331"/>
      <c r="L1513" s="331">
        <v>40000</v>
      </c>
      <c r="M1513" s="193"/>
      <c r="N1513" s="193"/>
      <c r="O1513" s="179"/>
      <c r="P1513" s="179"/>
    </row>
    <row r="1514" spans="1:16" s="313" customFormat="1" ht="20.25" customHeight="1" x14ac:dyDescent="0.25">
      <c r="A1514" s="332"/>
      <c r="B1514" s="524"/>
      <c r="C1514" s="524"/>
      <c r="D1514" s="1622" t="s">
        <v>681</v>
      </c>
      <c r="E1514" s="1622"/>
      <c r="F1514" s="505"/>
      <c r="G1514" s="505"/>
      <c r="H1514" s="333"/>
      <c r="I1514" s="101"/>
      <c r="J1514" s="102"/>
      <c r="K1514" s="331"/>
      <c r="L1514" s="331">
        <v>30000</v>
      </c>
      <c r="M1514" s="193"/>
      <c r="N1514" s="193"/>
      <c r="O1514" s="179"/>
      <c r="P1514" s="179"/>
    </row>
    <row r="1515" spans="1:16" s="313" customFormat="1" ht="36" customHeight="1" x14ac:dyDescent="0.25">
      <c r="A1515" s="332"/>
      <c r="B1515" s="524"/>
      <c r="C1515" s="524"/>
      <c r="D1515" s="1622" t="s">
        <v>682</v>
      </c>
      <c r="E1515" s="1622"/>
      <c r="F1515" s="505"/>
      <c r="G1515" s="505"/>
      <c r="H1515" s="333"/>
      <c r="I1515" s="101"/>
      <c r="J1515" s="102"/>
      <c r="K1515" s="331"/>
      <c r="L1515" s="331">
        <v>30000</v>
      </c>
      <c r="M1515" s="193"/>
      <c r="N1515" s="193"/>
      <c r="O1515" s="179"/>
      <c r="P1515" s="179"/>
    </row>
    <row r="1516" spans="1:16" ht="18" x14ac:dyDescent="0.25">
      <c r="A1516" s="495"/>
      <c r="B1516" s="496"/>
      <c r="C1516" s="496"/>
      <c r="D1516" s="1611" t="s">
        <v>683</v>
      </c>
      <c r="E1516" s="1611"/>
      <c r="F1516" s="1611"/>
      <c r="G1516" s="1611"/>
      <c r="H1516" s="97"/>
      <c r="I1516" s="101">
        <v>0</v>
      </c>
      <c r="J1516" s="102">
        <v>434000</v>
      </c>
      <c r="K1516" s="331"/>
      <c r="L1516" s="331"/>
    </row>
    <row r="1517" spans="1:16" ht="18" x14ac:dyDescent="0.25">
      <c r="A1517" s="495"/>
      <c r="B1517" s="496"/>
      <c r="C1517" s="496"/>
      <c r="D1517" s="1611" t="s">
        <v>684</v>
      </c>
      <c r="E1517" s="1611"/>
      <c r="F1517" s="1611"/>
      <c r="G1517" s="1611"/>
      <c r="H1517" s="97"/>
      <c r="I1517" s="101">
        <v>0</v>
      </c>
      <c r="J1517" s="102">
        <v>25000</v>
      </c>
      <c r="K1517" s="331"/>
      <c r="L1517" s="331">
        <v>25000</v>
      </c>
    </row>
    <row r="1518" spans="1:16" s="179" customFormat="1" ht="20.25" customHeight="1" x14ac:dyDescent="0.25">
      <c r="A1518" s="332"/>
      <c r="B1518" s="524"/>
      <c r="C1518" s="524"/>
      <c r="D1518" s="1622" t="s">
        <v>685</v>
      </c>
      <c r="E1518" s="1622"/>
      <c r="F1518" s="505"/>
      <c r="G1518" s="505"/>
      <c r="H1518" s="333"/>
      <c r="I1518" s="101"/>
      <c r="J1518" s="102"/>
      <c r="K1518" s="331"/>
      <c r="L1518" s="331">
        <v>40000</v>
      </c>
      <c r="M1518" s="193"/>
      <c r="N1518" s="193"/>
    </row>
    <row r="1519" spans="1:16" ht="18" x14ac:dyDescent="0.25">
      <c r="A1519" s="495"/>
      <c r="B1519" s="496"/>
      <c r="C1519" s="496"/>
      <c r="D1519" s="1611" t="s">
        <v>686</v>
      </c>
      <c r="E1519" s="1611"/>
      <c r="F1519" s="1611"/>
      <c r="G1519" s="1611"/>
      <c r="H1519" s="97"/>
      <c r="I1519" s="334">
        <v>11956800</v>
      </c>
      <c r="J1519" s="102">
        <v>25200000</v>
      </c>
      <c r="K1519" s="331"/>
      <c r="L1519" s="334">
        <v>25200000</v>
      </c>
    </row>
    <row r="1520" spans="1:16" ht="18" x14ac:dyDescent="0.25">
      <c r="A1520" s="495"/>
      <c r="B1520" s="496"/>
      <c r="C1520" s="496"/>
      <c r="D1520" s="536" t="s">
        <v>687</v>
      </c>
      <c r="E1520" s="499"/>
      <c r="F1520" s="499"/>
      <c r="G1520" s="499"/>
      <c r="H1520" s="97"/>
      <c r="I1520" s="334">
        <v>1000000</v>
      </c>
      <c r="J1520" s="102">
        <v>0</v>
      </c>
      <c r="K1520" s="331"/>
      <c r="L1520" s="331"/>
    </row>
    <row r="1521" spans="1:14" ht="18" x14ac:dyDescent="0.25">
      <c r="A1521" s="495"/>
      <c r="B1521" s="496"/>
      <c r="C1521" s="496"/>
      <c r="D1521" s="536" t="s">
        <v>688</v>
      </c>
      <c r="E1521" s="499"/>
      <c r="F1521" s="499"/>
      <c r="G1521" s="499"/>
      <c r="H1521" s="97"/>
      <c r="I1521" s="334"/>
      <c r="J1521" s="102">
        <v>2000000</v>
      </c>
      <c r="K1521" s="331">
        <v>1000000</v>
      </c>
      <c r="L1521" s="331">
        <v>2000000</v>
      </c>
    </row>
    <row r="1522" spans="1:14" ht="18" x14ac:dyDescent="0.25">
      <c r="A1522" s="495"/>
      <c r="B1522" s="496"/>
      <c r="C1522" s="496"/>
      <c r="D1522" s="536" t="s">
        <v>689</v>
      </c>
      <c r="E1522" s="499"/>
      <c r="F1522" s="499"/>
      <c r="G1522" s="499"/>
      <c r="H1522" s="97"/>
      <c r="I1522" s="335"/>
      <c r="J1522" s="106">
        <v>300000</v>
      </c>
      <c r="K1522" s="336"/>
      <c r="L1522" s="336"/>
    </row>
    <row r="1523" spans="1:14" ht="18" x14ac:dyDescent="0.25">
      <c r="A1523" s="495"/>
      <c r="B1523" s="496"/>
      <c r="C1523" s="496"/>
      <c r="D1523" s="1620" t="s">
        <v>161</v>
      </c>
      <c r="E1523" s="1620"/>
      <c r="F1523" s="1620"/>
      <c r="G1523" s="1620"/>
      <c r="H1523" s="97"/>
      <c r="I1523" s="562">
        <f>SUM(I1488:I1522)</f>
        <v>16550848</v>
      </c>
      <c r="J1523" s="563">
        <f>SUM(J1488:J1522)</f>
        <v>37199000</v>
      </c>
      <c r="K1523" s="564">
        <f>SUM(K1488:K1522)</f>
        <v>2773080</v>
      </c>
      <c r="L1523" s="564">
        <f>SUM(L1488:L1522)</f>
        <v>37402000</v>
      </c>
    </row>
    <row r="1524" spans="1:14" ht="18" x14ac:dyDescent="0.25">
      <c r="A1524" s="495"/>
      <c r="B1524" s="496"/>
      <c r="C1524" s="496"/>
      <c r="D1524" s="496"/>
      <c r="E1524" s="496"/>
      <c r="F1524" s="496"/>
      <c r="G1524" s="496"/>
      <c r="H1524" s="97"/>
      <c r="I1524" s="565"/>
      <c r="J1524" s="566"/>
      <c r="K1524" s="567"/>
      <c r="L1524" s="567"/>
    </row>
    <row r="1525" spans="1:14" ht="18" x14ac:dyDescent="0.25">
      <c r="A1525" s="495"/>
      <c r="B1525" s="496"/>
      <c r="C1525" s="496"/>
      <c r="D1525" s="1620" t="s">
        <v>691</v>
      </c>
      <c r="E1525" s="1620"/>
      <c r="F1525" s="1620"/>
      <c r="G1525" s="1620"/>
      <c r="H1525" s="97"/>
      <c r="I1525" s="98"/>
      <c r="J1525" s="99"/>
      <c r="K1525" s="98"/>
      <c r="L1525" s="98"/>
    </row>
    <row r="1526" spans="1:14" s="191" customFormat="1" ht="59.25" customHeight="1" x14ac:dyDescent="0.25">
      <c r="A1526" s="519"/>
      <c r="B1526" s="499"/>
      <c r="C1526" s="499"/>
      <c r="D1526" s="1602" t="s">
        <v>692</v>
      </c>
      <c r="E1526" s="1603"/>
      <c r="F1526" s="1603"/>
      <c r="G1526" s="1610"/>
      <c r="H1526" s="97"/>
      <c r="I1526" s="341"/>
      <c r="J1526" s="342">
        <v>1800000</v>
      </c>
      <c r="K1526" s="341"/>
      <c r="L1526" s="343">
        <v>0</v>
      </c>
      <c r="M1526" s="10"/>
      <c r="N1526" s="10"/>
    </row>
    <row r="1527" spans="1:14" ht="18" x14ac:dyDescent="0.25">
      <c r="A1527" s="519"/>
      <c r="B1527" s="499"/>
      <c r="C1527" s="499"/>
      <c r="D1527" s="1620" t="s">
        <v>161</v>
      </c>
      <c r="E1527" s="1620"/>
      <c r="F1527" s="1620"/>
      <c r="G1527" s="1620"/>
      <c r="H1527" s="568"/>
      <c r="I1527" s="569">
        <f>SUM(I1526:I1526)</f>
        <v>0</v>
      </c>
      <c r="J1527" s="569">
        <f>SUM(J1526:J1526)</f>
        <v>1800000</v>
      </c>
      <c r="K1527" s="569">
        <f>SUM(K1526:K1526)</f>
        <v>0</v>
      </c>
      <c r="L1527" s="569">
        <f>SUM(L1526:L1526)</f>
        <v>0</v>
      </c>
    </row>
    <row r="1528" spans="1:14" ht="18.75" thickBot="1" x14ac:dyDescent="0.3">
      <c r="A1528" s="497"/>
      <c r="B1528" s="498"/>
      <c r="C1528" s="498"/>
      <c r="D1528" s="346"/>
      <c r="E1528" s="523"/>
      <c r="F1528" s="523"/>
      <c r="G1528" s="523"/>
      <c r="H1528" s="216"/>
      <c r="I1528" s="570"/>
      <c r="J1528" s="571"/>
      <c r="K1528" s="570"/>
      <c r="L1528" s="570"/>
    </row>
    <row r="1529" spans="1:14" ht="18" x14ac:dyDescent="0.25">
      <c r="A1529" s="496"/>
      <c r="B1529" s="496"/>
      <c r="C1529" s="496"/>
      <c r="D1529" s="337"/>
      <c r="E1529" s="520"/>
      <c r="F1529" s="520"/>
      <c r="G1529" s="520"/>
      <c r="H1529" s="125"/>
      <c r="I1529" s="338"/>
      <c r="J1529" s="339"/>
      <c r="K1529" s="338"/>
      <c r="L1529" s="338"/>
    </row>
    <row r="1530" spans="1:14" ht="18" x14ac:dyDescent="0.25">
      <c r="A1530" s="496"/>
      <c r="B1530" s="496"/>
      <c r="C1530" s="496"/>
      <c r="D1530" s="337"/>
      <c r="E1530" s="520"/>
      <c r="F1530" s="520"/>
      <c r="G1530" s="520"/>
      <c r="H1530" s="125"/>
      <c r="I1530" s="338"/>
      <c r="J1530" s="339"/>
      <c r="K1530" s="338"/>
      <c r="L1530" s="338"/>
    </row>
    <row r="1531" spans="1:14" ht="18" x14ac:dyDescent="0.25">
      <c r="A1531" s="496"/>
      <c r="B1531" s="496"/>
      <c r="C1531" s="496"/>
      <c r="D1531" s="337"/>
      <c r="E1531" s="520"/>
      <c r="F1531" s="520"/>
      <c r="G1531" s="520"/>
      <c r="H1531" s="125"/>
      <c r="I1531" s="338"/>
      <c r="J1531" s="339"/>
      <c r="K1531" s="338"/>
      <c r="L1531" s="338"/>
    </row>
    <row r="1532" spans="1:14" ht="18" x14ac:dyDescent="0.25">
      <c r="A1532" s="496"/>
      <c r="B1532" s="496"/>
      <c r="C1532" s="496"/>
      <c r="D1532" s="337"/>
      <c r="E1532" s="520"/>
      <c r="F1532" s="520"/>
      <c r="G1532" s="520"/>
      <c r="H1532" s="125"/>
      <c r="I1532" s="338"/>
      <c r="J1532" s="339"/>
      <c r="K1532" s="338"/>
      <c r="L1532" s="338"/>
    </row>
    <row r="1533" spans="1:14" ht="18" customHeight="1" x14ac:dyDescent="0.25">
      <c r="A1533" s="8" t="s">
        <v>112</v>
      </c>
    </row>
    <row r="1534" spans="1:14" ht="18" customHeight="1" x14ac:dyDescent="0.25">
      <c r="A1534" s="8" t="s">
        <v>690</v>
      </c>
    </row>
    <row r="1535" spans="1:14" ht="18" customHeight="1" x14ac:dyDescent="0.25">
      <c r="A1535" s="1636" t="s">
        <v>113</v>
      </c>
      <c r="B1535" s="1636"/>
      <c r="C1535" s="1636"/>
      <c r="D1535" s="1636"/>
      <c r="E1535" s="1636"/>
      <c r="F1535" s="1636"/>
      <c r="G1535" s="1636"/>
      <c r="H1535" s="1636"/>
      <c r="I1535" s="1636"/>
      <c r="J1535" s="1636"/>
      <c r="K1535" s="1636"/>
      <c r="L1535" s="1636"/>
    </row>
    <row r="1536" spans="1:14" s="7" customFormat="1" ht="18" customHeight="1" x14ac:dyDescent="0.25">
      <c r="A1536" s="1624" t="s">
        <v>114</v>
      </c>
      <c r="B1536" s="1624"/>
      <c r="C1536" s="1624"/>
      <c r="D1536" s="1624"/>
      <c r="E1536" s="1624"/>
      <c r="F1536" s="1624"/>
      <c r="G1536" s="1624"/>
      <c r="H1536" s="1624"/>
      <c r="I1536" s="1624"/>
      <c r="J1536" s="1624"/>
      <c r="K1536" s="1624"/>
      <c r="L1536" s="1624"/>
      <c r="M1536" s="6"/>
      <c r="N1536" s="6"/>
    </row>
    <row r="1537" spans="1:16" s="7" customFormat="1" ht="18" customHeight="1" thickBot="1" x14ac:dyDescent="0.3">
      <c r="A1537" s="500"/>
      <c r="B1537" s="500"/>
      <c r="C1537" s="500"/>
      <c r="D1537" s="159"/>
      <c r="E1537" s="500"/>
      <c r="F1537" s="500"/>
      <c r="G1537" s="500"/>
      <c r="H1537" s="500"/>
      <c r="I1537" s="500"/>
      <c r="J1537" s="500"/>
      <c r="K1537" s="196"/>
      <c r="L1537" s="500"/>
      <c r="M1537" s="6"/>
      <c r="N1537" s="6"/>
    </row>
    <row r="1538" spans="1:16" s="146" customFormat="1" ht="63.75" customHeight="1" thickBot="1" x14ac:dyDescent="0.3">
      <c r="A1538" s="1625" t="s">
        <v>115</v>
      </c>
      <c r="B1538" s="1626"/>
      <c r="C1538" s="1626"/>
      <c r="D1538" s="1626"/>
      <c r="E1538" s="1626"/>
      <c r="F1538" s="1626"/>
      <c r="G1538" s="1627"/>
      <c r="H1538" s="501" t="s">
        <v>116</v>
      </c>
      <c r="I1538" s="130" t="s">
        <v>117</v>
      </c>
      <c r="J1538" s="130" t="s">
        <v>118</v>
      </c>
      <c r="K1538" s="130" t="s">
        <v>119</v>
      </c>
      <c r="L1538" s="130" t="s">
        <v>120</v>
      </c>
      <c r="M1538" s="10"/>
      <c r="N1538" s="10"/>
      <c r="O1538"/>
      <c r="P1538"/>
    </row>
    <row r="1539" spans="1:16" ht="18" x14ac:dyDescent="0.25">
      <c r="A1539" s="519"/>
      <c r="B1539" s="499"/>
      <c r="C1539" s="499"/>
      <c r="D1539" s="1620" t="s">
        <v>693</v>
      </c>
      <c r="E1539" s="1620"/>
      <c r="F1539" s="1620"/>
      <c r="G1539" s="1620"/>
      <c r="H1539" s="131"/>
      <c r="I1539" s="155"/>
      <c r="J1539" s="156"/>
      <c r="K1539" s="155"/>
      <c r="L1539" s="155"/>
    </row>
    <row r="1540" spans="1:16" s="344" customFormat="1" ht="35.25" customHeight="1" x14ac:dyDescent="0.25">
      <c r="A1540" s="173"/>
      <c r="B1540" s="505"/>
      <c r="C1540" s="505"/>
      <c r="D1540" s="1622" t="s">
        <v>694</v>
      </c>
      <c r="E1540" s="1622"/>
      <c r="F1540" s="505"/>
      <c r="G1540" s="505"/>
      <c r="H1540" s="176"/>
      <c r="I1540" s="101"/>
      <c r="J1540" s="102"/>
      <c r="K1540" s="101"/>
      <c r="L1540" s="101">
        <v>150000</v>
      </c>
      <c r="M1540" s="193"/>
      <c r="N1540" s="193"/>
    </row>
    <row r="1541" spans="1:16" s="344" customFormat="1" ht="18" x14ac:dyDescent="0.25">
      <c r="A1541" s="173"/>
      <c r="B1541" s="505"/>
      <c r="C1541" s="505"/>
      <c r="D1541" s="1622" t="s">
        <v>695</v>
      </c>
      <c r="E1541" s="1622"/>
      <c r="F1541" s="505"/>
      <c r="G1541" s="505"/>
      <c r="H1541" s="176"/>
      <c r="I1541" s="101"/>
      <c r="J1541" s="102"/>
      <c r="K1541" s="101"/>
      <c r="L1541" s="101">
        <v>150000</v>
      </c>
      <c r="M1541" s="193"/>
      <c r="N1541" s="193"/>
    </row>
    <row r="1542" spans="1:16" s="344" customFormat="1" ht="18" x14ac:dyDescent="0.25">
      <c r="A1542" s="173"/>
      <c r="B1542" s="505"/>
      <c r="C1542" s="505"/>
      <c r="D1542" s="1622" t="s">
        <v>696</v>
      </c>
      <c r="E1542" s="1622"/>
      <c r="F1542" s="505"/>
      <c r="G1542" s="505"/>
      <c r="H1542" s="176"/>
      <c r="I1542" s="101"/>
      <c r="J1542" s="102"/>
      <c r="K1542" s="101"/>
      <c r="L1542" s="101">
        <v>250000</v>
      </c>
      <c r="M1542" s="193"/>
      <c r="N1542" s="193"/>
    </row>
    <row r="1543" spans="1:16" s="344" customFormat="1" ht="18" x14ac:dyDescent="0.25">
      <c r="A1543" s="173"/>
      <c r="B1543" s="505"/>
      <c r="C1543" s="505"/>
      <c r="D1543" s="1622" t="s">
        <v>697</v>
      </c>
      <c r="E1543" s="1622"/>
      <c r="F1543" s="505"/>
      <c r="G1543" s="505"/>
      <c r="H1543" s="176"/>
      <c r="I1543" s="101"/>
      <c r="J1543" s="102"/>
      <c r="K1543" s="101"/>
      <c r="L1543" s="101">
        <v>200000</v>
      </c>
      <c r="M1543" s="193"/>
      <c r="N1543" s="193"/>
    </row>
    <row r="1544" spans="1:16" s="344" customFormat="1" ht="35.25" customHeight="1" x14ac:dyDescent="0.25">
      <c r="A1544" s="173"/>
      <c r="B1544" s="505"/>
      <c r="C1544" s="505"/>
      <c r="D1544" s="1622" t="s">
        <v>698</v>
      </c>
      <c r="E1544" s="1622"/>
      <c r="F1544" s="505"/>
      <c r="G1544" s="505"/>
      <c r="H1544" s="176"/>
      <c r="I1544" s="101"/>
      <c r="J1544" s="102"/>
      <c r="K1544" s="101"/>
      <c r="L1544" s="101">
        <v>100000</v>
      </c>
      <c r="M1544" s="193"/>
      <c r="N1544" s="193"/>
    </row>
    <row r="1545" spans="1:16" s="344" customFormat="1" ht="36" customHeight="1" x14ac:dyDescent="0.25">
      <c r="A1545" s="173"/>
      <c r="B1545" s="505"/>
      <c r="C1545" s="505"/>
      <c r="D1545" s="1622" t="s">
        <v>699</v>
      </c>
      <c r="E1545" s="1622"/>
      <c r="F1545" s="505"/>
      <c r="G1545" s="505"/>
      <c r="H1545" s="176"/>
      <c r="I1545" s="101"/>
      <c r="J1545" s="102"/>
      <c r="K1545" s="101"/>
      <c r="L1545" s="101">
        <v>210000</v>
      </c>
      <c r="M1545" s="193"/>
      <c r="N1545" s="193"/>
    </row>
    <row r="1546" spans="1:16" s="344" customFormat="1" ht="37.5" customHeight="1" x14ac:dyDescent="0.25">
      <c r="A1546" s="173"/>
      <c r="B1546" s="505"/>
      <c r="C1546" s="505"/>
      <c r="D1546" s="1622" t="s">
        <v>700</v>
      </c>
      <c r="E1546" s="1622"/>
      <c r="F1546" s="505"/>
      <c r="G1546" s="505"/>
      <c r="H1546" s="176"/>
      <c r="I1546" s="101"/>
      <c r="J1546" s="102"/>
      <c r="K1546" s="101"/>
      <c r="L1546" s="101">
        <v>110000</v>
      </c>
      <c r="M1546" s="193"/>
      <c r="N1546" s="193"/>
    </row>
    <row r="1547" spans="1:16" s="208" customFormat="1" ht="36" customHeight="1" x14ac:dyDescent="0.25">
      <c r="A1547" s="154"/>
      <c r="B1547" s="502"/>
      <c r="C1547" s="502"/>
      <c r="D1547" s="1611" t="s">
        <v>701</v>
      </c>
      <c r="E1547" s="1611"/>
      <c r="F1547" s="502"/>
      <c r="G1547" s="502"/>
      <c r="H1547" s="131"/>
      <c r="I1547" s="101"/>
      <c r="J1547" s="102">
        <v>60000</v>
      </c>
      <c r="K1547" s="101"/>
      <c r="L1547" s="101"/>
      <c r="M1547" s="207"/>
      <c r="N1547" s="207"/>
    </row>
    <row r="1548" spans="1:16" s="208" customFormat="1" ht="18" x14ac:dyDescent="0.25">
      <c r="A1548" s="154"/>
      <c r="B1548" s="502"/>
      <c r="C1548" s="502"/>
      <c r="D1548" s="536" t="s">
        <v>702</v>
      </c>
      <c r="E1548" s="499"/>
      <c r="F1548" s="502"/>
      <c r="G1548" s="502"/>
      <c r="H1548" s="131"/>
      <c r="I1548" s="101"/>
      <c r="J1548" s="102">
        <v>50000</v>
      </c>
      <c r="K1548" s="101">
        <v>3349</v>
      </c>
      <c r="L1548" s="101"/>
      <c r="M1548" s="207"/>
      <c r="N1548" s="207"/>
    </row>
    <row r="1549" spans="1:16" s="208" customFormat="1" ht="36.75" customHeight="1" x14ac:dyDescent="0.25">
      <c r="A1549" s="154"/>
      <c r="B1549" s="502"/>
      <c r="C1549" s="502"/>
      <c r="D1549" s="1611" t="s">
        <v>703</v>
      </c>
      <c r="E1549" s="1611"/>
      <c r="F1549" s="502"/>
      <c r="G1549" s="502"/>
      <c r="H1549" s="131"/>
      <c r="I1549" s="101"/>
      <c r="J1549" s="102">
        <v>65000</v>
      </c>
      <c r="K1549" s="101">
        <v>5459</v>
      </c>
      <c r="L1549" s="101"/>
      <c r="M1549" s="207"/>
      <c r="N1549" s="207"/>
    </row>
    <row r="1550" spans="1:16" s="208" customFormat="1" ht="38.25" customHeight="1" x14ac:dyDescent="0.25">
      <c r="A1550" s="154"/>
      <c r="B1550" s="502"/>
      <c r="C1550" s="502"/>
      <c r="D1550" s="1611" t="s">
        <v>704</v>
      </c>
      <c r="E1550" s="1611"/>
      <c r="F1550" s="502"/>
      <c r="G1550" s="502"/>
      <c r="H1550" s="131"/>
      <c r="I1550" s="101"/>
      <c r="J1550" s="102">
        <v>140000</v>
      </c>
      <c r="K1550" s="101">
        <v>22488</v>
      </c>
      <c r="L1550" s="101"/>
      <c r="M1550" s="207"/>
      <c r="N1550" s="207"/>
    </row>
    <row r="1551" spans="1:16" s="208" customFormat="1" ht="18" x14ac:dyDescent="0.25">
      <c r="A1551" s="154"/>
      <c r="B1551" s="502"/>
      <c r="C1551" s="502"/>
      <c r="D1551" s="536" t="s">
        <v>705</v>
      </c>
      <c r="E1551" s="499"/>
      <c r="F1551" s="502"/>
      <c r="G1551" s="502"/>
      <c r="H1551" s="131"/>
      <c r="I1551" s="101"/>
      <c r="J1551" s="102">
        <v>35000</v>
      </c>
      <c r="K1551" s="101"/>
      <c r="L1551" s="101"/>
      <c r="M1551" s="207"/>
      <c r="N1551" s="207"/>
    </row>
    <row r="1552" spans="1:16" s="208" customFormat="1" ht="18" x14ac:dyDescent="0.25">
      <c r="A1552" s="154"/>
      <c r="B1552" s="502"/>
      <c r="C1552" s="502"/>
      <c r="D1552" s="536" t="s">
        <v>706</v>
      </c>
      <c r="E1552" s="499"/>
      <c r="F1552" s="502"/>
      <c r="G1552" s="502"/>
      <c r="H1552" s="131"/>
      <c r="I1552" s="101"/>
      <c r="J1552" s="102">
        <v>150000</v>
      </c>
      <c r="K1552" s="101"/>
      <c r="L1552" s="101"/>
      <c r="M1552" s="207"/>
      <c r="N1552" s="207"/>
    </row>
    <row r="1553" spans="1:16" s="208" customFormat="1" ht="35.25" customHeight="1" x14ac:dyDescent="0.25">
      <c r="A1553" s="154"/>
      <c r="B1553" s="502"/>
      <c r="C1553" s="502"/>
      <c r="D1553" s="1611" t="s">
        <v>707</v>
      </c>
      <c r="E1553" s="1611"/>
      <c r="F1553" s="502"/>
      <c r="G1553" s="502"/>
      <c r="H1553" s="131"/>
      <c r="I1553" s="101"/>
      <c r="J1553" s="102">
        <v>160000</v>
      </c>
      <c r="K1553" s="101">
        <v>5757</v>
      </c>
      <c r="L1553" s="101"/>
      <c r="M1553" s="207"/>
      <c r="N1553" s="207"/>
    </row>
    <row r="1554" spans="1:16" s="208" customFormat="1" ht="18" x14ac:dyDescent="0.25">
      <c r="A1554" s="154"/>
      <c r="B1554" s="502"/>
      <c r="C1554" s="502"/>
      <c r="D1554" s="536" t="s">
        <v>708</v>
      </c>
      <c r="E1554" s="499"/>
      <c r="F1554" s="502"/>
      <c r="G1554" s="502"/>
      <c r="H1554" s="131"/>
      <c r="I1554" s="101"/>
      <c r="J1554" s="102">
        <v>190000</v>
      </c>
      <c r="K1554" s="101"/>
      <c r="L1554" s="101"/>
      <c r="M1554" s="207"/>
      <c r="N1554" s="207"/>
    </row>
    <row r="1555" spans="1:16" s="208" customFormat="1" ht="18" x14ac:dyDescent="0.25">
      <c r="A1555" s="154"/>
      <c r="B1555" s="502"/>
      <c r="C1555" s="502"/>
      <c r="D1555" s="536" t="s">
        <v>709</v>
      </c>
      <c r="E1555" s="499"/>
      <c r="F1555" s="502"/>
      <c r="G1555" s="502"/>
      <c r="H1555" s="131"/>
      <c r="I1555" s="101"/>
      <c r="J1555" s="102">
        <v>55000</v>
      </c>
      <c r="K1555" s="101"/>
      <c r="L1555" s="101"/>
      <c r="M1555" s="207"/>
      <c r="N1555" s="207"/>
    </row>
    <row r="1556" spans="1:16" s="208" customFormat="1" ht="36.75" customHeight="1" x14ac:dyDescent="0.25">
      <c r="A1556" s="154"/>
      <c r="B1556" s="502"/>
      <c r="C1556" s="502"/>
      <c r="D1556" s="1611" t="s">
        <v>710</v>
      </c>
      <c r="E1556" s="1611"/>
      <c r="F1556" s="502"/>
      <c r="G1556" s="502"/>
      <c r="H1556" s="131"/>
      <c r="I1556" s="101"/>
      <c r="J1556" s="102">
        <v>40000</v>
      </c>
      <c r="K1556" s="101"/>
      <c r="L1556" s="101"/>
      <c r="M1556" s="207"/>
      <c r="N1556" s="207"/>
    </row>
    <row r="1557" spans="1:16" s="208" customFormat="1" ht="39.75" customHeight="1" x14ac:dyDescent="0.25">
      <c r="A1557" s="154"/>
      <c r="B1557" s="502"/>
      <c r="C1557" s="502"/>
      <c r="D1557" s="1611" t="s">
        <v>711</v>
      </c>
      <c r="E1557" s="1611"/>
      <c r="F1557" s="502"/>
      <c r="G1557" s="502"/>
      <c r="H1557" s="131"/>
      <c r="I1557" s="101"/>
      <c r="J1557" s="102">
        <v>70000</v>
      </c>
      <c r="K1557" s="101"/>
      <c r="L1557" s="101"/>
      <c r="M1557" s="207"/>
      <c r="N1557" s="207"/>
    </row>
    <row r="1558" spans="1:16" s="208" customFormat="1" ht="20.25" customHeight="1" x14ac:dyDescent="0.25">
      <c r="A1558" s="154"/>
      <c r="B1558" s="502"/>
      <c r="C1558" s="502"/>
      <c r="D1558" s="1622" t="s">
        <v>712</v>
      </c>
      <c r="E1558" s="1622"/>
      <c r="F1558" s="502"/>
      <c r="G1558" s="502"/>
      <c r="H1558" s="131"/>
      <c r="I1558" s="101"/>
      <c r="J1558" s="102">
        <v>85000</v>
      </c>
      <c r="K1558" s="101"/>
      <c r="L1558" s="101"/>
      <c r="M1558" s="207"/>
      <c r="N1558" s="207"/>
    </row>
    <row r="1559" spans="1:16" s="208" customFormat="1" ht="36" customHeight="1" x14ac:dyDescent="0.25">
      <c r="A1559" s="154"/>
      <c r="B1559" s="502"/>
      <c r="C1559" s="502"/>
      <c r="D1559" s="1611" t="s">
        <v>713</v>
      </c>
      <c r="E1559" s="1611"/>
      <c r="F1559" s="502"/>
      <c r="G1559" s="502"/>
      <c r="H1559" s="131"/>
      <c r="I1559" s="101"/>
      <c r="J1559" s="102">
        <v>90000</v>
      </c>
      <c r="K1559" s="101">
        <v>25651</v>
      </c>
      <c r="L1559" s="101"/>
      <c r="M1559" s="207"/>
      <c r="N1559" s="207"/>
    </row>
    <row r="1560" spans="1:16" s="208" customFormat="1" ht="36.75" customHeight="1" x14ac:dyDescent="0.25">
      <c r="A1560" s="154"/>
      <c r="B1560" s="502"/>
      <c r="C1560" s="502"/>
      <c r="D1560" s="1611" t="s">
        <v>714</v>
      </c>
      <c r="E1560" s="1611"/>
      <c r="F1560" s="502"/>
      <c r="G1560" s="502"/>
      <c r="H1560" s="131"/>
      <c r="I1560" s="101"/>
      <c r="J1560" s="102">
        <v>70000</v>
      </c>
      <c r="K1560" s="101"/>
      <c r="L1560" s="101"/>
      <c r="M1560" s="207"/>
      <c r="N1560" s="207"/>
    </row>
    <row r="1561" spans="1:16" s="208" customFormat="1" ht="33.75" customHeight="1" x14ac:dyDescent="0.25">
      <c r="A1561" s="154"/>
      <c r="B1561" s="502"/>
      <c r="C1561" s="502"/>
      <c r="D1561" s="1622" t="s">
        <v>715</v>
      </c>
      <c r="E1561" s="1622"/>
      <c r="F1561" s="502"/>
      <c r="G1561" s="502"/>
      <c r="H1561" s="131"/>
      <c r="I1561" s="101"/>
      <c r="J1561" s="102">
        <v>110000</v>
      </c>
      <c r="K1561" s="101"/>
      <c r="L1561" s="101"/>
      <c r="M1561" s="207"/>
      <c r="N1561" s="207"/>
    </row>
    <row r="1562" spans="1:16" s="208" customFormat="1" ht="36.75" customHeight="1" x14ac:dyDescent="0.25">
      <c r="A1562" s="154"/>
      <c r="B1562" s="502"/>
      <c r="C1562" s="502"/>
      <c r="D1562" s="1611" t="s">
        <v>716</v>
      </c>
      <c r="E1562" s="1611"/>
      <c r="F1562" s="502"/>
      <c r="G1562" s="502"/>
      <c r="H1562" s="131"/>
      <c r="I1562" s="101"/>
      <c r="J1562" s="102">
        <v>220000</v>
      </c>
      <c r="K1562" s="101"/>
      <c r="L1562" s="101"/>
      <c r="M1562" s="207"/>
      <c r="N1562" s="207"/>
    </row>
    <row r="1563" spans="1:16" ht="18" x14ac:dyDescent="0.25">
      <c r="A1563" s="519"/>
      <c r="B1563" s="499"/>
      <c r="C1563" s="499"/>
      <c r="D1563" s="1611" t="s">
        <v>717</v>
      </c>
      <c r="E1563" s="1611"/>
      <c r="F1563" s="1611"/>
      <c r="G1563" s="1611"/>
      <c r="H1563" s="131"/>
      <c r="I1563" s="336">
        <v>8680</v>
      </c>
      <c r="J1563" s="345"/>
      <c r="K1563" s="336"/>
      <c r="L1563" s="336"/>
    </row>
    <row r="1564" spans="1:16" s="146" customFormat="1" ht="18" x14ac:dyDescent="0.25">
      <c r="A1564" s="519"/>
      <c r="B1564" s="499"/>
      <c r="C1564" s="499"/>
      <c r="D1564" s="1620" t="s">
        <v>161</v>
      </c>
      <c r="E1564" s="1620"/>
      <c r="F1564" s="1620"/>
      <c r="G1564" s="1620"/>
      <c r="H1564" s="131"/>
      <c r="I1564" s="155">
        <f>SUM(I1563:I1563)</f>
        <v>8680</v>
      </c>
      <c r="J1564" s="156">
        <f>SUM(J1547:J1563)</f>
        <v>1590000</v>
      </c>
      <c r="K1564" s="156">
        <f>SUM(K1547:K1563)</f>
        <v>62704</v>
      </c>
      <c r="L1564" s="155">
        <f>SUM(L1539:L1563)</f>
        <v>1170000</v>
      </c>
      <c r="M1564" s="10"/>
      <c r="N1564" s="10"/>
      <c r="O1564"/>
      <c r="P1564"/>
    </row>
    <row r="1565" spans="1:16" s="146" customFormat="1" ht="18" x14ac:dyDescent="0.25">
      <c r="A1565" s="519"/>
      <c r="B1565" s="499"/>
      <c r="C1565" s="499"/>
      <c r="D1565" s="496"/>
      <c r="E1565" s="496"/>
      <c r="F1565" s="496"/>
      <c r="G1565" s="496"/>
      <c r="H1565" s="131"/>
      <c r="I1565" s="155"/>
      <c r="J1565" s="156"/>
      <c r="K1565" s="156"/>
      <c r="L1565" s="155"/>
      <c r="M1565" s="10"/>
      <c r="N1565" s="10"/>
      <c r="O1565"/>
      <c r="P1565"/>
    </row>
    <row r="1566" spans="1:16" s="146" customFormat="1" ht="16.5" customHeight="1" x14ac:dyDescent="0.25">
      <c r="A1566" s="519"/>
      <c r="B1566" s="499"/>
      <c r="C1566" s="499"/>
      <c r="D1566" s="1621" t="s">
        <v>719</v>
      </c>
      <c r="E1566" s="1666"/>
      <c r="F1566" s="1666"/>
      <c r="G1566" s="1667"/>
      <c r="H1566" s="131"/>
      <c r="I1566" s="101"/>
      <c r="J1566" s="102"/>
      <c r="K1566" s="101"/>
      <c r="L1566" s="101"/>
      <c r="M1566" s="10"/>
      <c r="N1566" s="10"/>
      <c r="O1566"/>
      <c r="P1566"/>
    </row>
    <row r="1567" spans="1:16" s="347" customFormat="1" ht="16.5" customHeight="1" x14ac:dyDescent="0.25">
      <c r="A1567" s="173"/>
      <c r="B1567" s="505"/>
      <c r="C1567" s="505"/>
      <c r="D1567" s="1622" t="s">
        <v>720</v>
      </c>
      <c r="E1567" s="1648"/>
      <c r="F1567" s="517"/>
      <c r="G1567" s="173"/>
      <c r="H1567" s="176"/>
      <c r="I1567" s="101"/>
      <c r="J1567" s="102"/>
      <c r="K1567" s="101"/>
      <c r="L1567" s="101">
        <v>2500000</v>
      </c>
      <c r="M1567" s="193"/>
      <c r="N1567" s="193"/>
      <c r="O1567" s="344"/>
      <c r="P1567" s="344"/>
    </row>
    <row r="1568" spans="1:16" s="347" customFormat="1" ht="36" customHeight="1" x14ac:dyDescent="0.25">
      <c r="A1568" s="173"/>
      <c r="B1568" s="505"/>
      <c r="C1568" s="505"/>
      <c r="D1568" s="1622" t="s">
        <v>721</v>
      </c>
      <c r="E1568" s="1648"/>
      <c r="F1568" s="517"/>
      <c r="G1568" s="173"/>
      <c r="H1568" s="176"/>
      <c r="I1568" s="101"/>
      <c r="J1568" s="102"/>
      <c r="K1568" s="101"/>
      <c r="L1568" s="101">
        <v>500000</v>
      </c>
      <c r="M1568" s="193"/>
      <c r="N1568" s="193"/>
      <c r="O1568" s="344"/>
      <c r="P1568" s="344"/>
    </row>
    <row r="1569" spans="1:16" s="347" customFormat="1" ht="36" customHeight="1" x14ac:dyDescent="0.25">
      <c r="A1569" s="173"/>
      <c r="B1569" s="505"/>
      <c r="C1569" s="505"/>
      <c r="D1569" s="1622" t="s">
        <v>722</v>
      </c>
      <c r="E1569" s="1648"/>
      <c r="F1569" s="517"/>
      <c r="G1569" s="173"/>
      <c r="H1569" s="176"/>
      <c r="I1569" s="101"/>
      <c r="J1569" s="102"/>
      <c r="K1569" s="101"/>
      <c r="L1569" s="101">
        <v>1000000</v>
      </c>
      <c r="M1569" s="193"/>
      <c r="N1569" s="193"/>
      <c r="O1569" s="344"/>
      <c r="P1569" s="344"/>
    </row>
    <row r="1570" spans="1:16" s="347" customFormat="1" ht="36" customHeight="1" x14ac:dyDescent="0.25">
      <c r="A1570" s="173"/>
      <c r="B1570" s="505"/>
      <c r="C1570" s="505"/>
      <c r="D1570" s="1622" t="s">
        <v>723</v>
      </c>
      <c r="E1570" s="1648"/>
      <c r="F1570" s="517"/>
      <c r="G1570" s="173"/>
      <c r="H1570" s="176"/>
      <c r="I1570" s="101"/>
      <c r="J1570" s="102"/>
      <c r="K1570" s="101"/>
      <c r="L1570" s="101">
        <v>200000</v>
      </c>
      <c r="M1570" s="193"/>
      <c r="N1570" s="193"/>
      <c r="O1570" s="344"/>
      <c r="P1570" s="344"/>
    </row>
    <row r="1571" spans="1:16" s="146" customFormat="1" ht="18" x14ac:dyDescent="0.25">
      <c r="A1571" s="519"/>
      <c r="B1571" s="499"/>
      <c r="C1571" s="499"/>
      <c r="D1571" s="1602" t="s">
        <v>724</v>
      </c>
      <c r="E1571" s="1603"/>
      <c r="F1571" s="1603"/>
      <c r="G1571" s="1610"/>
      <c r="H1571" s="131"/>
      <c r="I1571" s="101"/>
      <c r="J1571" s="102">
        <v>1000000</v>
      </c>
      <c r="K1571" s="101"/>
      <c r="L1571" s="101"/>
      <c r="M1571" s="10"/>
      <c r="N1571" s="10"/>
      <c r="O1571"/>
      <c r="P1571"/>
    </row>
    <row r="1572" spans="1:16" s="146" customFormat="1" ht="18" x14ac:dyDescent="0.25">
      <c r="A1572" s="519"/>
      <c r="B1572" s="499"/>
      <c r="C1572" s="499"/>
      <c r="D1572" s="1602" t="s">
        <v>725</v>
      </c>
      <c r="E1572" s="1603"/>
      <c r="F1572" s="1603"/>
      <c r="G1572" s="1610"/>
      <c r="H1572" s="131"/>
      <c r="I1572" s="105"/>
      <c r="J1572" s="106">
        <v>100000</v>
      </c>
      <c r="K1572" s="105"/>
      <c r="L1572" s="105"/>
      <c r="M1572" s="10"/>
      <c r="N1572" s="10"/>
      <c r="O1572"/>
      <c r="P1572"/>
    </row>
    <row r="1573" spans="1:16" s="146" customFormat="1" ht="18" x14ac:dyDescent="0.25">
      <c r="A1573" s="519"/>
      <c r="B1573" s="499"/>
      <c r="C1573" s="499"/>
      <c r="D1573" s="1620" t="s">
        <v>161</v>
      </c>
      <c r="E1573" s="1620"/>
      <c r="F1573" s="1620"/>
      <c r="G1573" s="1620"/>
      <c r="H1573" s="131"/>
      <c r="I1573" s="155"/>
      <c r="J1573" s="156">
        <f>SUM(J1571:J1572)</f>
        <v>1100000</v>
      </c>
      <c r="K1573" s="155">
        <f>SUM(K1571:K1572)</f>
        <v>0</v>
      </c>
      <c r="L1573" s="155">
        <f>SUM(L1567:L1572)</f>
        <v>4200000</v>
      </c>
      <c r="M1573" s="10"/>
      <c r="N1573" s="10"/>
      <c r="O1573"/>
      <c r="P1573"/>
    </row>
    <row r="1574" spans="1:16" s="146" customFormat="1" ht="18" x14ac:dyDescent="0.25">
      <c r="A1574" s="519"/>
      <c r="B1574" s="499"/>
      <c r="C1574" s="499"/>
      <c r="D1574" s="496"/>
      <c r="E1574" s="496"/>
      <c r="F1574" s="496"/>
      <c r="G1574" s="496"/>
      <c r="H1574" s="131"/>
      <c r="I1574" s="155"/>
      <c r="J1574" s="156"/>
      <c r="K1574" s="155"/>
      <c r="L1574" s="155"/>
      <c r="M1574" s="10"/>
      <c r="N1574" s="10"/>
      <c r="O1574"/>
      <c r="P1574"/>
    </row>
    <row r="1575" spans="1:16" s="146" customFormat="1" ht="18.75" thickBot="1" x14ac:dyDescent="0.3">
      <c r="A1575" s="187"/>
      <c r="B1575" s="413"/>
      <c r="C1575" s="413"/>
      <c r="D1575" s="346"/>
      <c r="E1575" s="523"/>
      <c r="F1575" s="523"/>
      <c r="G1575" s="523"/>
      <c r="H1575" s="218"/>
      <c r="I1575" s="182"/>
      <c r="J1575" s="183"/>
      <c r="K1575" s="182"/>
      <c r="L1575" s="182"/>
      <c r="M1575" s="10"/>
      <c r="N1575" s="10"/>
      <c r="O1575"/>
      <c r="P1575"/>
    </row>
    <row r="1576" spans="1:16" s="146" customFormat="1" ht="18" x14ac:dyDescent="0.25">
      <c r="A1576" s="499"/>
      <c r="B1576" s="499"/>
      <c r="C1576" s="499"/>
      <c r="D1576" s="337"/>
      <c r="E1576" s="520"/>
      <c r="F1576" s="520"/>
      <c r="G1576" s="520"/>
      <c r="H1576" s="221"/>
      <c r="I1576" s="126"/>
      <c r="J1576" s="127"/>
      <c r="K1576" s="126"/>
      <c r="L1576" s="126"/>
      <c r="M1576" s="10"/>
      <c r="N1576" s="10"/>
      <c r="O1576"/>
      <c r="P1576"/>
    </row>
    <row r="1577" spans="1:16" s="146" customFormat="1" ht="18" x14ac:dyDescent="0.25">
      <c r="A1577" s="499"/>
      <c r="B1577" s="499"/>
      <c r="C1577" s="499"/>
      <c r="D1577" s="337"/>
      <c r="E1577" s="520"/>
      <c r="F1577" s="520"/>
      <c r="G1577" s="520"/>
      <c r="H1577" s="221"/>
      <c r="I1577" s="126"/>
      <c r="J1577" s="127"/>
      <c r="K1577" s="126"/>
      <c r="L1577" s="126"/>
      <c r="M1577" s="10"/>
      <c r="N1577" s="10"/>
      <c r="O1577"/>
      <c r="P1577"/>
    </row>
    <row r="1578" spans="1:16" s="146" customFormat="1" ht="18" x14ac:dyDescent="0.25">
      <c r="A1578" s="499"/>
      <c r="B1578" s="499"/>
      <c r="C1578" s="499"/>
      <c r="D1578" s="337"/>
      <c r="E1578" s="520"/>
      <c r="F1578" s="520"/>
      <c r="G1578" s="520"/>
      <c r="H1578" s="221"/>
      <c r="I1578" s="126"/>
      <c r="J1578" s="127"/>
      <c r="K1578" s="126"/>
      <c r="L1578" s="126"/>
      <c r="M1578" s="10"/>
      <c r="N1578" s="10"/>
      <c r="O1578"/>
      <c r="P1578"/>
    </row>
    <row r="1579" spans="1:16" s="146" customFormat="1" ht="18" x14ac:dyDescent="0.25">
      <c r="A1579" s="499"/>
      <c r="B1579" s="499"/>
      <c r="C1579" s="499"/>
      <c r="D1579" s="337"/>
      <c r="E1579" s="520"/>
      <c r="F1579" s="520"/>
      <c r="G1579" s="520"/>
      <c r="H1579" s="221"/>
      <c r="I1579" s="126"/>
      <c r="J1579" s="127"/>
      <c r="K1579" s="126"/>
      <c r="L1579" s="126"/>
      <c r="M1579" s="10"/>
      <c r="N1579" s="10"/>
      <c r="O1579"/>
      <c r="P1579"/>
    </row>
    <row r="1580" spans="1:16" s="146" customFormat="1" ht="18" x14ac:dyDescent="0.25">
      <c r="A1580" s="499"/>
      <c r="B1580" s="499"/>
      <c r="C1580" s="499"/>
      <c r="D1580" s="337"/>
      <c r="E1580" s="520"/>
      <c r="F1580" s="520"/>
      <c r="G1580" s="520"/>
      <c r="H1580" s="221"/>
      <c r="I1580" s="126"/>
      <c r="J1580" s="127"/>
      <c r="K1580" s="126"/>
      <c r="L1580" s="126"/>
      <c r="M1580" s="10"/>
      <c r="N1580" s="10"/>
      <c r="O1580"/>
      <c r="P1580"/>
    </row>
    <row r="1581" spans="1:16" s="146" customFormat="1" ht="18" x14ac:dyDescent="0.25">
      <c r="A1581" s="499"/>
      <c r="B1581" s="499"/>
      <c r="C1581" s="499"/>
      <c r="D1581" s="337"/>
      <c r="E1581" s="520"/>
      <c r="F1581" s="520"/>
      <c r="G1581" s="520"/>
      <c r="H1581" s="221"/>
      <c r="I1581" s="126"/>
      <c r="J1581" s="127"/>
      <c r="K1581" s="126"/>
      <c r="L1581" s="126"/>
      <c r="M1581" s="10"/>
      <c r="N1581" s="10"/>
      <c r="O1581"/>
      <c r="P1581"/>
    </row>
    <row r="1582" spans="1:16" s="146" customFormat="1" ht="18" x14ac:dyDescent="0.25">
      <c r="A1582" s="499"/>
      <c r="B1582" s="499"/>
      <c r="C1582" s="499"/>
      <c r="D1582" s="337"/>
      <c r="E1582" s="520"/>
      <c r="F1582" s="520"/>
      <c r="G1582" s="520"/>
      <c r="H1582" s="221"/>
      <c r="I1582" s="126"/>
      <c r="J1582" s="127"/>
      <c r="K1582" s="126"/>
      <c r="L1582" s="126"/>
      <c r="M1582" s="10"/>
      <c r="N1582" s="10"/>
      <c r="O1582"/>
      <c r="P1582"/>
    </row>
    <row r="1583" spans="1:16" ht="18" customHeight="1" x14ac:dyDescent="0.25">
      <c r="A1583" s="8" t="s">
        <v>112</v>
      </c>
    </row>
    <row r="1584" spans="1:16" ht="18" customHeight="1" x14ac:dyDescent="0.25">
      <c r="A1584" s="8" t="s">
        <v>718</v>
      </c>
    </row>
    <row r="1585" spans="1:16" ht="18" customHeight="1" x14ac:dyDescent="0.25">
      <c r="A1585" s="1636" t="s">
        <v>113</v>
      </c>
      <c r="B1585" s="1636"/>
      <c r="C1585" s="1636"/>
      <c r="D1585" s="1636"/>
      <c r="E1585" s="1636"/>
      <c r="F1585" s="1636"/>
      <c r="G1585" s="1636"/>
      <c r="H1585" s="1636"/>
      <c r="I1585" s="1636"/>
      <c r="J1585" s="1636"/>
      <c r="K1585" s="1636"/>
      <c r="L1585" s="1636"/>
    </row>
    <row r="1586" spans="1:16" s="7" customFormat="1" ht="18" customHeight="1" x14ac:dyDescent="0.25">
      <c r="A1586" s="1624" t="s">
        <v>114</v>
      </c>
      <c r="B1586" s="1624"/>
      <c r="C1586" s="1624"/>
      <c r="D1586" s="1624"/>
      <c r="E1586" s="1624"/>
      <c r="F1586" s="1624"/>
      <c r="G1586" s="1624"/>
      <c r="H1586" s="1624"/>
      <c r="I1586" s="1624"/>
      <c r="J1586" s="1624"/>
      <c r="K1586" s="1624"/>
      <c r="L1586" s="1624"/>
      <c r="M1586" s="6"/>
      <c r="N1586" s="6"/>
    </row>
    <row r="1587" spans="1:16" s="7" customFormat="1" ht="18" customHeight="1" thickBot="1" x14ac:dyDescent="0.3">
      <c r="A1587" s="500"/>
      <c r="B1587" s="500"/>
      <c r="C1587" s="500"/>
      <c r="D1587" s="159"/>
      <c r="E1587" s="500"/>
      <c r="F1587" s="500"/>
      <c r="G1587" s="500"/>
      <c r="H1587" s="500"/>
      <c r="I1587" s="500"/>
      <c r="J1587" s="500"/>
      <c r="K1587" s="196"/>
      <c r="L1587" s="500"/>
      <c r="M1587" s="6"/>
      <c r="N1587" s="6"/>
    </row>
    <row r="1588" spans="1:16" s="146" customFormat="1" ht="61.5" customHeight="1" thickBot="1" x14ac:dyDescent="0.3">
      <c r="A1588" s="1625" t="s">
        <v>115</v>
      </c>
      <c r="B1588" s="1626"/>
      <c r="C1588" s="1626"/>
      <c r="D1588" s="1626"/>
      <c r="E1588" s="1626"/>
      <c r="F1588" s="1626"/>
      <c r="G1588" s="1627"/>
      <c r="H1588" s="501" t="s">
        <v>116</v>
      </c>
      <c r="I1588" s="130" t="s">
        <v>117</v>
      </c>
      <c r="J1588" s="130" t="s">
        <v>118</v>
      </c>
      <c r="K1588" s="130" t="s">
        <v>119</v>
      </c>
      <c r="L1588" s="130" t="s">
        <v>120</v>
      </c>
      <c r="M1588" s="10"/>
      <c r="N1588" s="10"/>
      <c r="O1588"/>
      <c r="P1588"/>
    </row>
    <row r="1589" spans="1:16" s="146" customFormat="1" ht="16.5" customHeight="1" x14ac:dyDescent="0.25">
      <c r="A1589" s="519"/>
      <c r="B1589" s="499"/>
      <c r="C1589" s="499"/>
      <c r="D1589" s="1621" t="s">
        <v>726</v>
      </c>
      <c r="E1589" s="1666"/>
      <c r="F1589" s="1666"/>
      <c r="G1589" s="1667"/>
      <c r="H1589" s="131"/>
      <c r="I1589" s="101"/>
      <c r="J1589" s="102"/>
      <c r="K1589" s="101"/>
      <c r="L1589" s="101"/>
      <c r="M1589" s="10"/>
      <c r="N1589" s="10"/>
      <c r="O1589"/>
      <c r="P1589"/>
    </row>
    <row r="1590" spans="1:16" s="146" customFormat="1" ht="18" x14ac:dyDescent="0.25">
      <c r="A1590" s="519"/>
      <c r="B1590" s="499"/>
      <c r="C1590" s="499"/>
      <c r="D1590" s="1648" t="s">
        <v>727</v>
      </c>
      <c r="E1590" s="1649"/>
      <c r="F1590" s="1649"/>
      <c r="G1590" s="1668"/>
      <c r="H1590" s="131"/>
      <c r="I1590" s="101">
        <v>68775</v>
      </c>
      <c r="J1590" s="102">
        <v>150000</v>
      </c>
      <c r="K1590" s="101">
        <v>49700</v>
      </c>
      <c r="L1590" s="101">
        <v>150000</v>
      </c>
      <c r="M1590" s="10"/>
      <c r="N1590" s="10"/>
      <c r="O1590"/>
      <c r="P1590"/>
    </row>
    <row r="1591" spans="1:16" s="146" customFormat="1" ht="40.5" customHeight="1" x14ac:dyDescent="0.25">
      <c r="A1591" s="519"/>
      <c r="B1591" s="499"/>
      <c r="C1591" s="499"/>
      <c r="D1591" s="1622" t="s">
        <v>728</v>
      </c>
      <c r="E1591" s="1648"/>
      <c r="F1591" s="492"/>
      <c r="G1591" s="519"/>
      <c r="H1591" s="131"/>
      <c r="I1591" s="101"/>
      <c r="J1591" s="102"/>
      <c r="K1591" s="101"/>
      <c r="L1591" s="101">
        <v>250000</v>
      </c>
      <c r="M1591" s="10"/>
      <c r="N1591" s="10"/>
      <c r="O1591"/>
      <c r="P1591"/>
    </row>
    <row r="1592" spans="1:16" s="146" customFormat="1" ht="18" x14ac:dyDescent="0.25">
      <c r="A1592" s="519"/>
      <c r="B1592" s="499"/>
      <c r="C1592" s="499"/>
      <c r="D1592" s="1602" t="s">
        <v>729</v>
      </c>
      <c r="E1592" s="1603"/>
      <c r="F1592" s="1603"/>
      <c r="G1592" s="1610"/>
      <c r="H1592" s="131"/>
      <c r="I1592" s="101"/>
      <c r="J1592" s="102">
        <v>250000</v>
      </c>
      <c r="K1592" s="101"/>
      <c r="L1592" s="101"/>
      <c r="M1592" s="10"/>
      <c r="N1592" s="10"/>
      <c r="O1592"/>
      <c r="P1592"/>
    </row>
    <row r="1593" spans="1:16" s="146" customFormat="1" ht="18" x14ac:dyDescent="0.25">
      <c r="A1593" s="519"/>
      <c r="B1593" s="499"/>
      <c r="C1593" s="499"/>
      <c r="D1593" s="1602" t="s">
        <v>730</v>
      </c>
      <c r="E1593" s="1603"/>
      <c r="F1593" s="1603"/>
      <c r="G1593" s="1610"/>
      <c r="H1593" s="131"/>
      <c r="I1593" s="101">
        <v>395629</v>
      </c>
      <c r="J1593" s="102">
        <v>5926150.5999999996</v>
      </c>
      <c r="K1593" s="101"/>
      <c r="L1593" s="101"/>
      <c r="M1593" s="10"/>
      <c r="N1593" s="10"/>
      <c r="O1593"/>
      <c r="P1593"/>
    </row>
    <row r="1594" spans="1:16" s="313" customFormat="1" ht="18" x14ac:dyDescent="0.25">
      <c r="A1594" s="173"/>
      <c r="B1594" s="505"/>
      <c r="C1594" s="505"/>
      <c r="D1594" s="1622" t="s">
        <v>731</v>
      </c>
      <c r="E1594" s="1648"/>
      <c r="F1594" s="517"/>
      <c r="G1594" s="173"/>
      <c r="H1594" s="176"/>
      <c r="I1594" s="101"/>
      <c r="J1594" s="102"/>
      <c r="K1594" s="101"/>
      <c r="L1594" s="101">
        <v>12890</v>
      </c>
      <c r="M1594" s="193"/>
      <c r="N1594" s="193"/>
      <c r="O1594" s="179"/>
      <c r="P1594" s="179"/>
    </row>
    <row r="1595" spans="1:16" s="313" customFormat="1" ht="36" customHeight="1" x14ac:dyDescent="0.25">
      <c r="A1595" s="173"/>
      <c r="B1595" s="505"/>
      <c r="C1595" s="505"/>
      <c r="D1595" s="1622" t="s">
        <v>732</v>
      </c>
      <c r="E1595" s="1648"/>
      <c r="F1595" s="517"/>
      <c r="G1595" s="173"/>
      <c r="H1595" s="176"/>
      <c r="I1595" s="101"/>
      <c r="J1595" s="102"/>
      <c r="K1595" s="101"/>
      <c r="L1595" s="101">
        <v>433357</v>
      </c>
      <c r="M1595" s="193"/>
      <c r="N1595" s="193"/>
      <c r="O1595" s="179"/>
      <c r="P1595" s="179"/>
    </row>
    <row r="1596" spans="1:16" s="313" customFormat="1" ht="18" x14ac:dyDescent="0.25">
      <c r="A1596" s="173"/>
      <c r="B1596" s="505"/>
      <c r="C1596" s="505"/>
      <c r="D1596" s="1622" t="s">
        <v>733</v>
      </c>
      <c r="E1596" s="1648"/>
      <c r="F1596" s="517"/>
      <c r="G1596" s="173"/>
      <c r="H1596" s="176"/>
      <c r="I1596" s="101"/>
      <c r="J1596" s="102"/>
      <c r="K1596" s="101"/>
      <c r="L1596" s="101">
        <v>186400</v>
      </c>
      <c r="M1596" s="193"/>
      <c r="N1596" s="193"/>
      <c r="O1596" s="179"/>
      <c r="P1596" s="179"/>
    </row>
    <row r="1597" spans="1:16" s="313" customFormat="1" ht="18" x14ac:dyDescent="0.25">
      <c r="A1597" s="173"/>
      <c r="B1597" s="505"/>
      <c r="C1597" s="505"/>
      <c r="D1597" s="1622" t="s">
        <v>734</v>
      </c>
      <c r="E1597" s="1648"/>
      <c r="F1597" s="517"/>
      <c r="G1597" s="173"/>
      <c r="H1597" s="176"/>
      <c r="I1597" s="101"/>
      <c r="J1597" s="102"/>
      <c r="K1597" s="101"/>
      <c r="L1597" s="101">
        <v>3000000</v>
      </c>
      <c r="M1597" s="193"/>
      <c r="N1597" s="193"/>
      <c r="O1597" s="179"/>
      <c r="P1597" s="179"/>
    </row>
    <row r="1598" spans="1:16" s="313" customFormat="1" ht="18" x14ac:dyDescent="0.25">
      <c r="A1598" s="173"/>
      <c r="B1598" s="505"/>
      <c r="C1598" s="505"/>
      <c r="D1598" s="1622" t="s">
        <v>735</v>
      </c>
      <c r="E1598" s="1648"/>
      <c r="F1598" s="517"/>
      <c r="G1598" s="173"/>
      <c r="H1598" s="176"/>
      <c r="I1598" s="101"/>
      <c r="J1598" s="102"/>
      <c r="K1598" s="101"/>
      <c r="L1598" s="101">
        <v>5000000</v>
      </c>
      <c r="M1598" s="193"/>
      <c r="N1598" s="193"/>
      <c r="O1598" s="179"/>
      <c r="P1598" s="179"/>
    </row>
    <row r="1599" spans="1:16" s="313" customFormat="1" ht="18" x14ac:dyDescent="0.25">
      <c r="A1599" s="173"/>
      <c r="B1599" s="505"/>
      <c r="C1599" s="505"/>
      <c r="D1599" s="1622" t="s">
        <v>736</v>
      </c>
      <c r="E1599" s="1648"/>
      <c r="F1599" s="517"/>
      <c r="G1599" s="173"/>
      <c r="H1599" s="176"/>
      <c r="I1599" s="101"/>
      <c r="J1599" s="102"/>
      <c r="K1599" s="101"/>
      <c r="L1599" s="101">
        <v>700000</v>
      </c>
      <c r="M1599" s="193"/>
      <c r="N1599" s="193"/>
      <c r="O1599" s="179"/>
      <c r="P1599" s="179"/>
    </row>
    <row r="1600" spans="1:16" s="313" customFormat="1" ht="18" x14ac:dyDescent="0.25">
      <c r="A1600" s="173"/>
      <c r="B1600" s="505"/>
      <c r="C1600" s="505"/>
      <c r="D1600" s="1622" t="s">
        <v>737</v>
      </c>
      <c r="E1600" s="1648"/>
      <c r="F1600" s="517"/>
      <c r="G1600" s="173"/>
      <c r="H1600" s="176"/>
      <c r="I1600" s="101"/>
      <c r="J1600" s="102"/>
      <c r="K1600" s="101"/>
      <c r="L1600" s="101">
        <v>600000</v>
      </c>
      <c r="M1600" s="193"/>
      <c r="N1600" s="193"/>
      <c r="O1600" s="179"/>
      <c r="P1600" s="179"/>
    </row>
    <row r="1601" spans="1:16" s="313" customFormat="1" ht="36.75" customHeight="1" x14ac:dyDescent="0.25">
      <c r="A1601" s="173"/>
      <c r="B1601" s="505"/>
      <c r="C1601" s="505"/>
      <c r="D1601" s="1622" t="s">
        <v>738</v>
      </c>
      <c r="E1601" s="1648"/>
      <c r="F1601" s="517"/>
      <c r="G1601" s="173"/>
      <c r="H1601" s="176"/>
      <c r="I1601" s="101"/>
      <c r="J1601" s="102"/>
      <c r="K1601" s="101"/>
      <c r="L1601" s="101">
        <v>73000</v>
      </c>
      <c r="M1601" s="193"/>
      <c r="N1601" s="193"/>
      <c r="O1601" s="179"/>
      <c r="P1601" s="179"/>
    </row>
    <row r="1602" spans="1:16" s="313" customFormat="1" ht="36.75" customHeight="1" x14ac:dyDescent="0.25">
      <c r="A1602" s="173"/>
      <c r="B1602" s="505"/>
      <c r="C1602" s="505"/>
      <c r="D1602" s="1622" t="s">
        <v>739</v>
      </c>
      <c r="E1602" s="1648"/>
      <c r="F1602" s="517"/>
      <c r="G1602" s="173"/>
      <c r="H1602" s="176"/>
      <c r="I1602" s="101"/>
      <c r="J1602" s="102"/>
      <c r="K1602" s="101"/>
      <c r="L1602" s="101">
        <v>6500000</v>
      </c>
      <c r="M1602" s="193"/>
      <c r="N1602" s="193"/>
      <c r="O1602" s="179"/>
      <c r="P1602" s="179"/>
    </row>
    <row r="1603" spans="1:16" s="313" customFormat="1" ht="36.75" customHeight="1" x14ac:dyDescent="0.25">
      <c r="A1603" s="173"/>
      <c r="B1603" s="505"/>
      <c r="C1603" s="505"/>
      <c r="D1603" s="1622" t="s">
        <v>740</v>
      </c>
      <c r="E1603" s="1648"/>
      <c r="F1603" s="517"/>
      <c r="G1603" s="173"/>
      <c r="H1603" s="176"/>
      <c r="I1603" s="101"/>
      <c r="J1603" s="102"/>
      <c r="K1603" s="101"/>
      <c r="L1603" s="101">
        <v>500000</v>
      </c>
      <c r="M1603" s="193"/>
      <c r="N1603" s="193"/>
      <c r="O1603" s="179"/>
      <c r="P1603" s="179"/>
    </row>
    <row r="1604" spans="1:16" s="313" customFormat="1" ht="18.75" customHeight="1" x14ac:dyDescent="0.25">
      <c r="A1604" s="173"/>
      <c r="B1604" s="505"/>
      <c r="C1604" s="505"/>
      <c r="D1604" s="1622" t="s">
        <v>741</v>
      </c>
      <c r="E1604" s="1648"/>
      <c r="F1604" s="517"/>
      <c r="G1604" s="173"/>
      <c r="H1604" s="176"/>
      <c r="I1604" s="101"/>
      <c r="J1604" s="102"/>
      <c r="K1604" s="101"/>
      <c r="L1604" s="101">
        <v>240000</v>
      </c>
      <c r="M1604" s="193"/>
      <c r="N1604" s="193"/>
      <c r="O1604" s="179"/>
      <c r="P1604" s="179"/>
    </row>
    <row r="1605" spans="1:16" s="146" customFormat="1" ht="18" x14ac:dyDescent="0.25">
      <c r="A1605" s="519"/>
      <c r="B1605" s="499"/>
      <c r="C1605" s="499"/>
      <c r="D1605" s="1602" t="s">
        <v>742</v>
      </c>
      <c r="E1605" s="1603"/>
      <c r="F1605" s="1603"/>
      <c r="G1605" s="1610"/>
      <c r="H1605" s="131"/>
      <c r="I1605" s="101"/>
      <c r="J1605" s="102">
        <v>563250</v>
      </c>
      <c r="K1605" s="101"/>
      <c r="L1605" s="101"/>
      <c r="M1605" s="10"/>
      <c r="N1605" s="10"/>
      <c r="O1605"/>
      <c r="P1605"/>
    </row>
    <row r="1606" spans="1:16" s="146" customFormat="1" ht="18" x14ac:dyDescent="0.25">
      <c r="A1606" s="519"/>
      <c r="B1606" s="499"/>
      <c r="C1606" s="499"/>
      <c r="D1606" s="1602" t="s">
        <v>743</v>
      </c>
      <c r="E1606" s="1603"/>
      <c r="F1606" s="1603"/>
      <c r="G1606" s="1610"/>
      <c r="H1606" s="131"/>
      <c r="I1606" s="101"/>
      <c r="J1606" s="102">
        <v>240000</v>
      </c>
      <c r="K1606" s="101"/>
      <c r="L1606" s="105"/>
      <c r="M1606" s="10"/>
      <c r="N1606" s="10"/>
      <c r="O1606"/>
      <c r="P1606"/>
    </row>
    <row r="1607" spans="1:16" ht="18" x14ac:dyDescent="0.25">
      <c r="A1607" s="519"/>
      <c r="B1607" s="499"/>
      <c r="C1607" s="499"/>
      <c r="D1607" s="1620" t="s">
        <v>161</v>
      </c>
      <c r="E1607" s="1620"/>
      <c r="F1607" s="1620"/>
      <c r="G1607" s="1620"/>
      <c r="H1607" s="131"/>
      <c r="I1607" s="119">
        <f>SUM(I1590:I1606)</f>
        <v>464404</v>
      </c>
      <c r="J1607" s="150">
        <f>SUM(J1590:J1606)</f>
        <v>7129400.5999999996</v>
      </c>
      <c r="K1607" s="119">
        <f>SUM(K1590:K1606)</f>
        <v>49700</v>
      </c>
      <c r="L1607" s="119">
        <f>SUM(L1590:L1606)</f>
        <v>17645647</v>
      </c>
    </row>
    <row r="1608" spans="1:16" s="146" customFormat="1" ht="18.75" thickBot="1" x14ac:dyDescent="0.3">
      <c r="A1608" s="527"/>
      <c r="B1608" s="513"/>
      <c r="C1608" s="513"/>
      <c r="D1608" s="1661" t="s">
        <v>744</v>
      </c>
      <c r="E1608" s="1662"/>
      <c r="F1608" s="1662"/>
      <c r="G1608" s="1663"/>
      <c r="H1608" s="348"/>
      <c r="I1608" s="158">
        <f>I1607+I1564+I1527+I1523+I1573</f>
        <v>17023932</v>
      </c>
      <c r="J1608" s="158">
        <f>J1607+J1564+J1527+J1523+J1573</f>
        <v>48818400.600000001</v>
      </c>
      <c r="K1608" s="158">
        <f>K1607+K1564+K1527+K1523+K1573</f>
        <v>2885484</v>
      </c>
      <c r="L1608" s="158">
        <f>L1607+L1564+L1527+L1523+L1573</f>
        <v>60417647</v>
      </c>
      <c r="M1608" s="10"/>
      <c r="N1608" s="10"/>
    </row>
    <row r="1609" spans="1:16" ht="13.5" customHeight="1" x14ac:dyDescent="0.25">
      <c r="A1609" s="519"/>
      <c r="B1609" s="499"/>
      <c r="C1609" s="499"/>
      <c r="D1609" s="496"/>
      <c r="E1609" s="496"/>
      <c r="F1609" s="496"/>
      <c r="G1609" s="496"/>
      <c r="H1609" s="125"/>
      <c r="I1609" s="155"/>
      <c r="J1609" s="155"/>
      <c r="K1609" s="155"/>
      <c r="L1609" s="155"/>
    </row>
    <row r="1610" spans="1:16" s="146" customFormat="1" ht="18" x14ac:dyDescent="0.25">
      <c r="A1610" s="254"/>
      <c r="B1610" s="271"/>
      <c r="C1610" s="271"/>
      <c r="D1610" s="349" t="s">
        <v>745</v>
      </c>
      <c r="E1610" s="41"/>
      <c r="F1610" s="41"/>
      <c r="G1610" s="41"/>
      <c r="H1610" s="273"/>
      <c r="I1610" s="101"/>
      <c r="J1610" s="102"/>
      <c r="K1610" s="250"/>
      <c r="L1610" s="250"/>
      <c r="M1610" s="10"/>
      <c r="N1610" s="10"/>
      <c r="O1610"/>
      <c r="P1610"/>
    </row>
    <row r="1611" spans="1:16" s="146" customFormat="1" ht="37.5" customHeight="1" x14ac:dyDescent="0.25">
      <c r="A1611" s="254"/>
      <c r="B1611" s="271"/>
      <c r="C1611" s="271"/>
      <c r="D1611" s="1664" t="s">
        <v>746</v>
      </c>
      <c r="E1611" s="1664"/>
      <c r="F1611" s="41"/>
      <c r="G1611" s="41"/>
      <c r="H1611" s="273"/>
      <c r="I1611" s="101"/>
      <c r="J1611" s="233">
        <v>900000</v>
      </c>
      <c r="K1611" s="250"/>
      <c r="L1611" s="101"/>
      <c r="M1611" s="10"/>
      <c r="N1611" s="10"/>
      <c r="O1611"/>
      <c r="P1611"/>
    </row>
    <row r="1612" spans="1:16" s="146" customFormat="1" ht="18.75" thickBot="1" x14ac:dyDescent="0.3">
      <c r="A1612" s="254"/>
      <c r="B1612" s="271"/>
      <c r="C1612" s="271"/>
      <c r="D1612" s="63" t="s">
        <v>747</v>
      </c>
      <c r="E1612" s="41"/>
      <c r="F1612" s="41"/>
      <c r="G1612" s="41"/>
      <c r="H1612" s="273"/>
      <c r="I1612" s="331">
        <v>3959288</v>
      </c>
      <c r="J1612" s="350">
        <v>20000000</v>
      </c>
      <c r="K1612" s="351"/>
      <c r="L1612" s="352">
        <v>20000000</v>
      </c>
      <c r="M1612" s="10"/>
      <c r="N1612" s="10"/>
      <c r="O1612"/>
      <c r="P1612"/>
    </row>
    <row r="1613" spans="1:16" s="146" customFormat="1" ht="18.75" thickBot="1" x14ac:dyDescent="0.3">
      <c r="A1613" s="353"/>
      <c r="B1613" s="38"/>
      <c r="C1613" s="38"/>
      <c r="D1613" s="1665" t="s">
        <v>161</v>
      </c>
      <c r="E1613" s="1665"/>
      <c r="F1613" s="1665"/>
      <c r="G1613" s="1665"/>
      <c r="H1613" s="354"/>
      <c r="I1613" s="213">
        <f>SUM(I1611:I1612)</f>
        <v>3959288</v>
      </c>
      <c r="J1613" s="213">
        <f>SUM(J1611:J1612)</f>
        <v>20900000</v>
      </c>
      <c r="K1613" s="213">
        <f>SUM(K1611:K1612)</f>
        <v>0</v>
      </c>
      <c r="L1613" s="213">
        <f>SUM(L1611:L1612)</f>
        <v>20000000</v>
      </c>
      <c r="M1613" s="10"/>
      <c r="N1613" s="10"/>
    </row>
    <row r="1614" spans="1:16" s="146" customFormat="1" ht="13.5" customHeight="1" thickBot="1" x14ac:dyDescent="0.3">
      <c r="A1614" s="254"/>
      <c r="B1614" s="271"/>
      <c r="C1614" s="271"/>
      <c r="D1614" s="355"/>
      <c r="E1614" s="355"/>
      <c r="F1614" s="355"/>
      <c r="G1614" s="355"/>
      <c r="H1614" s="288"/>
      <c r="I1614" s="155"/>
      <c r="J1614" s="156"/>
      <c r="K1614" s="155"/>
      <c r="L1614" s="155"/>
      <c r="M1614" s="10"/>
      <c r="N1614" s="10"/>
      <c r="O1614"/>
      <c r="P1614"/>
    </row>
    <row r="1615" spans="1:16" s="146" customFormat="1" ht="18" x14ac:dyDescent="0.25">
      <c r="A1615" s="254"/>
      <c r="B1615" s="271"/>
      <c r="C1615" s="271"/>
      <c r="D1615" s="36" t="s">
        <v>748</v>
      </c>
      <c r="E1615" s="356"/>
      <c r="F1615" s="356"/>
      <c r="G1615" s="356"/>
      <c r="H1615" s="288"/>
      <c r="I1615" s="155"/>
      <c r="J1615" s="156"/>
      <c r="K1615" s="155"/>
      <c r="L1615" s="155"/>
      <c r="M1615" s="10"/>
      <c r="N1615" s="10"/>
      <c r="O1615"/>
      <c r="P1615"/>
    </row>
    <row r="1616" spans="1:16" s="146" customFormat="1" ht="18" x14ac:dyDescent="0.25">
      <c r="A1616" s="254"/>
      <c r="B1616" s="271"/>
      <c r="C1616" s="271"/>
      <c r="D1616" s="516" t="s">
        <v>749</v>
      </c>
      <c r="E1616" s="356"/>
      <c r="F1616" s="356"/>
      <c r="G1616" s="356"/>
      <c r="H1616" s="271"/>
      <c r="I1616" s="101">
        <v>14998600</v>
      </c>
      <c r="J1616" s="102"/>
      <c r="K1616" s="101"/>
      <c r="L1616" s="101"/>
      <c r="M1616" s="10"/>
      <c r="N1616" s="10"/>
      <c r="O1616"/>
      <c r="P1616"/>
    </row>
    <row r="1617" spans="1:16" s="146" customFormat="1" ht="18" x14ac:dyDescent="0.25">
      <c r="A1617" s="254"/>
      <c r="B1617" s="271"/>
      <c r="C1617" s="271"/>
      <c r="D1617" s="516" t="s">
        <v>750</v>
      </c>
      <c r="E1617" s="356"/>
      <c r="F1617" s="356"/>
      <c r="G1617" s="356"/>
      <c r="H1617" s="271"/>
      <c r="I1617" s="155"/>
      <c r="J1617" s="102"/>
      <c r="K1617" s="101"/>
      <c r="L1617" s="101"/>
      <c r="M1617" s="10"/>
      <c r="N1617" s="10"/>
      <c r="O1617"/>
      <c r="P1617"/>
    </row>
    <row r="1618" spans="1:16" s="146" customFormat="1" ht="18" x14ac:dyDescent="0.25">
      <c r="A1618" s="254"/>
      <c r="B1618" s="271"/>
      <c r="C1618" s="271"/>
      <c r="D1618" s="516" t="s">
        <v>751</v>
      </c>
      <c r="E1618" s="356"/>
      <c r="F1618" s="356"/>
      <c r="G1618" s="356"/>
      <c r="H1618" s="271"/>
      <c r="I1618" s="101">
        <v>6024185.7999999998</v>
      </c>
      <c r="J1618" s="102"/>
      <c r="K1618" s="101"/>
      <c r="L1618" s="101"/>
      <c r="M1618" s="10"/>
      <c r="N1618" s="10"/>
      <c r="O1618"/>
      <c r="P1618"/>
    </row>
    <row r="1619" spans="1:16" s="146" customFormat="1" ht="38.25" customHeight="1" x14ac:dyDescent="0.25">
      <c r="A1619" s="254"/>
      <c r="B1619" s="271"/>
      <c r="C1619" s="271"/>
      <c r="D1619" s="1617" t="s">
        <v>752</v>
      </c>
      <c r="E1619" s="1617"/>
      <c r="F1619" s="356"/>
      <c r="G1619" s="356"/>
      <c r="H1619" s="271"/>
      <c r="I1619" s="101">
        <v>4060246</v>
      </c>
      <c r="J1619" s="102"/>
      <c r="K1619" s="101"/>
      <c r="L1619" s="101"/>
      <c r="M1619" s="10"/>
      <c r="N1619" s="10"/>
      <c r="O1619"/>
      <c r="P1619"/>
    </row>
    <row r="1620" spans="1:16" s="146" customFormat="1" ht="54" customHeight="1" x14ac:dyDescent="0.25">
      <c r="A1620" s="254"/>
      <c r="B1620" s="271"/>
      <c r="C1620" s="271"/>
      <c r="D1620" s="1617" t="s">
        <v>753</v>
      </c>
      <c r="E1620" s="1617"/>
      <c r="F1620" s="356"/>
      <c r="G1620" s="356"/>
      <c r="H1620" s="271"/>
      <c r="I1620" s="101">
        <v>4263663.8499999996</v>
      </c>
      <c r="J1620" s="102"/>
      <c r="K1620" s="101"/>
      <c r="L1620" s="101"/>
      <c r="M1620" s="10"/>
      <c r="N1620" s="10"/>
      <c r="O1620"/>
      <c r="P1620"/>
    </row>
    <row r="1621" spans="1:16" s="146" customFormat="1" ht="18" customHeight="1" x14ac:dyDescent="0.25">
      <c r="A1621" s="254"/>
      <c r="B1621" s="271"/>
      <c r="C1621" s="271"/>
      <c r="D1621" s="516" t="s">
        <v>754</v>
      </c>
      <c r="E1621" s="515"/>
      <c r="F1621" s="356"/>
      <c r="G1621" s="356"/>
      <c r="H1621" s="271"/>
      <c r="I1621" s="101"/>
      <c r="J1621" s="102"/>
      <c r="K1621" s="101"/>
      <c r="L1621" s="101"/>
      <c r="M1621" s="10"/>
      <c r="N1621" s="10"/>
      <c r="O1621"/>
      <c r="P1621"/>
    </row>
    <row r="1622" spans="1:16" s="146" customFormat="1" ht="18.75" thickBot="1" x14ac:dyDescent="0.3">
      <c r="A1622" s="353"/>
      <c r="B1622" s="38"/>
      <c r="C1622" s="38"/>
      <c r="D1622" s="1608" t="s">
        <v>161</v>
      </c>
      <c r="E1622" s="1608"/>
      <c r="F1622" s="1608"/>
      <c r="G1622" s="1608"/>
      <c r="H1622" s="358"/>
      <c r="I1622" s="150">
        <f>SUM(I1616:I1621)</f>
        <v>29346695.649999999</v>
      </c>
      <c r="J1622" s="150">
        <f>SUM(J1616:J1621)</f>
        <v>0</v>
      </c>
      <c r="K1622" s="150">
        <f>SUM(K1615:K1620)</f>
        <v>0</v>
      </c>
      <c r="L1622" s="150">
        <f>SUM(L1616:L1620)</f>
        <v>0</v>
      </c>
      <c r="M1622" s="10"/>
      <c r="N1622" s="10"/>
    </row>
    <row r="1623" spans="1:16" s="146" customFormat="1" ht="18" x14ac:dyDescent="0.25">
      <c r="A1623" s="353"/>
      <c r="B1623" s="38"/>
      <c r="C1623" s="38"/>
      <c r="D1623" s="540"/>
      <c r="E1623" s="540"/>
      <c r="F1623" s="540"/>
      <c r="G1623" s="540"/>
      <c r="H1623" s="38"/>
      <c r="I1623" s="260"/>
      <c r="J1623" s="260"/>
      <c r="K1623" s="260"/>
      <c r="L1623" s="260"/>
      <c r="M1623" s="10"/>
      <c r="N1623" s="10"/>
    </row>
    <row r="1624" spans="1:16" s="146" customFormat="1" ht="18" x14ac:dyDescent="0.25">
      <c r="A1624" s="254"/>
      <c r="B1624" s="271"/>
      <c r="C1624" s="271"/>
      <c r="D1624" s="36" t="s">
        <v>756</v>
      </c>
      <c r="E1624" s="356"/>
      <c r="F1624" s="356"/>
      <c r="G1624" s="356"/>
      <c r="H1624" s="271"/>
      <c r="I1624" s="155"/>
      <c r="J1624" s="156"/>
      <c r="K1624" s="155"/>
      <c r="L1624" s="155"/>
      <c r="M1624" s="10"/>
      <c r="N1624" s="10"/>
      <c r="O1624"/>
      <c r="P1624"/>
    </row>
    <row r="1625" spans="1:16" s="146" customFormat="1" ht="18" x14ac:dyDescent="0.25">
      <c r="A1625" s="254"/>
      <c r="B1625" s="271"/>
      <c r="C1625" s="271"/>
      <c r="D1625" s="206" t="s">
        <v>757</v>
      </c>
      <c r="E1625" s="356"/>
      <c r="F1625" s="356"/>
      <c r="G1625" s="356"/>
      <c r="H1625" s="271"/>
      <c r="I1625" s="340">
        <v>1442000</v>
      </c>
      <c r="J1625" s="102"/>
      <c r="K1625" s="101"/>
      <c r="L1625" s="155"/>
      <c r="M1625" s="10"/>
      <c r="N1625" s="10"/>
      <c r="O1625"/>
      <c r="P1625"/>
    </row>
    <row r="1626" spans="1:16" s="146" customFormat="1" ht="18" x14ac:dyDescent="0.25">
      <c r="A1626" s="254"/>
      <c r="B1626" s="271"/>
      <c r="C1626" s="271"/>
      <c r="D1626" s="206" t="s">
        <v>758</v>
      </c>
      <c r="E1626" s="356"/>
      <c r="F1626" s="356"/>
      <c r="G1626" s="356"/>
      <c r="H1626" s="271"/>
      <c r="I1626" s="340">
        <v>1417830</v>
      </c>
      <c r="J1626" s="102"/>
      <c r="K1626" s="101"/>
      <c r="L1626" s="155"/>
      <c r="M1626" s="10"/>
      <c r="N1626" s="10"/>
      <c r="O1626"/>
      <c r="P1626"/>
    </row>
    <row r="1627" spans="1:16" s="146" customFormat="1" ht="18" x14ac:dyDescent="0.25">
      <c r="A1627" s="254"/>
      <c r="B1627" s="271"/>
      <c r="C1627" s="271"/>
      <c r="D1627" s="206" t="s">
        <v>759</v>
      </c>
      <c r="E1627" s="356"/>
      <c r="F1627" s="356"/>
      <c r="G1627" s="356"/>
      <c r="H1627" s="271"/>
      <c r="I1627" s="340">
        <v>486000</v>
      </c>
      <c r="J1627" s="102"/>
      <c r="K1627" s="101"/>
      <c r="L1627" s="155"/>
      <c r="M1627" s="10"/>
      <c r="N1627" s="10"/>
      <c r="O1627"/>
      <c r="P1627"/>
    </row>
    <row r="1628" spans="1:16" s="146" customFormat="1" ht="18" x14ac:dyDescent="0.25">
      <c r="A1628" s="254"/>
      <c r="B1628" s="271"/>
      <c r="C1628" s="271"/>
      <c r="D1628" s="206" t="s">
        <v>760</v>
      </c>
      <c r="E1628" s="356"/>
      <c r="F1628" s="356"/>
      <c r="G1628" s="356"/>
      <c r="H1628" s="271"/>
      <c r="I1628" s="340">
        <v>1474550</v>
      </c>
      <c r="J1628" s="102"/>
      <c r="K1628" s="101"/>
      <c r="L1628" s="155"/>
      <c r="M1628" s="10"/>
      <c r="N1628" s="10"/>
      <c r="O1628"/>
      <c r="P1628"/>
    </row>
    <row r="1629" spans="1:16" s="146" customFormat="1" ht="38.25" customHeight="1" x14ac:dyDescent="0.25">
      <c r="A1629" s="254"/>
      <c r="B1629" s="271"/>
      <c r="C1629" s="271"/>
      <c r="D1629" s="1617" t="s">
        <v>761</v>
      </c>
      <c r="E1629" s="1617"/>
      <c r="F1629" s="356"/>
      <c r="G1629" s="356"/>
      <c r="H1629" s="271"/>
      <c r="I1629" s="340">
        <v>354111</v>
      </c>
      <c r="J1629" s="102"/>
      <c r="K1629" s="101"/>
      <c r="L1629" s="155"/>
      <c r="M1629" s="10"/>
      <c r="N1629" s="10"/>
      <c r="O1629"/>
      <c r="P1629"/>
    </row>
    <row r="1630" spans="1:16" s="146" customFormat="1" ht="36.75" customHeight="1" x14ac:dyDescent="0.25">
      <c r="A1630" s="254"/>
      <c r="B1630" s="271"/>
      <c r="C1630" s="271"/>
      <c r="D1630" s="1617" t="s">
        <v>762</v>
      </c>
      <c r="E1630" s="1617"/>
      <c r="F1630" s="356"/>
      <c r="G1630" s="356"/>
      <c r="H1630" s="271"/>
      <c r="I1630" s="359">
        <v>35988860</v>
      </c>
      <c r="J1630" s="102"/>
      <c r="K1630" s="101"/>
      <c r="L1630" s="155"/>
      <c r="M1630" s="10"/>
      <c r="N1630" s="10"/>
      <c r="O1630"/>
      <c r="P1630"/>
    </row>
    <row r="1631" spans="1:16" s="146" customFormat="1" ht="57.75" customHeight="1" x14ac:dyDescent="0.25">
      <c r="A1631" s="254"/>
      <c r="B1631" s="271"/>
      <c r="C1631" s="271"/>
      <c r="D1631" s="1628" t="s">
        <v>763</v>
      </c>
      <c r="E1631" s="1628"/>
      <c r="F1631" s="1628"/>
      <c r="G1631" s="356"/>
      <c r="H1631" s="271"/>
      <c r="I1631" s="340">
        <v>800000</v>
      </c>
      <c r="J1631" s="102"/>
      <c r="K1631" s="101"/>
      <c r="L1631" s="155"/>
      <c r="M1631" s="10"/>
      <c r="N1631" s="10"/>
      <c r="O1631"/>
      <c r="P1631"/>
    </row>
    <row r="1632" spans="1:16" s="146" customFormat="1" ht="18" x14ac:dyDescent="0.25">
      <c r="A1632" s="254"/>
      <c r="B1632" s="271"/>
      <c r="C1632" s="271"/>
      <c r="D1632" s="206" t="s">
        <v>764</v>
      </c>
      <c r="E1632" s="356"/>
      <c r="F1632" s="356"/>
      <c r="G1632" s="356"/>
      <c r="H1632" s="271"/>
      <c r="I1632" s="340"/>
      <c r="J1632" s="102"/>
      <c r="K1632" s="101"/>
      <c r="L1632" s="155"/>
      <c r="M1632" s="10"/>
      <c r="N1632" s="10"/>
      <c r="O1632"/>
      <c r="P1632"/>
    </row>
    <row r="1633" spans="1:16" s="146" customFormat="1" ht="18" x14ac:dyDescent="0.25">
      <c r="A1633" s="254"/>
      <c r="B1633" s="271"/>
      <c r="C1633" s="271"/>
      <c r="D1633" s="206" t="s">
        <v>765</v>
      </c>
      <c r="E1633" s="356"/>
      <c r="F1633" s="356"/>
      <c r="G1633" s="356"/>
      <c r="H1633" s="271"/>
      <c r="I1633" s="359">
        <v>16779500</v>
      </c>
      <c r="J1633" s="102"/>
      <c r="K1633" s="101"/>
      <c r="L1633" s="155"/>
      <c r="M1633" s="10"/>
      <c r="N1633" s="10"/>
      <c r="O1633"/>
      <c r="P1633"/>
    </row>
    <row r="1634" spans="1:16" s="146" customFormat="1" ht="18.75" thickBot="1" x14ac:dyDescent="0.3">
      <c r="A1634" s="357"/>
      <c r="B1634" s="358"/>
      <c r="C1634" s="358"/>
      <c r="D1634" s="1660" t="s">
        <v>161</v>
      </c>
      <c r="E1634" s="1660"/>
      <c r="F1634" s="1660"/>
      <c r="G1634" s="1660"/>
      <c r="H1634" s="358"/>
      <c r="I1634" s="364">
        <f>SUM(I1625:I1633)</f>
        <v>58742851</v>
      </c>
      <c r="J1634" s="158">
        <f>SUM(J1625:J1633)</f>
        <v>0</v>
      </c>
      <c r="K1634" s="158">
        <f>SUM(K1625:K1633)</f>
        <v>0</v>
      </c>
      <c r="L1634" s="158">
        <f>SUM(L1625:L1633)</f>
        <v>0</v>
      </c>
      <c r="M1634" s="10"/>
      <c r="N1634" s="10"/>
    </row>
    <row r="1635" spans="1:16" x14ac:dyDescent="0.25">
      <c r="A1635" s="33"/>
      <c r="B1635" s="33"/>
      <c r="C1635" s="33"/>
      <c r="D1635" s="128"/>
      <c r="E1635" s="33"/>
      <c r="F1635" s="33"/>
      <c r="G1635" s="33"/>
      <c r="H1635" s="75"/>
      <c r="I1635" s="141"/>
      <c r="J1635" s="122"/>
      <c r="K1635" s="141"/>
      <c r="L1635" s="141"/>
    </row>
    <row r="1636" spans="1:16" x14ac:dyDescent="0.25">
      <c r="A1636" s="33"/>
      <c r="B1636" s="33"/>
      <c r="C1636" s="33"/>
      <c r="D1636" s="128"/>
      <c r="E1636" s="33"/>
      <c r="F1636" s="33"/>
      <c r="G1636" s="33"/>
      <c r="H1636" s="75"/>
      <c r="I1636" s="141"/>
      <c r="J1636" s="122"/>
      <c r="K1636" s="141"/>
      <c r="L1636" s="141"/>
    </row>
    <row r="1637" spans="1:16" ht="18" customHeight="1" x14ac:dyDescent="0.25">
      <c r="A1637" s="8" t="s">
        <v>112</v>
      </c>
    </row>
    <row r="1638" spans="1:16" ht="18" customHeight="1" x14ac:dyDescent="0.25">
      <c r="A1638" s="8" t="s">
        <v>755</v>
      </c>
    </row>
    <row r="1639" spans="1:16" ht="18" customHeight="1" x14ac:dyDescent="0.25">
      <c r="A1639" s="1636" t="s">
        <v>113</v>
      </c>
      <c r="B1639" s="1636"/>
      <c r="C1639" s="1636"/>
      <c r="D1639" s="1636"/>
      <c r="E1639" s="1636"/>
      <c r="F1639" s="1636"/>
      <c r="G1639" s="1636"/>
      <c r="H1639" s="1636"/>
      <c r="I1639" s="1636"/>
      <c r="J1639" s="1636"/>
      <c r="K1639" s="1636"/>
      <c r="L1639" s="1636"/>
    </row>
    <row r="1640" spans="1:16" s="7" customFormat="1" ht="18" customHeight="1" x14ac:dyDescent="0.25">
      <c r="A1640" s="1624" t="s">
        <v>114</v>
      </c>
      <c r="B1640" s="1624"/>
      <c r="C1640" s="1624"/>
      <c r="D1640" s="1624"/>
      <c r="E1640" s="1624"/>
      <c r="F1640" s="1624"/>
      <c r="G1640" s="1624"/>
      <c r="H1640" s="1624"/>
      <c r="I1640" s="1624"/>
      <c r="J1640" s="1624"/>
      <c r="K1640" s="1624"/>
      <c r="L1640" s="1624"/>
      <c r="M1640" s="6"/>
      <c r="N1640" s="6"/>
    </row>
    <row r="1641" spans="1:16" s="7" customFormat="1" ht="18" customHeight="1" thickBot="1" x14ac:dyDescent="0.3">
      <c r="A1641" s="500"/>
      <c r="B1641" s="500"/>
      <c r="C1641" s="500"/>
      <c r="D1641" s="159"/>
      <c r="E1641" s="500"/>
      <c r="F1641" s="500"/>
      <c r="G1641" s="500"/>
      <c r="H1641" s="500"/>
      <c r="I1641" s="500"/>
      <c r="J1641" s="500"/>
      <c r="K1641" s="196"/>
      <c r="L1641" s="500"/>
      <c r="M1641" s="6"/>
      <c r="N1641" s="6"/>
    </row>
    <row r="1642" spans="1:16" s="146" customFormat="1" ht="64.5" customHeight="1" thickBot="1" x14ac:dyDescent="0.3">
      <c r="A1642" s="1625" t="s">
        <v>115</v>
      </c>
      <c r="B1642" s="1626"/>
      <c r="C1642" s="1626"/>
      <c r="D1642" s="1626"/>
      <c r="E1642" s="1626"/>
      <c r="F1642" s="1626"/>
      <c r="G1642" s="1627"/>
      <c r="H1642" s="501" t="s">
        <v>116</v>
      </c>
      <c r="I1642" s="130" t="s">
        <v>117</v>
      </c>
      <c r="J1642" s="130" t="s">
        <v>118</v>
      </c>
      <c r="K1642" s="130" t="s">
        <v>119</v>
      </c>
      <c r="L1642" s="130" t="s">
        <v>120</v>
      </c>
      <c r="M1642" s="10"/>
      <c r="N1642" s="10"/>
      <c r="O1642"/>
      <c r="P1642"/>
    </row>
    <row r="1643" spans="1:16" s="146" customFormat="1" ht="18" x14ac:dyDescent="0.25">
      <c r="A1643" s="254"/>
      <c r="B1643" s="271"/>
      <c r="C1643" s="271"/>
      <c r="D1643" s="36" t="s">
        <v>756</v>
      </c>
      <c r="E1643" s="356"/>
      <c r="F1643" s="356"/>
      <c r="G1643" s="356"/>
      <c r="H1643" s="271"/>
      <c r="I1643" s="155"/>
      <c r="J1643" s="156"/>
      <c r="K1643" s="155"/>
      <c r="L1643" s="155"/>
      <c r="M1643" s="10"/>
      <c r="N1643" s="10"/>
      <c r="O1643"/>
      <c r="P1643"/>
    </row>
    <row r="1644" spans="1:16" s="146" customFormat="1" ht="18" x14ac:dyDescent="0.25">
      <c r="A1644" s="254"/>
      <c r="B1644" s="271"/>
      <c r="C1644" s="271"/>
      <c r="D1644" s="361" t="s">
        <v>766</v>
      </c>
      <c r="E1644" s="362"/>
      <c r="F1644" s="362"/>
      <c r="G1644" s="362"/>
      <c r="H1644" s="271"/>
      <c r="I1644" s="101"/>
      <c r="J1644" s="102"/>
      <c r="K1644" s="101"/>
      <c r="L1644" s="101"/>
      <c r="M1644" s="10"/>
      <c r="N1644" s="10"/>
      <c r="O1644"/>
      <c r="P1644"/>
    </row>
    <row r="1645" spans="1:16" s="146" customFormat="1" ht="39" customHeight="1" x14ac:dyDescent="0.25">
      <c r="A1645" s="254"/>
      <c r="B1645" s="271"/>
      <c r="C1645" s="271"/>
      <c r="D1645" s="1628" t="s">
        <v>767</v>
      </c>
      <c r="E1645" s="1628"/>
      <c r="F1645" s="1628"/>
      <c r="G1645" s="1628"/>
      <c r="H1645" s="271"/>
      <c r="I1645" s="101">
        <v>3985501</v>
      </c>
      <c r="J1645" s="102">
        <v>3000000</v>
      </c>
      <c r="K1645" s="101"/>
      <c r="L1645" s="101"/>
      <c r="M1645" s="10"/>
      <c r="N1645" s="10"/>
      <c r="O1645"/>
      <c r="P1645"/>
    </row>
    <row r="1646" spans="1:16" s="146" customFormat="1" ht="65.25" customHeight="1" x14ac:dyDescent="0.25">
      <c r="A1646" s="254"/>
      <c r="B1646" s="271"/>
      <c r="C1646" s="271"/>
      <c r="D1646" s="1628" t="s">
        <v>768</v>
      </c>
      <c r="E1646" s="1628"/>
      <c r="F1646" s="1628"/>
      <c r="G1646" s="1628"/>
      <c r="H1646" s="271"/>
      <c r="I1646" s="101">
        <v>1045110</v>
      </c>
      <c r="J1646" s="102"/>
      <c r="K1646" s="101"/>
      <c r="L1646" s="101"/>
      <c r="M1646" s="10"/>
      <c r="N1646" s="10"/>
      <c r="O1646"/>
      <c r="P1646"/>
    </row>
    <row r="1647" spans="1:16" s="146" customFormat="1" ht="45.75" customHeight="1" x14ac:dyDescent="0.25">
      <c r="A1647" s="254"/>
      <c r="B1647" s="271"/>
      <c r="C1647" s="271"/>
      <c r="D1647" s="1628" t="s">
        <v>769</v>
      </c>
      <c r="E1647" s="1628"/>
      <c r="F1647" s="180"/>
      <c r="G1647" s="180"/>
      <c r="H1647" s="271"/>
      <c r="I1647" s="101">
        <v>501895</v>
      </c>
      <c r="J1647" s="102"/>
      <c r="K1647" s="101"/>
      <c r="L1647" s="101"/>
      <c r="M1647" s="10"/>
      <c r="N1647" s="10"/>
      <c r="O1647"/>
      <c r="P1647"/>
    </row>
    <row r="1648" spans="1:16" s="146" customFormat="1" ht="24.75" customHeight="1" x14ac:dyDescent="0.25">
      <c r="A1648" s="254"/>
      <c r="B1648" s="271"/>
      <c r="C1648" s="271"/>
      <c r="D1648" s="516" t="s">
        <v>770</v>
      </c>
      <c r="E1648" s="363"/>
      <c r="F1648" s="363"/>
      <c r="G1648" s="363"/>
      <c r="H1648" s="271"/>
      <c r="I1648" s="101"/>
      <c r="J1648" s="102"/>
      <c r="K1648" s="101"/>
      <c r="L1648" s="101"/>
      <c r="M1648" s="10"/>
      <c r="N1648" s="10"/>
      <c r="O1648"/>
      <c r="P1648"/>
    </row>
    <row r="1649" spans="1:16" s="146" customFormat="1" ht="18" x14ac:dyDescent="0.25">
      <c r="A1649" s="254"/>
      <c r="B1649" s="271"/>
      <c r="C1649" s="271"/>
      <c r="D1649" s="516" t="s">
        <v>771</v>
      </c>
      <c r="E1649" s="363"/>
      <c r="F1649" s="363"/>
      <c r="G1649" s="363"/>
      <c r="H1649" s="271"/>
      <c r="I1649" s="101">
        <v>58830</v>
      </c>
      <c r="J1649" s="102"/>
      <c r="K1649" s="101"/>
      <c r="L1649" s="101"/>
      <c r="M1649" s="10"/>
      <c r="N1649" s="10"/>
      <c r="O1649"/>
      <c r="P1649"/>
    </row>
    <row r="1650" spans="1:16" s="146" customFormat="1" ht="18" x14ac:dyDescent="0.25">
      <c r="A1650" s="254"/>
      <c r="B1650" s="271"/>
      <c r="C1650" s="271"/>
      <c r="D1650" s="516" t="s">
        <v>772</v>
      </c>
      <c r="E1650" s="363"/>
      <c r="F1650" s="363"/>
      <c r="G1650" s="363"/>
      <c r="H1650" s="271"/>
      <c r="I1650" s="101">
        <v>46500</v>
      </c>
      <c r="J1650" s="102"/>
      <c r="K1650" s="101"/>
      <c r="L1650" s="101"/>
      <c r="M1650" s="10"/>
      <c r="N1650" s="10"/>
      <c r="O1650"/>
      <c r="P1650"/>
    </row>
    <row r="1651" spans="1:16" s="146" customFormat="1" ht="18" x14ac:dyDescent="0.25">
      <c r="A1651" s="254"/>
      <c r="B1651" s="271"/>
      <c r="C1651" s="271"/>
      <c r="D1651" s="516" t="s">
        <v>773</v>
      </c>
      <c r="E1651" s="363"/>
      <c r="F1651" s="363"/>
      <c r="G1651" s="363"/>
      <c r="H1651" s="271"/>
      <c r="I1651" s="101"/>
      <c r="J1651" s="102"/>
      <c r="K1651" s="101"/>
      <c r="L1651" s="101"/>
      <c r="M1651" s="10"/>
      <c r="N1651" s="10"/>
      <c r="O1651"/>
      <c r="P1651"/>
    </row>
    <row r="1652" spans="1:16" s="146" customFormat="1" ht="53.25" customHeight="1" x14ac:dyDescent="0.25">
      <c r="A1652" s="254"/>
      <c r="B1652" s="271"/>
      <c r="C1652" s="271"/>
      <c r="D1652" s="1617" t="s">
        <v>774</v>
      </c>
      <c r="E1652" s="1617"/>
      <c r="F1652" s="1617"/>
      <c r="G1652" s="1617"/>
      <c r="H1652" s="271"/>
      <c r="I1652" s="101">
        <v>820096</v>
      </c>
      <c r="J1652" s="102"/>
      <c r="K1652" s="101"/>
      <c r="L1652" s="101"/>
      <c r="M1652" s="10"/>
      <c r="N1652" s="10"/>
      <c r="O1652"/>
      <c r="P1652"/>
    </row>
    <row r="1653" spans="1:16" s="146" customFormat="1" ht="18" x14ac:dyDescent="0.25">
      <c r="A1653" s="254"/>
      <c r="B1653" s="271"/>
      <c r="C1653" s="271"/>
      <c r="D1653" s="516" t="s">
        <v>775</v>
      </c>
      <c r="E1653" s="363"/>
      <c r="F1653" s="363"/>
      <c r="G1653" s="363"/>
      <c r="H1653" s="271"/>
      <c r="I1653" s="101">
        <v>225000</v>
      </c>
      <c r="J1653" s="102"/>
      <c r="K1653" s="101"/>
      <c r="L1653" s="101"/>
      <c r="M1653" s="10"/>
      <c r="N1653" s="10"/>
      <c r="O1653"/>
      <c r="P1653"/>
    </row>
    <row r="1654" spans="1:16" s="146" customFormat="1" ht="18" x14ac:dyDescent="0.25">
      <c r="A1654" s="254"/>
      <c r="B1654" s="271"/>
      <c r="C1654" s="271"/>
      <c r="D1654" s="516" t="s">
        <v>757</v>
      </c>
      <c r="E1654" s="363"/>
      <c r="F1654" s="363"/>
      <c r="G1654" s="363"/>
      <c r="H1654" s="271"/>
      <c r="I1654" s="101"/>
      <c r="J1654" s="102">
        <v>1500000</v>
      </c>
      <c r="K1654" s="101"/>
      <c r="L1654" s="101"/>
      <c r="M1654" s="10"/>
      <c r="N1654" s="10"/>
      <c r="O1654"/>
      <c r="P1654"/>
    </row>
    <row r="1655" spans="1:16" s="146" customFormat="1" ht="18" x14ac:dyDescent="0.25">
      <c r="A1655" s="254"/>
      <c r="B1655" s="271"/>
      <c r="C1655" s="271"/>
      <c r="D1655" s="516" t="s">
        <v>776</v>
      </c>
      <c r="E1655" s="363"/>
      <c r="F1655" s="363"/>
      <c r="G1655" s="363"/>
      <c r="H1655" s="271"/>
      <c r="I1655" s="101"/>
      <c r="J1655" s="102">
        <v>3916826</v>
      </c>
      <c r="K1655" s="101">
        <v>3912250</v>
      </c>
      <c r="L1655" s="101"/>
      <c r="M1655" s="10"/>
      <c r="N1655" s="10"/>
      <c r="O1655"/>
      <c r="P1655"/>
    </row>
    <row r="1656" spans="1:16" s="146" customFormat="1" ht="18.75" thickBot="1" x14ac:dyDescent="0.3">
      <c r="A1656" s="353"/>
      <c r="B1656" s="38"/>
      <c r="C1656" s="38"/>
      <c r="D1656" s="1608" t="s">
        <v>161</v>
      </c>
      <c r="E1656" s="1608"/>
      <c r="F1656" s="1608"/>
      <c r="G1656" s="1608"/>
      <c r="H1656" s="358"/>
      <c r="I1656" s="364">
        <f>SUM(I1645:I1653)</f>
        <v>6682932</v>
      </c>
      <c r="J1656" s="158">
        <f>SUM(J1645:J1655)</f>
        <v>8416826</v>
      </c>
      <c r="K1656" s="158">
        <f>SUM(K1645:K1655)</f>
        <v>3912250</v>
      </c>
      <c r="L1656" s="158">
        <f>SUM(L1645:L1653)</f>
        <v>0</v>
      </c>
      <c r="M1656" s="10"/>
      <c r="N1656" s="10"/>
    </row>
    <row r="1657" spans="1:16" s="146" customFormat="1" ht="18" x14ac:dyDescent="0.25">
      <c r="A1657" s="353"/>
      <c r="B1657" s="38"/>
      <c r="C1657" s="38"/>
      <c r="D1657" s="365"/>
      <c r="E1657" s="365"/>
      <c r="F1657" s="365"/>
      <c r="G1657" s="365"/>
      <c r="H1657" s="38"/>
      <c r="I1657" s="210"/>
      <c r="J1657" s="210"/>
      <c r="K1657" s="210"/>
      <c r="L1657" s="233"/>
      <c r="M1657" s="10"/>
      <c r="N1657" s="10"/>
    </row>
    <row r="1658" spans="1:16" s="146" customFormat="1" ht="18" x14ac:dyDescent="0.25">
      <c r="A1658" s="527"/>
      <c r="B1658" s="513"/>
      <c r="C1658" s="513"/>
      <c r="D1658" s="513"/>
      <c r="E1658" s="543"/>
      <c r="F1658" s="543"/>
      <c r="G1658" s="521"/>
      <c r="H1658" s="366"/>
      <c r="I1658" s="360"/>
      <c r="J1658" s="156"/>
      <c r="K1658" s="156"/>
      <c r="L1658" s="247"/>
      <c r="M1658" s="10"/>
      <c r="N1658" s="10"/>
    </row>
    <row r="1659" spans="1:16" s="146" customFormat="1" ht="18" x14ac:dyDescent="0.25">
      <c r="A1659" s="327" t="s">
        <v>777</v>
      </c>
      <c r="B1659" s="369"/>
      <c r="C1659" s="369"/>
      <c r="D1659" s="513"/>
      <c r="E1659" s="543"/>
      <c r="F1659" s="543"/>
      <c r="G1659" s="521"/>
      <c r="H1659" s="366"/>
      <c r="I1659" s="360"/>
      <c r="J1659" s="156"/>
      <c r="K1659" s="156"/>
      <c r="L1659" s="247"/>
      <c r="M1659" s="10"/>
      <c r="N1659" s="10"/>
    </row>
    <row r="1660" spans="1:16" s="146" customFormat="1" ht="18" x14ac:dyDescent="0.25">
      <c r="A1660" s="527"/>
      <c r="B1660" s="513"/>
      <c r="C1660" s="513"/>
      <c r="D1660" s="528" t="s">
        <v>778</v>
      </c>
      <c r="E1660" s="528"/>
      <c r="F1660" s="543"/>
      <c r="G1660" s="521"/>
      <c r="H1660" s="366"/>
      <c r="I1660" s="367">
        <v>234000</v>
      </c>
      <c r="J1660" s="156"/>
      <c r="K1660" s="156"/>
      <c r="L1660" s="247"/>
      <c r="M1660" s="10"/>
      <c r="N1660" s="10"/>
    </row>
    <row r="1661" spans="1:16" s="146" customFormat="1" ht="18" x14ac:dyDescent="0.25">
      <c r="A1661" s="527"/>
      <c r="B1661" s="513"/>
      <c r="C1661" s="513"/>
      <c r="D1661" s="528" t="s">
        <v>779</v>
      </c>
      <c r="E1661" s="528"/>
      <c r="F1661" s="543"/>
      <c r="G1661" s="521"/>
      <c r="H1661" s="366"/>
      <c r="I1661" s="367">
        <v>6156222.75</v>
      </c>
      <c r="J1661" s="156"/>
      <c r="K1661" s="156"/>
      <c r="L1661" s="247"/>
      <c r="M1661" s="10"/>
      <c r="N1661" s="10"/>
    </row>
    <row r="1662" spans="1:16" s="146" customFormat="1" ht="18" x14ac:dyDescent="0.25">
      <c r="A1662" s="527"/>
      <c r="B1662" s="513"/>
      <c r="C1662" s="513"/>
      <c r="D1662" s="528" t="s">
        <v>780</v>
      </c>
      <c r="E1662" s="528"/>
      <c r="F1662" s="543"/>
      <c r="G1662" s="521"/>
      <c r="H1662" s="366"/>
      <c r="I1662" s="367">
        <v>2477975</v>
      </c>
      <c r="J1662" s="156"/>
      <c r="K1662" s="156"/>
      <c r="L1662" s="247"/>
      <c r="M1662" s="10"/>
      <c r="N1662" s="10"/>
    </row>
    <row r="1663" spans="1:16" s="146" customFormat="1" ht="18" x14ac:dyDescent="0.25">
      <c r="A1663" s="527"/>
      <c r="B1663" s="513"/>
      <c r="C1663" s="513"/>
      <c r="D1663" s="528" t="s">
        <v>781</v>
      </c>
      <c r="E1663" s="528"/>
      <c r="F1663" s="543"/>
      <c r="G1663" s="521"/>
      <c r="H1663" s="366"/>
      <c r="I1663" s="367">
        <v>1049036</v>
      </c>
      <c r="J1663" s="156"/>
      <c r="K1663" s="156"/>
      <c r="L1663" s="247"/>
      <c r="M1663" s="10"/>
      <c r="N1663" s="10"/>
    </row>
    <row r="1664" spans="1:16" s="146" customFormat="1" ht="18" x14ac:dyDescent="0.25">
      <c r="A1664" s="527"/>
      <c r="B1664" s="513"/>
      <c r="C1664" s="513"/>
      <c r="D1664" s="528" t="s">
        <v>782</v>
      </c>
      <c r="E1664" s="528"/>
      <c r="F1664" s="543"/>
      <c r="G1664" s="521"/>
      <c r="H1664" s="366"/>
      <c r="I1664" s="368">
        <v>1870498</v>
      </c>
      <c r="J1664" s="110"/>
      <c r="K1664" s="110"/>
      <c r="L1664" s="572"/>
      <c r="M1664" s="10"/>
      <c r="N1664" s="10"/>
    </row>
    <row r="1665" spans="1:16" s="146" customFormat="1" ht="18" x14ac:dyDescent="0.25">
      <c r="A1665" s="527"/>
      <c r="B1665" s="513"/>
      <c r="C1665" s="513"/>
      <c r="D1665" s="369" t="s">
        <v>783</v>
      </c>
      <c r="E1665" s="543"/>
      <c r="F1665" s="543"/>
      <c r="G1665" s="521"/>
      <c r="H1665" s="366"/>
      <c r="I1665" s="316">
        <f>SUM(I1660:I1664)</f>
        <v>11787731.75</v>
      </c>
      <c r="J1665" s="150"/>
      <c r="K1665" s="150"/>
      <c r="L1665" s="278"/>
      <c r="M1665" s="10"/>
      <c r="N1665" s="10"/>
    </row>
    <row r="1666" spans="1:16" s="146" customFormat="1" ht="18" x14ac:dyDescent="0.25">
      <c r="A1666" s="519"/>
      <c r="B1666" s="499"/>
      <c r="C1666" s="499"/>
      <c r="D1666" s="369"/>
      <c r="E1666" s="496"/>
      <c r="F1666" s="496"/>
      <c r="G1666" s="496"/>
      <c r="H1666" s="322"/>
      <c r="I1666" s="189"/>
      <c r="J1666" s="156"/>
      <c r="K1666" s="155"/>
      <c r="L1666" s="370"/>
      <c r="M1666" s="10"/>
      <c r="N1666" s="10"/>
      <c r="O1666"/>
      <c r="P1666"/>
    </row>
    <row r="1667" spans="1:16" ht="18.75" thickBot="1" x14ac:dyDescent="0.3">
      <c r="A1667" s="371"/>
      <c r="B1667" s="374"/>
      <c r="C1667" s="374"/>
      <c r="D1667" s="372"/>
      <c r="E1667" s="373"/>
      <c r="F1667" s="373"/>
      <c r="G1667" s="373"/>
      <c r="H1667" s="374"/>
      <c r="I1667" s="219"/>
      <c r="J1667" s="220"/>
      <c r="K1667" s="219"/>
      <c r="L1667" s="257"/>
    </row>
    <row r="1668" spans="1:16" ht="18" x14ac:dyDescent="0.25">
      <c r="A1668" s="271"/>
      <c r="B1668" s="271"/>
      <c r="C1668" s="271"/>
      <c r="D1668" s="365"/>
      <c r="E1668" s="363"/>
      <c r="F1668" s="363"/>
      <c r="G1668" s="363"/>
      <c r="H1668" s="271"/>
      <c r="I1668" s="141"/>
      <c r="J1668" s="122"/>
      <c r="K1668" s="141"/>
      <c r="L1668" s="141"/>
    </row>
    <row r="1669" spans="1:16" ht="18" x14ac:dyDescent="0.25">
      <c r="A1669" s="271"/>
      <c r="B1669" s="271"/>
      <c r="C1669" s="271"/>
      <c r="D1669" s="365"/>
      <c r="E1669" s="363"/>
      <c r="F1669" s="363"/>
      <c r="G1669" s="363"/>
      <c r="H1669" s="271"/>
      <c r="I1669" s="141"/>
      <c r="J1669" s="122"/>
      <c r="K1669" s="141"/>
      <c r="L1669" s="141"/>
    </row>
    <row r="1670" spans="1:16" ht="18" x14ac:dyDescent="0.25">
      <c r="A1670" s="271"/>
      <c r="B1670" s="271"/>
      <c r="C1670" s="271"/>
      <c r="D1670" s="365"/>
      <c r="E1670" s="363"/>
      <c r="F1670" s="363"/>
      <c r="G1670" s="363"/>
      <c r="H1670" s="271"/>
      <c r="I1670" s="141"/>
      <c r="J1670" s="122"/>
      <c r="K1670" s="141"/>
      <c r="L1670" s="141"/>
    </row>
    <row r="1671" spans="1:16" ht="18" x14ac:dyDescent="0.25">
      <c r="A1671" s="271"/>
      <c r="B1671" s="271"/>
      <c r="C1671" s="271"/>
      <c r="D1671" s="365"/>
      <c r="E1671" s="363"/>
      <c r="F1671" s="363"/>
      <c r="G1671" s="363"/>
      <c r="H1671" s="271"/>
      <c r="I1671" s="141"/>
      <c r="J1671" s="122"/>
      <c r="K1671" s="141"/>
      <c r="L1671" s="141"/>
    </row>
    <row r="1672" spans="1:16" ht="18" x14ac:dyDescent="0.25">
      <c r="A1672" s="271"/>
      <c r="B1672" s="271"/>
      <c r="C1672" s="271"/>
      <c r="D1672" s="365"/>
      <c r="E1672" s="363"/>
      <c r="F1672" s="363"/>
      <c r="G1672" s="363"/>
      <c r="H1672" s="271"/>
      <c r="I1672" s="141"/>
      <c r="J1672" s="122"/>
      <c r="K1672" s="141"/>
      <c r="L1672" s="141"/>
    </row>
    <row r="1673" spans="1:16" ht="18" x14ac:dyDescent="0.25">
      <c r="A1673" s="271"/>
      <c r="B1673" s="271"/>
      <c r="C1673" s="271"/>
      <c r="D1673" s="365"/>
      <c r="E1673" s="363"/>
      <c r="F1673" s="363"/>
      <c r="G1673" s="363"/>
      <c r="H1673" s="271"/>
      <c r="I1673" s="141"/>
      <c r="J1673" s="122"/>
      <c r="K1673" s="141"/>
      <c r="L1673" s="141"/>
    </row>
    <row r="1674" spans="1:16" ht="18" x14ac:dyDescent="0.25">
      <c r="A1674" s="271"/>
      <c r="B1674" s="271"/>
      <c r="C1674" s="271"/>
      <c r="D1674" s="365"/>
      <c r="E1674" s="363"/>
      <c r="F1674" s="363"/>
      <c r="G1674" s="363"/>
      <c r="H1674" s="271"/>
      <c r="I1674" s="141"/>
      <c r="J1674" s="122"/>
      <c r="K1674" s="141"/>
      <c r="L1674" s="141"/>
    </row>
    <row r="1675" spans="1:16" ht="18" x14ac:dyDescent="0.25">
      <c r="A1675" s="271"/>
      <c r="B1675" s="271"/>
      <c r="C1675" s="271"/>
      <c r="D1675" s="365"/>
      <c r="E1675" s="363"/>
      <c r="F1675" s="363"/>
      <c r="G1675" s="363"/>
      <c r="H1675" s="271"/>
      <c r="I1675" s="141"/>
      <c r="J1675" s="122"/>
      <c r="K1675" s="141"/>
      <c r="L1675" s="141"/>
    </row>
    <row r="1676" spans="1:16" ht="18" x14ac:dyDescent="0.25">
      <c r="A1676" s="271"/>
      <c r="B1676" s="271"/>
      <c r="C1676" s="271"/>
      <c r="D1676" s="365"/>
      <c r="E1676" s="363"/>
      <c r="F1676" s="363"/>
      <c r="G1676" s="363"/>
      <c r="H1676" s="271"/>
      <c r="I1676" s="141"/>
      <c r="J1676" s="122"/>
      <c r="K1676" s="141"/>
      <c r="L1676" s="141"/>
    </row>
    <row r="1677" spans="1:16" ht="18" x14ac:dyDescent="0.25">
      <c r="A1677" s="271"/>
      <c r="B1677" s="271"/>
      <c r="C1677" s="271"/>
      <c r="D1677" s="365"/>
      <c r="E1677" s="363"/>
      <c r="F1677" s="363"/>
      <c r="G1677" s="363"/>
      <c r="H1677" s="271"/>
      <c r="I1677" s="141"/>
      <c r="J1677" s="122"/>
      <c r="K1677" s="141"/>
      <c r="L1677" s="141"/>
    </row>
    <row r="1678" spans="1:16" ht="18" x14ac:dyDescent="0.25">
      <c r="A1678" s="271"/>
      <c r="B1678" s="271"/>
      <c r="C1678" s="271"/>
      <c r="D1678" s="365"/>
      <c r="E1678" s="363"/>
      <c r="F1678" s="363"/>
      <c r="G1678" s="363"/>
      <c r="H1678" s="271"/>
      <c r="I1678" s="141"/>
      <c r="J1678" s="122"/>
      <c r="K1678" s="141"/>
      <c r="L1678" s="141"/>
    </row>
    <row r="1679" spans="1:16" ht="18" x14ac:dyDescent="0.25">
      <c r="A1679" s="271"/>
      <c r="B1679" s="271"/>
      <c r="C1679" s="271"/>
      <c r="D1679" s="365"/>
      <c r="E1679" s="363"/>
      <c r="F1679" s="363"/>
      <c r="G1679" s="363"/>
      <c r="H1679" s="271"/>
      <c r="I1679" s="141"/>
      <c r="J1679" s="122"/>
      <c r="K1679" s="141"/>
      <c r="L1679" s="141"/>
    </row>
    <row r="1680" spans="1:16" ht="18" x14ac:dyDescent="0.25">
      <c r="A1680" s="271"/>
      <c r="B1680" s="271"/>
      <c r="C1680" s="271"/>
      <c r="D1680" s="365"/>
      <c r="E1680" s="363"/>
      <c r="F1680" s="363"/>
      <c r="G1680" s="363"/>
      <c r="H1680" s="271"/>
      <c r="I1680" s="141"/>
      <c r="J1680" s="122"/>
      <c r="K1680" s="141"/>
      <c r="L1680" s="141"/>
    </row>
    <row r="1681" spans="1:16" ht="18" x14ac:dyDescent="0.25">
      <c r="A1681" s="271"/>
      <c r="B1681" s="271"/>
      <c r="C1681" s="271"/>
      <c r="D1681" s="365"/>
      <c r="E1681" s="363"/>
      <c r="F1681" s="363"/>
      <c r="G1681" s="363"/>
      <c r="H1681" s="271"/>
      <c r="I1681" s="141"/>
      <c r="J1681" s="122"/>
      <c r="K1681" s="141"/>
      <c r="L1681" s="141"/>
    </row>
    <row r="1682" spans="1:16" s="10" customFormat="1" ht="18" x14ac:dyDescent="0.25">
      <c r="A1682" s="271"/>
      <c r="B1682" s="271"/>
      <c r="C1682" s="271"/>
      <c r="D1682" s="365"/>
      <c r="E1682" s="363"/>
      <c r="F1682" s="363"/>
      <c r="G1682" s="363"/>
      <c r="H1682" s="271"/>
      <c r="I1682" s="141"/>
      <c r="J1682" s="122"/>
      <c r="K1682" s="141"/>
      <c r="L1682" s="141"/>
      <c r="O1682"/>
      <c r="P1682"/>
    </row>
    <row r="1683" spans="1:16" s="10" customFormat="1" ht="18" x14ac:dyDescent="0.25">
      <c r="A1683" s="271"/>
      <c r="B1683" s="271"/>
      <c r="C1683" s="271"/>
      <c r="D1683" s="365"/>
      <c r="E1683" s="363"/>
      <c r="F1683" s="363"/>
      <c r="G1683" s="363"/>
      <c r="H1683" s="271"/>
      <c r="I1683" s="141"/>
      <c r="J1683" s="122"/>
      <c r="K1683" s="141"/>
      <c r="L1683" s="141"/>
      <c r="O1683"/>
      <c r="P1683"/>
    </row>
    <row r="1684" spans="1:16" s="10" customFormat="1" ht="18" x14ac:dyDescent="0.25">
      <c r="A1684" s="271"/>
      <c r="B1684" s="271"/>
      <c r="C1684" s="271"/>
      <c r="D1684" s="365"/>
      <c r="E1684" s="363"/>
      <c r="F1684" s="363"/>
      <c r="G1684" s="363"/>
      <c r="H1684" s="271"/>
      <c r="I1684" s="141"/>
      <c r="J1684" s="122"/>
      <c r="K1684" s="141"/>
      <c r="L1684" s="141"/>
      <c r="O1684"/>
      <c r="P1684"/>
    </row>
    <row r="1685" spans="1:16" s="10" customFormat="1" ht="18" x14ac:dyDescent="0.25">
      <c r="A1685" s="271"/>
      <c r="B1685" s="271"/>
      <c r="C1685" s="271"/>
      <c r="D1685" s="365"/>
      <c r="E1685" s="363"/>
      <c r="F1685" s="363"/>
      <c r="G1685" s="363"/>
      <c r="H1685" s="271"/>
      <c r="I1685" s="141"/>
      <c r="J1685" s="122"/>
      <c r="K1685" s="141"/>
      <c r="L1685" s="141"/>
      <c r="O1685"/>
      <c r="P1685"/>
    </row>
    <row r="1686" spans="1:16" s="10" customFormat="1" ht="18" x14ac:dyDescent="0.25">
      <c r="A1686" s="271"/>
      <c r="B1686" s="271"/>
      <c r="C1686" s="271"/>
      <c r="D1686" s="365"/>
      <c r="E1686" s="363"/>
      <c r="F1686" s="363"/>
      <c r="G1686" s="363"/>
      <c r="H1686" s="271"/>
      <c r="I1686" s="141"/>
      <c r="J1686" s="122"/>
      <c r="K1686" s="141"/>
      <c r="L1686" s="141"/>
      <c r="O1686"/>
      <c r="P1686"/>
    </row>
    <row r="1687" spans="1:16" s="10" customFormat="1" ht="18" x14ac:dyDescent="0.25">
      <c r="A1687" s="271"/>
      <c r="B1687" s="271"/>
      <c r="C1687" s="271"/>
      <c r="D1687" s="365"/>
      <c r="E1687" s="363"/>
      <c r="F1687" s="363"/>
      <c r="G1687" s="363"/>
      <c r="H1687" s="271"/>
      <c r="I1687" s="141"/>
      <c r="J1687" s="122"/>
      <c r="K1687" s="141"/>
      <c r="L1687" s="141"/>
      <c r="O1687"/>
      <c r="P1687"/>
    </row>
    <row r="1688" spans="1:16" s="10" customFormat="1" ht="18" x14ac:dyDescent="0.25">
      <c r="A1688" s="271"/>
      <c r="B1688" s="271"/>
      <c r="C1688" s="271"/>
      <c r="D1688" s="365"/>
      <c r="E1688" s="363"/>
      <c r="F1688" s="363"/>
      <c r="G1688" s="363"/>
      <c r="H1688" s="271"/>
      <c r="I1688" s="141"/>
      <c r="J1688" s="122"/>
      <c r="K1688" s="141"/>
      <c r="L1688" s="141"/>
      <c r="O1688"/>
      <c r="P1688"/>
    </row>
    <row r="1689" spans="1:16" s="10" customFormat="1" ht="18" x14ac:dyDescent="0.25">
      <c r="A1689" s="271"/>
      <c r="B1689" s="271"/>
      <c r="C1689" s="271"/>
      <c r="D1689" s="365"/>
      <c r="E1689" s="363"/>
      <c r="F1689" s="363"/>
      <c r="G1689" s="363"/>
      <c r="H1689" s="271"/>
      <c r="I1689" s="141"/>
      <c r="J1689" s="122"/>
      <c r="K1689" s="141"/>
      <c r="L1689" s="141"/>
      <c r="O1689"/>
      <c r="P1689"/>
    </row>
    <row r="1690" spans="1:16" s="10" customFormat="1" ht="18" x14ac:dyDescent="0.25">
      <c r="A1690" s="271"/>
      <c r="B1690" s="271"/>
      <c r="C1690" s="271"/>
      <c r="D1690" s="365"/>
      <c r="E1690" s="363"/>
      <c r="F1690" s="363"/>
      <c r="G1690" s="363"/>
      <c r="H1690" s="271"/>
      <c r="I1690" s="141"/>
      <c r="J1690" s="122"/>
      <c r="K1690" s="141"/>
      <c r="L1690" s="141"/>
      <c r="O1690"/>
      <c r="P1690"/>
    </row>
    <row r="1691" spans="1:16" s="10" customFormat="1" ht="18" x14ac:dyDescent="0.25">
      <c r="A1691" s="271"/>
      <c r="B1691" s="271"/>
      <c r="C1691" s="271"/>
      <c r="D1691" s="365"/>
      <c r="E1691" s="363"/>
      <c r="F1691" s="363"/>
      <c r="G1691" s="363"/>
      <c r="H1691" s="271"/>
      <c r="I1691" s="141"/>
      <c r="J1691" s="122"/>
      <c r="K1691" s="141"/>
      <c r="L1691" s="141"/>
      <c r="O1691"/>
      <c r="P1691"/>
    </row>
    <row r="1692" spans="1:16" s="10" customFormat="1" ht="18" x14ac:dyDescent="0.25">
      <c r="A1692" s="271"/>
      <c r="B1692" s="271"/>
      <c r="C1692" s="271"/>
      <c r="D1692" s="365"/>
      <c r="E1692" s="363"/>
      <c r="F1692" s="363"/>
      <c r="G1692" s="363"/>
      <c r="H1692" s="271"/>
      <c r="I1692" s="141"/>
      <c r="J1692" s="122"/>
      <c r="K1692" s="141"/>
      <c r="L1692" s="141"/>
      <c r="O1692"/>
      <c r="P1692"/>
    </row>
    <row r="1693" spans="1:16" s="10" customFormat="1" ht="18" x14ac:dyDescent="0.25">
      <c r="A1693" s="271"/>
      <c r="B1693" s="271"/>
      <c r="C1693" s="271"/>
      <c r="D1693" s="365"/>
      <c r="E1693" s="363"/>
      <c r="F1693" s="363"/>
      <c r="G1693" s="363"/>
      <c r="H1693" s="271"/>
      <c r="I1693" s="141"/>
      <c r="J1693" s="122"/>
      <c r="K1693" s="141"/>
      <c r="L1693" s="141"/>
      <c r="O1693"/>
      <c r="P1693"/>
    </row>
    <row r="1694" spans="1:16" s="10" customFormat="1" ht="18" x14ac:dyDescent="0.25">
      <c r="A1694" s="271"/>
      <c r="B1694" s="271"/>
      <c r="C1694" s="271"/>
      <c r="D1694" s="365"/>
      <c r="E1694" s="363"/>
      <c r="F1694" s="363"/>
      <c r="G1694" s="363"/>
      <c r="H1694" s="271"/>
      <c r="I1694" s="141"/>
      <c r="J1694" s="122"/>
      <c r="K1694" s="141"/>
      <c r="L1694" s="141"/>
      <c r="O1694"/>
      <c r="P1694"/>
    </row>
    <row r="1695" spans="1:16" s="10" customFormat="1" ht="18" x14ac:dyDescent="0.25">
      <c r="A1695" s="271"/>
      <c r="B1695" s="271"/>
      <c r="C1695" s="271"/>
      <c r="D1695" s="365"/>
      <c r="E1695" s="363"/>
      <c r="F1695" s="363"/>
      <c r="G1695" s="363"/>
      <c r="H1695" s="271"/>
      <c r="I1695" s="141"/>
      <c r="J1695" s="122"/>
      <c r="K1695" s="141"/>
      <c r="L1695" s="141"/>
      <c r="O1695"/>
      <c r="P1695"/>
    </row>
    <row r="1696" spans="1:16" s="10" customFormat="1" ht="18" customHeight="1" x14ac:dyDescent="0.25">
      <c r="A1696" s="8" t="s">
        <v>112</v>
      </c>
      <c r="B1696" s="8"/>
      <c r="C1696" s="8"/>
      <c r="D1696" s="9"/>
      <c r="E1696" s="8"/>
      <c r="F1696" s="8"/>
      <c r="G1696" s="8"/>
      <c r="H1696" s="8"/>
      <c r="I1696" s="4"/>
      <c r="J1696" s="5"/>
      <c r="K1696" s="4"/>
      <c r="L1696" s="4"/>
      <c r="O1696"/>
      <c r="P1696"/>
    </row>
    <row r="1697" spans="1:16" s="10" customFormat="1" ht="18" customHeight="1" x14ac:dyDescent="0.25">
      <c r="A1697" s="8" t="s">
        <v>784</v>
      </c>
      <c r="B1697" s="8"/>
      <c r="C1697" s="8"/>
      <c r="D1697" s="9"/>
      <c r="E1697" s="8"/>
      <c r="F1697" s="8"/>
      <c r="G1697" s="8"/>
      <c r="H1697" s="8"/>
      <c r="I1697" s="4"/>
      <c r="J1697" s="5"/>
      <c r="K1697" s="4"/>
      <c r="L1697" s="4"/>
      <c r="O1697"/>
      <c r="P1697"/>
    </row>
    <row r="1698" spans="1:16" ht="18" customHeight="1" x14ac:dyDescent="0.25">
      <c r="A1698" s="1636" t="s">
        <v>113</v>
      </c>
      <c r="B1698" s="1636"/>
      <c r="C1698" s="1636"/>
      <c r="D1698" s="1636"/>
      <c r="E1698" s="1636"/>
      <c r="F1698" s="1636"/>
      <c r="G1698" s="1636"/>
      <c r="H1698" s="1636"/>
      <c r="I1698" s="1636"/>
      <c r="J1698" s="1636"/>
      <c r="K1698" s="1636"/>
      <c r="L1698" s="1636"/>
    </row>
    <row r="1699" spans="1:16" s="7" customFormat="1" ht="18" customHeight="1" x14ac:dyDescent="0.25">
      <c r="A1699" s="1624" t="s">
        <v>114</v>
      </c>
      <c r="B1699" s="1624"/>
      <c r="C1699" s="1624"/>
      <c r="D1699" s="1624"/>
      <c r="E1699" s="1624"/>
      <c r="F1699" s="1624"/>
      <c r="G1699" s="1624"/>
      <c r="H1699" s="1624"/>
      <c r="I1699" s="1624"/>
      <c r="J1699" s="1624"/>
      <c r="K1699" s="1624"/>
      <c r="L1699" s="1624"/>
      <c r="M1699" s="6"/>
      <c r="N1699" s="6"/>
    </row>
    <row r="1700" spans="1:16" ht="18.75" thickBot="1" x14ac:dyDescent="0.3">
      <c r="A1700" s="41"/>
      <c r="B1700" s="41"/>
      <c r="C1700" s="41"/>
      <c r="D1700" s="63"/>
      <c r="E1700" s="41"/>
      <c r="F1700" s="41"/>
      <c r="G1700" s="41"/>
      <c r="H1700" s="41"/>
    </row>
    <row r="1701" spans="1:16" ht="63.75" thickBot="1" x14ac:dyDescent="0.3">
      <c r="A1701" s="1655" t="s">
        <v>115</v>
      </c>
      <c r="B1701" s="1655"/>
      <c r="C1701" s="1655"/>
      <c r="D1701" s="1655"/>
      <c r="E1701" s="1655"/>
      <c r="F1701" s="1655"/>
      <c r="G1701" s="1655"/>
      <c r="H1701" s="93" t="s">
        <v>116</v>
      </c>
      <c r="I1701" s="130" t="s">
        <v>117</v>
      </c>
      <c r="J1701" s="130" t="s">
        <v>118</v>
      </c>
      <c r="K1701" s="130" t="s">
        <v>119</v>
      </c>
      <c r="L1701" s="130" t="s">
        <v>120</v>
      </c>
    </row>
    <row r="1702" spans="1:16" ht="18.75" thickBot="1" x14ac:dyDescent="0.3">
      <c r="A1702" s="1656" t="s">
        <v>785</v>
      </c>
      <c r="B1702" s="1657"/>
      <c r="C1702" s="1657"/>
      <c r="D1702" s="1657"/>
      <c r="E1702" s="1657"/>
      <c r="F1702" s="1657"/>
      <c r="G1702" s="1657"/>
      <c r="H1702" s="375"/>
      <c r="I1702" s="209"/>
      <c r="J1702" s="210"/>
      <c r="K1702" s="209"/>
      <c r="L1702" s="209"/>
    </row>
    <row r="1703" spans="1:16" ht="18" x14ac:dyDescent="0.25">
      <c r="A1703" s="495"/>
      <c r="B1703" s="496"/>
      <c r="C1703" s="496"/>
      <c r="D1703" s="1658" t="s">
        <v>786</v>
      </c>
      <c r="E1703" s="1658"/>
      <c r="F1703" s="1658"/>
      <c r="G1703" s="1659"/>
      <c r="H1703" s="376"/>
      <c r="I1703" s="101"/>
      <c r="J1703" s="102"/>
      <c r="K1703" s="101"/>
      <c r="L1703" s="101"/>
    </row>
    <row r="1704" spans="1:16" ht="15" customHeight="1" x14ac:dyDescent="0.25">
      <c r="A1704" s="495"/>
      <c r="B1704" s="496"/>
      <c r="C1704" s="496"/>
      <c r="D1704" s="1620" t="s">
        <v>787</v>
      </c>
      <c r="E1704" s="1620"/>
      <c r="F1704" s="1620"/>
      <c r="G1704" s="493"/>
      <c r="H1704" s="376"/>
      <c r="I1704" s="101"/>
      <c r="J1704" s="102"/>
      <c r="K1704" s="101"/>
      <c r="L1704" s="101"/>
    </row>
    <row r="1705" spans="1:16" ht="18" x14ac:dyDescent="0.25">
      <c r="A1705" s="495"/>
      <c r="B1705" s="496"/>
      <c r="C1705" s="496"/>
      <c r="D1705" s="1654" t="s">
        <v>788</v>
      </c>
      <c r="E1705" s="1654"/>
      <c r="F1705" s="1654"/>
      <c r="G1705" s="493"/>
      <c r="H1705" s="376"/>
      <c r="I1705" s="101"/>
      <c r="J1705" s="102"/>
      <c r="K1705" s="101"/>
      <c r="L1705" s="101"/>
    </row>
    <row r="1706" spans="1:16" s="191" customFormat="1" ht="18" x14ac:dyDescent="0.25">
      <c r="A1706" s="495"/>
      <c r="B1706" s="496"/>
      <c r="C1706" s="496"/>
      <c r="D1706" s="38" t="s">
        <v>789</v>
      </c>
      <c r="E1706" s="499"/>
      <c r="F1706" s="499"/>
      <c r="G1706" s="493"/>
      <c r="H1706" s="376" t="s">
        <v>165</v>
      </c>
      <c r="I1706" s="101">
        <v>43250</v>
      </c>
      <c r="J1706" s="102">
        <v>110000</v>
      </c>
      <c r="K1706" s="101"/>
      <c r="L1706" s="101">
        <v>40000</v>
      </c>
      <c r="M1706" s="10"/>
      <c r="N1706" s="10"/>
      <c r="O1706"/>
      <c r="P1706"/>
    </row>
    <row r="1707" spans="1:16" ht="18" x14ac:dyDescent="0.25">
      <c r="A1707" s="519"/>
      <c r="B1707" s="499"/>
      <c r="C1707" s="499"/>
      <c r="D1707" s="516" t="s">
        <v>790</v>
      </c>
      <c r="E1707" s="511"/>
      <c r="F1707" s="511"/>
      <c r="G1707" s="491"/>
      <c r="H1707" s="376" t="s">
        <v>167</v>
      </c>
      <c r="I1707" s="101"/>
      <c r="J1707" s="102"/>
      <c r="K1707" s="101"/>
      <c r="L1707" s="101">
        <v>10000</v>
      </c>
      <c r="O1707" s="191"/>
      <c r="P1707" s="191"/>
    </row>
    <row r="1708" spans="1:16" ht="18" x14ac:dyDescent="0.25">
      <c r="A1708" s="495"/>
      <c r="B1708" s="496"/>
      <c r="C1708" s="496"/>
      <c r="D1708" s="38" t="s">
        <v>791</v>
      </c>
      <c r="E1708" s="499"/>
      <c r="F1708" s="499"/>
      <c r="G1708" s="493"/>
      <c r="H1708" s="376" t="s">
        <v>169</v>
      </c>
      <c r="I1708" s="101">
        <v>34264.6</v>
      </c>
      <c r="J1708" s="102">
        <v>115060</v>
      </c>
      <c r="K1708" s="101">
        <v>21333</v>
      </c>
      <c r="L1708" s="101">
        <v>79303.5</v>
      </c>
      <c r="N1708" s="10">
        <f>125500</f>
        <v>125500</v>
      </c>
    </row>
    <row r="1709" spans="1:16" ht="18" x14ac:dyDescent="0.25">
      <c r="A1709" s="495"/>
      <c r="B1709" s="496"/>
      <c r="C1709" s="496"/>
      <c r="D1709" s="38" t="s">
        <v>792</v>
      </c>
      <c r="E1709" s="499"/>
      <c r="F1709" s="499"/>
      <c r="G1709" s="493"/>
      <c r="H1709" s="376" t="s">
        <v>171</v>
      </c>
      <c r="I1709" s="101"/>
      <c r="J1709" s="102"/>
      <c r="K1709" s="101"/>
      <c r="L1709" s="101">
        <v>43720</v>
      </c>
    </row>
    <row r="1710" spans="1:16" ht="18" x14ac:dyDescent="0.25">
      <c r="A1710" s="495"/>
      <c r="B1710" s="496"/>
      <c r="C1710" s="496"/>
      <c r="D1710" s="38" t="s">
        <v>793</v>
      </c>
      <c r="E1710" s="499"/>
      <c r="F1710" s="499"/>
      <c r="G1710" s="493"/>
      <c r="H1710" s="376" t="s">
        <v>171</v>
      </c>
      <c r="I1710" s="101">
        <v>11616</v>
      </c>
      <c r="J1710" s="102">
        <v>10440</v>
      </c>
      <c r="K1710" s="101"/>
      <c r="L1710" s="101"/>
      <c r="N1710" s="10">
        <f>7200+3240</f>
        <v>10440</v>
      </c>
    </row>
    <row r="1711" spans="1:16" ht="18" x14ac:dyDescent="0.25">
      <c r="A1711" s="495"/>
      <c r="B1711" s="496"/>
      <c r="C1711" s="496"/>
      <c r="D1711" s="38" t="s">
        <v>794</v>
      </c>
      <c r="E1711" s="499"/>
      <c r="F1711" s="499"/>
      <c r="G1711" s="493"/>
      <c r="H1711" s="376" t="s">
        <v>383</v>
      </c>
      <c r="I1711" s="101"/>
      <c r="J1711" s="102"/>
      <c r="K1711" s="101"/>
      <c r="L1711" s="101">
        <v>4680</v>
      </c>
    </row>
    <row r="1712" spans="1:16" ht="18" x14ac:dyDescent="0.25">
      <c r="A1712" s="495"/>
      <c r="B1712" s="496"/>
      <c r="C1712" s="496"/>
      <c r="D1712" s="38" t="s">
        <v>795</v>
      </c>
      <c r="E1712" s="499"/>
      <c r="F1712" s="499"/>
      <c r="G1712" s="493"/>
      <c r="H1712" s="376" t="s">
        <v>177</v>
      </c>
      <c r="I1712" s="101">
        <v>2594</v>
      </c>
      <c r="J1712" s="102">
        <v>3000</v>
      </c>
      <c r="K1712" s="101"/>
      <c r="L1712" s="101">
        <v>4546.5</v>
      </c>
    </row>
    <row r="1713" spans="1:16" ht="18" x14ac:dyDescent="0.25">
      <c r="A1713" s="495"/>
      <c r="B1713" s="496"/>
      <c r="C1713" s="496"/>
      <c r="D1713" s="38" t="s">
        <v>796</v>
      </c>
      <c r="E1713" s="499"/>
      <c r="F1713" s="499"/>
      <c r="G1713" s="493"/>
      <c r="H1713" s="376" t="s">
        <v>183</v>
      </c>
      <c r="I1713" s="101">
        <v>28804.36</v>
      </c>
      <c r="J1713" s="102">
        <v>35000</v>
      </c>
      <c r="K1713" s="101">
        <v>17068.45</v>
      </c>
      <c r="L1713" s="101">
        <v>30000</v>
      </c>
    </row>
    <row r="1714" spans="1:16" ht="18" x14ac:dyDescent="0.25">
      <c r="A1714" s="495"/>
      <c r="B1714" s="496"/>
      <c r="C1714" s="496"/>
      <c r="D1714" s="38" t="s">
        <v>797</v>
      </c>
      <c r="E1714" s="499"/>
      <c r="F1714" s="499"/>
      <c r="G1714" s="493"/>
      <c r="H1714" s="376" t="s">
        <v>282</v>
      </c>
      <c r="I1714" s="101">
        <v>0</v>
      </c>
      <c r="J1714" s="102">
        <v>1500</v>
      </c>
      <c r="K1714" s="101"/>
      <c r="L1714" s="101">
        <v>1750</v>
      </c>
      <c r="N1714" s="10" t="e">
        <f>#REF!-N1713</f>
        <v>#REF!</v>
      </c>
    </row>
    <row r="1715" spans="1:16" ht="18" x14ac:dyDescent="0.25">
      <c r="A1715" s="495"/>
      <c r="B1715" s="496"/>
      <c r="C1715" s="496"/>
      <c r="D1715" s="38" t="s">
        <v>798</v>
      </c>
      <c r="E1715" s="499"/>
      <c r="F1715" s="499"/>
      <c r="G1715" s="493"/>
      <c r="H1715" s="376" t="s">
        <v>237</v>
      </c>
      <c r="I1715" s="101"/>
      <c r="J1715" s="102"/>
      <c r="K1715" s="101"/>
      <c r="L1715" s="105">
        <v>4000</v>
      </c>
    </row>
    <row r="1716" spans="1:16" ht="18" x14ac:dyDescent="0.25">
      <c r="A1716" s="495"/>
      <c r="B1716" s="496"/>
      <c r="C1716" s="496"/>
      <c r="D1716" s="496" t="s">
        <v>200</v>
      </c>
      <c r="F1716" s="499"/>
      <c r="G1716" s="493"/>
      <c r="H1716" s="376"/>
      <c r="I1716" s="150">
        <f>SUM(I1706:I1715)</f>
        <v>120528.96000000001</v>
      </c>
      <c r="J1716" s="150">
        <f>SUM(J1706:J1715)</f>
        <v>275000</v>
      </c>
      <c r="K1716" s="119">
        <f>SUM(K1707:K1713)</f>
        <v>38401.449999999997</v>
      </c>
      <c r="L1716" s="119">
        <f>SUM(L1706:L1715)</f>
        <v>218000</v>
      </c>
    </row>
    <row r="1717" spans="1:16" ht="18" x14ac:dyDescent="0.25">
      <c r="A1717" s="495"/>
      <c r="B1717" s="496"/>
      <c r="C1717" s="496"/>
      <c r="D1717" s="38"/>
      <c r="E1717" s="496"/>
      <c r="F1717" s="499"/>
      <c r="G1717" s="496"/>
      <c r="H1717" s="377"/>
      <c r="I1717" s="155"/>
      <c r="J1717" s="156"/>
      <c r="K1717" s="155"/>
      <c r="L1717" s="155"/>
    </row>
    <row r="1718" spans="1:16" ht="18" x14ac:dyDescent="0.25">
      <c r="A1718" s="495"/>
      <c r="B1718" s="496"/>
      <c r="C1718" s="496"/>
      <c r="D1718" s="1620" t="s">
        <v>799</v>
      </c>
      <c r="E1718" s="1620"/>
      <c r="F1718" s="1620"/>
      <c r="G1718" s="1620"/>
      <c r="H1718" s="1621"/>
      <c r="I1718" s="101"/>
      <c r="J1718" s="102"/>
      <c r="K1718" s="101"/>
      <c r="L1718" s="101"/>
    </row>
    <row r="1719" spans="1:16" ht="18" x14ac:dyDescent="0.25">
      <c r="A1719" s="495"/>
      <c r="B1719" s="496"/>
      <c r="C1719" s="496"/>
      <c r="D1719" s="38" t="s">
        <v>800</v>
      </c>
      <c r="E1719" s="496"/>
      <c r="F1719" s="496"/>
      <c r="G1719" s="493"/>
      <c r="H1719" s="376"/>
      <c r="I1719" s="101"/>
      <c r="J1719" s="102">
        <v>15000</v>
      </c>
      <c r="K1719" s="101"/>
      <c r="L1719" s="101"/>
    </row>
    <row r="1720" spans="1:16" ht="18" x14ac:dyDescent="0.25">
      <c r="A1720" s="495"/>
      <c r="B1720" s="496"/>
      <c r="C1720" s="496"/>
      <c r="D1720" s="38" t="s">
        <v>801</v>
      </c>
      <c r="E1720" s="496"/>
      <c r="F1720" s="496"/>
      <c r="G1720" s="493"/>
      <c r="H1720" s="376"/>
      <c r="I1720" s="105"/>
      <c r="J1720" s="106">
        <v>60000</v>
      </c>
      <c r="K1720" s="105"/>
      <c r="L1720" s="105">
        <v>30000</v>
      </c>
    </row>
    <row r="1721" spans="1:16" ht="18.75" thickBot="1" x14ac:dyDescent="0.3">
      <c r="A1721" s="495"/>
      <c r="B1721" s="496"/>
      <c r="C1721" s="496"/>
      <c r="D1721" s="496" t="s">
        <v>200</v>
      </c>
      <c r="F1721" s="496"/>
      <c r="G1721" s="493"/>
      <c r="H1721" s="378"/>
      <c r="I1721" s="156">
        <f>SUM(I1719:I1720)</f>
        <v>0</v>
      </c>
      <c r="J1721" s="156">
        <f>SUM(J1719:J1720)</f>
        <v>75000</v>
      </c>
      <c r="K1721" s="155"/>
      <c r="L1721" s="155">
        <f>SUM(L1719:L1720)</f>
        <v>30000</v>
      </c>
    </row>
    <row r="1722" spans="1:16" ht="16.5" customHeight="1" x14ac:dyDescent="0.25">
      <c r="A1722" s="495"/>
      <c r="B1722" s="496"/>
      <c r="C1722" s="496"/>
      <c r="D1722" s="496" t="s">
        <v>208</v>
      </c>
      <c r="F1722" s="496"/>
      <c r="G1722" s="493"/>
      <c r="H1722" s="376"/>
      <c r="I1722" s="119">
        <f>I1721+I1716</f>
        <v>120528.96000000001</v>
      </c>
      <c r="J1722" s="150">
        <f>J1721+J1716</f>
        <v>350000</v>
      </c>
      <c r="K1722" s="119">
        <f>K1721+K1716</f>
        <v>38401.449999999997</v>
      </c>
      <c r="L1722" s="119">
        <f>L1721+L1716</f>
        <v>248000</v>
      </c>
    </row>
    <row r="1723" spans="1:16" ht="16.5" customHeight="1" x14ac:dyDescent="0.25">
      <c r="A1723" s="495"/>
      <c r="B1723" s="496"/>
      <c r="C1723" s="496"/>
      <c r="D1723" s="543"/>
      <c r="E1723" s="496"/>
      <c r="F1723" s="496"/>
      <c r="G1723" s="493"/>
      <c r="H1723" s="376"/>
      <c r="I1723" s="155"/>
      <c r="J1723" s="156"/>
      <c r="K1723" s="155"/>
      <c r="L1723" s="155"/>
    </row>
    <row r="1724" spans="1:16" ht="18" x14ac:dyDescent="0.25">
      <c r="A1724" s="495"/>
      <c r="B1724" s="496"/>
      <c r="C1724" s="496"/>
      <c r="D1724" s="1620" t="s">
        <v>802</v>
      </c>
      <c r="E1724" s="1620"/>
      <c r="F1724" s="1620"/>
      <c r="G1724" s="493"/>
      <c r="H1724" s="376"/>
      <c r="I1724" s="101"/>
      <c r="J1724" s="102"/>
      <c r="K1724" s="101"/>
      <c r="L1724" s="101"/>
    </row>
    <row r="1725" spans="1:16" ht="18" x14ac:dyDescent="0.25">
      <c r="A1725" s="495"/>
      <c r="B1725" s="496"/>
      <c r="C1725" s="496"/>
      <c r="D1725" s="1620" t="s">
        <v>803</v>
      </c>
      <c r="E1725" s="1620"/>
      <c r="F1725" s="1620"/>
      <c r="G1725" s="493"/>
      <c r="H1725" s="376"/>
      <c r="I1725" s="101"/>
      <c r="J1725" s="102"/>
      <c r="K1725" s="101"/>
      <c r="L1725" s="101"/>
    </row>
    <row r="1726" spans="1:16" s="146" customFormat="1" ht="18" x14ac:dyDescent="0.25">
      <c r="A1726" s="495"/>
      <c r="B1726" s="496"/>
      <c r="C1726" s="496"/>
      <c r="D1726" s="1654" t="s">
        <v>788</v>
      </c>
      <c r="E1726" s="1654"/>
      <c r="F1726" s="1654"/>
      <c r="G1726" s="493"/>
      <c r="H1726" s="376"/>
      <c r="I1726" s="101"/>
      <c r="J1726" s="102"/>
      <c r="K1726" s="101"/>
      <c r="L1726" s="101"/>
      <c r="M1726" s="10"/>
      <c r="N1726" s="10"/>
      <c r="O1726"/>
      <c r="P1726"/>
    </row>
    <row r="1727" spans="1:16" s="229" customFormat="1" ht="18" x14ac:dyDescent="0.25">
      <c r="A1727" s="211"/>
      <c r="B1727" s="124"/>
      <c r="C1727" s="124"/>
      <c r="D1727" s="44" t="s">
        <v>804</v>
      </c>
      <c r="E1727" s="125"/>
      <c r="F1727" s="125"/>
      <c r="G1727" s="134"/>
      <c r="H1727" s="100" t="s">
        <v>165</v>
      </c>
      <c r="I1727" s="101">
        <v>14111.08</v>
      </c>
      <c r="J1727" s="102">
        <v>75000</v>
      </c>
      <c r="K1727" s="101"/>
      <c r="L1727" s="101">
        <v>112000</v>
      </c>
      <c r="M1727" s="207"/>
      <c r="N1727" s="207"/>
      <c r="O1727" s="212"/>
      <c r="P1727" s="212"/>
    </row>
    <row r="1728" spans="1:16" s="229" customFormat="1" ht="18" customHeight="1" x14ac:dyDescent="0.25">
      <c r="A1728" s="211"/>
      <c r="B1728" s="124"/>
      <c r="C1728" s="124"/>
      <c r="D1728" s="516" t="s">
        <v>805</v>
      </c>
      <c r="E1728" s="511"/>
      <c r="F1728" s="511"/>
      <c r="G1728" s="230"/>
      <c r="H1728" s="100" t="s">
        <v>167</v>
      </c>
      <c r="I1728" s="101">
        <v>0</v>
      </c>
      <c r="J1728" s="102">
        <v>50000</v>
      </c>
      <c r="K1728" s="101"/>
      <c r="L1728" s="250"/>
      <c r="M1728" s="207"/>
      <c r="N1728" s="207"/>
      <c r="O1728" s="212"/>
      <c r="P1728" s="212"/>
    </row>
    <row r="1729" spans="1:16" s="229" customFormat="1" ht="18" customHeight="1" x14ac:dyDescent="0.25">
      <c r="A1729" s="211"/>
      <c r="B1729" s="124"/>
      <c r="C1729" s="124"/>
      <c r="D1729" s="44" t="s">
        <v>806</v>
      </c>
      <c r="E1729" s="125"/>
      <c r="F1729" s="125"/>
      <c r="G1729" s="134"/>
      <c r="H1729" s="100" t="s">
        <v>169</v>
      </c>
      <c r="I1729" s="101">
        <v>3360</v>
      </c>
      <c r="J1729" s="102">
        <v>15000</v>
      </c>
      <c r="K1729" s="101"/>
      <c r="L1729" s="101">
        <v>5000</v>
      </c>
      <c r="M1729" s="207"/>
      <c r="N1729" s="207"/>
      <c r="O1729" s="212"/>
      <c r="P1729" s="212"/>
    </row>
    <row r="1730" spans="1:16" s="229" customFormat="1" ht="18" customHeight="1" x14ac:dyDescent="0.25">
      <c r="A1730" s="211"/>
      <c r="B1730" s="124"/>
      <c r="C1730" s="124"/>
      <c r="D1730" s="44" t="s">
        <v>807</v>
      </c>
      <c r="E1730" s="125"/>
      <c r="F1730" s="125"/>
      <c r="G1730" s="134"/>
      <c r="H1730" s="100" t="s">
        <v>183</v>
      </c>
      <c r="I1730" s="101">
        <v>0</v>
      </c>
      <c r="J1730" s="102">
        <v>21600</v>
      </c>
      <c r="K1730" s="101">
        <v>7939.1</v>
      </c>
      <c r="L1730" s="101">
        <v>21600</v>
      </c>
      <c r="M1730" s="207"/>
      <c r="N1730" s="207"/>
      <c r="O1730" s="212"/>
      <c r="P1730" s="212"/>
    </row>
    <row r="1731" spans="1:16" s="229" customFormat="1" ht="18" customHeight="1" x14ac:dyDescent="0.25">
      <c r="A1731" s="211"/>
      <c r="B1731" s="124"/>
      <c r="C1731" s="124"/>
      <c r="D1731" s="44" t="s">
        <v>808</v>
      </c>
      <c r="E1731" s="125"/>
      <c r="F1731" s="125"/>
      <c r="G1731" s="134"/>
      <c r="H1731" s="100" t="s">
        <v>199</v>
      </c>
      <c r="I1731" s="101">
        <v>60000</v>
      </c>
      <c r="J1731" s="102">
        <v>60000</v>
      </c>
      <c r="K1731" s="101">
        <v>30000</v>
      </c>
      <c r="L1731" s="105">
        <v>60000</v>
      </c>
      <c r="M1731" s="207"/>
      <c r="N1731" s="207"/>
      <c r="O1731" s="212"/>
      <c r="P1731" s="212"/>
    </row>
    <row r="1732" spans="1:16" s="146" customFormat="1" ht="18" x14ac:dyDescent="0.25">
      <c r="A1732" s="495"/>
      <c r="B1732" s="496"/>
      <c r="C1732" s="496"/>
      <c r="D1732" s="496" t="s">
        <v>200</v>
      </c>
      <c r="F1732" s="499"/>
      <c r="G1732" s="491"/>
      <c r="H1732" s="100"/>
      <c r="I1732" s="119">
        <f>SUM(I1727:I1731)</f>
        <v>77471.08</v>
      </c>
      <c r="J1732" s="150">
        <f>SUM(J1727:J1731)</f>
        <v>221600</v>
      </c>
      <c r="K1732" s="119">
        <f>SUM(K1727:K1731)</f>
        <v>37939.1</v>
      </c>
      <c r="L1732" s="119">
        <f>SUM(L1727:L1731)</f>
        <v>198600</v>
      </c>
      <c r="M1732" s="10"/>
      <c r="N1732" s="10"/>
      <c r="O1732"/>
      <c r="P1732"/>
    </row>
    <row r="1733" spans="1:16" s="146" customFormat="1" ht="18" x14ac:dyDescent="0.25">
      <c r="A1733" s="495"/>
      <c r="B1733" s="496"/>
      <c r="C1733" s="496"/>
      <c r="D1733" s="513"/>
      <c r="E1733" s="496"/>
      <c r="F1733" s="499"/>
      <c r="G1733" s="491"/>
      <c r="H1733" s="100"/>
      <c r="I1733" s="155"/>
      <c r="J1733" s="156"/>
      <c r="K1733" s="155"/>
      <c r="L1733" s="155"/>
      <c r="M1733" s="10"/>
      <c r="N1733" s="10"/>
      <c r="O1733"/>
      <c r="P1733"/>
    </row>
    <row r="1734" spans="1:16" s="146" customFormat="1" ht="18" customHeight="1" x14ac:dyDescent="0.25">
      <c r="A1734" s="495"/>
      <c r="B1734" s="496"/>
      <c r="C1734" s="496"/>
      <c r="D1734" s="36" t="s">
        <v>799</v>
      </c>
      <c r="E1734" s="496"/>
      <c r="F1734" s="496"/>
      <c r="G1734" s="493"/>
      <c r="H1734" s="376"/>
      <c r="I1734" s="101"/>
      <c r="J1734" s="102"/>
      <c r="K1734" s="101"/>
      <c r="L1734" s="101"/>
      <c r="M1734" s="10"/>
      <c r="N1734" s="10"/>
      <c r="O1734"/>
      <c r="P1734"/>
    </row>
    <row r="1735" spans="1:16" s="146" customFormat="1" ht="18" customHeight="1" x14ac:dyDescent="0.25">
      <c r="A1735" s="495"/>
      <c r="B1735" s="496"/>
      <c r="C1735" s="496"/>
      <c r="D1735" s="38" t="s">
        <v>809</v>
      </c>
      <c r="E1735" s="496"/>
      <c r="F1735" s="496"/>
      <c r="G1735" s="493"/>
      <c r="H1735" s="376"/>
      <c r="I1735" s="101"/>
      <c r="J1735" s="102"/>
      <c r="K1735" s="101"/>
      <c r="L1735" s="101">
        <v>75000</v>
      </c>
      <c r="M1735" s="10"/>
      <c r="N1735" s="10"/>
      <c r="O1735"/>
      <c r="P1735"/>
    </row>
    <row r="1736" spans="1:16" s="146" customFormat="1" ht="18" customHeight="1" x14ac:dyDescent="0.25">
      <c r="A1736" s="495"/>
      <c r="B1736" s="496"/>
      <c r="C1736" s="496"/>
      <c r="D1736" s="38" t="s">
        <v>810</v>
      </c>
      <c r="E1736" s="496"/>
      <c r="F1736" s="496"/>
      <c r="G1736" s="493"/>
      <c r="H1736" s="376"/>
      <c r="I1736" s="101"/>
      <c r="J1736" s="102"/>
      <c r="K1736" s="101"/>
      <c r="L1736" s="101">
        <v>14000</v>
      </c>
      <c r="M1736" s="10"/>
      <c r="N1736" s="10"/>
      <c r="O1736"/>
      <c r="P1736"/>
    </row>
    <row r="1737" spans="1:16" s="146" customFormat="1" ht="18" x14ac:dyDescent="0.25">
      <c r="A1737" s="495"/>
      <c r="B1737" s="496"/>
      <c r="C1737" s="496"/>
      <c r="D1737" s="1611" t="s">
        <v>811</v>
      </c>
      <c r="E1737" s="1611"/>
      <c r="F1737" s="1611"/>
      <c r="G1737" s="493"/>
      <c r="H1737" s="376"/>
      <c r="I1737" s="105">
        <v>0</v>
      </c>
      <c r="J1737" s="106">
        <v>15000</v>
      </c>
      <c r="K1737" s="105"/>
      <c r="L1737" s="105"/>
      <c r="M1737" s="10"/>
      <c r="N1737" s="10"/>
      <c r="O1737"/>
      <c r="P1737"/>
    </row>
    <row r="1738" spans="1:16" s="146" customFormat="1" ht="18.75" thickBot="1" x14ac:dyDescent="0.3">
      <c r="A1738" s="495"/>
      <c r="B1738" s="496"/>
      <c r="C1738" s="496"/>
      <c r="D1738" s="496" t="s">
        <v>200</v>
      </c>
      <c r="F1738" s="496"/>
      <c r="G1738" s="493"/>
      <c r="H1738" s="378"/>
      <c r="I1738" s="182">
        <f>SUM(I1737)</f>
        <v>0</v>
      </c>
      <c r="J1738" s="183">
        <f>SUM(J1737)</f>
        <v>15000</v>
      </c>
      <c r="K1738" s="182">
        <f>SUM(K1737)</f>
        <v>0</v>
      </c>
      <c r="L1738" s="182">
        <f>SUM(L1735:L1737)</f>
        <v>89000</v>
      </c>
      <c r="M1738" s="10"/>
      <c r="N1738" s="10"/>
      <c r="O1738"/>
      <c r="P1738"/>
    </row>
    <row r="1739" spans="1:16" s="146" customFormat="1" ht="18" customHeight="1" x14ac:dyDescent="0.25">
      <c r="A1739" s="495"/>
      <c r="B1739" s="496"/>
      <c r="C1739" s="496"/>
      <c r="D1739" s="496" t="s">
        <v>208</v>
      </c>
      <c r="F1739" s="496"/>
      <c r="G1739" s="493"/>
      <c r="H1739" s="376"/>
      <c r="I1739" s="155">
        <f>I1738+I1732</f>
        <v>77471.08</v>
      </c>
      <c r="J1739" s="156">
        <f>J1738+J1732</f>
        <v>236600</v>
      </c>
      <c r="K1739" s="155">
        <f>K1738+K1732</f>
        <v>37939.1</v>
      </c>
      <c r="L1739" s="155">
        <f>L1738+L1732</f>
        <v>287600</v>
      </c>
      <c r="M1739" s="10"/>
      <c r="N1739" s="10"/>
      <c r="O1739"/>
      <c r="P1739"/>
    </row>
    <row r="1740" spans="1:16" s="146" customFormat="1" ht="18" customHeight="1" x14ac:dyDescent="0.25">
      <c r="A1740" s="495"/>
      <c r="B1740" s="496"/>
      <c r="C1740" s="496"/>
      <c r="D1740" s="543"/>
      <c r="E1740" s="496"/>
      <c r="F1740" s="496"/>
      <c r="G1740" s="493"/>
      <c r="H1740" s="376"/>
      <c r="I1740" s="155"/>
      <c r="J1740" s="156"/>
      <c r="K1740" s="155"/>
      <c r="L1740" s="155"/>
      <c r="M1740" s="10"/>
      <c r="N1740" s="10"/>
      <c r="O1740"/>
      <c r="P1740"/>
    </row>
    <row r="1741" spans="1:16" s="146" customFormat="1" ht="18" x14ac:dyDescent="0.25">
      <c r="A1741" s="519"/>
      <c r="B1741" s="499"/>
      <c r="C1741" s="499"/>
      <c r="D1741" s="1620" t="s">
        <v>812</v>
      </c>
      <c r="E1741" s="1620"/>
      <c r="F1741" s="1620"/>
      <c r="G1741" s="1621"/>
      <c r="H1741" s="100"/>
      <c r="I1741" s="101"/>
      <c r="J1741" s="102"/>
      <c r="K1741" s="101"/>
      <c r="L1741" s="101"/>
      <c r="M1741" s="10"/>
      <c r="N1741" s="10"/>
      <c r="O1741"/>
      <c r="P1741"/>
    </row>
    <row r="1742" spans="1:16" s="146" customFormat="1" ht="18" x14ac:dyDescent="0.25">
      <c r="A1742" s="519"/>
      <c r="B1742" s="499"/>
      <c r="C1742" s="499"/>
      <c r="D1742" s="1620" t="s">
        <v>813</v>
      </c>
      <c r="E1742" s="1620"/>
      <c r="F1742" s="1620"/>
      <c r="G1742" s="1621"/>
      <c r="H1742" s="100"/>
      <c r="I1742" s="101"/>
      <c r="J1742" s="102"/>
      <c r="K1742" s="101"/>
      <c r="L1742" s="101"/>
      <c r="M1742" s="10"/>
      <c r="N1742" s="10"/>
      <c r="O1742"/>
      <c r="P1742"/>
    </row>
    <row r="1743" spans="1:16" s="146" customFormat="1" ht="18" x14ac:dyDescent="0.25">
      <c r="A1743" s="519"/>
      <c r="B1743" s="499"/>
      <c r="C1743" s="499"/>
      <c r="D1743" s="536" t="s">
        <v>805</v>
      </c>
      <c r="E1743" s="496"/>
      <c r="F1743" s="496"/>
      <c r="G1743" s="493"/>
      <c r="H1743" s="100"/>
      <c r="I1743" s="101">
        <v>0</v>
      </c>
      <c r="J1743" s="102">
        <v>50000</v>
      </c>
      <c r="K1743" s="101"/>
      <c r="L1743" s="101">
        <v>60000</v>
      </c>
      <c r="M1743" s="10"/>
      <c r="N1743" s="10"/>
      <c r="O1743"/>
      <c r="P1743"/>
    </row>
    <row r="1744" spans="1:16" s="146" customFormat="1" ht="18" x14ac:dyDescent="0.25">
      <c r="A1744" s="519"/>
      <c r="B1744" s="499"/>
      <c r="C1744" s="499"/>
      <c r="D1744" s="1602" t="s">
        <v>804</v>
      </c>
      <c r="E1744" s="1603"/>
      <c r="F1744" s="1603"/>
      <c r="G1744" s="1603"/>
      <c r="H1744" s="100" t="s">
        <v>165</v>
      </c>
      <c r="I1744" s="101">
        <v>17710.080000000002</v>
      </c>
      <c r="J1744" s="102">
        <v>61000</v>
      </c>
      <c r="K1744" s="101"/>
      <c r="L1744" s="250">
        <v>65000</v>
      </c>
      <c r="M1744" s="10"/>
      <c r="N1744" s="10"/>
      <c r="O1744"/>
      <c r="P1744"/>
    </row>
    <row r="1745" spans="1:16" s="146" customFormat="1" ht="18" x14ac:dyDescent="0.25">
      <c r="A1745" s="519"/>
      <c r="B1745" s="499"/>
      <c r="C1745" s="499"/>
      <c r="D1745" s="536" t="s">
        <v>814</v>
      </c>
      <c r="E1745" s="491"/>
      <c r="F1745" s="492"/>
      <c r="G1745" s="492"/>
      <c r="H1745" s="100"/>
      <c r="I1745" s="101"/>
      <c r="J1745" s="111"/>
      <c r="K1745" s="112"/>
      <c r="L1745" s="101"/>
      <c r="M1745" s="10"/>
      <c r="N1745" s="10"/>
      <c r="O1745"/>
      <c r="P1745"/>
    </row>
    <row r="1746" spans="1:16" s="146" customFormat="1" ht="18" x14ac:dyDescent="0.25">
      <c r="A1746" s="519"/>
      <c r="B1746" s="499"/>
      <c r="C1746" s="499"/>
      <c r="D1746" s="1611" t="s">
        <v>815</v>
      </c>
      <c r="E1746" s="1602"/>
      <c r="F1746" s="492"/>
      <c r="G1746" s="492"/>
      <c r="H1746" s="100"/>
      <c r="I1746" s="101"/>
      <c r="J1746" s="111"/>
      <c r="K1746" s="112"/>
      <c r="L1746" s="101"/>
      <c r="M1746" s="10"/>
      <c r="N1746" s="10"/>
      <c r="O1746"/>
      <c r="P1746"/>
    </row>
    <row r="1747" spans="1:16" s="146" customFormat="1" ht="18" x14ac:dyDescent="0.25">
      <c r="A1747" s="519"/>
      <c r="B1747" s="499"/>
      <c r="C1747" s="499"/>
      <c r="D1747" s="1602" t="s">
        <v>806</v>
      </c>
      <c r="E1747" s="1603"/>
      <c r="F1747" s="1603"/>
      <c r="G1747" s="1603"/>
      <c r="H1747" s="100" t="s">
        <v>169</v>
      </c>
      <c r="I1747" s="101">
        <v>0</v>
      </c>
      <c r="J1747" s="111">
        <v>2000</v>
      </c>
      <c r="K1747" s="112"/>
      <c r="L1747" s="101">
        <v>4000</v>
      </c>
      <c r="M1747" s="10"/>
      <c r="N1747" s="10"/>
      <c r="O1747"/>
      <c r="P1747"/>
    </row>
    <row r="1748" spans="1:16" s="146" customFormat="1" ht="18" x14ac:dyDescent="0.25">
      <c r="A1748" s="519"/>
      <c r="B1748" s="499"/>
      <c r="C1748" s="499"/>
      <c r="D1748" s="536" t="s">
        <v>816</v>
      </c>
      <c r="E1748" s="491"/>
      <c r="F1748" s="492"/>
      <c r="G1748" s="492"/>
      <c r="H1748" s="100"/>
      <c r="I1748" s="101"/>
      <c r="J1748" s="111"/>
      <c r="K1748" s="112"/>
      <c r="L1748" s="101"/>
      <c r="M1748" s="10"/>
      <c r="N1748" s="10"/>
      <c r="O1748"/>
      <c r="P1748"/>
    </row>
    <row r="1749" spans="1:16" s="146" customFormat="1" ht="18" x14ac:dyDescent="0.25">
      <c r="A1749" s="519"/>
      <c r="B1749" s="499"/>
      <c r="C1749" s="499"/>
      <c r="D1749" s="1602" t="s">
        <v>808</v>
      </c>
      <c r="E1749" s="1603"/>
      <c r="F1749" s="1603"/>
      <c r="G1749" s="1603"/>
      <c r="H1749" s="100" t="s">
        <v>199</v>
      </c>
      <c r="I1749" s="105">
        <v>102000</v>
      </c>
      <c r="J1749" s="106">
        <v>142000</v>
      </c>
      <c r="K1749" s="105">
        <v>51000</v>
      </c>
      <c r="L1749" s="105">
        <v>150000</v>
      </c>
      <c r="M1749" s="10"/>
      <c r="N1749" s="10"/>
      <c r="O1749"/>
      <c r="P1749"/>
    </row>
    <row r="1750" spans="1:16" s="146" customFormat="1" ht="15.75" customHeight="1" thickBot="1" x14ac:dyDescent="0.3">
      <c r="A1750" s="519"/>
      <c r="B1750" s="499"/>
      <c r="C1750" s="499"/>
      <c r="D1750" s="496" t="s">
        <v>15</v>
      </c>
      <c r="F1750" s="499"/>
      <c r="G1750" s="491"/>
      <c r="H1750" s="308"/>
      <c r="I1750" s="182">
        <f>SUM(I1743:I1749)</f>
        <v>119710.08</v>
      </c>
      <c r="J1750" s="183">
        <f>SUM(J1743:J1749)</f>
        <v>255000</v>
      </c>
      <c r="K1750" s="182">
        <f>SUM(K1743:K1749)</f>
        <v>51000</v>
      </c>
      <c r="L1750" s="182">
        <f>SUM(L1743:L1749)</f>
        <v>279000</v>
      </c>
      <c r="M1750" s="10"/>
      <c r="N1750" s="10"/>
      <c r="O1750"/>
      <c r="P1750"/>
    </row>
    <row r="1751" spans="1:16" s="146" customFormat="1" ht="13.5" customHeight="1" x14ac:dyDescent="0.25">
      <c r="A1751" s="519"/>
      <c r="B1751" s="499"/>
      <c r="C1751" s="499"/>
      <c r="D1751" s="513"/>
      <c r="E1751" s="496"/>
      <c r="F1751" s="499"/>
      <c r="G1751" s="491"/>
      <c r="H1751" s="100"/>
      <c r="I1751" s="155"/>
      <c r="J1751" s="156"/>
      <c r="K1751" s="155"/>
      <c r="L1751" s="155"/>
      <c r="M1751" s="10"/>
      <c r="N1751" s="10"/>
      <c r="O1751"/>
      <c r="P1751"/>
    </row>
    <row r="1752" spans="1:16" s="146" customFormat="1" ht="18" x14ac:dyDescent="0.25">
      <c r="A1752" s="519"/>
      <c r="B1752" s="499"/>
      <c r="C1752" s="499"/>
      <c r="D1752" s="1620" t="s">
        <v>818</v>
      </c>
      <c r="E1752" s="1620"/>
      <c r="F1752" s="1620"/>
      <c r="G1752" s="1621"/>
      <c r="H1752" s="100"/>
      <c r="I1752" s="101"/>
      <c r="J1752" s="102"/>
      <c r="K1752" s="101"/>
      <c r="L1752" s="101"/>
      <c r="M1752" s="10"/>
      <c r="N1752" s="10"/>
      <c r="O1752"/>
      <c r="P1752"/>
    </row>
    <row r="1753" spans="1:16" s="146" customFormat="1" ht="18" x14ac:dyDescent="0.25">
      <c r="A1753" s="519"/>
      <c r="B1753" s="499"/>
      <c r="C1753" s="499"/>
      <c r="D1753" s="1620" t="s">
        <v>813</v>
      </c>
      <c r="E1753" s="1620"/>
      <c r="F1753" s="1620"/>
      <c r="G1753" s="1621"/>
      <c r="H1753" s="100"/>
      <c r="I1753" s="101"/>
      <c r="J1753" s="102"/>
      <c r="K1753" s="101"/>
      <c r="L1753" s="101"/>
      <c r="M1753" s="10"/>
      <c r="N1753" s="10"/>
      <c r="O1753"/>
      <c r="P1753"/>
    </row>
    <row r="1754" spans="1:16" s="229" customFormat="1" ht="18" x14ac:dyDescent="0.25">
      <c r="A1754" s="154"/>
      <c r="B1754" s="502"/>
      <c r="C1754" s="502"/>
      <c r="D1754" s="44" t="s">
        <v>804</v>
      </c>
      <c r="E1754" s="125"/>
      <c r="F1754" s="125"/>
      <c r="G1754" s="134"/>
      <c r="H1754" s="100" t="s">
        <v>165</v>
      </c>
      <c r="I1754" s="101">
        <v>13171.92</v>
      </c>
      <c r="J1754" s="102">
        <v>50000</v>
      </c>
      <c r="K1754" s="101"/>
      <c r="L1754" s="101"/>
      <c r="M1754" s="207"/>
      <c r="N1754" s="207"/>
      <c r="O1754" s="212"/>
      <c r="P1754" s="212"/>
    </row>
    <row r="1755" spans="1:16" s="229" customFormat="1" ht="18" customHeight="1" x14ac:dyDescent="0.25">
      <c r="A1755" s="154"/>
      <c r="B1755" s="502"/>
      <c r="C1755" s="502"/>
      <c r="D1755" s="536" t="s">
        <v>819</v>
      </c>
      <c r="E1755" s="124"/>
      <c r="F1755" s="124"/>
      <c r="G1755" s="230"/>
      <c r="H1755" s="100" t="s">
        <v>167</v>
      </c>
      <c r="I1755" s="101">
        <v>0</v>
      </c>
      <c r="J1755" s="102">
        <v>50000</v>
      </c>
      <c r="K1755" s="112"/>
      <c r="L1755" s="101">
        <v>65000</v>
      </c>
      <c r="M1755" s="207"/>
      <c r="N1755" s="207"/>
      <c r="O1755" s="212"/>
      <c r="P1755" s="212"/>
    </row>
    <row r="1756" spans="1:16" s="229" customFormat="1" ht="18" x14ac:dyDescent="0.25">
      <c r="A1756" s="154"/>
      <c r="B1756" s="502"/>
      <c r="C1756" s="502"/>
      <c r="D1756" s="536" t="s">
        <v>820</v>
      </c>
      <c r="E1756" s="502"/>
      <c r="F1756" s="502"/>
      <c r="G1756" s="503"/>
      <c r="H1756" s="100" t="s">
        <v>169</v>
      </c>
      <c r="I1756" s="101">
        <v>0</v>
      </c>
      <c r="J1756" s="102">
        <v>45476</v>
      </c>
      <c r="K1756" s="112">
        <v>29606</v>
      </c>
      <c r="L1756" s="101">
        <v>29148</v>
      </c>
      <c r="M1756" s="207"/>
      <c r="N1756" s="207"/>
      <c r="O1756" s="212"/>
      <c r="P1756" s="212"/>
    </row>
    <row r="1757" spans="1:16" s="229" customFormat="1" ht="18" x14ac:dyDescent="0.25">
      <c r="A1757" s="154"/>
      <c r="B1757" s="502"/>
      <c r="C1757" s="502"/>
      <c r="D1757" s="536" t="s">
        <v>821</v>
      </c>
      <c r="E1757" s="502"/>
      <c r="F1757" s="502"/>
      <c r="G1757" s="503"/>
      <c r="H1757" s="100" t="s">
        <v>171</v>
      </c>
      <c r="I1757" s="101">
        <v>0</v>
      </c>
      <c r="J1757" s="102">
        <v>40880</v>
      </c>
      <c r="K1757" s="112"/>
      <c r="L1757" s="101">
        <v>18155</v>
      </c>
      <c r="M1757" s="207"/>
      <c r="N1757" s="207"/>
      <c r="O1757" s="212"/>
      <c r="P1757" s="212"/>
    </row>
    <row r="1758" spans="1:16" s="229" customFormat="1" ht="18" x14ac:dyDescent="0.25">
      <c r="A1758" s="154"/>
      <c r="B1758" s="502"/>
      <c r="C1758" s="502"/>
      <c r="D1758" s="536" t="s">
        <v>822</v>
      </c>
      <c r="E1758" s="502"/>
      <c r="F1758" s="502"/>
      <c r="G1758" s="503"/>
      <c r="H1758" s="100" t="s">
        <v>183</v>
      </c>
      <c r="I1758" s="101">
        <v>0</v>
      </c>
      <c r="J1758" s="102">
        <v>24000</v>
      </c>
      <c r="K1758" s="112">
        <v>10192.1</v>
      </c>
      <c r="L1758" s="101">
        <v>36000</v>
      </c>
      <c r="M1758" s="207"/>
      <c r="N1758" s="207"/>
      <c r="O1758" s="212"/>
      <c r="P1758" s="212"/>
    </row>
    <row r="1759" spans="1:16" s="229" customFormat="1" ht="18" x14ac:dyDescent="0.25">
      <c r="A1759" s="154"/>
      <c r="B1759" s="502"/>
      <c r="C1759" s="502"/>
      <c r="D1759" s="44" t="s">
        <v>808</v>
      </c>
      <c r="E1759" s="125"/>
      <c r="F1759" s="125"/>
      <c r="G1759" s="134"/>
      <c r="H1759" s="100" t="s">
        <v>199</v>
      </c>
      <c r="I1759" s="101">
        <v>95000</v>
      </c>
      <c r="J1759" s="102">
        <v>102000</v>
      </c>
      <c r="K1759" s="112">
        <v>51000</v>
      </c>
      <c r="L1759" s="101">
        <v>102000</v>
      </c>
      <c r="M1759" s="207"/>
      <c r="N1759" s="207"/>
      <c r="O1759" s="212"/>
      <c r="P1759" s="212"/>
    </row>
    <row r="1760" spans="1:16" s="229" customFormat="1" ht="18" customHeight="1" x14ac:dyDescent="0.25">
      <c r="A1760" s="154"/>
      <c r="B1760" s="502"/>
      <c r="C1760" s="502"/>
      <c r="D1760" s="536"/>
      <c r="E1760" s="502"/>
      <c r="F1760" s="502"/>
      <c r="G1760" s="503"/>
      <c r="H1760" s="100"/>
      <c r="I1760" s="101"/>
      <c r="J1760" s="102"/>
      <c r="K1760" s="112"/>
      <c r="L1760" s="105"/>
      <c r="M1760" s="207"/>
      <c r="N1760" s="207"/>
      <c r="O1760" s="212"/>
      <c r="P1760" s="212"/>
    </row>
    <row r="1761" spans="1:16" s="146" customFormat="1" ht="18" x14ac:dyDescent="0.25">
      <c r="A1761" s="519"/>
      <c r="B1761" s="499"/>
      <c r="C1761" s="499"/>
      <c r="D1761" s="543" t="s">
        <v>823</v>
      </c>
      <c r="E1761" s="499"/>
      <c r="F1761" s="499"/>
      <c r="G1761" s="491"/>
      <c r="H1761" s="100"/>
      <c r="I1761" s="119">
        <f>SUM(I1754:I1760)</f>
        <v>108171.92</v>
      </c>
      <c r="J1761" s="150">
        <f>SUM(J1754:J1760)</f>
        <v>312356</v>
      </c>
      <c r="K1761" s="119">
        <f>SUM(K1754:K1760)</f>
        <v>90798.1</v>
      </c>
      <c r="L1761" s="119">
        <f>SUM(L1754:L1760)</f>
        <v>250303</v>
      </c>
      <c r="M1761" s="10"/>
      <c r="N1761" s="10"/>
      <c r="O1761"/>
      <c r="P1761"/>
    </row>
    <row r="1762" spans="1:16" ht="18.75" thickBot="1" x14ac:dyDescent="0.3">
      <c r="A1762" s="497"/>
      <c r="B1762" s="498"/>
      <c r="C1762" s="498"/>
      <c r="D1762" s="228"/>
      <c r="E1762" s="498"/>
      <c r="F1762" s="498"/>
      <c r="G1762" s="498"/>
      <c r="H1762" s="379"/>
      <c r="I1762" s="219"/>
      <c r="J1762" s="220"/>
      <c r="K1762" s="219"/>
      <c r="L1762" s="219"/>
    </row>
    <row r="1763" spans="1:16" ht="18" x14ac:dyDescent="0.25">
      <c r="A1763" s="496"/>
      <c r="B1763" s="496"/>
      <c r="C1763" s="496"/>
      <c r="D1763" s="543"/>
      <c r="E1763" s="496"/>
      <c r="F1763" s="496"/>
      <c r="G1763" s="496"/>
      <c r="H1763" s="380"/>
      <c r="I1763" s="141"/>
      <c r="J1763" s="122"/>
      <c r="K1763" s="141"/>
      <c r="L1763" s="141"/>
    </row>
    <row r="1764" spans="1:16" ht="18" customHeight="1" x14ac:dyDescent="0.25">
      <c r="A1764" s="8" t="s">
        <v>112</v>
      </c>
    </row>
    <row r="1765" spans="1:16" ht="18" customHeight="1" x14ac:dyDescent="0.25">
      <c r="A1765" s="8" t="s">
        <v>817</v>
      </c>
    </row>
    <row r="1766" spans="1:16" ht="18" customHeight="1" x14ac:dyDescent="0.25">
      <c r="A1766" s="1636" t="s">
        <v>113</v>
      </c>
      <c r="B1766" s="1636"/>
      <c r="C1766" s="1636"/>
      <c r="D1766" s="1636"/>
      <c r="E1766" s="1636"/>
      <c r="F1766" s="1636"/>
      <c r="G1766" s="1636"/>
      <c r="H1766" s="1636"/>
      <c r="I1766" s="1636"/>
      <c r="J1766" s="1636"/>
      <c r="K1766" s="1636"/>
      <c r="L1766" s="1636"/>
    </row>
    <row r="1767" spans="1:16" s="7" customFormat="1" ht="18" customHeight="1" x14ac:dyDescent="0.25">
      <c r="A1767" s="1624" t="s">
        <v>114</v>
      </c>
      <c r="B1767" s="1624"/>
      <c r="C1767" s="1624"/>
      <c r="D1767" s="1624"/>
      <c r="E1767" s="1624"/>
      <c r="F1767" s="1624"/>
      <c r="G1767" s="1624"/>
      <c r="H1767" s="1624"/>
      <c r="I1767" s="1624"/>
      <c r="J1767" s="1624"/>
      <c r="K1767" s="1624"/>
      <c r="L1767" s="1624"/>
      <c r="M1767" s="6"/>
      <c r="N1767" s="6"/>
    </row>
    <row r="1768" spans="1:16" ht="18.75" thickBot="1" x14ac:dyDescent="0.3">
      <c r="A1768" s="41"/>
      <c r="B1768" s="41"/>
      <c r="C1768" s="41"/>
      <c r="D1768" s="63"/>
      <c r="E1768" s="41"/>
      <c r="F1768" s="41"/>
      <c r="G1768" s="41"/>
      <c r="H1768" s="41"/>
    </row>
    <row r="1769" spans="1:16" ht="63" customHeight="1" thickBot="1" x14ac:dyDescent="0.3">
      <c r="A1769" s="1625" t="s">
        <v>115</v>
      </c>
      <c r="B1769" s="1626"/>
      <c r="C1769" s="1626"/>
      <c r="D1769" s="1626"/>
      <c r="E1769" s="1626"/>
      <c r="F1769" s="1626"/>
      <c r="G1769" s="1627"/>
      <c r="H1769" s="93" t="s">
        <v>116</v>
      </c>
      <c r="I1769" s="130" t="s">
        <v>117</v>
      </c>
      <c r="J1769" s="130" t="s">
        <v>118</v>
      </c>
      <c r="K1769" s="130" t="s">
        <v>119</v>
      </c>
      <c r="L1769" s="130" t="s">
        <v>120</v>
      </c>
    </row>
    <row r="1770" spans="1:16" s="146" customFormat="1" ht="18" customHeight="1" x14ac:dyDescent="0.25">
      <c r="A1770" s="495"/>
      <c r="B1770" s="496"/>
      <c r="C1770" s="496"/>
      <c r="D1770" s="1620" t="s">
        <v>818</v>
      </c>
      <c r="E1770" s="1620"/>
      <c r="F1770" s="1620"/>
      <c r="G1770" s="493"/>
      <c r="H1770" s="376"/>
      <c r="I1770" s="101"/>
      <c r="J1770" s="102"/>
      <c r="K1770" s="101"/>
      <c r="L1770" s="101"/>
      <c r="M1770" s="10"/>
      <c r="N1770" s="10"/>
      <c r="O1770"/>
      <c r="P1770"/>
    </row>
    <row r="1771" spans="1:16" s="146" customFormat="1" ht="18" customHeight="1" x14ac:dyDescent="0.25">
      <c r="A1771" s="519"/>
      <c r="B1771" s="499"/>
      <c r="C1771" s="499"/>
      <c r="D1771" s="129" t="s">
        <v>799</v>
      </c>
      <c r="E1771" s="153"/>
      <c r="F1771" s="153"/>
      <c r="G1771" s="153"/>
      <c r="H1771" s="292"/>
      <c r="I1771" s="101"/>
      <c r="J1771" s="102"/>
      <c r="K1771" s="101"/>
      <c r="L1771" s="101"/>
      <c r="M1771" s="10"/>
      <c r="N1771" s="10"/>
      <c r="O1771"/>
      <c r="P1771"/>
    </row>
    <row r="1772" spans="1:16" s="194" customFormat="1" ht="18" customHeight="1" x14ac:dyDescent="0.25">
      <c r="A1772" s="519"/>
      <c r="B1772" s="499"/>
      <c r="C1772" s="499"/>
      <c r="D1772" s="536" t="s">
        <v>824</v>
      </c>
      <c r="E1772" s="499"/>
      <c r="F1772" s="499"/>
      <c r="G1772" s="499"/>
      <c r="H1772" s="492"/>
      <c r="I1772" s="101"/>
      <c r="J1772" s="102"/>
      <c r="K1772" s="101"/>
      <c r="L1772" s="101">
        <v>80000</v>
      </c>
      <c r="M1772" s="10"/>
      <c r="N1772" s="10"/>
      <c r="O1772" s="191"/>
      <c r="P1772" s="191"/>
    </row>
    <row r="1773" spans="1:16" s="194" customFormat="1" ht="33.75" customHeight="1" x14ac:dyDescent="0.25">
      <c r="A1773" s="519"/>
      <c r="B1773" s="499"/>
      <c r="C1773" s="499"/>
      <c r="D1773" s="1611" t="s">
        <v>825</v>
      </c>
      <c r="E1773" s="1611"/>
      <c r="F1773" s="499"/>
      <c r="G1773" s="499"/>
      <c r="H1773" s="492"/>
      <c r="I1773" s="101"/>
      <c r="J1773" s="102"/>
      <c r="K1773" s="101"/>
      <c r="L1773" s="101">
        <v>16000</v>
      </c>
      <c r="M1773" s="10"/>
      <c r="N1773" s="10"/>
      <c r="O1773" s="191"/>
      <c r="P1773" s="191"/>
    </row>
    <row r="1774" spans="1:16" s="194" customFormat="1" ht="18" customHeight="1" x14ac:dyDescent="0.25">
      <c r="A1774" s="519"/>
      <c r="B1774" s="499"/>
      <c r="C1774" s="499"/>
      <c r="D1774" s="536" t="s">
        <v>826</v>
      </c>
      <c r="E1774" s="499"/>
      <c r="F1774" s="499"/>
      <c r="G1774" s="499"/>
      <c r="H1774" s="492"/>
      <c r="I1774" s="101"/>
      <c r="J1774" s="102"/>
      <c r="K1774" s="101"/>
      <c r="L1774" s="101">
        <v>107000</v>
      </c>
      <c r="M1774" s="10"/>
      <c r="N1774" s="10"/>
      <c r="O1774" s="191"/>
      <c r="P1774" s="191"/>
    </row>
    <row r="1775" spans="1:16" s="194" customFormat="1" ht="18" customHeight="1" x14ac:dyDescent="0.25">
      <c r="A1775" s="519"/>
      <c r="B1775" s="499"/>
      <c r="C1775" s="499"/>
      <c r="D1775" s="536" t="s">
        <v>827</v>
      </c>
      <c r="E1775" s="499"/>
      <c r="F1775" s="499"/>
      <c r="G1775" s="499"/>
      <c r="H1775" s="492"/>
      <c r="I1775" s="101"/>
      <c r="J1775" s="102"/>
      <c r="K1775" s="101"/>
      <c r="L1775" s="101">
        <v>28000</v>
      </c>
      <c r="M1775" s="10"/>
      <c r="N1775" s="10"/>
      <c r="O1775" s="191"/>
      <c r="P1775" s="191"/>
    </row>
    <row r="1776" spans="1:16" s="146" customFormat="1" ht="18" customHeight="1" x14ac:dyDescent="0.25">
      <c r="A1776" s="519"/>
      <c r="B1776" s="499"/>
      <c r="C1776" s="499"/>
      <c r="D1776" s="536" t="s">
        <v>828</v>
      </c>
      <c r="E1776" s="499"/>
      <c r="F1776" s="499"/>
      <c r="G1776" s="491"/>
      <c r="H1776" s="100"/>
      <c r="I1776" s="101"/>
      <c r="J1776" s="102">
        <v>65687</v>
      </c>
      <c r="K1776" s="101"/>
      <c r="L1776" s="101"/>
      <c r="M1776" s="10"/>
      <c r="N1776" s="10"/>
      <c r="O1776"/>
      <c r="P1776"/>
    </row>
    <row r="1777" spans="1:16" s="146" customFormat="1" ht="18" customHeight="1" x14ac:dyDescent="0.25">
      <c r="A1777" s="519"/>
      <c r="B1777" s="499"/>
      <c r="C1777" s="499"/>
      <c r="D1777" s="536" t="s">
        <v>829</v>
      </c>
      <c r="E1777" s="499"/>
      <c r="F1777" s="499"/>
      <c r="G1777" s="491"/>
      <c r="H1777" s="100"/>
      <c r="I1777" s="101"/>
      <c r="J1777" s="102">
        <v>253750</v>
      </c>
      <c r="K1777" s="101"/>
      <c r="L1777" s="101"/>
      <c r="M1777" s="10"/>
      <c r="N1777" s="10"/>
      <c r="O1777"/>
      <c r="P1777"/>
    </row>
    <row r="1778" spans="1:16" s="146" customFormat="1" ht="18" x14ac:dyDescent="0.25">
      <c r="A1778" s="519"/>
      <c r="B1778" s="499"/>
      <c r="C1778" s="499"/>
      <c r="D1778" s="543" t="s">
        <v>823</v>
      </c>
      <c r="E1778" s="499"/>
      <c r="F1778" s="499"/>
      <c r="G1778" s="491"/>
      <c r="H1778" s="100"/>
      <c r="I1778" s="119">
        <f>SUM(I1776:I1777)</f>
        <v>0</v>
      </c>
      <c r="J1778" s="150">
        <f>SUM(J1776:J1777)</f>
        <v>319437</v>
      </c>
      <c r="K1778" s="119">
        <f>SUM(K1776:K1777)</f>
        <v>0</v>
      </c>
      <c r="L1778" s="119">
        <f>SUM(L1772:L1777)</f>
        <v>231000</v>
      </c>
      <c r="M1778" s="10"/>
      <c r="N1778" s="10"/>
      <c r="O1778"/>
      <c r="P1778"/>
    </row>
    <row r="1779" spans="1:16" ht="18" x14ac:dyDescent="0.25">
      <c r="A1779" s="519"/>
      <c r="B1779" s="499"/>
      <c r="C1779" s="499"/>
      <c r="D1779" s="543" t="s">
        <v>15</v>
      </c>
      <c r="E1779" s="499"/>
      <c r="F1779" s="499"/>
      <c r="G1779" s="491"/>
      <c r="H1779" s="195"/>
      <c r="I1779" s="119">
        <f>I1778+I1761</f>
        <v>108171.92</v>
      </c>
      <c r="J1779" s="150">
        <f>J1778+J1761</f>
        <v>631793</v>
      </c>
      <c r="K1779" s="119">
        <f>K1778+K1761</f>
        <v>90798.1</v>
      </c>
      <c r="L1779" s="119">
        <f>L1778+L1761</f>
        <v>481303</v>
      </c>
    </row>
    <row r="1780" spans="1:16" ht="18" x14ac:dyDescent="0.25">
      <c r="A1780" s="519"/>
      <c r="B1780" s="499"/>
      <c r="C1780" s="499"/>
      <c r="D1780" s="543"/>
      <c r="E1780" s="499"/>
      <c r="F1780" s="499"/>
      <c r="G1780" s="491"/>
      <c r="H1780" s="195"/>
      <c r="I1780" s="155"/>
      <c r="J1780" s="156"/>
      <c r="K1780" s="155"/>
      <c r="L1780" s="155"/>
    </row>
    <row r="1781" spans="1:16" s="146" customFormat="1" ht="18" x14ac:dyDescent="0.25">
      <c r="A1781" s="519"/>
      <c r="B1781" s="499"/>
      <c r="C1781" s="499"/>
      <c r="D1781" s="1620" t="s">
        <v>830</v>
      </c>
      <c r="E1781" s="1620"/>
      <c r="F1781" s="1620"/>
      <c r="G1781" s="1621"/>
      <c r="H1781" s="100"/>
      <c r="I1781" s="101"/>
      <c r="J1781" s="102"/>
      <c r="K1781" s="101"/>
      <c r="L1781" s="101"/>
      <c r="M1781" s="10"/>
      <c r="N1781" s="10"/>
      <c r="O1781"/>
      <c r="P1781"/>
    </row>
    <row r="1782" spans="1:16" s="146" customFormat="1" ht="18" x14ac:dyDescent="0.25">
      <c r="A1782" s="519"/>
      <c r="B1782" s="499"/>
      <c r="C1782" s="499"/>
      <c r="D1782" s="1620" t="s">
        <v>831</v>
      </c>
      <c r="E1782" s="1620"/>
      <c r="F1782" s="1620"/>
      <c r="G1782" s="1621"/>
      <c r="H1782" s="100"/>
      <c r="I1782" s="101"/>
      <c r="J1782" s="102"/>
      <c r="K1782" s="101"/>
      <c r="L1782" s="101"/>
      <c r="M1782" s="10"/>
      <c r="N1782" s="10"/>
      <c r="O1782"/>
      <c r="P1782"/>
    </row>
    <row r="1783" spans="1:16" s="229" customFormat="1" ht="18" x14ac:dyDescent="0.25">
      <c r="A1783" s="154"/>
      <c r="B1783" s="502"/>
      <c r="C1783" s="502"/>
      <c r="D1783" s="536" t="s">
        <v>832</v>
      </c>
      <c r="E1783" s="124"/>
      <c r="F1783" s="124"/>
      <c r="G1783" s="230"/>
      <c r="H1783" s="100" t="s">
        <v>165</v>
      </c>
      <c r="I1783" s="101"/>
      <c r="J1783" s="102">
        <v>20000</v>
      </c>
      <c r="K1783" s="112"/>
      <c r="L1783" s="101">
        <v>25000</v>
      </c>
      <c r="M1783" s="207"/>
      <c r="N1783" s="207"/>
      <c r="O1783" s="212"/>
      <c r="P1783" s="212"/>
    </row>
    <row r="1784" spans="1:16" s="229" customFormat="1" ht="18" x14ac:dyDescent="0.25">
      <c r="A1784" s="154"/>
      <c r="B1784" s="502"/>
      <c r="C1784" s="502"/>
      <c r="D1784" s="536" t="s">
        <v>819</v>
      </c>
      <c r="E1784" s="124"/>
      <c r="F1784" s="124"/>
      <c r="G1784" s="230"/>
      <c r="H1784" s="100" t="s">
        <v>167</v>
      </c>
      <c r="I1784" s="101"/>
      <c r="J1784" s="102">
        <v>50000</v>
      </c>
      <c r="K1784" s="112"/>
      <c r="L1784" s="101"/>
      <c r="M1784" s="207"/>
      <c r="N1784" s="207"/>
      <c r="O1784" s="212"/>
      <c r="P1784" s="212"/>
    </row>
    <row r="1785" spans="1:16" s="229" customFormat="1" ht="18" x14ac:dyDescent="0.25">
      <c r="A1785" s="154"/>
      <c r="B1785" s="502"/>
      <c r="C1785" s="502"/>
      <c r="D1785" s="44" t="s">
        <v>833</v>
      </c>
      <c r="E1785" s="125"/>
      <c r="F1785" s="125"/>
      <c r="G1785" s="134"/>
      <c r="H1785" s="100" t="s">
        <v>169</v>
      </c>
      <c r="I1785" s="101">
        <v>0</v>
      </c>
      <c r="J1785" s="102">
        <v>20000</v>
      </c>
      <c r="K1785" s="112"/>
      <c r="L1785" s="101">
        <v>102701</v>
      </c>
      <c r="M1785" s="207"/>
      <c r="N1785" s="207"/>
      <c r="O1785" s="212"/>
      <c r="P1785" s="212"/>
    </row>
    <row r="1786" spans="1:16" s="229" customFormat="1" ht="18" x14ac:dyDescent="0.25">
      <c r="A1786" s="154"/>
      <c r="B1786" s="502"/>
      <c r="C1786" s="502"/>
      <c r="D1786" s="536" t="s">
        <v>834</v>
      </c>
      <c r="E1786" s="124"/>
      <c r="F1786" s="124"/>
      <c r="G1786" s="230"/>
      <c r="H1786" s="100" t="s">
        <v>173</v>
      </c>
      <c r="I1786" s="101"/>
      <c r="J1786" s="102">
        <v>10000</v>
      </c>
      <c r="K1786" s="112"/>
      <c r="L1786" s="101">
        <v>69840</v>
      </c>
      <c r="M1786" s="207"/>
      <c r="N1786" s="207"/>
      <c r="O1786" s="212"/>
      <c r="P1786" s="212"/>
    </row>
    <row r="1787" spans="1:16" s="229" customFormat="1" ht="18" x14ac:dyDescent="0.25">
      <c r="A1787" s="154"/>
      <c r="B1787" s="502"/>
      <c r="C1787" s="502"/>
      <c r="D1787" s="536" t="s">
        <v>835</v>
      </c>
      <c r="E1787" s="124"/>
      <c r="F1787" s="124"/>
      <c r="G1787" s="230"/>
      <c r="H1787" s="100" t="s">
        <v>171</v>
      </c>
      <c r="I1787" s="101"/>
      <c r="J1787" s="102"/>
      <c r="K1787" s="112"/>
      <c r="L1787" s="101">
        <v>92880</v>
      </c>
      <c r="M1787" s="207">
        <v>50380</v>
      </c>
      <c r="N1787" s="207"/>
      <c r="O1787" s="212"/>
      <c r="P1787" s="212"/>
    </row>
    <row r="1788" spans="1:16" s="229" customFormat="1" ht="18" x14ac:dyDescent="0.25">
      <c r="A1788" s="154"/>
      <c r="B1788" s="502"/>
      <c r="C1788" s="502"/>
      <c r="D1788" s="536" t="s">
        <v>836</v>
      </c>
      <c r="E1788" s="124"/>
      <c r="F1788" s="124"/>
      <c r="G1788" s="230"/>
      <c r="H1788" s="100" t="s">
        <v>171</v>
      </c>
      <c r="I1788" s="101"/>
      <c r="J1788" s="102">
        <v>2500</v>
      </c>
      <c r="K1788" s="112"/>
      <c r="L1788" s="101"/>
      <c r="M1788" s="207">
        <v>20000</v>
      </c>
      <c r="N1788" s="207"/>
      <c r="O1788" s="212"/>
      <c r="P1788" s="212"/>
    </row>
    <row r="1789" spans="1:16" s="229" customFormat="1" ht="18" customHeight="1" x14ac:dyDescent="0.25">
      <c r="A1789" s="154"/>
      <c r="B1789" s="502"/>
      <c r="C1789" s="502"/>
      <c r="D1789" s="536" t="s">
        <v>837</v>
      </c>
      <c r="E1789" s="124"/>
      <c r="F1789" s="124"/>
      <c r="G1789" s="230"/>
      <c r="H1789" s="100" t="s">
        <v>171</v>
      </c>
      <c r="I1789" s="101"/>
      <c r="J1789" s="102">
        <v>15000</v>
      </c>
      <c r="K1789" s="101"/>
      <c r="L1789" s="101"/>
      <c r="M1789" s="207">
        <v>20000</v>
      </c>
      <c r="N1789" s="207"/>
      <c r="O1789" s="212"/>
      <c r="P1789" s="212"/>
    </row>
    <row r="1790" spans="1:16" s="229" customFormat="1" ht="18" customHeight="1" x14ac:dyDescent="0.25">
      <c r="A1790" s="154"/>
      <c r="B1790" s="502"/>
      <c r="C1790" s="502"/>
      <c r="D1790" s="44" t="s">
        <v>838</v>
      </c>
      <c r="E1790" s="124"/>
      <c r="F1790" s="124"/>
      <c r="G1790" s="124"/>
      <c r="H1790" s="100"/>
      <c r="I1790" s="105"/>
      <c r="J1790" s="106"/>
      <c r="K1790" s="105"/>
      <c r="L1790" s="105">
        <v>60000</v>
      </c>
      <c r="M1790" s="207"/>
      <c r="N1790" s="207"/>
      <c r="O1790" s="212"/>
      <c r="P1790" s="212"/>
    </row>
    <row r="1791" spans="1:16" s="146" customFormat="1" ht="15.75" customHeight="1" x14ac:dyDescent="0.25">
      <c r="A1791" s="519"/>
      <c r="B1791" s="499"/>
      <c r="C1791" s="499"/>
      <c r="D1791" s="496" t="s">
        <v>823</v>
      </c>
      <c r="F1791" s="499"/>
      <c r="G1791" s="499"/>
      <c r="H1791" s="100"/>
      <c r="I1791" s="119">
        <f>SUM(I1783:I1789)</f>
        <v>0</v>
      </c>
      <c r="J1791" s="150">
        <f>SUM(J1783:J1789)</f>
        <v>117500</v>
      </c>
      <c r="K1791" s="119">
        <f>SUM(K1783:K1789)</f>
        <v>0</v>
      </c>
      <c r="L1791" s="119">
        <f>SUM(L1783:L1790)</f>
        <v>350421</v>
      </c>
      <c r="M1791" s="10">
        <v>2500</v>
      </c>
      <c r="N1791" s="10"/>
      <c r="O1791"/>
      <c r="P1791"/>
    </row>
    <row r="1792" spans="1:16" s="146" customFormat="1" ht="15.75" customHeight="1" x14ac:dyDescent="0.25">
      <c r="A1792" s="519"/>
      <c r="B1792" s="499"/>
      <c r="C1792" s="499"/>
      <c r="D1792" s="9"/>
      <c r="E1792" s="496"/>
      <c r="F1792" s="499"/>
      <c r="G1792" s="499"/>
      <c r="H1792" s="100"/>
      <c r="I1792" s="155"/>
      <c r="J1792" s="156"/>
      <c r="K1792" s="155"/>
      <c r="L1792" s="155"/>
      <c r="M1792" s="10">
        <f>SUM(M1787:M1791)</f>
        <v>92880</v>
      </c>
      <c r="N1792" s="10"/>
      <c r="O1792"/>
      <c r="P1792"/>
    </row>
    <row r="1793" spans="1:16" s="146" customFormat="1" ht="18" customHeight="1" x14ac:dyDescent="0.25">
      <c r="A1793" s="519"/>
      <c r="B1793" s="499"/>
      <c r="C1793" s="499"/>
      <c r="D1793" s="129" t="s">
        <v>799</v>
      </c>
      <c r="E1793" s="152"/>
      <c r="F1793" s="152"/>
      <c r="G1793" s="152"/>
      <c r="H1793" s="186"/>
      <c r="I1793" s="155"/>
      <c r="J1793" s="156"/>
      <c r="K1793" s="155"/>
      <c r="L1793" s="155"/>
      <c r="M1793" s="10"/>
      <c r="N1793" s="10"/>
      <c r="O1793"/>
      <c r="P1793"/>
    </row>
    <row r="1794" spans="1:16" s="146" customFormat="1" ht="18" customHeight="1" x14ac:dyDescent="0.25">
      <c r="A1794" s="519"/>
      <c r="B1794" s="499"/>
      <c r="C1794" s="499"/>
      <c r="D1794" s="38" t="s">
        <v>839</v>
      </c>
      <c r="E1794" s="152"/>
      <c r="F1794" s="152"/>
      <c r="G1794" s="152"/>
      <c r="H1794" s="186"/>
      <c r="I1794" s="155"/>
      <c r="J1794" s="156"/>
      <c r="K1794" s="155"/>
      <c r="L1794" s="101">
        <v>45000</v>
      </c>
      <c r="M1794" s="10"/>
      <c r="N1794" s="10"/>
      <c r="O1794"/>
      <c r="P1794"/>
    </row>
    <row r="1795" spans="1:16" s="146" customFormat="1" ht="18" x14ac:dyDescent="0.25">
      <c r="A1795" s="519"/>
      <c r="B1795" s="499"/>
      <c r="C1795" s="499"/>
      <c r="D1795" s="38" t="s">
        <v>840</v>
      </c>
      <c r="E1795" s="499"/>
      <c r="F1795" s="499"/>
      <c r="G1795" s="499"/>
      <c r="H1795" s="100"/>
      <c r="I1795" s="155"/>
      <c r="J1795" s="102">
        <v>30000</v>
      </c>
      <c r="K1795" s="155"/>
      <c r="L1795" s="155"/>
      <c r="M1795" s="10"/>
      <c r="N1795" s="10"/>
      <c r="O1795"/>
      <c r="P1795"/>
    </row>
    <row r="1796" spans="1:16" s="146" customFormat="1" ht="18" x14ac:dyDescent="0.25">
      <c r="A1796" s="519"/>
      <c r="B1796" s="499"/>
      <c r="C1796" s="499"/>
      <c r="D1796" s="38" t="s">
        <v>824</v>
      </c>
      <c r="E1796" s="499"/>
      <c r="F1796" s="499"/>
      <c r="G1796" s="491"/>
      <c r="H1796" s="100"/>
      <c r="I1796" s="155"/>
      <c r="J1796" s="102">
        <v>75000</v>
      </c>
      <c r="K1796" s="155"/>
      <c r="L1796" s="101">
        <v>80000</v>
      </c>
      <c r="M1796" s="10"/>
      <c r="N1796" s="10"/>
      <c r="O1796"/>
      <c r="P1796"/>
    </row>
    <row r="1797" spans="1:16" s="146" customFormat="1" ht="18" x14ac:dyDescent="0.25">
      <c r="A1797" s="519"/>
      <c r="B1797" s="499"/>
      <c r="C1797" s="499"/>
      <c r="D1797" s="38" t="s">
        <v>841</v>
      </c>
      <c r="E1797" s="499"/>
      <c r="F1797" s="499"/>
      <c r="G1797" s="491"/>
      <c r="H1797" s="100"/>
      <c r="I1797" s="155"/>
      <c r="J1797" s="102">
        <v>30000</v>
      </c>
      <c r="K1797" s="155"/>
      <c r="L1797" s="155"/>
      <c r="M1797" s="10"/>
      <c r="N1797" s="10"/>
      <c r="O1797"/>
      <c r="P1797"/>
    </row>
    <row r="1798" spans="1:16" s="146" customFormat="1" ht="15" customHeight="1" x14ac:dyDescent="0.25">
      <c r="A1798" s="519"/>
      <c r="B1798" s="499"/>
      <c r="C1798" s="499"/>
      <c r="D1798" s="496" t="s">
        <v>823</v>
      </c>
      <c r="F1798" s="499"/>
      <c r="G1798" s="491"/>
      <c r="H1798" s="100"/>
      <c r="I1798" s="150">
        <f>SUM(I1795:I1797)</f>
        <v>0</v>
      </c>
      <c r="J1798" s="150">
        <f>SUM(J1795:J1797)</f>
        <v>135000</v>
      </c>
      <c r="K1798" s="150">
        <f>SUM(K1795:K1797)</f>
        <v>0</v>
      </c>
      <c r="L1798" s="150">
        <f>SUM(L1794:L1797)</f>
        <v>125000</v>
      </c>
      <c r="M1798" s="10"/>
      <c r="N1798" s="10"/>
      <c r="O1798"/>
      <c r="P1798"/>
    </row>
    <row r="1799" spans="1:16" s="146" customFormat="1" ht="18.75" thickBot="1" x14ac:dyDescent="0.3">
      <c r="A1799" s="519"/>
      <c r="B1799" s="499"/>
      <c r="C1799" s="499"/>
      <c r="D1799" s="496" t="s">
        <v>15</v>
      </c>
      <c r="F1799" s="499"/>
      <c r="G1799" s="491"/>
      <c r="H1799" s="308"/>
      <c r="I1799" s="123">
        <f>I1798+I1791</f>
        <v>0</v>
      </c>
      <c r="J1799" s="158">
        <f>J1798+J1791</f>
        <v>252500</v>
      </c>
      <c r="K1799" s="123">
        <f>K1798+K1791</f>
        <v>0</v>
      </c>
      <c r="L1799" s="123">
        <f>L1798+L1791</f>
        <v>475421</v>
      </c>
      <c r="M1799" s="10"/>
      <c r="N1799" s="10"/>
      <c r="O1799"/>
      <c r="P1799"/>
    </row>
    <row r="1800" spans="1:16" s="146" customFormat="1" ht="18" x14ac:dyDescent="0.25">
      <c r="A1800" s="519"/>
      <c r="B1800" s="499"/>
      <c r="C1800" s="499"/>
      <c r="D1800" s="51"/>
      <c r="E1800" s="496"/>
      <c r="F1800" s="499"/>
      <c r="G1800" s="491"/>
      <c r="H1800" s="100"/>
      <c r="I1800" s="155"/>
      <c r="J1800" s="156"/>
      <c r="K1800" s="155"/>
      <c r="L1800" s="155"/>
      <c r="M1800" s="10"/>
      <c r="N1800" s="10"/>
      <c r="O1800"/>
      <c r="P1800"/>
    </row>
    <row r="1801" spans="1:16" s="146" customFormat="1" ht="18" x14ac:dyDescent="0.25">
      <c r="A1801" s="519"/>
      <c r="B1801" s="499"/>
      <c r="C1801" s="499"/>
      <c r="D1801" s="1620" t="s">
        <v>842</v>
      </c>
      <c r="E1801" s="1620"/>
      <c r="F1801" s="1620"/>
      <c r="G1801" s="1621"/>
      <c r="H1801" s="100"/>
      <c r="I1801" s="101"/>
      <c r="J1801" s="102"/>
      <c r="K1801" s="101"/>
      <c r="L1801" s="101"/>
      <c r="M1801" s="10"/>
      <c r="N1801" s="10"/>
      <c r="O1801"/>
      <c r="P1801"/>
    </row>
    <row r="1802" spans="1:16" s="146" customFormat="1" ht="18" x14ac:dyDescent="0.25">
      <c r="A1802" s="519"/>
      <c r="B1802" s="499"/>
      <c r="C1802" s="499"/>
      <c r="D1802" s="1620" t="s">
        <v>813</v>
      </c>
      <c r="E1802" s="1620"/>
      <c r="F1802" s="1620"/>
      <c r="G1802" s="1621"/>
      <c r="H1802" s="100"/>
      <c r="I1802" s="101"/>
      <c r="J1802" s="102"/>
      <c r="K1802" s="101"/>
      <c r="L1802" s="250"/>
      <c r="M1802" s="10"/>
      <c r="N1802" s="10"/>
      <c r="O1802"/>
      <c r="P1802"/>
    </row>
    <row r="1803" spans="1:16" s="229" customFormat="1" ht="18" x14ac:dyDescent="0.25">
      <c r="A1803" s="154"/>
      <c r="B1803" s="502"/>
      <c r="C1803" s="502"/>
      <c r="D1803" s="44" t="s">
        <v>804</v>
      </c>
      <c r="E1803" s="125"/>
      <c r="F1803" s="125"/>
      <c r="G1803" s="134"/>
      <c r="H1803" s="100" t="s">
        <v>165</v>
      </c>
      <c r="I1803" s="101">
        <v>0</v>
      </c>
      <c r="J1803" s="102">
        <v>50000</v>
      </c>
      <c r="K1803" s="101"/>
      <c r="L1803" s="250">
        <v>25000</v>
      </c>
      <c r="M1803" s="207"/>
      <c r="N1803" s="207"/>
      <c r="O1803" s="212"/>
      <c r="P1803" s="212"/>
    </row>
    <row r="1804" spans="1:16" s="229" customFormat="1" ht="18" customHeight="1" x14ac:dyDescent="0.25">
      <c r="A1804" s="154"/>
      <c r="B1804" s="502"/>
      <c r="C1804" s="502"/>
      <c r="D1804" s="536" t="s">
        <v>819</v>
      </c>
      <c r="E1804" s="124"/>
      <c r="F1804" s="124"/>
      <c r="G1804" s="230"/>
      <c r="H1804" s="100" t="s">
        <v>167</v>
      </c>
      <c r="I1804" s="101"/>
      <c r="J1804" s="102">
        <v>50000</v>
      </c>
      <c r="K1804" s="101"/>
      <c r="L1804" s="250"/>
      <c r="M1804" s="207"/>
      <c r="N1804" s="207"/>
      <c r="O1804" s="212"/>
      <c r="P1804" s="212"/>
    </row>
    <row r="1805" spans="1:16" s="229" customFormat="1" ht="18" customHeight="1" x14ac:dyDescent="0.25">
      <c r="A1805" s="154"/>
      <c r="B1805" s="502"/>
      <c r="C1805" s="502"/>
      <c r="D1805" s="44" t="s">
        <v>806</v>
      </c>
      <c r="E1805" s="125"/>
      <c r="F1805" s="125"/>
      <c r="G1805" s="134"/>
      <c r="H1805" s="100" t="s">
        <v>169</v>
      </c>
      <c r="I1805" s="101">
        <v>81208</v>
      </c>
      <c r="J1805" s="102">
        <v>66591</v>
      </c>
      <c r="K1805" s="101">
        <v>43954.5</v>
      </c>
      <c r="L1805" s="250">
        <v>80921</v>
      </c>
      <c r="M1805" s="207"/>
      <c r="N1805" s="207"/>
      <c r="O1805" s="212"/>
      <c r="P1805" s="212"/>
    </row>
    <row r="1806" spans="1:16" s="229" customFormat="1" ht="18" customHeight="1" x14ac:dyDescent="0.25">
      <c r="A1806" s="154"/>
      <c r="B1806" s="502"/>
      <c r="C1806" s="502"/>
      <c r="D1806" s="206" t="s">
        <v>843</v>
      </c>
      <c r="E1806" s="502"/>
      <c r="F1806" s="502"/>
      <c r="G1806" s="503"/>
      <c r="H1806" s="100" t="s">
        <v>173</v>
      </c>
      <c r="I1806" s="101">
        <v>45875.1</v>
      </c>
      <c r="J1806" s="102">
        <v>30000</v>
      </c>
      <c r="K1806" s="101">
        <v>10560.2</v>
      </c>
      <c r="L1806" s="101"/>
      <c r="M1806" s="207"/>
      <c r="N1806" s="207"/>
      <c r="O1806" s="212"/>
      <c r="P1806" s="212"/>
    </row>
    <row r="1807" spans="1:16" s="229" customFormat="1" ht="18" customHeight="1" x14ac:dyDescent="0.25">
      <c r="A1807" s="154"/>
      <c r="B1807" s="502"/>
      <c r="C1807" s="502"/>
      <c r="D1807" s="44" t="s">
        <v>844</v>
      </c>
      <c r="E1807" s="125"/>
      <c r="F1807" s="125"/>
      <c r="G1807" s="134"/>
      <c r="H1807" s="100" t="s">
        <v>171</v>
      </c>
      <c r="I1807" s="101">
        <v>36553.25</v>
      </c>
      <c r="J1807" s="102">
        <v>54910</v>
      </c>
      <c r="K1807" s="101"/>
      <c r="L1807" s="101"/>
      <c r="M1807" s="207"/>
      <c r="N1807" s="207"/>
      <c r="O1807" s="212"/>
      <c r="P1807" s="212"/>
    </row>
    <row r="1808" spans="1:16" s="229" customFormat="1" ht="18" customHeight="1" x14ac:dyDescent="0.25">
      <c r="A1808" s="154"/>
      <c r="B1808" s="502"/>
      <c r="C1808" s="502"/>
      <c r="D1808" s="44" t="s">
        <v>835</v>
      </c>
      <c r="E1808" s="125"/>
      <c r="F1808" s="125"/>
      <c r="G1808" s="503"/>
      <c r="H1808" s="100" t="s">
        <v>171</v>
      </c>
      <c r="I1808" s="101"/>
      <c r="J1808" s="102"/>
      <c r="K1808" s="101"/>
      <c r="L1808" s="101">
        <v>85000</v>
      </c>
      <c r="M1808" s="207"/>
      <c r="N1808" s="207"/>
      <c r="O1808" s="212"/>
      <c r="P1808" s="212"/>
    </row>
    <row r="1809" spans="1:16" s="229" customFormat="1" ht="18" customHeight="1" x14ac:dyDescent="0.25">
      <c r="A1809" s="154"/>
      <c r="B1809" s="502"/>
      <c r="C1809" s="502"/>
      <c r="D1809" s="206" t="s">
        <v>846</v>
      </c>
      <c r="E1809" s="502"/>
      <c r="F1809" s="502"/>
      <c r="G1809" s="503"/>
      <c r="H1809" s="100" t="s">
        <v>171</v>
      </c>
      <c r="I1809" s="101">
        <v>19000</v>
      </c>
      <c r="J1809" s="102"/>
      <c r="K1809" s="101"/>
      <c r="L1809" s="101"/>
      <c r="M1809" s="207"/>
      <c r="N1809" s="207"/>
      <c r="O1809" s="212"/>
      <c r="P1809" s="212"/>
    </row>
    <row r="1810" spans="1:16" s="229" customFormat="1" ht="18" customHeight="1" x14ac:dyDescent="0.25">
      <c r="A1810" s="154"/>
      <c r="B1810" s="502"/>
      <c r="C1810" s="502"/>
      <c r="D1810" s="206" t="s">
        <v>847</v>
      </c>
      <c r="E1810" s="502"/>
      <c r="F1810" s="502"/>
      <c r="G1810" s="503"/>
      <c r="H1810" s="100" t="s">
        <v>171</v>
      </c>
      <c r="I1810" s="101">
        <v>29250</v>
      </c>
      <c r="J1810" s="102"/>
      <c r="K1810" s="101"/>
      <c r="L1810" s="101"/>
      <c r="M1810" s="207"/>
      <c r="N1810" s="207"/>
      <c r="O1810" s="212"/>
      <c r="P1810" s="212"/>
    </row>
    <row r="1811" spans="1:16" s="229" customFormat="1" ht="18" x14ac:dyDescent="0.25">
      <c r="A1811" s="154"/>
      <c r="B1811" s="502"/>
      <c r="C1811" s="502"/>
      <c r="D1811" s="206" t="s">
        <v>848</v>
      </c>
      <c r="E1811" s="502"/>
      <c r="F1811" s="502"/>
      <c r="G1811" s="503"/>
      <c r="H1811" s="100" t="s">
        <v>171</v>
      </c>
      <c r="I1811" s="101"/>
      <c r="J1811" s="102">
        <v>20000</v>
      </c>
      <c r="K1811" s="101"/>
      <c r="L1811" s="101"/>
      <c r="M1811" s="207"/>
      <c r="N1811" s="207"/>
      <c r="O1811" s="212"/>
      <c r="P1811" s="212"/>
    </row>
    <row r="1812" spans="1:16" s="229" customFormat="1" ht="18" x14ac:dyDescent="0.25">
      <c r="A1812" s="154"/>
      <c r="B1812" s="502"/>
      <c r="C1812" s="502"/>
      <c r="D1812" s="206" t="s">
        <v>849</v>
      </c>
      <c r="E1812" s="502"/>
      <c r="F1812" s="502"/>
      <c r="G1812" s="503"/>
      <c r="H1812" s="100" t="s">
        <v>171</v>
      </c>
      <c r="I1812" s="101"/>
      <c r="J1812" s="102">
        <v>20000</v>
      </c>
      <c r="K1812" s="101"/>
      <c r="L1812" s="101"/>
      <c r="M1812" s="207"/>
      <c r="N1812" s="207"/>
      <c r="O1812" s="212"/>
      <c r="P1812" s="212"/>
    </row>
    <row r="1813" spans="1:16" s="229" customFormat="1" ht="18" x14ac:dyDescent="0.25">
      <c r="A1813" s="154"/>
      <c r="B1813" s="502"/>
      <c r="C1813" s="502"/>
      <c r="D1813" s="206" t="s">
        <v>850</v>
      </c>
      <c r="E1813" s="502"/>
      <c r="F1813" s="502"/>
      <c r="G1813" s="503"/>
      <c r="H1813" s="100" t="s">
        <v>171</v>
      </c>
      <c r="I1813" s="101"/>
      <c r="J1813" s="102">
        <v>2500</v>
      </c>
      <c r="K1813" s="101"/>
      <c r="L1813" s="101"/>
      <c r="M1813" s="207"/>
      <c r="N1813" s="207"/>
      <c r="O1813" s="212"/>
      <c r="P1813" s="212"/>
    </row>
    <row r="1814" spans="1:16" s="229" customFormat="1" ht="18" x14ac:dyDescent="0.25">
      <c r="A1814" s="154"/>
      <c r="B1814" s="502"/>
      <c r="C1814" s="502"/>
      <c r="D1814" s="44" t="s">
        <v>851</v>
      </c>
      <c r="E1814" s="125"/>
      <c r="F1814" s="502"/>
      <c r="G1814" s="503"/>
      <c r="H1814" s="100" t="s">
        <v>383</v>
      </c>
      <c r="I1814" s="101">
        <v>0</v>
      </c>
      <c r="J1814" s="102">
        <v>12000</v>
      </c>
      <c r="K1814" s="101">
        <v>3740.98</v>
      </c>
      <c r="L1814" s="101">
        <v>12000</v>
      </c>
      <c r="M1814" s="207"/>
      <c r="N1814" s="207"/>
      <c r="O1814" s="212"/>
      <c r="P1814" s="212"/>
    </row>
    <row r="1815" spans="1:16" s="229" customFormat="1" ht="18" x14ac:dyDescent="0.25">
      <c r="A1815" s="154"/>
      <c r="B1815" s="502"/>
      <c r="C1815" s="502"/>
      <c r="D1815" s="44" t="s">
        <v>815</v>
      </c>
      <c r="E1815" s="125"/>
      <c r="F1815" s="125"/>
      <c r="G1815" s="503"/>
      <c r="H1815" s="100" t="s">
        <v>385</v>
      </c>
      <c r="I1815" s="101">
        <v>88.91</v>
      </c>
      <c r="J1815" s="102">
        <v>144000</v>
      </c>
      <c r="K1815" s="101"/>
      <c r="L1815" s="101">
        <v>144000</v>
      </c>
      <c r="M1815" s="207"/>
      <c r="N1815" s="207"/>
      <c r="O1815" s="212"/>
      <c r="P1815" s="212"/>
    </row>
    <row r="1816" spans="1:16" s="229" customFormat="1" ht="18" x14ac:dyDescent="0.25">
      <c r="A1816" s="154"/>
      <c r="B1816" s="502"/>
      <c r="C1816" s="502"/>
      <c r="D1816" s="44" t="s">
        <v>852</v>
      </c>
      <c r="E1816" s="125"/>
      <c r="F1816" s="125"/>
      <c r="G1816" s="503"/>
      <c r="H1816" s="100"/>
      <c r="I1816" s="101"/>
      <c r="J1816" s="102"/>
      <c r="K1816" s="101"/>
      <c r="L1816" s="101">
        <v>36000</v>
      </c>
      <c r="M1816" s="207"/>
      <c r="N1816" s="207"/>
      <c r="O1816" s="212"/>
      <c r="P1816" s="212"/>
    </row>
    <row r="1817" spans="1:16" s="229" customFormat="1" ht="18" x14ac:dyDescent="0.25">
      <c r="A1817" s="154"/>
      <c r="B1817" s="502"/>
      <c r="C1817" s="502"/>
      <c r="D1817" s="44" t="s">
        <v>853</v>
      </c>
      <c r="E1817" s="125"/>
      <c r="F1817" s="125"/>
      <c r="G1817" s="134"/>
      <c r="H1817" s="100" t="s">
        <v>183</v>
      </c>
      <c r="I1817" s="101">
        <v>19791</v>
      </c>
      <c r="J1817" s="102">
        <v>60000</v>
      </c>
      <c r="K1817" s="101">
        <v>19092</v>
      </c>
      <c r="L1817" s="101"/>
      <c r="M1817" s="207"/>
      <c r="N1817" s="207"/>
      <c r="O1817" s="212"/>
      <c r="P1817" s="212"/>
    </row>
    <row r="1818" spans="1:16" s="229" customFormat="1" ht="18" customHeight="1" x14ac:dyDescent="0.25">
      <c r="A1818" s="154"/>
      <c r="B1818" s="502"/>
      <c r="C1818" s="502"/>
      <c r="D1818" s="44" t="s">
        <v>808</v>
      </c>
      <c r="E1818" s="125"/>
      <c r="F1818" s="125"/>
      <c r="G1818" s="134"/>
      <c r="H1818" s="195" t="s">
        <v>199</v>
      </c>
      <c r="I1818" s="101">
        <v>160545.45000000001</v>
      </c>
      <c r="J1818" s="102">
        <v>270000</v>
      </c>
      <c r="K1818" s="101">
        <v>15500</v>
      </c>
      <c r="L1818" s="105">
        <v>270000</v>
      </c>
      <c r="M1818" s="207"/>
      <c r="N1818" s="207"/>
      <c r="O1818" s="212"/>
      <c r="P1818" s="212"/>
    </row>
    <row r="1819" spans="1:16" s="146" customFormat="1" ht="18" x14ac:dyDescent="0.25">
      <c r="A1819" s="519"/>
      <c r="B1819" s="499"/>
      <c r="C1819" s="499"/>
      <c r="D1819" s="496" t="s">
        <v>823</v>
      </c>
      <c r="E1819" s="573"/>
      <c r="F1819" s="499"/>
      <c r="G1819" s="499"/>
      <c r="H1819" s="195"/>
      <c r="I1819" s="119">
        <f>SUM(I1803:I1818)</f>
        <v>392311.71</v>
      </c>
      <c r="J1819" s="119">
        <f>SUM(J1803:J1818)</f>
        <v>780001</v>
      </c>
      <c r="K1819" s="119">
        <f>SUM(K1803:K1818)</f>
        <v>92847.679999999993</v>
      </c>
      <c r="L1819" s="119">
        <f>SUM(L1803:L1818)</f>
        <v>652921</v>
      </c>
      <c r="M1819" s="10"/>
      <c r="N1819" s="10"/>
      <c r="O1819"/>
      <c r="P1819"/>
    </row>
    <row r="1820" spans="1:16" s="229" customFormat="1" ht="18" customHeight="1" x14ac:dyDescent="0.25">
      <c r="A1820" s="154"/>
      <c r="B1820" s="502"/>
      <c r="C1820" s="502"/>
      <c r="D1820" s="44"/>
      <c r="E1820" s="125"/>
      <c r="F1820" s="125"/>
      <c r="G1820" s="125"/>
      <c r="H1820" s="381"/>
      <c r="I1820" s="101"/>
      <c r="J1820" s="102"/>
      <c r="K1820" s="101"/>
      <c r="L1820" s="101"/>
      <c r="M1820" s="207"/>
      <c r="N1820" s="207"/>
      <c r="O1820" s="212"/>
      <c r="P1820" s="212"/>
    </row>
    <row r="1821" spans="1:16" s="146" customFormat="1" ht="18" customHeight="1" x14ac:dyDescent="0.25">
      <c r="A1821" s="519"/>
      <c r="B1821" s="499"/>
      <c r="C1821" s="499"/>
      <c r="D1821" s="129" t="s">
        <v>799</v>
      </c>
      <c r="E1821" s="153"/>
      <c r="F1821" s="153"/>
      <c r="G1821" s="153"/>
      <c r="H1821" s="574"/>
      <c r="I1821" s="101"/>
      <c r="J1821" s="102"/>
      <c r="K1821" s="101"/>
      <c r="L1821" s="101"/>
      <c r="M1821" s="10"/>
      <c r="N1821" s="10"/>
      <c r="O1821"/>
      <c r="P1821"/>
    </row>
    <row r="1822" spans="1:16" s="146" customFormat="1" ht="18" customHeight="1" x14ac:dyDescent="0.25">
      <c r="A1822" s="519"/>
      <c r="B1822" s="499"/>
      <c r="C1822" s="499"/>
      <c r="D1822" s="536" t="s">
        <v>854</v>
      </c>
      <c r="E1822" s="496"/>
      <c r="F1822" s="496"/>
      <c r="G1822" s="496"/>
      <c r="H1822" s="494"/>
      <c r="I1822" s="101"/>
      <c r="J1822" s="102"/>
      <c r="K1822" s="101"/>
      <c r="L1822" s="101">
        <v>50000</v>
      </c>
      <c r="M1822" s="10"/>
      <c r="N1822" s="10"/>
      <c r="O1822"/>
      <c r="P1822"/>
    </row>
    <row r="1823" spans="1:16" s="146" customFormat="1" ht="18" customHeight="1" x14ac:dyDescent="0.25">
      <c r="A1823" s="519"/>
      <c r="B1823" s="499"/>
      <c r="C1823" s="499"/>
      <c r="D1823" s="536" t="s">
        <v>855</v>
      </c>
      <c r="E1823" s="496"/>
      <c r="F1823" s="496"/>
      <c r="G1823" s="496"/>
      <c r="H1823" s="494"/>
      <c r="I1823" s="101"/>
      <c r="J1823" s="102"/>
      <c r="K1823" s="101"/>
      <c r="L1823" s="101">
        <v>56000</v>
      </c>
      <c r="M1823" s="10"/>
      <c r="N1823" s="10">
        <f>14000*4</f>
        <v>56000</v>
      </c>
      <c r="O1823"/>
      <c r="P1823"/>
    </row>
    <row r="1824" spans="1:16" s="146" customFormat="1" ht="18" x14ac:dyDescent="0.25">
      <c r="A1824" s="519"/>
      <c r="B1824" s="499"/>
      <c r="C1824" s="499"/>
      <c r="D1824" s="1611" t="s">
        <v>856</v>
      </c>
      <c r="E1824" s="1611"/>
      <c r="F1824" s="1611"/>
      <c r="G1824" s="499"/>
      <c r="H1824" s="100"/>
      <c r="I1824" s="101">
        <v>0</v>
      </c>
      <c r="J1824" s="102">
        <v>45000</v>
      </c>
      <c r="K1824" s="101"/>
      <c r="L1824" s="101"/>
      <c r="M1824" s="10"/>
      <c r="N1824" s="10"/>
      <c r="O1824"/>
      <c r="P1824"/>
    </row>
    <row r="1825" spans="1:16" s="146" customFormat="1" ht="18" x14ac:dyDescent="0.25">
      <c r="A1825" s="519"/>
      <c r="B1825" s="499"/>
      <c r="C1825" s="499"/>
      <c r="D1825" s="1611" t="s">
        <v>857</v>
      </c>
      <c r="E1825" s="1611"/>
      <c r="F1825" s="1611"/>
      <c r="G1825" s="499"/>
      <c r="H1825" s="100"/>
      <c r="I1825" s="101">
        <v>0</v>
      </c>
      <c r="J1825" s="102">
        <v>75000</v>
      </c>
      <c r="K1825" s="101"/>
      <c r="L1825" s="105">
        <v>80000</v>
      </c>
      <c r="M1825" s="10"/>
      <c r="N1825" s="10"/>
      <c r="O1825"/>
      <c r="P1825"/>
    </row>
    <row r="1826" spans="1:16" s="146" customFormat="1" ht="18" x14ac:dyDescent="0.25">
      <c r="A1826" s="519"/>
      <c r="B1826" s="499"/>
      <c r="C1826" s="499"/>
      <c r="D1826" s="496" t="s">
        <v>823</v>
      </c>
      <c r="E1826" s="573"/>
      <c r="F1826" s="499"/>
      <c r="G1826" s="499"/>
      <c r="H1826" s="100"/>
      <c r="I1826" s="119">
        <f>SUM(I1822:I1825)</f>
        <v>0</v>
      </c>
      <c r="J1826" s="119">
        <f>SUM(J1822:J1825)</f>
        <v>120000</v>
      </c>
      <c r="K1826" s="119">
        <f>SUM(K1822:K1825)</f>
        <v>0</v>
      </c>
      <c r="L1826" s="119">
        <f>SUM(L1822:L1825)</f>
        <v>186000</v>
      </c>
      <c r="M1826" s="10"/>
      <c r="N1826" s="10"/>
      <c r="O1826"/>
      <c r="P1826"/>
    </row>
    <row r="1827" spans="1:16" s="146" customFormat="1" ht="18.75" thickBot="1" x14ac:dyDescent="0.3">
      <c r="A1827" s="519"/>
      <c r="B1827" s="499"/>
      <c r="C1827" s="499"/>
      <c r="D1827" s="496" t="s">
        <v>15</v>
      </c>
      <c r="E1827" s="573"/>
      <c r="F1827" s="499"/>
      <c r="G1827" s="491"/>
      <c r="H1827" s="382"/>
      <c r="I1827" s="259">
        <f>I1826+I1819</f>
        <v>392311.71</v>
      </c>
      <c r="J1827" s="260">
        <f>J1826+J1819</f>
        <v>900001</v>
      </c>
      <c r="K1827" s="259">
        <f>K1826+K1819</f>
        <v>92847.679999999993</v>
      </c>
      <c r="L1827" s="259">
        <f>L1826+L1819</f>
        <v>838921</v>
      </c>
      <c r="M1827" s="10"/>
      <c r="N1827" s="10"/>
      <c r="O1827"/>
      <c r="P1827"/>
    </row>
    <row r="1828" spans="1:16" s="146" customFormat="1" ht="14.1" customHeight="1" thickBot="1" x14ac:dyDescent="0.3">
      <c r="A1828" s="187"/>
      <c r="B1828" s="413"/>
      <c r="C1828" s="413"/>
      <c r="D1828" s="318"/>
      <c r="E1828" s="498"/>
      <c r="F1828" s="413"/>
      <c r="G1828" s="431"/>
      <c r="H1828" s="382"/>
      <c r="I1828" s="182"/>
      <c r="J1828" s="183"/>
      <c r="K1828" s="182"/>
      <c r="L1828" s="182"/>
      <c r="M1828" s="10"/>
      <c r="N1828" s="10"/>
      <c r="O1828"/>
      <c r="P1828"/>
    </row>
    <row r="1829" spans="1:16" s="229" customFormat="1" ht="18" customHeight="1" x14ac:dyDescent="0.25">
      <c r="A1829" s="502"/>
      <c r="B1829" s="502"/>
      <c r="C1829" s="502"/>
      <c r="D1829" s="44"/>
      <c r="E1829" s="125"/>
      <c r="F1829" s="125"/>
      <c r="G1829" s="125"/>
      <c r="H1829" s="381"/>
      <c r="I1829" s="141"/>
      <c r="J1829" s="122"/>
      <c r="K1829" s="141"/>
      <c r="L1829" s="141"/>
      <c r="M1829" s="207"/>
      <c r="N1829" s="207"/>
      <c r="O1829" s="212"/>
      <c r="P1829" s="212"/>
    </row>
    <row r="1830" spans="1:16" s="229" customFormat="1" ht="18" customHeight="1" x14ac:dyDescent="0.25">
      <c r="A1830" s="502"/>
      <c r="B1830" s="502"/>
      <c r="C1830" s="502"/>
      <c r="D1830" s="44"/>
      <c r="E1830" s="125"/>
      <c r="F1830" s="125"/>
      <c r="G1830" s="125"/>
      <c r="H1830" s="381"/>
      <c r="I1830" s="141"/>
      <c r="J1830" s="122"/>
      <c r="K1830" s="141"/>
      <c r="L1830" s="141"/>
      <c r="M1830" s="207"/>
      <c r="N1830" s="207"/>
      <c r="O1830" s="212"/>
      <c r="P1830" s="212"/>
    </row>
    <row r="1831" spans="1:16" ht="18" customHeight="1" x14ac:dyDescent="0.25">
      <c r="A1831" s="8" t="s">
        <v>112</v>
      </c>
    </row>
    <row r="1832" spans="1:16" ht="18" customHeight="1" x14ac:dyDescent="0.25">
      <c r="A1832" s="8" t="s">
        <v>845</v>
      </c>
    </row>
    <row r="1833" spans="1:16" ht="18" customHeight="1" x14ac:dyDescent="0.25">
      <c r="A1833" s="1636" t="s">
        <v>113</v>
      </c>
      <c r="B1833" s="1636"/>
      <c r="C1833" s="1636"/>
      <c r="D1833" s="1636"/>
      <c r="E1833" s="1636"/>
      <c r="F1833" s="1636"/>
      <c r="G1833" s="1636"/>
      <c r="H1833" s="1636"/>
      <c r="I1833" s="1636"/>
      <c r="J1833" s="1636"/>
      <c r="K1833" s="1636"/>
      <c r="L1833" s="1636"/>
    </row>
    <row r="1834" spans="1:16" s="7" customFormat="1" ht="18" customHeight="1" x14ac:dyDescent="0.25">
      <c r="A1834" s="1624" t="s">
        <v>114</v>
      </c>
      <c r="B1834" s="1624"/>
      <c r="C1834" s="1624"/>
      <c r="D1834" s="1624"/>
      <c r="E1834" s="1624"/>
      <c r="F1834" s="1624"/>
      <c r="G1834" s="1624"/>
      <c r="H1834" s="1624"/>
      <c r="I1834" s="1624"/>
      <c r="J1834" s="1624"/>
      <c r="K1834" s="1624"/>
      <c r="L1834" s="1624"/>
      <c r="M1834" s="6"/>
      <c r="N1834" s="6"/>
    </row>
    <row r="1835" spans="1:16" ht="18.75" thickBot="1" x14ac:dyDescent="0.3">
      <c r="A1835" s="41"/>
      <c r="B1835" s="41"/>
      <c r="C1835" s="41"/>
      <c r="D1835" s="63"/>
      <c r="E1835" s="41"/>
      <c r="F1835" s="41"/>
      <c r="G1835" s="41"/>
      <c r="H1835" s="41"/>
    </row>
    <row r="1836" spans="1:16" ht="62.25" customHeight="1" thickBot="1" x14ac:dyDescent="0.3">
      <c r="A1836" s="1625" t="s">
        <v>115</v>
      </c>
      <c r="B1836" s="1626"/>
      <c r="C1836" s="1626"/>
      <c r="D1836" s="1626"/>
      <c r="E1836" s="1626"/>
      <c r="F1836" s="1626"/>
      <c r="G1836" s="1627"/>
      <c r="H1836" s="93" t="s">
        <v>116</v>
      </c>
      <c r="I1836" s="130" t="s">
        <v>117</v>
      </c>
      <c r="J1836" s="130" t="s">
        <v>118</v>
      </c>
      <c r="K1836" s="130" t="s">
        <v>119</v>
      </c>
      <c r="L1836" s="130" t="s">
        <v>120</v>
      </c>
    </row>
    <row r="1837" spans="1:16" s="146" customFormat="1" ht="18" x14ac:dyDescent="0.25">
      <c r="A1837" s="519"/>
      <c r="B1837" s="499"/>
      <c r="C1837" s="499"/>
      <c r="D1837" s="1620" t="s">
        <v>858</v>
      </c>
      <c r="E1837" s="1620"/>
      <c r="F1837" s="1620"/>
      <c r="G1837" s="1621"/>
      <c r="H1837" s="100"/>
      <c r="I1837" s="101"/>
      <c r="J1837" s="102"/>
      <c r="K1837" s="101"/>
      <c r="L1837" s="101"/>
      <c r="M1837" s="10"/>
      <c r="N1837" s="10"/>
      <c r="O1837"/>
      <c r="P1837"/>
    </row>
    <row r="1838" spans="1:16" s="146" customFormat="1" ht="18" x14ac:dyDescent="0.25">
      <c r="A1838" s="519"/>
      <c r="B1838" s="499"/>
      <c r="C1838" s="499"/>
      <c r="D1838" s="1620" t="s">
        <v>831</v>
      </c>
      <c r="E1838" s="1620"/>
      <c r="F1838" s="1620"/>
      <c r="G1838" s="1621"/>
      <c r="H1838" s="100"/>
      <c r="I1838" s="101"/>
      <c r="J1838" s="102"/>
      <c r="K1838" s="112"/>
      <c r="L1838" s="101"/>
      <c r="M1838" s="10"/>
      <c r="N1838" s="10"/>
      <c r="O1838"/>
      <c r="P1838"/>
    </row>
    <row r="1839" spans="1:16" s="229" customFormat="1" ht="18" x14ac:dyDescent="0.25">
      <c r="A1839" s="154"/>
      <c r="B1839" s="502"/>
      <c r="C1839" s="502"/>
      <c r="D1839" s="536" t="s">
        <v>832</v>
      </c>
      <c r="E1839" s="124"/>
      <c r="F1839" s="124"/>
      <c r="G1839" s="230"/>
      <c r="H1839" s="100" t="s">
        <v>165</v>
      </c>
      <c r="I1839" s="101"/>
      <c r="J1839" s="102"/>
      <c r="K1839" s="112"/>
      <c r="L1839" s="101">
        <v>20000</v>
      </c>
      <c r="M1839" s="207"/>
      <c r="N1839" s="207"/>
      <c r="O1839" s="212"/>
      <c r="P1839" s="212"/>
    </row>
    <row r="1840" spans="1:16" s="229" customFormat="1" ht="18" x14ac:dyDescent="0.25">
      <c r="A1840" s="154"/>
      <c r="B1840" s="502"/>
      <c r="C1840" s="502"/>
      <c r="D1840" s="536" t="s">
        <v>819</v>
      </c>
      <c r="E1840" s="124"/>
      <c r="F1840" s="124"/>
      <c r="G1840" s="230"/>
      <c r="H1840" s="100" t="s">
        <v>167</v>
      </c>
      <c r="I1840" s="101"/>
      <c r="J1840" s="102"/>
      <c r="K1840" s="112"/>
      <c r="L1840" s="101">
        <v>240000</v>
      </c>
      <c r="M1840" s="207"/>
      <c r="N1840" s="207"/>
      <c r="O1840" s="212"/>
      <c r="P1840" s="212"/>
    </row>
    <row r="1841" spans="1:16" s="229" customFormat="1" ht="18" x14ac:dyDescent="0.25">
      <c r="A1841" s="154"/>
      <c r="B1841" s="502"/>
      <c r="C1841" s="502"/>
      <c r="D1841" s="44" t="s">
        <v>806</v>
      </c>
      <c r="E1841" s="125"/>
      <c r="F1841" s="125"/>
      <c r="G1841" s="134"/>
      <c r="H1841" s="100" t="s">
        <v>169</v>
      </c>
      <c r="I1841" s="101"/>
      <c r="J1841" s="102"/>
      <c r="K1841" s="112"/>
      <c r="L1841" s="101">
        <v>33945</v>
      </c>
      <c r="M1841" s="207"/>
      <c r="N1841" s="207"/>
      <c r="O1841" s="212"/>
      <c r="P1841" s="212"/>
    </row>
    <row r="1842" spans="1:16" s="229" customFormat="1" ht="18" customHeight="1" x14ac:dyDescent="0.25">
      <c r="A1842" s="154"/>
      <c r="B1842" s="502"/>
      <c r="C1842" s="502"/>
      <c r="D1842" s="536" t="s">
        <v>835</v>
      </c>
      <c r="E1842" s="124"/>
      <c r="F1842" s="124"/>
      <c r="G1842" s="230"/>
      <c r="H1842" s="100" t="s">
        <v>171</v>
      </c>
      <c r="I1842" s="101"/>
      <c r="J1842" s="102"/>
      <c r="K1842" s="101"/>
      <c r="L1842" s="101">
        <v>121614</v>
      </c>
      <c r="M1842" s="207"/>
      <c r="N1842" s="207"/>
      <c r="O1842" s="212"/>
      <c r="P1842" s="212"/>
    </row>
    <row r="1843" spans="1:16" s="229" customFormat="1" ht="18" customHeight="1" x14ac:dyDescent="0.25">
      <c r="A1843" s="154"/>
      <c r="B1843" s="502"/>
      <c r="C1843" s="502"/>
      <c r="D1843" s="536" t="s">
        <v>814</v>
      </c>
      <c r="E1843" s="124"/>
      <c r="F1843" s="124"/>
      <c r="G1843" s="230"/>
      <c r="H1843" s="100"/>
      <c r="I1843" s="101"/>
      <c r="J1843" s="102"/>
      <c r="K1843" s="101"/>
      <c r="L1843" s="101">
        <v>36000</v>
      </c>
      <c r="M1843" s="207"/>
      <c r="N1843" s="207"/>
      <c r="O1843" s="212"/>
      <c r="P1843" s="212"/>
    </row>
    <row r="1844" spans="1:16" s="229" customFormat="1" ht="18" x14ac:dyDescent="0.25">
      <c r="A1844" s="154"/>
      <c r="B1844" s="502"/>
      <c r="C1844" s="502"/>
      <c r="D1844" s="536" t="s">
        <v>859</v>
      </c>
      <c r="E1844" s="124"/>
      <c r="F1844" s="124"/>
      <c r="G1844" s="230"/>
      <c r="H1844" s="100" t="s">
        <v>199</v>
      </c>
      <c r="I1844" s="101"/>
      <c r="J1844" s="102"/>
      <c r="K1844" s="112"/>
      <c r="L1844" s="105">
        <v>90000</v>
      </c>
      <c r="M1844" s="207"/>
      <c r="N1844" s="207"/>
      <c r="O1844" s="212"/>
      <c r="P1844" s="212"/>
    </row>
    <row r="1845" spans="1:16" s="146" customFormat="1" ht="15.75" customHeight="1" x14ac:dyDescent="0.25">
      <c r="A1845" s="519"/>
      <c r="B1845" s="499"/>
      <c r="C1845" s="499"/>
      <c r="D1845" s="496" t="s">
        <v>823</v>
      </c>
      <c r="F1845" s="499"/>
      <c r="G1845" s="499"/>
      <c r="H1845" s="100"/>
      <c r="I1845" s="119">
        <f>SUM(I1839:I1843)</f>
        <v>0</v>
      </c>
      <c r="J1845" s="150">
        <f>SUM(J1839:J1843)</f>
        <v>0</v>
      </c>
      <c r="K1845" s="119">
        <f>SUM(K1839:K1843)</f>
        <v>0</v>
      </c>
      <c r="L1845" s="119">
        <f>SUM(L1839:L1844)</f>
        <v>541559</v>
      </c>
      <c r="M1845" s="10"/>
      <c r="N1845" s="10"/>
      <c r="O1845"/>
      <c r="P1845"/>
    </row>
    <row r="1846" spans="1:16" s="146" customFormat="1" ht="14.1" customHeight="1" x14ac:dyDescent="0.25">
      <c r="A1846" s="519"/>
      <c r="B1846" s="499"/>
      <c r="C1846" s="499"/>
      <c r="D1846" s="9"/>
      <c r="E1846" s="496"/>
      <c r="F1846" s="499"/>
      <c r="G1846" s="499"/>
      <c r="H1846" s="100"/>
      <c r="I1846" s="155"/>
      <c r="J1846" s="156"/>
      <c r="K1846" s="155"/>
      <c r="L1846" s="155"/>
      <c r="M1846" s="10"/>
      <c r="N1846" s="10"/>
      <c r="O1846"/>
      <c r="P1846"/>
    </row>
    <row r="1847" spans="1:16" s="146" customFormat="1" ht="18" customHeight="1" x14ac:dyDescent="0.25">
      <c r="A1847" s="519"/>
      <c r="B1847" s="499"/>
      <c r="C1847" s="499"/>
      <c r="D1847" s="129" t="s">
        <v>799</v>
      </c>
      <c r="E1847" s="152"/>
      <c r="F1847" s="152"/>
      <c r="G1847" s="152"/>
      <c r="H1847" s="186"/>
      <c r="I1847" s="155"/>
      <c r="J1847" s="156"/>
      <c r="K1847" s="155"/>
      <c r="L1847" s="155"/>
      <c r="M1847" s="10"/>
      <c r="N1847" s="10"/>
      <c r="O1847"/>
      <c r="P1847"/>
    </row>
    <row r="1848" spans="1:16" s="146" customFormat="1" ht="35.25" customHeight="1" x14ac:dyDescent="0.25">
      <c r="A1848" s="519"/>
      <c r="B1848" s="499"/>
      <c r="C1848" s="499"/>
      <c r="D1848" s="1611" t="s">
        <v>860</v>
      </c>
      <c r="E1848" s="1611"/>
      <c r="F1848" s="496"/>
      <c r="G1848" s="496"/>
      <c r="H1848" s="494"/>
      <c r="I1848" s="101"/>
      <c r="J1848" s="102"/>
      <c r="K1848" s="101"/>
      <c r="L1848" s="101">
        <v>160000</v>
      </c>
      <c r="M1848" s="10"/>
      <c r="N1848" s="10"/>
      <c r="O1848"/>
      <c r="P1848"/>
    </row>
    <row r="1849" spans="1:16" s="146" customFormat="1" ht="18" x14ac:dyDescent="0.25">
      <c r="A1849" s="519"/>
      <c r="B1849" s="499"/>
      <c r="C1849" s="499"/>
      <c r="D1849" s="44" t="s">
        <v>861</v>
      </c>
      <c r="E1849" s="496"/>
      <c r="F1849" s="496"/>
      <c r="G1849" s="496"/>
      <c r="H1849" s="494"/>
      <c r="I1849" s="101"/>
      <c r="J1849" s="102"/>
      <c r="K1849" s="101"/>
      <c r="L1849" s="101">
        <v>15000</v>
      </c>
      <c r="M1849" s="10"/>
      <c r="N1849" s="10"/>
      <c r="O1849"/>
      <c r="P1849"/>
    </row>
    <row r="1850" spans="1:16" s="146" customFormat="1" ht="15" customHeight="1" x14ac:dyDescent="0.25">
      <c r="A1850" s="519"/>
      <c r="B1850" s="499"/>
      <c r="C1850" s="499"/>
      <c r="D1850" s="496" t="s">
        <v>823</v>
      </c>
      <c r="F1850" s="499"/>
      <c r="G1850" s="491"/>
      <c r="H1850" s="100"/>
      <c r="I1850" s="119">
        <f>SUM(I1848:I1849)</f>
        <v>0</v>
      </c>
      <c r="J1850" s="119">
        <f>SUM(J1848:J1849)</f>
        <v>0</v>
      </c>
      <c r="K1850" s="119">
        <f>SUM(K1848:K1849)</f>
        <v>0</v>
      </c>
      <c r="L1850" s="119">
        <f>SUM(L1848:L1849)</f>
        <v>175000</v>
      </c>
      <c r="M1850" s="10"/>
      <c r="N1850" s="10"/>
      <c r="O1850"/>
      <c r="P1850"/>
    </row>
    <row r="1851" spans="1:16" s="146" customFormat="1" ht="18.75" thickBot="1" x14ac:dyDescent="0.3">
      <c r="A1851" s="519"/>
      <c r="B1851" s="499"/>
      <c r="C1851" s="499"/>
      <c r="D1851" s="496" t="s">
        <v>15</v>
      </c>
      <c r="F1851" s="499"/>
      <c r="G1851" s="491"/>
      <c r="H1851" s="308"/>
      <c r="I1851" s="123">
        <f>I1850+I1845</f>
        <v>0</v>
      </c>
      <c r="J1851" s="123">
        <f>J1850+J1845</f>
        <v>0</v>
      </c>
      <c r="K1851" s="123">
        <f>K1850+K1845</f>
        <v>0</v>
      </c>
      <c r="L1851" s="123">
        <f>L1850+L1845</f>
        <v>716559</v>
      </c>
      <c r="M1851" s="10"/>
      <c r="N1851" s="10"/>
      <c r="O1851"/>
      <c r="P1851"/>
    </row>
    <row r="1852" spans="1:16" s="146" customFormat="1" ht="15.75" customHeight="1" x14ac:dyDescent="0.25">
      <c r="A1852" s="519"/>
      <c r="B1852" s="499"/>
      <c r="C1852" s="499"/>
      <c r="D1852" s="51"/>
      <c r="E1852" s="496"/>
      <c r="F1852" s="499"/>
      <c r="G1852" s="491"/>
      <c r="H1852" s="100"/>
      <c r="I1852" s="383"/>
      <c r="J1852" s="383"/>
      <c r="K1852" s="383"/>
      <c r="L1852" s="383"/>
      <c r="M1852" s="10"/>
      <c r="N1852" s="10"/>
      <c r="O1852"/>
      <c r="P1852"/>
    </row>
    <row r="1853" spans="1:16" s="146" customFormat="1" ht="18" x14ac:dyDescent="0.25">
      <c r="A1853" s="495"/>
      <c r="B1853" s="496"/>
      <c r="C1853" s="496"/>
      <c r="D1853" s="1620" t="s">
        <v>862</v>
      </c>
      <c r="E1853" s="1620"/>
      <c r="F1853" s="1620"/>
      <c r="G1853" s="1621"/>
      <c r="H1853" s="376"/>
      <c r="I1853" s="101"/>
      <c r="J1853" s="102"/>
      <c r="K1853" s="101"/>
      <c r="L1853" s="101"/>
      <c r="M1853" s="10"/>
      <c r="N1853" s="10"/>
      <c r="O1853"/>
      <c r="P1853"/>
    </row>
    <row r="1854" spans="1:16" s="146" customFormat="1" ht="18" x14ac:dyDescent="0.25">
      <c r="A1854" s="495"/>
      <c r="B1854" s="496"/>
      <c r="C1854" s="496"/>
      <c r="D1854" s="1620" t="s">
        <v>831</v>
      </c>
      <c r="E1854" s="1620"/>
      <c r="F1854" s="1620"/>
      <c r="G1854" s="1621"/>
      <c r="H1854" s="376"/>
      <c r="I1854" s="101"/>
      <c r="J1854" s="102"/>
      <c r="K1854" s="101"/>
      <c r="L1854" s="101"/>
      <c r="M1854" s="10"/>
      <c r="N1854" s="10"/>
      <c r="O1854"/>
      <c r="P1854"/>
    </row>
    <row r="1855" spans="1:16" s="146" customFormat="1" ht="18" x14ac:dyDescent="0.25">
      <c r="A1855" s="495"/>
      <c r="B1855" s="496"/>
      <c r="C1855" s="496"/>
      <c r="D1855" s="502" t="s">
        <v>863</v>
      </c>
      <c r="E1855" s="496"/>
      <c r="F1855" s="496"/>
      <c r="G1855" s="496"/>
      <c r="H1855" s="376"/>
      <c r="I1855" s="101"/>
      <c r="J1855" s="102"/>
      <c r="K1855" s="101"/>
      <c r="L1855" s="101">
        <v>25000</v>
      </c>
      <c r="M1855" s="10">
        <f>150000+160000</f>
        <v>310000</v>
      </c>
      <c r="N1855" s="10"/>
      <c r="O1855"/>
      <c r="P1855"/>
    </row>
    <row r="1856" spans="1:16" s="146" customFormat="1" ht="18" x14ac:dyDescent="0.25">
      <c r="A1856" s="495"/>
      <c r="B1856" s="496"/>
      <c r="C1856" s="496"/>
      <c r="D1856" s="502" t="s">
        <v>805</v>
      </c>
      <c r="E1856" s="496"/>
      <c r="F1856" s="496"/>
      <c r="G1856" s="496"/>
      <c r="H1856" s="376"/>
      <c r="I1856" s="101"/>
      <c r="J1856" s="102"/>
      <c r="K1856" s="101"/>
      <c r="L1856" s="101">
        <v>65000</v>
      </c>
      <c r="M1856" s="10"/>
      <c r="N1856" s="10"/>
      <c r="O1856"/>
      <c r="P1856"/>
    </row>
    <row r="1857" spans="1:16" s="146" customFormat="1" ht="18" x14ac:dyDescent="0.25">
      <c r="A1857" s="495"/>
      <c r="B1857" s="496"/>
      <c r="C1857" s="496"/>
      <c r="D1857" s="536" t="s">
        <v>815</v>
      </c>
      <c r="E1857" s="496"/>
      <c r="F1857" s="496"/>
      <c r="G1857" s="496"/>
      <c r="H1857" s="376"/>
      <c r="I1857" s="101"/>
      <c r="J1857" s="102"/>
      <c r="K1857" s="101"/>
      <c r="L1857" s="101">
        <v>120000</v>
      </c>
      <c r="M1857" s="10"/>
      <c r="N1857" s="10"/>
      <c r="O1857"/>
      <c r="P1857"/>
    </row>
    <row r="1858" spans="1:16" s="146" customFormat="1" ht="18" x14ac:dyDescent="0.25">
      <c r="A1858" s="495"/>
      <c r="B1858" s="496"/>
      <c r="C1858" s="496"/>
      <c r="D1858" s="536" t="s">
        <v>864</v>
      </c>
      <c r="E1858" s="496"/>
      <c r="F1858" s="496"/>
      <c r="G1858" s="496"/>
      <c r="H1858" s="376"/>
      <c r="I1858" s="101"/>
      <c r="J1858" s="102"/>
      <c r="K1858" s="101"/>
      <c r="L1858" s="101">
        <v>74398</v>
      </c>
      <c r="M1858" s="10"/>
      <c r="N1858" s="10"/>
      <c r="O1858"/>
      <c r="P1858"/>
    </row>
    <row r="1859" spans="1:16" s="146" customFormat="1" ht="18" x14ac:dyDescent="0.25">
      <c r="A1859" s="495"/>
      <c r="B1859" s="496"/>
      <c r="C1859" s="496"/>
      <c r="D1859" s="536" t="s">
        <v>865</v>
      </c>
      <c r="E1859" s="496"/>
      <c r="F1859" s="496"/>
      <c r="G1859" s="496"/>
      <c r="H1859" s="376"/>
      <c r="I1859" s="101"/>
      <c r="J1859" s="102"/>
      <c r="K1859" s="101"/>
      <c r="L1859" s="101">
        <v>56890</v>
      </c>
      <c r="M1859" s="10">
        <f>33330+10760+12800</f>
        <v>56890</v>
      </c>
      <c r="N1859" s="10"/>
      <c r="O1859"/>
      <c r="P1859"/>
    </row>
    <row r="1860" spans="1:16" s="146" customFormat="1" ht="18" x14ac:dyDescent="0.25">
      <c r="A1860" s="495"/>
      <c r="B1860" s="496"/>
      <c r="C1860" s="496"/>
      <c r="D1860" s="536" t="s">
        <v>866</v>
      </c>
      <c r="E1860" s="496"/>
      <c r="F1860" s="496"/>
      <c r="G1860" s="496"/>
      <c r="H1860" s="376"/>
      <c r="I1860" s="105"/>
      <c r="J1860" s="106"/>
      <c r="K1860" s="105"/>
      <c r="L1860" s="106">
        <v>102000</v>
      </c>
      <c r="M1860" s="10">
        <f>102000</f>
        <v>102000</v>
      </c>
      <c r="N1860" s="10"/>
      <c r="O1860"/>
      <c r="P1860"/>
    </row>
    <row r="1861" spans="1:16" s="146" customFormat="1" ht="18" x14ac:dyDescent="0.25">
      <c r="A1861" s="495"/>
      <c r="B1861" s="496"/>
      <c r="C1861" s="496"/>
      <c r="D1861" s="496" t="s">
        <v>823</v>
      </c>
      <c r="F1861" s="496"/>
      <c r="G1861" s="496"/>
      <c r="H1861" s="376"/>
      <c r="I1861" s="155"/>
      <c r="J1861" s="156"/>
      <c r="K1861" s="155"/>
      <c r="L1861" s="155">
        <f>SUM(L1855:L1860)</f>
        <v>443288</v>
      </c>
      <c r="M1861" s="10"/>
      <c r="N1861" s="10"/>
      <c r="O1861"/>
      <c r="P1861"/>
    </row>
    <row r="1862" spans="1:16" s="146" customFormat="1" ht="18" x14ac:dyDescent="0.25">
      <c r="A1862" s="495"/>
      <c r="B1862" s="496"/>
      <c r="C1862" s="496"/>
      <c r="D1862" s="496"/>
      <c r="F1862" s="496"/>
      <c r="G1862" s="496"/>
      <c r="H1862" s="376"/>
      <c r="I1862" s="155"/>
      <c r="J1862" s="156"/>
      <c r="K1862" s="155"/>
      <c r="L1862" s="155"/>
      <c r="M1862" s="10"/>
      <c r="N1862" s="10"/>
      <c r="O1862"/>
      <c r="P1862"/>
    </row>
    <row r="1863" spans="1:16" s="146" customFormat="1" ht="18" x14ac:dyDescent="0.25">
      <c r="A1863" s="495"/>
      <c r="B1863" s="496"/>
      <c r="C1863" s="496"/>
      <c r="D1863" s="129" t="s">
        <v>799</v>
      </c>
      <c r="E1863" s="496"/>
      <c r="F1863" s="496"/>
      <c r="G1863" s="496"/>
      <c r="H1863" s="376"/>
      <c r="I1863" s="101"/>
      <c r="J1863" s="102"/>
      <c r="K1863" s="101"/>
      <c r="L1863" s="101"/>
      <c r="M1863" s="10"/>
      <c r="N1863" s="10"/>
      <c r="O1863"/>
      <c r="P1863"/>
    </row>
    <row r="1864" spans="1:16" s="146" customFormat="1" ht="18" x14ac:dyDescent="0.25">
      <c r="A1864" s="495"/>
      <c r="B1864" s="496"/>
      <c r="C1864" s="496"/>
      <c r="D1864" s="536" t="s">
        <v>867</v>
      </c>
      <c r="E1864" s="496"/>
      <c r="F1864" s="496"/>
      <c r="G1864" s="496"/>
      <c r="H1864" s="376"/>
      <c r="I1864" s="101"/>
      <c r="J1864" s="102"/>
      <c r="K1864" s="101"/>
      <c r="L1864" s="101">
        <v>80000</v>
      </c>
      <c r="M1864" s="10"/>
      <c r="N1864" s="10"/>
      <c r="O1864"/>
      <c r="P1864"/>
    </row>
    <row r="1865" spans="1:16" s="146" customFormat="1" ht="18" x14ac:dyDescent="0.25">
      <c r="A1865" s="495"/>
      <c r="B1865" s="496"/>
      <c r="C1865" s="496"/>
      <c r="D1865" s="536" t="s">
        <v>868</v>
      </c>
      <c r="E1865" s="496"/>
      <c r="F1865" s="496"/>
      <c r="G1865" s="496"/>
      <c r="H1865" s="376"/>
      <c r="I1865" s="105"/>
      <c r="J1865" s="106"/>
      <c r="K1865" s="105"/>
      <c r="L1865" s="105">
        <v>78000</v>
      </c>
      <c r="M1865" s="10"/>
      <c r="N1865" s="10"/>
      <c r="O1865"/>
      <c r="P1865"/>
    </row>
    <row r="1866" spans="1:16" s="146" customFormat="1" ht="18" x14ac:dyDescent="0.25">
      <c r="A1866" s="254"/>
      <c r="B1866" s="271"/>
      <c r="C1866" s="271"/>
      <c r="D1866" s="496" t="s">
        <v>823</v>
      </c>
      <c r="F1866" s="384"/>
      <c r="G1866" s="384"/>
      <c r="H1866" s="273"/>
      <c r="I1866" s="119"/>
      <c r="J1866" s="150"/>
      <c r="K1866" s="119"/>
      <c r="L1866" s="119">
        <f>SUM(L1864:L1865)</f>
        <v>158000</v>
      </c>
      <c r="M1866" s="10"/>
      <c r="N1866" s="10"/>
      <c r="O1866"/>
      <c r="P1866"/>
    </row>
    <row r="1867" spans="1:16" s="146" customFormat="1" ht="18" x14ac:dyDescent="0.25">
      <c r="A1867" s="254"/>
      <c r="B1867" s="271"/>
      <c r="C1867" s="271"/>
      <c r="D1867" s="496" t="s">
        <v>15</v>
      </c>
      <c r="E1867" s="575"/>
      <c r="F1867" s="384"/>
      <c r="G1867" s="384"/>
      <c r="H1867" s="254"/>
      <c r="I1867" s="119"/>
      <c r="J1867" s="150"/>
      <c r="K1867" s="119"/>
      <c r="L1867" s="119">
        <f>L1866+L1861</f>
        <v>601288</v>
      </c>
      <c r="M1867" s="10"/>
      <c r="N1867" s="10"/>
      <c r="O1867"/>
      <c r="P1867"/>
    </row>
    <row r="1868" spans="1:16" s="146" customFormat="1" ht="18" x14ac:dyDescent="0.25">
      <c r="A1868" s="254"/>
      <c r="B1868" s="271"/>
      <c r="C1868" s="271"/>
      <c r="D1868" s="387"/>
      <c r="E1868" s="496"/>
      <c r="F1868" s="356"/>
      <c r="G1868" s="356"/>
      <c r="H1868" s="271"/>
      <c r="I1868" s="155"/>
      <c r="J1868" s="156"/>
      <c r="K1868" s="155"/>
      <c r="L1868" s="155"/>
      <c r="M1868" s="10"/>
      <c r="N1868" s="10"/>
      <c r="O1868"/>
      <c r="P1868"/>
    </row>
    <row r="1869" spans="1:16" s="146" customFormat="1" ht="18" x14ac:dyDescent="0.25">
      <c r="A1869" s="519"/>
      <c r="B1869" s="499"/>
      <c r="C1869" s="499"/>
      <c r="D1869" s="1620" t="s">
        <v>870</v>
      </c>
      <c r="E1869" s="1620"/>
      <c r="F1869" s="1620"/>
      <c r="G1869" s="1621"/>
      <c r="H1869" s="195"/>
      <c r="I1869" s="101"/>
      <c r="J1869" s="102"/>
      <c r="K1869" s="101"/>
      <c r="L1869" s="101"/>
      <c r="M1869" s="10"/>
      <c r="N1869" s="10"/>
      <c r="O1869"/>
      <c r="P1869"/>
    </row>
    <row r="1870" spans="1:16" s="146" customFormat="1" ht="18" x14ac:dyDescent="0.25">
      <c r="A1870" s="519"/>
      <c r="B1870" s="499"/>
      <c r="C1870" s="499"/>
      <c r="D1870" s="1620" t="s">
        <v>813</v>
      </c>
      <c r="E1870" s="1620"/>
      <c r="F1870" s="1620"/>
      <c r="G1870" s="1621"/>
      <c r="H1870" s="100"/>
      <c r="I1870" s="101"/>
      <c r="J1870" s="102"/>
      <c r="K1870" s="101"/>
      <c r="L1870" s="101"/>
      <c r="M1870" s="10"/>
      <c r="N1870" s="10"/>
      <c r="O1870"/>
      <c r="P1870"/>
    </row>
    <row r="1871" spans="1:16" s="229" customFormat="1" ht="18" customHeight="1" x14ac:dyDescent="0.25">
      <c r="A1871" s="154"/>
      <c r="B1871" s="502"/>
      <c r="C1871" s="502"/>
      <c r="D1871" s="44" t="s">
        <v>804</v>
      </c>
      <c r="E1871" s="125"/>
      <c r="F1871" s="125"/>
      <c r="G1871" s="134"/>
      <c r="H1871" s="100" t="s">
        <v>165</v>
      </c>
      <c r="I1871" s="101">
        <v>0</v>
      </c>
      <c r="J1871" s="102">
        <v>60000</v>
      </c>
      <c r="K1871" s="101"/>
      <c r="L1871" s="102">
        <v>60000</v>
      </c>
      <c r="M1871" s="207"/>
      <c r="N1871" s="207"/>
      <c r="O1871" s="212"/>
      <c r="P1871" s="212"/>
    </row>
    <row r="1872" spans="1:16" s="229" customFormat="1" ht="18" customHeight="1" x14ac:dyDescent="0.25">
      <c r="A1872" s="154"/>
      <c r="B1872" s="502"/>
      <c r="C1872" s="502"/>
      <c r="D1872" s="44" t="s">
        <v>871</v>
      </c>
      <c r="E1872" s="125"/>
      <c r="F1872" s="125"/>
      <c r="G1872" s="134"/>
      <c r="H1872" s="100" t="s">
        <v>187</v>
      </c>
      <c r="I1872" s="101">
        <v>0</v>
      </c>
      <c r="J1872" s="102">
        <v>19000</v>
      </c>
      <c r="K1872" s="101"/>
      <c r="L1872" s="102">
        <v>19000</v>
      </c>
      <c r="M1872" s="207"/>
      <c r="N1872" s="207"/>
      <c r="O1872" s="212"/>
      <c r="P1872" s="212"/>
    </row>
    <row r="1873" spans="1:16" s="229" customFormat="1" ht="18" customHeight="1" x14ac:dyDescent="0.25">
      <c r="A1873" s="154"/>
      <c r="B1873" s="502"/>
      <c r="C1873" s="502"/>
      <c r="D1873" s="44" t="s">
        <v>808</v>
      </c>
      <c r="E1873" s="125"/>
      <c r="F1873" s="125"/>
      <c r="G1873" s="134"/>
      <c r="H1873" s="100" t="s">
        <v>199</v>
      </c>
      <c r="I1873" s="101">
        <v>88000</v>
      </c>
      <c r="J1873" s="102">
        <v>96000</v>
      </c>
      <c r="K1873" s="101">
        <v>32000</v>
      </c>
      <c r="L1873" s="102">
        <v>96000</v>
      </c>
      <c r="M1873" s="207"/>
      <c r="N1873" s="207"/>
      <c r="O1873" s="212"/>
      <c r="P1873" s="212"/>
    </row>
    <row r="1874" spans="1:16" s="146" customFormat="1" ht="18" x14ac:dyDescent="0.25">
      <c r="A1874" s="519"/>
      <c r="B1874" s="499"/>
      <c r="C1874" s="499"/>
      <c r="D1874" s="496" t="s">
        <v>15</v>
      </c>
      <c r="F1874" s="499"/>
      <c r="G1874" s="499"/>
      <c r="H1874" s="100"/>
      <c r="I1874" s="119">
        <f>SUM(I1871:I1873)</f>
        <v>88000</v>
      </c>
      <c r="J1874" s="150">
        <f>SUM(J1871:J1873)</f>
        <v>175000</v>
      </c>
      <c r="K1874" s="119">
        <f>SUM(K1871:K1873)</f>
        <v>32000</v>
      </c>
      <c r="L1874" s="119">
        <f>SUM(L1871:L1873)</f>
        <v>175000</v>
      </c>
      <c r="M1874" s="10"/>
      <c r="N1874" s="10"/>
      <c r="O1874"/>
      <c r="P1874"/>
    </row>
    <row r="1875" spans="1:16" s="146" customFormat="1" ht="18.75" customHeight="1" x14ac:dyDescent="0.25">
      <c r="A1875" s="519"/>
      <c r="B1875" s="499"/>
      <c r="C1875" s="499"/>
      <c r="D1875" s="513"/>
      <c r="E1875" s="496"/>
      <c r="F1875" s="499"/>
      <c r="G1875" s="499"/>
      <c r="H1875" s="100"/>
      <c r="I1875" s="155"/>
      <c r="J1875" s="156"/>
      <c r="K1875" s="155"/>
      <c r="L1875" s="155"/>
      <c r="M1875" s="10"/>
      <c r="N1875" s="10"/>
      <c r="O1875"/>
      <c r="P1875"/>
    </row>
    <row r="1876" spans="1:16" ht="18" x14ac:dyDescent="0.25">
      <c r="A1876" s="519"/>
      <c r="B1876" s="499"/>
      <c r="C1876" s="499"/>
      <c r="D1876" s="1620" t="s">
        <v>872</v>
      </c>
      <c r="E1876" s="1620"/>
      <c r="F1876" s="1620"/>
      <c r="G1876" s="1620"/>
      <c r="H1876" s="100"/>
      <c r="I1876" s="101"/>
      <c r="J1876" s="102"/>
      <c r="K1876" s="101"/>
      <c r="L1876" s="101"/>
    </row>
    <row r="1877" spans="1:16" s="146" customFormat="1" ht="18" x14ac:dyDescent="0.25">
      <c r="A1877" s="519"/>
      <c r="B1877" s="499"/>
      <c r="C1877" s="499"/>
      <c r="D1877" s="1620" t="s">
        <v>813</v>
      </c>
      <c r="E1877" s="1620"/>
      <c r="F1877" s="1620"/>
      <c r="G1877" s="1621"/>
      <c r="H1877" s="100"/>
      <c r="I1877" s="101"/>
      <c r="J1877" s="102"/>
      <c r="K1877" s="101"/>
      <c r="L1877" s="101"/>
      <c r="M1877" s="10"/>
      <c r="N1877" s="10"/>
      <c r="O1877"/>
      <c r="P1877"/>
    </row>
    <row r="1878" spans="1:16" s="229" customFormat="1" ht="18" customHeight="1" x14ac:dyDescent="0.25">
      <c r="A1878" s="154"/>
      <c r="B1878" s="502"/>
      <c r="C1878" s="502"/>
      <c r="D1878" s="44" t="s">
        <v>804</v>
      </c>
      <c r="E1878" s="125"/>
      <c r="F1878" s="125"/>
      <c r="G1878" s="134"/>
      <c r="H1878" s="100" t="s">
        <v>165</v>
      </c>
      <c r="I1878" s="101">
        <v>0</v>
      </c>
      <c r="J1878" s="102">
        <v>25000</v>
      </c>
      <c r="K1878" s="101"/>
      <c r="L1878" s="101">
        <v>25000</v>
      </c>
      <c r="M1878" s="207"/>
      <c r="N1878" s="207"/>
      <c r="O1878" s="212"/>
      <c r="P1878" s="212"/>
    </row>
    <row r="1879" spans="1:16" s="229" customFormat="1" ht="18" customHeight="1" x14ac:dyDescent="0.25">
      <c r="A1879" s="154"/>
      <c r="B1879" s="502"/>
      <c r="C1879" s="502"/>
      <c r="D1879" s="44" t="s">
        <v>806</v>
      </c>
      <c r="E1879" s="125"/>
      <c r="F1879" s="125"/>
      <c r="G1879" s="134"/>
      <c r="H1879" s="100" t="s">
        <v>169</v>
      </c>
      <c r="I1879" s="101">
        <v>54637.5</v>
      </c>
      <c r="J1879" s="102">
        <v>289579</v>
      </c>
      <c r="K1879" s="101">
        <v>155306</v>
      </c>
      <c r="L1879" s="101">
        <v>244230</v>
      </c>
      <c r="M1879" s="207">
        <f>167030+73200+4000</f>
        <v>244230</v>
      </c>
      <c r="N1879" s="207"/>
      <c r="O1879" s="212"/>
      <c r="P1879" s="212"/>
    </row>
    <row r="1880" spans="1:16" s="229" customFormat="1" ht="18" customHeight="1" x14ac:dyDescent="0.25">
      <c r="A1880" s="154"/>
      <c r="B1880" s="502"/>
      <c r="C1880" s="502"/>
      <c r="D1880" s="44" t="s">
        <v>873</v>
      </c>
      <c r="E1880" s="125"/>
      <c r="F1880" s="125"/>
      <c r="G1880" s="134"/>
      <c r="H1880" s="100" t="s">
        <v>173</v>
      </c>
      <c r="I1880" s="101">
        <v>926684.85</v>
      </c>
      <c r="J1880" s="102">
        <v>1200000</v>
      </c>
      <c r="K1880" s="101">
        <v>400047.4</v>
      </c>
      <c r="L1880" s="101">
        <v>1727900</v>
      </c>
      <c r="M1880" s="207"/>
      <c r="N1880" s="207"/>
      <c r="O1880" s="212"/>
      <c r="P1880" s="212"/>
    </row>
    <row r="1881" spans="1:16" s="229" customFormat="1" ht="18" customHeight="1" x14ac:dyDescent="0.25">
      <c r="A1881" s="154"/>
      <c r="B1881" s="502"/>
      <c r="C1881" s="502"/>
      <c r="D1881" s="44" t="s">
        <v>865</v>
      </c>
      <c r="E1881" s="125"/>
      <c r="F1881" s="125"/>
      <c r="G1881" s="134"/>
      <c r="H1881" s="100"/>
      <c r="I1881" s="101"/>
      <c r="J1881" s="102"/>
      <c r="K1881" s="101"/>
      <c r="L1881" s="101">
        <v>1059090</v>
      </c>
      <c r="M1881" s="207"/>
      <c r="N1881" s="207"/>
      <c r="O1881" s="212"/>
      <c r="P1881" s="212"/>
    </row>
    <row r="1882" spans="1:16" s="229" customFormat="1" ht="18" customHeight="1" x14ac:dyDescent="0.25">
      <c r="A1882" s="154"/>
      <c r="B1882" s="502"/>
      <c r="C1882" s="502"/>
      <c r="D1882" s="44" t="s">
        <v>874</v>
      </c>
      <c r="E1882" s="125"/>
      <c r="F1882" s="125"/>
      <c r="G1882" s="503"/>
      <c r="H1882" s="100" t="s">
        <v>171</v>
      </c>
      <c r="I1882" s="101">
        <v>1985</v>
      </c>
      <c r="J1882" s="102">
        <v>57096</v>
      </c>
      <c r="K1882" s="101"/>
      <c r="L1882" s="101"/>
      <c r="M1882" s="207"/>
      <c r="N1882" s="207"/>
      <c r="O1882" s="212"/>
      <c r="P1882" s="212"/>
    </row>
    <row r="1883" spans="1:16" s="229" customFormat="1" ht="18" customHeight="1" x14ac:dyDescent="0.25">
      <c r="A1883" s="154"/>
      <c r="B1883" s="502"/>
      <c r="C1883" s="502"/>
      <c r="D1883" s="44" t="s">
        <v>815</v>
      </c>
      <c r="E1883" s="125"/>
      <c r="F1883" s="125"/>
      <c r="G1883" s="134"/>
      <c r="H1883" s="100" t="s">
        <v>385</v>
      </c>
      <c r="I1883" s="101">
        <v>156375.29</v>
      </c>
      <c r="J1883" s="102">
        <v>200000</v>
      </c>
      <c r="K1883" s="101">
        <v>117485.65</v>
      </c>
      <c r="L1883" s="101">
        <v>240000</v>
      </c>
      <c r="M1883" s="207"/>
      <c r="N1883" s="207"/>
      <c r="O1883" s="212"/>
      <c r="P1883" s="212"/>
    </row>
    <row r="1884" spans="1:16" s="229" customFormat="1" ht="18" customHeight="1" x14ac:dyDescent="0.25">
      <c r="A1884" s="154"/>
      <c r="B1884" s="502"/>
      <c r="C1884" s="502"/>
      <c r="D1884" s="44" t="s">
        <v>871</v>
      </c>
      <c r="E1884" s="125"/>
      <c r="F1884" s="125"/>
      <c r="G1884" s="134"/>
      <c r="H1884" s="100" t="s">
        <v>187</v>
      </c>
      <c r="I1884" s="101">
        <v>0</v>
      </c>
      <c r="J1884" s="102">
        <v>21000</v>
      </c>
      <c r="K1884" s="101"/>
      <c r="L1884" s="101">
        <v>26000</v>
      </c>
      <c r="M1884" s="207"/>
      <c r="N1884" s="207"/>
      <c r="O1884" s="212"/>
      <c r="P1884" s="212"/>
    </row>
    <row r="1885" spans="1:16" s="229" customFormat="1" ht="18" customHeight="1" x14ac:dyDescent="0.25">
      <c r="A1885" s="154"/>
      <c r="B1885" s="502"/>
      <c r="C1885" s="502"/>
      <c r="D1885" s="44" t="s">
        <v>875</v>
      </c>
      <c r="E1885" s="125"/>
      <c r="F1885" s="125"/>
      <c r="G1885" s="134"/>
      <c r="H1885" s="100" t="s">
        <v>189</v>
      </c>
      <c r="I1885" s="101">
        <v>52830</v>
      </c>
      <c r="J1885" s="102">
        <v>200000</v>
      </c>
      <c r="K1885" s="101">
        <v>34530</v>
      </c>
      <c r="L1885" s="101">
        <v>373000</v>
      </c>
      <c r="M1885" s="207"/>
      <c r="N1885" s="207"/>
      <c r="O1885" s="212"/>
      <c r="P1885" s="212"/>
    </row>
    <row r="1886" spans="1:16" s="229" customFormat="1" ht="18" customHeight="1" x14ac:dyDescent="0.25">
      <c r="A1886" s="154"/>
      <c r="B1886" s="502"/>
      <c r="C1886" s="502"/>
      <c r="D1886" s="44" t="s">
        <v>808</v>
      </c>
      <c r="E1886" s="125"/>
      <c r="F1886" s="125"/>
      <c r="G1886" s="134"/>
      <c r="H1886" s="100" t="s">
        <v>199</v>
      </c>
      <c r="I1886" s="101">
        <v>169000</v>
      </c>
      <c r="J1886" s="102">
        <v>300000</v>
      </c>
      <c r="K1886" s="101">
        <v>40200</v>
      </c>
      <c r="L1886" s="105">
        <v>480000</v>
      </c>
      <c r="M1886" s="207"/>
      <c r="N1886" s="207"/>
      <c r="O1886" s="212"/>
      <c r="P1886" s="212"/>
    </row>
    <row r="1887" spans="1:16" s="146" customFormat="1" ht="18" x14ac:dyDescent="0.25">
      <c r="A1887" s="519"/>
      <c r="B1887" s="499"/>
      <c r="C1887" s="499"/>
      <c r="D1887" s="496" t="s">
        <v>823</v>
      </c>
      <c r="E1887" s="573"/>
      <c r="F1887" s="499"/>
      <c r="G1887" s="491"/>
      <c r="H1887" s="100"/>
      <c r="I1887" s="119">
        <f>SUM(I1878:I1886)</f>
        <v>1361512.64</v>
      </c>
      <c r="J1887" s="119">
        <f>SUM(J1878:J1886)</f>
        <v>2292675</v>
      </c>
      <c r="K1887" s="119">
        <f>SUM(K1878:K1886)</f>
        <v>747569.05</v>
      </c>
      <c r="L1887" s="119">
        <f>SUM(L1878:L1886)</f>
        <v>4175220</v>
      </c>
      <c r="M1887" s="10"/>
      <c r="N1887" s="10"/>
      <c r="O1887"/>
      <c r="P1887"/>
    </row>
    <row r="1888" spans="1:16" s="146" customFormat="1" ht="18" x14ac:dyDescent="0.25">
      <c r="A1888" s="254"/>
      <c r="B1888" s="271"/>
      <c r="C1888" s="271"/>
      <c r="D1888" s="387"/>
      <c r="E1888" s="496"/>
      <c r="F1888" s="356"/>
      <c r="G1888" s="576"/>
      <c r="H1888" s="273"/>
      <c r="I1888" s="155"/>
      <c r="J1888" s="156"/>
      <c r="K1888" s="155"/>
      <c r="L1888" s="155"/>
      <c r="M1888" s="10"/>
      <c r="N1888" s="10"/>
      <c r="O1888"/>
      <c r="P1888"/>
    </row>
    <row r="1889" spans="1:16" s="146" customFormat="1" ht="18" x14ac:dyDescent="0.25">
      <c r="A1889" s="519"/>
      <c r="B1889" s="499"/>
      <c r="C1889" s="499"/>
      <c r="D1889" s="1620" t="s">
        <v>799</v>
      </c>
      <c r="E1889" s="1620"/>
      <c r="F1889" s="1620"/>
      <c r="G1889" s="1621"/>
      <c r="H1889" s="100"/>
      <c r="I1889" s="101"/>
      <c r="J1889" s="102"/>
      <c r="K1889" s="101"/>
      <c r="L1889" s="101"/>
      <c r="M1889" s="10"/>
      <c r="N1889" s="10"/>
      <c r="O1889"/>
      <c r="P1889"/>
    </row>
    <row r="1890" spans="1:16" s="146" customFormat="1" ht="18" x14ac:dyDescent="0.25">
      <c r="A1890" s="519"/>
      <c r="B1890" s="499"/>
      <c r="C1890" s="499"/>
      <c r="D1890" s="502" t="s">
        <v>876</v>
      </c>
      <c r="E1890" s="496"/>
      <c r="F1890" s="496"/>
      <c r="G1890" s="493"/>
      <c r="H1890" s="100"/>
      <c r="I1890" s="101"/>
      <c r="J1890" s="102"/>
      <c r="K1890" s="101"/>
      <c r="L1890" s="101">
        <v>375000</v>
      </c>
      <c r="M1890" s="10"/>
      <c r="N1890" s="10">
        <f>75000*5</f>
        <v>375000</v>
      </c>
      <c r="O1890"/>
      <c r="P1890"/>
    </row>
    <row r="1891" spans="1:16" s="388" customFormat="1" ht="18" x14ac:dyDescent="0.25">
      <c r="A1891" s="154"/>
      <c r="B1891" s="502"/>
      <c r="C1891" s="502"/>
      <c r="D1891" s="502" t="s">
        <v>824</v>
      </c>
      <c r="E1891" s="502"/>
      <c r="F1891" s="502"/>
      <c r="G1891" s="503"/>
      <c r="H1891" s="100"/>
      <c r="I1891" s="101"/>
      <c r="J1891" s="102"/>
      <c r="K1891" s="101"/>
      <c r="L1891" s="101">
        <v>80000</v>
      </c>
      <c r="M1891" s="207"/>
      <c r="N1891" s="207"/>
      <c r="O1891" s="208"/>
      <c r="P1891" s="208"/>
    </row>
    <row r="1892" spans="1:16" s="388" customFormat="1" ht="18" x14ac:dyDescent="0.25">
      <c r="A1892" s="154"/>
      <c r="B1892" s="502"/>
      <c r="C1892" s="502"/>
      <c r="D1892" s="502" t="s">
        <v>877</v>
      </c>
      <c r="E1892" s="502"/>
      <c r="F1892" s="502"/>
      <c r="G1892" s="503"/>
      <c r="H1892" s="100"/>
      <c r="I1892" s="101"/>
      <c r="J1892" s="102"/>
      <c r="K1892" s="101"/>
      <c r="L1892" s="101">
        <v>65000</v>
      </c>
      <c r="M1892" s="207"/>
      <c r="N1892" s="207"/>
      <c r="O1892" s="208"/>
      <c r="P1892" s="208"/>
    </row>
    <row r="1893" spans="1:16" s="388" customFormat="1" ht="18" x14ac:dyDescent="0.25">
      <c r="A1893" s="154"/>
      <c r="B1893" s="502"/>
      <c r="C1893" s="502"/>
      <c r="D1893" s="536" t="s">
        <v>878</v>
      </c>
      <c r="E1893" s="536"/>
      <c r="F1893" s="536"/>
      <c r="G1893" s="537"/>
      <c r="H1893" s="205"/>
      <c r="I1893" s="102"/>
      <c r="J1893" s="102"/>
      <c r="K1893" s="102"/>
      <c r="L1893" s="102">
        <v>28000</v>
      </c>
      <c r="M1893" s="207"/>
      <c r="N1893" s="207">
        <f>14000*2</f>
        <v>28000</v>
      </c>
      <c r="O1893" s="208"/>
      <c r="P1893" s="208"/>
    </row>
    <row r="1894" spans="1:16" s="388" customFormat="1" ht="18" x14ac:dyDescent="0.25">
      <c r="A1894" s="154"/>
      <c r="B1894" s="502"/>
      <c r="C1894" s="502"/>
      <c r="D1894" s="502" t="s">
        <v>879</v>
      </c>
      <c r="E1894" s="502"/>
      <c r="F1894" s="502"/>
      <c r="G1894" s="503"/>
      <c r="H1894" s="100"/>
      <c r="I1894" s="101"/>
      <c r="J1894" s="102"/>
      <c r="K1894" s="101"/>
      <c r="L1894" s="101">
        <v>96000</v>
      </c>
      <c r="M1894" s="207"/>
      <c r="N1894" s="207"/>
      <c r="O1894" s="208"/>
      <c r="P1894" s="208"/>
    </row>
    <row r="1895" spans="1:16" s="388" customFormat="1" ht="18" x14ac:dyDescent="0.25">
      <c r="A1895" s="154"/>
      <c r="B1895" s="502"/>
      <c r="C1895" s="502"/>
      <c r="D1895" s="502" t="s">
        <v>880</v>
      </c>
      <c r="E1895" s="502"/>
      <c r="F1895" s="502"/>
      <c r="G1895" s="503"/>
      <c r="H1895" s="100"/>
      <c r="I1895" s="101"/>
      <c r="J1895" s="102"/>
      <c r="K1895" s="101"/>
      <c r="L1895" s="101">
        <v>192000</v>
      </c>
      <c r="M1895" s="207"/>
      <c r="N1895" s="207"/>
      <c r="O1895" s="208"/>
      <c r="P1895" s="208"/>
    </row>
    <row r="1896" spans="1:16" s="146" customFormat="1" ht="18.75" thickBot="1" x14ac:dyDescent="0.3">
      <c r="A1896" s="371"/>
      <c r="B1896" s="374"/>
      <c r="C1896" s="374"/>
      <c r="D1896" s="385"/>
      <c r="E1896" s="498"/>
      <c r="F1896" s="577"/>
      <c r="G1896" s="578"/>
      <c r="H1896" s="386"/>
      <c r="I1896" s="182"/>
      <c r="J1896" s="183"/>
      <c r="K1896" s="182"/>
      <c r="L1896" s="182"/>
      <c r="M1896" s="10"/>
      <c r="N1896" s="10"/>
      <c r="O1896"/>
      <c r="P1896"/>
    </row>
    <row r="1897" spans="1:16" s="146" customFormat="1" ht="18" x14ac:dyDescent="0.25">
      <c r="A1897" s="271"/>
      <c r="B1897" s="271"/>
      <c r="C1897" s="271"/>
      <c r="D1897" s="387"/>
      <c r="E1897" s="496"/>
      <c r="F1897" s="356"/>
      <c r="G1897" s="356"/>
      <c r="H1897" s="271"/>
      <c r="I1897" s="126"/>
      <c r="J1897" s="127"/>
      <c r="K1897" s="126"/>
      <c r="L1897" s="126"/>
      <c r="M1897" s="10"/>
      <c r="N1897" s="10"/>
      <c r="O1897"/>
      <c r="P1897"/>
    </row>
    <row r="1898" spans="1:16" ht="18" customHeight="1" x14ac:dyDescent="0.25">
      <c r="A1898" s="8" t="s">
        <v>112</v>
      </c>
    </row>
    <row r="1899" spans="1:16" ht="18" customHeight="1" x14ac:dyDescent="0.25">
      <c r="A1899" s="8" t="s">
        <v>869</v>
      </c>
    </row>
    <row r="1900" spans="1:16" ht="18" customHeight="1" x14ac:dyDescent="0.25">
      <c r="A1900" s="1636" t="s">
        <v>113</v>
      </c>
      <c r="B1900" s="1636"/>
      <c r="C1900" s="1636"/>
      <c r="D1900" s="1636"/>
      <c r="E1900" s="1636"/>
      <c r="F1900" s="1636"/>
      <c r="G1900" s="1636"/>
      <c r="H1900" s="1636"/>
      <c r="I1900" s="1636"/>
      <c r="J1900" s="1636"/>
      <c r="K1900" s="1636"/>
      <c r="L1900" s="1636"/>
    </row>
    <row r="1901" spans="1:16" s="7" customFormat="1" ht="18" customHeight="1" x14ac:dyDescent="0.25">
      <c r="A1901" s="1624" t="s">
        <v>114</v>
      </c>
      <c r="B1901" s="1624"/>
      <c r="C1901" s="1624"/>
      <c r="D1901" s="1624"/>
      <c r="E1901" s="1624"/>
      <c r="F1901" s="1624"/>
      <c r="G1901" s="1624"/>
      <c r="H1901" s="1624"/>
      <c r="I1901" s="1624"/>
      <c r="J1901" s="1624"/>
      <c r="K1901" s="1624"/>
      <c r="L1901" s="1624"/>
      <c r="M1901" s="6"/>
      <c r="N1901" s="6"/>
    </row>
    <row r="1902" spans="1:16" ht="18.75" thickBot="1" x14ac:dyDescent="0.3">
      <c r="A1902" s="41"/>
      <c r="B1902" s="41"/>
      <c r="C1902" s="41"/>
      <c r="D1902" s="63"/>
      <c r="E1902" s="41"/>
      <c r="F1902" s="41"/>
      <c r="G1902" s="41"/>
      <c r="H1902" s="41"/>
    </row>
    <row r="1903" spans="1:16" ht="63.75" customHeight="1" thickBot="1" x14ac:dyDescent="0.3">
      <c r="A1903" s="1625" t="s">
        <v>115</v>
      </c>
      <c r="B1903" s="1626"/>
      <c r="C1903" s="1626"/>
      <c r="D1903" s="1626"/>
      <c r="E1903" s="1626"/>
      <c r="F1903" s="1626"/>
      <c r="G1903" s="1627"/>
      <c r="H1903" s="93" t="s">
        <v>116</v>
      </c>
      <c r="I1903" s="130" t="s">
        <v>117</v>
      </c>
      <c r="J1903" s="130" t="s">
        <v>118</v>
      </c>
      <c r="K1903" s="130" t="s">
        <v>119</v>
      </c>
      <c r="L1903" s="130" t="s">
        <v>120</v>
      </c>
    </row>
    <row r="1904" spans="1:16" s="146" customFormat="1" ht="18" x14ac:dyDescent="0.25">
      <c r="A1904" s="519"/>
      <c r="B1904" s="499"/>
      <c r="C1904" s="499"/>
      <c r="D1904" s="1620" t="s">
        <v>799</v>
      </c>
      <c r="E1904" s="1620"/>
      <c r="F1904" s="1620"/>
      <c r="G1904" s="1621"/>
      <c r="H1904" s="100"/>
      <c r="I1904" s="155"/>
      <c r="J1904" s="156"/>
      <c r="K1904" s="155"/>
      <c r="L1904" s="155"/>
      <c r="M1904" s="10"/>
      <c r="N1904" s="10"/>
      <c r="O1904"/>
      <c r="P1904"/>
    </row>
    <row r="1905" spans="1:16" s="388" customFormat="1" ht="18" x14ac:dyDescent="0.25">
      <c r="A1905" s="154"/>
      <c r="B1905" s="502"/>
      <c r="C1905" s="502"/>
      <c r="D1905" s="502" t="s">
        <v>881</v>
      </c>
      <c r="E1905" s="502"/>
      <c r="F1905" s="502"/>
      <c r="G1905" s="503"/>
      <c r="H1905" s="100"/>
      <c r="I1905" s="101"/>
      <c r="J1905" s="102"/>
      <c r="K1905" s="101"/>
      <c r="L1905" s="101">
        <v>15000</v>
      </c>
      <c r="M1905" s="207"/>
      <c r="N1905" s="207"/>
      <c r="O1905" s="208"/>
      <c r="P1905" s="208"/>
    </row>
    <row r="1906" spans="1:16" s="388" customFormat="1" ht="18" x14ac:dyDescent="0.25">
      <c r="A1906" s="154"/>
      <c r="B1906" s="502"/>
      <c r="C1906" s="502"/>
      <c r="D1906" s="502" t="s">
        <v>882</v>
      </c>
      <c r="E1906" s="502"/>
      <c r="F1906" s="502"/>
      <c r="G1906" s="503"/>
      <c r="H1906" s="100"/>
      <c r="I1906" s="101"/>
      <c r="J1906" s="102"/>
      <c r="K1906" s="101"/>
      <c r="L1906" s="101">
        <v>280000</v>
      </c>
      <c r="M1906" s="207"/>
      <c r="N1906" s="207"/>
      <c r="O1906" s="208"/>
      <c r="P1906" s="208"/>
    </row>
    <row r="1907" spans="1:16" s="146" customFormat="1" ht="18" x14ac:dyDescent="0.25">
      <c r="A1907" s="519"/>
      <c r="B1907" s="499"/>
      <c r="C1907" s="499"/>
      <c r="D1907" s="1611" t="s">
        <v>883</v>
      </c>
      <c r="E1907" s="1611"/>
      <c r="F1907" s="1611"/>
      <c r="G1907" s="1602"/>
      <c r="H1907" s="100"/>
      <c r="I1907" s="101"/>
      <c r="J1907" s="102">
        <v>75000</v>
      </c>
      <c r="K1907" s="101"/>
      <c r="L1907" s="101"/>
      <c r="M1907" s="10"/>
      <c r="N1907" s="10"/>
      <c r="O1907"/>
      <c r="P1907"/>
    </row>
    <row r="1908" spans="1:16" s="146" customFormat="1" ht="18" x14ac:dyDescent="0.25">
      <c r="A1908" s="519"/>
      <c r="B1908" s="499"/>
      <c r="C1908" s="499"/>
      <c r="D1908" s="536" t="s">
        <v>884</v>
      </c>
      <c r="E1908" s="499"/>
      <c r="F1908" s="499"/>
      <c r="G1908" s="491"/>
      <c r="H1908" s="100"/>
      <c r="I1908" s="101"/>
      <c r="J1908" s="102">
        <v>65000</v>
      </c>
      <c r="K1908" s="101"/>
      <c r="L1908" s="101"/>
      <c r="M1908" s="10"/>
      <c r="N1908" s="10"/>
      <c r="O1908"/>
      <c r="P1908"/>
    </row>
    <row r="1909" spans="1:16" s="146" customFormat="1" ht="18" x14ac:dyDescent="0.25">
      <c r="A1909" s="519"/>
      <c r="B1909" s="499"/>
      <c r="C1909" s="499"/>
      <c r="D1909" s="536" t="s">
        <v>885</v>
      </c>
      <c r="E1909" s="499"/>
      <c r="F1909" s="499"/>
      <c r="G1909" s="491"/>
      <c r="H1909" s="100"/>
      <c r="I1909" s="101"/>
      <c r="J1909" s="102">
        <v>15000</v>
      </c>
      <c r="K1909" s="101"/>
      <c r="L1909" s="101"/>
      <c r="M1909" s="10"/>
      <c r="N1909" s="10"/>
      <c r="O1909"/>
      <c r="P1909"/>
    </row>
    <row r="1910" spans="1:16" s="146" customFormat="1" ht="19.5" customHeight="1" x14ac:dyDescent="0.25">
      <c r="A1910" s="519"/>
      <c r="B1910" s="499"/>
      <c r="C1910" s="499"/>
      <c r="D1910" s="1611" t="s">
        <v>886</v>
      </c>
      <c r="E1910" s="1611"/>
      <c r="F1910" s="1611"/>
      <c r="G1910" s="1602"/>
      <c r="H1910" s="100"/>
      <c r="I1910" s="101">
        <v>0</v>
      </c>
      <c r="J1910" s="102">
        <v>40000</v>
      </c>
      <c r="K1910" s="101"/>
      <c r="L1910" s="101"/>
      <c r="M1910" s="10"/>
      <c r="N1910" s="10"/>
      <c r="O1910"/>
      <c r="P1910"/>
    </row>
    <row r="1911" spans="1:16" s="146" customFormat="1" ht="19.5" customHeight="1" x14ac:dyDescent="0.25">
      <c r="A1911" s="519"/>
      <c r="B1911" s="499"/>
      <c r="C1911" s="499"/>
      <c r="D1911" s="1611" t="s">
        <v>887</v>
      </c>
      <c r="E1911" s="1611"/>
      <c r="F1911" s="1611"/>
      <c r="G1911" s="1602"/>
      <c r="H1911" s="100"/>
      <c r="I1911" s="101">
        <v>0</v>
      </c>
      <c r="J1911" s="102">
        <v>38000</v>
      </c>
      <c r="K1911" s="101"/>
      <c r="L1911" s="101"/>
      <c r="M1911" s="10"/>
      <c r="N1911" s="10"/>
      <c r="O1911"/>
      <c r="P1911"/>
    </row>
    <row r="1912" spans="1:16" s="146" customFormat="1" ht="18.75" customHeight="1" x14ac:dyDescent="0.25">
      <c r="A1912" s="519"/>
      <c r="B1912" s="499"/>
      <c r="C1912" s="499"/>
      <c r="D1912" s="536" t="s">
        <v>888</v>
      </c>
      <c r="E1912" s="499"/>
      <c r="F1912" s="499"/>
      <c r="G1912" s="491"/>
      <c r="H1912" s="100"/>
      <c r="I1912" s="101"/>
      <c r="J1912" s="102">
        <v>50000</v>
      </c>
      <c r="K1912" s="101"/>
      <c r="L1912" s="101"/>
      <c r="M1912" s="10"/>
      <c r="N1912" s="10"/>
      <c r="O1912"/>
      <c r="P1912"/>
    </row>
    <row r="1913" spans="1:16" s="146" customFormat="1" ht="18.75" customHeight="1" x14ac:dyDescent="0.25">
      <c r="A1913" s="519"/>
      <c r="B1913" s="499"/>
      <c r="C1913" s="499"/>
      <c r="D1913" s="536" t="s">
        <v>889</v>
      </c>
      <c r="E1913" s="499"/>
      <c r="F1913" s="499"/>
      <c r="G1913" s="491"/>
      <c r="H1913" s="100"/>
      <c r="I1913" s="101"/>
      <c r="J1913" s="102">
        <v>80000</v>
      </c>
      <c r="K1913" s="101"/>
      <c r="L1913" s="101"/>
      <c r="M1913" s="10"/>
      <c r="N1913" s="10"/>
      <c r="O1913"/>
      <c r="P1913"/>
    </row>
    <row r="1914" spans="1:16" s="146" customFormat="1" ht="16.5" customHeight="1" x14ac:dyDescent="0.25">
      <c r="A1914" s="519"/>
      <c r="B1914" s="499"/>
      <c r="C1914" s="499"/>
      <c r="D1914" s="536" t="s">
        <v>890</v>
      </c>
      <c r="E1914" s="491"/>
      <c r="F1914" s="492"/>
      <c r="G1914" s="492"/>
      <c r="H1914" s="100"/>
      <c r="I1914" s="101"/>
      <c r="J1914" s="102">
        <v>30000</v>
      </c>
      <c r="K1914" s="101"/>
      <c r="L1914" s="105"/>
      <c r="M1914" s="10"/>
      <c r="N1914" s="10"/>
      <c r="O1914"/>
      <c r="P1914"/>
    </row>
    <row r="1915" spans="1:16" s="146" customFormat="1" ht="18" x14ac:dyDescent="0.25">
      <c r="A1915" s="519"/>
      <c r="B1915" s="499"/>
      <c r="C1915" s="499"/>
      <c r="D1915" s="496" t="s">
        <v>823</v>
      </c>
      <c r="E1915" s="575"/>
      <c r="F1915" s="492"/>
      <c r="G1915" s="492"/>
      <c r="H1915" s="100"/>
      <c r="I1915" s="119">
        <f>SUM(I1907:I1914)</f>
        <v>0</v>
      </c>
      <c r="J1915" s="150">
        <f>SUM(J1907:J1914)</f>
        <v>393000</v>
      </c>
      <c r="K1915" s="119">
        <f>SUM(K1907:K1914)</f>
        <v>0</v>
      </c>
      <c r="L1915" s="119">
        <f>SUM(L1890:L1914)</f>
        <v>1131000</v>
      </c>
      <c r="M1915" s="10"/>
      <c r="N1915" s="10"/>
      <c r="O1915"/>
      <c r="P1915"/>
    </row>
    <row r="1916" spans="1:16" s="146" customFormat="1" ht="18" x14ac:dyDescent="0.25">
      <c r="A1916" s="519"/>
      <c r="B1916" s="499"/>
      <c r="C1916" s="499"/>
      <c r="D1916" s="38"/>
      <c r="E1916" s="493"/>
      <c r="F1916" s="492"/>
      <c r="G1916" s="492"/>
      <c r="H1916" s="100"/>
      <c r="I1916" s="155"/>
      <c r="J1916" s="156"/>
      <c r="K1916" s="155"/>
      <c r="L1916" s="155"/>
      <c r="M1916" s="10"/>
      <c r="N1916" s="10"/>
      <c r="O1916"/>
      <c r="P1916"/>
    </row>
    <row r="1917" spans="1:16" s="146" customFormat="1" ht="18" x14ac:dyDescent="0.25">
      <c r="A1917" s="519"/>
      <c r="B1917" s="499"/>
      <c r="C1917" s="499"/>
      <c r="D1917" s="1620" t="s">
        <v>892</v>
      </c>
      <c r="E1917" s="1620"/>
      <c r="F1917" s="499"/>
      <c r="G1917" s="491"/>
      <c r="H1917" s="100"/>
      <c r="I1917" s="101"/>
      <c r="J1917" s="102"/>
      <c r="K1917" s="101"/>
      <c r="L1917" s="101"/>
      <c r="M1917" s="10"/>
      <c r="N1917" s="10"/>
      <c r="O1917"/>
      <c r="P1917"/>
    </row>
    <row r="1918" spans="1:16" s="146" customFormat="1" ht="18" x14ac:dyDescent="0.25">
      <c r="A1918" s="519"/>
      <c r="B1918" s="499"/>
      <c r="C1918" s="499"/>
      <c r="D1918" s="38" t="s">
        <v>893</v>
      </c>
      <c r="E1918" s="499"/>
      <c r="F1918" s="499"/>
      <c r="G1918" s="491"/>
      <c r="H1918" s="100"/>
      <c r="I1918" s="101"/>
      <c r="J1918" s="102"/>
      <c r="K1918" s="101"/>
      <c r="L1918" s="101"/>
      <c r="M1918" s="10"/>
      <c r="N1918" s="10"/>
      <c r="O1918"/>
      <c r="P1918"/>
    </row>
    <row r="1919" spans="1:16" s="146" customFormat="1" ht="18" x14ac:dyDescent="0.25">
      <c r="A1919" s="519"/>
      <c r="B1919" s="499"/>
      <c r="C1919" s="499"/>
      <c r="D1919" s="38" t="s">
        <v>894</v>
      </c>
      <c r="E1919" s="499"/>
      <c r="F1919" s="499"/>
      <c r="G1919" s="491"/>
      <c r="H1919" s="100"/>
      <c r="I1919" s="101">
        <v>79315</v>
      </c>
      <c r="J1919" s="102">
        <v>85000</v>
      </c>
      <c r="K1919" s="101"/>
      <c r="L1919" s="101">
        <v>85000</v>
      </c>
      <c r="M1919" s="10"/>
      <c r="N1919" s="10"/>
      <c r="O1919"/>
      <c r="P1919"/>
    </row>
    <row r="1920" spans="1:16" s="146" customFormat="1" ht="18" x14ac:dyDescent="0.25">
      <c r="A1920" s="519"/>
      <c r="B1920" s="499"/>
      <c r="C1920" s="499"/>
      <c r="D1920" s="38" t="s">
        <v>895</v>
      </c>
      <c r="E1920" s="499"/>
      <c r="F1920" s="499"/>
      <c r="G1920" s="491"/>
      <c r="H1920" s="100"/>
      <c r="I1920" s="101">
        <v>23150</v>
      </c>
      <c r="J1920" s="102">
        <v>40000</v>
      </c>
      <c r="K1920" s="101"/>
      <c r="L1920" s="101">
        <v>40000</v>
      </c>
      <c r="M1920" s="10"/>
      <c r="N1920" s="10"/>
      <c r="O1920"/>
      <c r="P1920"/>
    </row>
    <row r="1921" spans="1:16" s="146" customFormat="1" ht="18" x14ac:dyDescent="0.25">
      <c r="A1921" s="519"/>
      <c r="B1921" s="499"/>
      <c r="C1921" s="499"/>
      <c r="D1921" s="38" t="s">
        <v>896</v>
      </c>
      <c r="E1921" s="499"/>
      <c r="F1921" s="499"/>
      <c r="G1921" s="491"/>
      <c r="H1921" s="100"/>
      <c r="I1921" s="101">
        <v>14556</v>
      </c>
      <c r="J1921" s="102">
        <v>25000</v>
      </c>
      <c r="K1921" s="101"/>
      <c r="L1921" s="101">
        <v>25000</v>
      </c>
      <c r="M1921" s="10"/>
      <c r="N1921" s="10"/>
      <c r="O1921"/>
      <c r="P1921"/>
    </row>
    <row r="1922" spans="1:16" s="146" customFormat="1" ht="18" x14ac:dyDescent="0.25">
      <c r="A1922" s="519"/>
      <c r="B1922" s="499"/>
      <c r="C1922" s="499"/>
      <c r="D1922" s="38" t="s">
        <v>897</v>
      </c>
      <c r="E1922" s="499"/>
      <c r="F1922" s="499"/>
      <c r="G1922" s="491"/>
      <c r="H1922" s="100"/>
      <c r="I1922" s="101">
        <v>56568</v>
      </c>
      <c r="J1922" s="102">
        <v>60000</v>
      </c>
      <c r="K1922" s="101"/>
      <c r="L1922" s="101">
        <v>60000</v>
      </c>
      <c r="M1922" s="10"/>
      <c r="N1922" s="10"/>
      <c r="O1922"/>
      <c r="P1922"/>
    </row>
    <row r="1923" spans="1:16" s="146" customFormat="1" ht="18" x14ac:dyDescent="0.25">
      <c r="A1923" s="519"/>
      <c r="B1923" s="499"/>
      <c r="C1923" s="499"/>
      <c r="D1923" s="38" t="s">
        <v>898</v>
      </c>
      <c r="E1923" s="499"/>
      <c r="F1923" s="499"/>
      <c r="G1923" s="491"/>
      <c r="H1923" s="100"/>
      <c r="I1923" s="101">
        <v>60000</v>
      </c>
      <c r="J1923" s="102">
        <v>60000</v>
      </c>
      <c r="K1923" s="101"/>
      <c r="L1923" s="101">
        <v>60000</v>
      </c>
      <c r="M1923" s="10"/>
      <c r="N1923" s="10"/>
      <c r="O1923"/>
      <c r="P1923"/>
    </row>
    <row r="1924" spans="1:16" s="146" customFormat="1" ht="18" x14ac:dyDescent="0.25">
      <c r="A1924" s="519"/>
      <c r="B1924" s="499"/>
      <c r="C1924" s="499"/>
      <c r="D1924" s="1639" t="s">
        <v>899</v>
      </c>
      <c r="E1924" s="1639"/>
      <c r="F1924" s="1639"/>
      <c r="G1924" s="491"/>
      <c r="H1924" s="100"/>
      <c r="I1924" s="101">
        <v>25800</v>
      </c>
      <c r="J1924" s="102">
        <v>36000</v>
      </c>
      <c r="K1924" s="101"/>
      <c r="L1924" s="101">
        <v>36000</v>
      </c>
      <c r="M1924" s="10"/>
      <c r="N1924" s="10"/>
      <c r="O1924"/>
      <c r="P1924"/>
    </row>
    <row r="1925" spans="1:16" s="146" customFormat="1" ht="18" x14ac:dyDescent="0.25">
      <c r="A1925" s="519"/>
      <c r="B1925" s="499"/>
      <c r="C1925" s="499"/>
      <c r="D1925" s="1611" t="s">
        <v>900</v>
      </c>
      <c r="E1925" s="1611"/>
      <c r="F1925" s="1611"/>
      <c r="G1925" s="1602"/>
      <c r="H1925" s="100"/>
      <c r="I1925" s="101">
        <v>63103</v>
      </c>
      <c r="J1925" s="102">
        <v>40000</v>
      </c>
      <c r="K1925" s="101"/>
      <c r="L1925" s="101">
        <v>40000</v>
      </c>
      <c r="M1925" s="10"/>
      <c r="N1925" s="10"/>
      <c r="O1925"/>
      <c r="P1925"/>
    </row>
    <row r="1926" spans="1:16" s="146" customFormat="1" ht="18" x14ac:dyDescent="0.25">
      <c r="A1926" s="519"/>
      <c r="B1926" s="499"/>
      <c r="C1926" s="499"/>
      <c r="D1926" s="536" t="s">
        <v>901</v>
      </c>
      <c r="E1926" s="499"/>
      <c r="F1926" s="499"/>
      <c r="G1926" s="491"/>
      <c r="H1926" s="100"/>
      <c r="I1926" s="101"/>
      <c r="J1926" s="102">
        <v>50000</v>
      </c>
      <c r="K1926" s="101"/>
      <c r="L1926" s="101">
        <v>50000</v>
      </c>
      <c r="M1926" s="10"/>
      <c r="N1926" s="10"/>
      <c r="O1926"/>
      <c r="P1926"/>
    </row>
    <row r="1927" spans="1:16" s="146" customFormat="1" ht="18" x14ac:dyDescent="0.25">
      <c r="A1927" s="519"/>
      <c r="B1927" s="499"/>
      <c r="C1927" s="499"/>
      <c r="D1927" s="536" t="s">
        <v>902</v>
      </c>
      <c r="E1927" s="499"/>
      <c r="F1927" s="499"/>
      <c r="G1927" s="491"/>
      <c r="H1927" s="100"/>
      <c r="I1927" s="101"/>
      <c r="J1927" s="102"/>
      <c r="K1927" s="101"/>
      <c r="L1927" s="101">
        <v>42000</v>
      </c>
      <c r="M1927" s="10"/>
      <c r="N1927" s="10"/>
      <c r="O1927"/>
      <c r="P1927"/>
    </row>
    <row r="1928" spans="1:16" s="146" customFormat="1" ht="18" x14ac:dyDescent="0.25">
      <c r="A1928" s="519"/>
      <c r="B1928" s="499"/>
      <c r="C1928" s="499"/>
      <c r="D1928" s="38" t="s">
        <v>903</v>
      </c>
      <c r="E1928" s="499"/>
      <c r="F1928" s="499"/>
      <c r="G1928" s="491"/>
      <c r="H1928" s="100"/>
      <c r="I1928" s="101"/>
      <c r="J1928" s="102"/>
      <c r="K1928" s="101"/>
      <c r="L1928" s="101"/>
      <c r="M1928" s="10"/>
      <c r="N1928" s="10"/>
      <c r="O1928"/>
      <c r="P1928"/>
    </row>
    <row r="1929" spans="1:16" s="146" customFormat="1" ht="18" x14ac:dyDescent="0.25">
      <c r="A1929" s="519"/>
      <c r="B1929" s="499"/>
      <c r="C1929" s="499"/>
      <c r="D1929" s="38" t="s">
        <v>904</v>
      </c>
      <c r="E1929" s="499"/>
      <c r="F1929" s="499"/>
      <c r="G1929" s="491"/>
      <c r="H1929" s="100"/>
      <c r="I1929" s="101">
        <v>0</v>
      </c>
      <c r="J1929" s="102">
        <v>72000</v>
      </c>
      <c r="K1929" s="101"/>
      <c r="L1929" s="101">
        <v>72000</v>
      </c>
      <c r="M1929" s="10"/>
      <c r="N1929" s="10"/>
      <c r="O1929"/>
      <c r="P1929"/>
    </row>
    <row r="1930" spans="1:16" s="146" customFormat="1" ht="18" x14ac:dyDescent="0.25">
      <c r="A1930" s="519"/>
      <c r="B1930" s="499"/>
      <c r="C1930" s="499"/>
      <c r="D1930" s="1634" t="s">
        <v>905</v>
      </c>
      <c r="E1930" s="1634"/>
      <c r="F1930" s="1634"/>
      <c r="G1930" s="1653"/>
      <c r="H1930" s="100"/>
      <c r="I1930" s="101">
        <v>0</v>
      </c>
      <c r="J1930" s="102">
        <v>250000</v>
      </c>
      <c r="K1930" s="101"/>
      <c r="L1930" s="101">
        <v>50000</v>
      </c>
      <c r="M1930" s="10"/>
      <c r="N1930" s="10"/>
      <c r="O1930"/>
      <c r="P1930"/>
    </row>
    <row r="1931" spans="1:16" s="146" customFormat="1" ht="42" customHeight="1" x14ac:dyDescent="0.25">
      <c r="A1931" s="519"/>
      <c r="B1931" s="499"/>
      <c r="C1931" s="499"/>
      <c r="D1931" s="1628" t="s">
        <v>906</v>
      </c>
      <c r="E1931" s="1628"/>
      <c r="F1931" s="499"/>
      <c r="G1931" s="491"/>
      <c r="H1931" s="100"/>
      <c r="I1931" s="101">
        <v>0</v>
      </c>
      <c r="J1931" s="102">
        <v>72000</v>
      </c>
      <c r="K1931" s="101"/>
      <c r="L1931" s="101">
        <v>72000</v>
      </c>
      <c r="M1931" s="10"/>
      <c r="N1931" s="10"/>
      <c r="O1931"/>
      <c r="P1931"/>
    </row>
    <row r="1932" spans="1:16" s="146" customFormat="1" ht="38.25" customHeight="1" x14ac:dyDescent="0.25">
      <c r="A1932" s="519"/>
      <c r="B1932" s="499"/>
      <c r="C1932" s="499"/>
      <c r="D1932" s="1617" t="s">
        <v>907</v>
      </c>
      <c r="E1932" s="1617"/>
      <c r="F1932" s="499"/>
      <c r="G1932" s="491"/>
      <c r="H1932" s="100"/>
      <c r="I1932" s="101">
        <v>0</v>
      </c>
      <c r="J1932" s="102">
        <v>30000</v>
      </c>
      <c r="K1932" s="101"/>
      <c r="L1932" s="101">
        <v>30000</v>
      </c>
      <c r="M1932" s="10"/>
      <c r="N1932" s="10"/>
      <c r="O1932"/>
      <c r="P1932"/>
    </row>
    <row r="1933" spans="1:16" s="146" customFormat="1" ht="18" x14ac:dyDescent="0.25">
      <c r="A1933" s="519"/>
      <c r="B1933" s="499"/>
      <c r="C1933" s="499"/>
      <c r="D1933" s="38" t="s">
        <v>908</v>
      </c>
      <c r="E1933" s="499"/>
      <c r="F1933" s="499"/>
      <c r="G1933" s="491"/>
      <c r="H1933" s="100"/>
      <c r="I1933" s="101">
        <v>0</v>
      </c>
      <c r="J1933" s="102">
        <v>50000</v>
      </c>
      <c r="K1933" s="101"/>
      <c r="L1933" s="101">
        <v>50000</v>
      </c>
      <c r="M1933" s="10"/>
      <c r="N1933" s="10"/>
      <c r="O1933"/>
      <c r="P1933"/>
    </row>
    <row r="1934" spans="1:16" s="146" customFormat="1" ht="18" x14ac:dyDescent="0.25">
      <c r="A1934" s="519"/>
      <c r="B1934" s="499"/>
      <c r="C1934" s="499"/>
      <c r="D1934" s="38" t="s">
        <v>909</v>
      </c>
      <c r="E1934" s="499"/>
      <c r="F1934" s="499"/>
      <c r="G1934" s="491"/>
      <c r="H1934" s="100"/>
      <c r="I1934" s="101"/>
      <c r="J1934" s="102"/>
      <c r="K1934" s="101"/>
      <c r="L1934" s="101">
        <v>100000</v>
      </c>
      <c r="M1934" s="10"/>
      <c r="N1934" s="10"/>
      <c r="O1934"/>
      <c r="P1934"/>
    </row>
    <row r="1935" spans="1:16" s="146" customFormat="1" ht="18" x14ac:dyDescent="0.25">
      <c r="A1935" s="519"/>
      <c r="B1935" s="499"/>
      <c r="C1935" s="499"/>
      <c r="D1935" s="38" t="s">
        <v>910</v>
      </c>
      <c r="E1935" s="499"/>
      <c r="F1935" s="499"/>
      <c r="G1935" s="491"/>
      <c r="H1935" s="100"/>
      <c r="I1935" s="101"/>
      <c r="J1935" s="102"/>
      <c r="K1935" s="101"/>
      <c r="L1935" s="101">
        <v>40000</v>
      </c>
      <c r="M1935" s="10"/>
      <c r="N1935" s="10"/>
      <c r="O1935"/>
      <c r="P1935"/>
    </row>
    <row r="1936" spans="1:16" s="146" customFormat="1" ht="18" x14ac:dyDescent="0.25">
      <c r="A1936" s="519"/>
      <c r="B1936" s="499"/>
      <c r="C1936" s="499"/>
      <c r="D1936" s="38" t="s">
        <v>911</v>
      </c>
      <c r="E1936" s="499"/>
      <c r="F1936" s="499"/>
      <c r="G1936" s="491"/>
      <c r="H1936" s="100"/>
      <c r="I1936" s="101"/>
      <c r="J1936" s="102"/>
      <c r="K1936" s="101"/>
      <c r="L1936" s="101">
        <v>44000</v>
      </c>
      <c r="M1936" s="10"/>
      <c r="N1936" s="10"/>
      <c r="O1936"/>
      <c r="P1936"/>
    </row>
    <row r="1937" spans="1:16" s="146" customFormat="1" ht="18" x14ac:dyDescent="0.25">
      <c r="A1937" s="519"/>
      <c r="B1937" s="499"/>
      <c r="C1937" s="499"/>
      <c r="D1937" s="38" t="s">
        <v>912</v>
      </c>
      <c r="E1937" s="499"/>
      <c r="F1937" s="499"/>
      <c r="G1937" s="491"/>
      <c r="H1937" s="100"/>
      <c r="I1937" s="101">
        <v>0</v>
      </c>
      <c r="J1937" s="102">
        <v>100000</v>
      </c>
      <c r="K1937" s="101"/>
      <c r="L1937" s="101"/>
      <c r="M1937" s="10"/>
      <c r="N1937" s="10"/>
      <c r="O1937"/>
      <c r="P1937"/>
    </row>
    <row r="1938" spans="1:16" s="146" customFormat="1" ht="18" x14ac:dyDescent="0.25">
      <c r="A1938" s="519"/>
      <c r="B1938" s="499"/>
      <c r="C1938" s="499"/>
      <c r="D1938" s="38" t="s">
        <v>913</v>
      </c>
      <c r="E1938" s="499"/>
      <c r="F1938" s="499"/>
      <c r="G1938" s="491"/>
      <c r="H1938" s="100"/>
      <c r="I1938" s="101">
        <v>0</v>
      </c>
      <c r="J1938" s="102">
        <v>40000</v>
      </c>
      <c r="K1938" s="101"/>
      <c r="L1938" s="101"/>
      <c r="M1938" s="10"/>
      <c r="N1938" s="10"/>
      <c r="O1938"/>
      <c r="P1938"/>
    </row>
    <row r="1939" spans="1:16" s="146" customFormat="1" ht="39" customHeight="1" x14ac:dyDescent="0.25">
      <c r="A1939" s="519"/>
      <c r="B1939" s="499"/>
      <c r="C1939" s="499"/>
      <c r="D1939" s="1628" t="s">
        <v>914</v>
      </c>
      <c r="E1939" s="1628"/>
      <c r="F1939" s="499"/>
      <c r="G1939" s="499"/>
      <c r="H1939" s="100"/>
      <c r="I1939" s="101">
        <v>0</v>
      </c>
      <c r="J1939" s="102">
        <v>50000</v>
      </c>
      <c r="K1939" s="101"/>
      <c r="L1939" s="101">
        <v>50000</v>
      </c>
      <c r="M1939" s="10"/>
      <c r="N1939" s="10"/>
      <c r="O1939"/>
      <c r="P1939"/>
    </row>
    <row r="1940" spans="1:16" s="146" customFormat="1" ht="18" x14ac:dyDescent="0.25">
      <c r="A1940" s="519"/>
      <c r="B1940" s="499"/>
      <c r="C1940" s="499"/>
      <c r="D1940" s="38" t="s">
        <v>915</v>
      </c>
      <c r="E1940" s="499"/>
      <c r="F1940" s="499"/>
      <c r="G1940" s="499"/>
      <c r="H1940" s="100"/>
      <c r="I1940" s="101">
        <v>0</v>
      </c>
      <c r="J1940" s="102">
        <v>30000</v>
      </c>
      <c r="K1940" s="101"/>
      <c r="L1940" s="101">
        <v>30000</v>
      </c>
      <c r="M1940" s="10"/>
      <c r="N1940" s="10"/>
      <c r="O1940"/>
      <c r="P1940"/>
    </row>
    <row r="1941" spans="1:16" s="146" customFormat="1" ht="18" x14ac:dyDescent="0.25">
      <c r="A1941" s="519"/>
      <c r="B1941" s="499"/>
      <c r="C1941" s="499"/>
      <c r="D1941" s="38" t="s">
        <v>916</v>
      </c>
      <c r="E1941" s="499"/>
      <c r="F1941" s="499"/>
      <c r="G1941" s="499"/>
      <c r="H1941" s="100"/>
      <c r="I1941" s="101">
        <v>0</v>
      </c>
      <c r="J1941" s="102">
        <v>15000</v>
      </c>
      <c r="K1941" s="101"/>
      <c r="L1941" s="105">
        <v>15000</v>
      </c>
      <c r="M1941" s="10"/>
      <c r="N1941" s="10"/>
      <c r="O1941"/>
      <c r="P1941"/>
    </row>
    <row r="1942" spans="1:16" s="146" customFormat="1" ht="18" x14ac:dyDescent="0.25">
      <c r="A1942" s="519"/>
      <c r="B1942" s="499"/>
      <c r="C1942" s="499"/>
      <c r="D1942" s="496" t="s">
        <v>200</v>
      </c>
      <c r="F1942" s="390"/>
      <c r="G1942" s="390"/>
      <c r="H1942" s="100"/>
      <c r="I1942" s="119">
        <f>SUM(I1918:I1941)</f>
        <v>322492</v>
      </c>
      <c r="J1942" s="119">
        <f>SUM(J1918:J1941)</f>
        <v>1105000</v>
      </c>
      <c r="K1942" s="119">
        <f>SUM(K1918:K1941)</f>
        <v>0</v>
      </c>
      <c r="L1942" s="119">
        <f>SUM(L1918:L1941)</f>
        <v>991000</v>
      </c>
      <c r="M1942" s="10"/>
      <c r="N1942" s="10"/>
      <c r="O1942"/>
      <c r="P1942"/>
    </row>
    <row r="1943" spans="1:16" s="146" customFormat="1" ht="18" x14ac:dyDescent="0.25">
      <c r="A1943" s="519"/>
      <c r="B1943" s="499"/>
      <c r="C1943" s="499"/>
      <c r="D1943" s="496" t="s">
        <v>15</v>
      </c>
      <c r="F1943" s="499"/>
      <c r="G1943" s="499"/>
      <c r="H1943" s="100"/>
      <c r="I1943" s="259">
        <f>I1942+I1915+I1887</f>
        <v>1684004.64</v>
      </c>
      <c r="J1943" s="259">
        <f>J1942+J1915+J1887</f>
        <v>3790675</v>
      </c>
      <c r="K1943" s="259">
        <f>K1942+K1915+K1887</f>
        <v>747569.05</v>
      </c>
      <c r="L1943" s="259">
        <f>L1942+L1915+L1887</f>
        <v>6297220</v>
      </c>
      <c r="M1943" s="10"/>
      <c r="N1943" s="10"/>
      <c r="O1943"/>
      <c r="P1943"/>
    </row>
    <row r="1944" spans="1:16" s="146" customFormat="1" ht="18" x14ac:dyDescent="0.25">
      <c r="A1944" s="519"/>
      <c r="B1944" s="499"/>
      <c r="C1944" s="499"/>
      <c r="D1944" s="38"/>
      <c r="E1944" s="493"/>
      <c r="F1944" s="492"/>
      <c r="G1944" s="492"/>
      <c r="H1944" s="100"/>
      <c r="I1944" s="155"/>
      <c r="J1944" s="156"/>
      <c r="K1944" s="155"/>
      <c r="L1944" s="155"/>
      <c r="M1944" s="10"/>
      <c r="N1944" s="10"/>
      <c r="O1944"/>
      <c r="P1944"/>
    </row>
    <row r="1945" spans="1:16" ht="18" x14ac:dyDescent="0.25">
      <c r="A1945" s="519"/>
      <c r="B1945" s="499"/>
      <c r="C1945" s="499"/>
      <c r="D1945" s="1620" t="s">
        <v>918</v>
      </c>
      <c r="E1945" s="1620"/>
      <c r="F1945" s="1620"/>
      <c r="G1945" s="1621"/>
      <c r="H1945" s="100"/>
      <c r="I1945" s="101"/>
      <c r="J1945" s="102"/>
      <c r="K1945" s="101"/>
      <c r="L1945" s="101"/>
    </row>
    <row r="1946" spans="1:16" ht="18" x14ac:dyDescent="0.25">
      <c r="A1946" s="519"/>
      <c r="B1946" s="499"/>
      <c r="C1946" s="499"/>
      <c r="D1946" s="1620" t="s">
        <v>813</v>
      </c>
      <c r="E1946" s="1620"/>
      <c r="F1946" s="1620"/>
      <c r="G1946" s="1621"/>
      <c r="H1946" s="100"/>
      <c r="I1946" s="101"/>
      <c r="J1946" s="102"/>
      <c r="K1946" s="101"/>
      <c r="L1946" s="101"/>
    </row>
    <row r="1947" spans="1:16" s="212" customFormat="1" ht="18" customHeight="1" x14ac:dyDescent="0.25">
      <c r="A1947" s="154"/>
      <c r="B1947" s="502"/>
      <c r="C1947" s="502"/>
      <c r="D1947" s="44" t="s">
        <v>806</v>
      </c>
      <c r="E1947" s="125"/>
      <c r="F1947" s="125"/>
      <c r="G1947" s="134"/>
      <c r="H1947" s="100" t="s">
        <v>169</v>
      </c>
      <c r="I1947" s="101">
        <v>13473.5</v>
      </c>
      <c r="J1947" s="102">
        <v>25000</v>
      </c>
      <c r="K1947" s="101">
        <v>23237</v>
      </c>
      <c r="L1947" s="101">
        <v>28996.5</v>
      </c>
      <c r="M1947" s="207">
        <f>6470+11246.5+11280</f>
        <v>28996.5</v>
      </c>
      <c r="N1947" s="207"/>
    </row>
    <row r="1948" spans="1:16" s="212" customFormat="1" ht="18" customHeight="1" x14ac:dyDescent="0.25">
      <c r="A1948" s="154"/>
      <c r="B1948" s="502"/>
      <c r="C1948" s="502"/>
      <c r="D1948" s="44" t="s">
        <v>873</v>
      </c>
      <c r="E1948" s="125"/>
      <c r="F1948" s="125"/>
      <c r="G1948" s="134"/>
      <c r="H1948" s="100" t="s">
        <v>173</v>
      </c>
      <c r="I1948" s="101">
        <v>50611.1</v>
      </c>
      <c r="J1948" s="102">
        <v>100000</v>
      </c>
      <c r="K1948" s="101">
        <v>21385.5</v>
      </c>
      <c r="L1948" s="101">
        <v>100020</v>
      </c>
      <c r="M1948" s="207"/>
      <c r="N1948" s="207"/>
    </row>
    <row r="1949" spans="1:16" s="212" customFormat="1" ht="18" customHeight="1" x14ac:dyDescent="0.25">
      <c r="A1949" s="154"/>
      <c r="B1949" s="502"/>
      <c r="C1949" s="502"/>
      <c r="D1949" s="44" t="s">
        <v>919</v>
      </c>
      <c r="E1949" s="125"/>
      <c r="F1949" s="125"/>
      <c r="G1949" s="134"/>
      <c r="H1949" s="100" t="s">
        <v>171</v>
      </c>
      <c r="I1949" s="101"/>
      <c r="J1949" s="102"/>
      <c r="K1949" s="101"/>
      <c r="L1949" s="101">
        <v>50400</v>
      </c>
      <c r="M1949" s="207"/>
      <c r="N1949" s="207"/>
    </row>
    <row r="1950" spans="1:16" s="212" customFormat="1" ht="18" customHeight="1" x14ac:dyDescent="0.25">
      <c r="A1950" s="154"/>
      <c r="B1950" s="502"/>
      <c r="C1950" s="502"/>
      <c r="D1950" s="44" t="s">
        <v>920</v>
      </c>
      <c r="E1950" s="125"/>
      <c r="F1950" s="125"/>
      <c r="G1950" s="134"/>
      <c r="H1950" s="100" t="s">
        <v>171</v>
      </c>
      <c r="I1950" s="101">
        <v>4000</v>
      </c>
      <c r="J1950" s="102"/>
      <c r="K1950" s="101"/>
      <c r="L1950" s="101"/>
      <c r="M1950" s="207"/>
      <c r="N1950" s="207"/>
    </row>
    <row r="1951" spans="1:16" s="229" customFormat="1" ht="18" x14ac:dyDescent="0.25">
      <c r="A1951" s="154"/>
      <c r="B1951" s="502"/>
      <c r="C1951" s="502"/>
      <c r="D1951" s="206" t="s">
        <v>921</v>
      </c>
      <c r="E1951" s="502"/>
      <c r="F1951" s="502"/>
      <c r="G1951" s="502"/>
      <c r="H1951" s="100" t="s">
        <v>171</v>
      </c>
      <c r="I1951" s="101">
        <v>27250</v>
      </c>
      <c r="J1951" s="102"/>
      <c r="K1951" s="101"/>
      <c r="L1951" s="101"/>
      <c r="M1951" s="207"/>
      <c r="N1951" s="207"/>
      <c r="O1951" s="212"/>
      <c r="P1951" s="212"/>
    </row>
    <row r="1952" spans="1:16" s="229" customFormat="1" ht="18" x14ac:dyDescent="0.25">
      <c r="A1952" s="154"/>
      <c r="B1952" s="502"/>
      <c r="C1952" s="502"/>
      <c r="D1952" s="206" t="s">
        <v>922</v>
      </c>
      <c r="E1952" s="502"/>
      <c r="F1952" s="502"/>
      <c r="G1952" s="502"/>
      <c r="H1952" s="100" t="s">
        <v>171</v>
      </c>
      <c r="I1952" s="101">
        <v>54000</v>
      </c>
      <c r="J1952" s="102"/>
      <c r="K1952" s="101"/>
      <c r="L1952" s="101"/>
      <c r="M1952" s="207"/>
      <c r="N1952" s="207"/>
      <c r="O1952" s="212"/>
      <c r="P1952" s="212"/>
    </row>
    <row r="1953" spans="1:16" s="229" customFormat="1" ht="18" x14ac:dyDescent="0.25">
      <c r="A1953" s="154"/>
      <c r="B1953" s="502"/>
      <c r="C1953" s="502"/>
      <c r="D1953" s="391" t="s">
        <v>923</v>
      </c>
      <c r="E1953" s="502"/>
      <c r="F1953" s="502"/>
      <c r="G1953" s="502"/>
      <c r="H1953" s="100" t="s">
        <v>171</v>
      </c>
      <c r="I1953" s="101"/>
      <c r="J1953" s="102">
        <v>5000</v>
      </c>
      <c r="K1953" s="101"/>
      <c r="L1953" s="101"/>
      <c r="M1953" s="207"/>
      <c r="N1953" s="207"/>
      <c r="O1953" s="212"/>
      <c r="P1953" s="212"/>
    </row>
    <row r="1954" spans="1:16" s="229" customFormat="1" ht="18" x14ac:dyDescent="0.25">
      <c r="A1954" s="154"/>
      <c r="B1954" s="502"/>
      <c r="C1954" s="502"/>
      <c r="D1954" s="44" t="s">
        <v>814</v>
      </c>
      <c r="E1954" s="125"/>
      <c r="F1954" s="124"/>
      <c r="G1954" s="124"/>
      <c r="H1954" s="100" t="s">
        <v>183</v>
      </c>
      <c r="I1954" s="101">
        <v>0</v>
      </c>
      <c r="J1954" s="102">
        <v>48000</v>
      </c>
      <c r="K1954" s="101"/>
      <c r="L1954" s="105">
        <v>48000</v>
      </c>
      <c r="M1954" s="207"/>
      <c r="N1954" s="207"/>
      <c r="O1954" s="212"/>
      <c r="P1954" s="212"/>
    </row>
    <row r="1955" spans="1:16" s="146" customFormat="1" ht="18" x14ac:dyDescent="0.25">
      <c r="A1955" s="519"/>
      <c r="B1955" s="499"/>
      <c r="C1955" s="499"/>
      <c r="D1955" s="496" t="s">
        <v>200</v>
      </c>
      <c r="F1955" s="499"/>
      <c r="G1955" s="499"/>
      <c r="H1955" s="100"/>
      <c r="I1955" s="119">
        <f>SUM(I1947:I1954)</f>
        <v>149334.6</v>
      </c>
      <c r="J1955" s="119">
        <f>SUM(J1947:J1954)</f>
        <v>178000</v>
      </c>
      <c r="K1955" s="119">
        <f>SUM(K1947:K1954)</f>
        <v>44622.5</v>
      </c>
      <c r="L1955" s="119">
        <f>SUM(L1947:L1954)</f>
        <v>227416.5</v>
      </c>
      <c r="M1955" s="10"/>
      <c r="N1955" s="10"/>
      <c r="O1955"/>
      <c r="P1955"/>
    </row>
    <row r="1956" spans="1:16" s="146" customFormat="1" ht="18" x14ac:dyDescent="0.25">
      <c r="A1956" s="519"/>
      <c r="B1956" s="499"/>
      <c r="C1956" s="499"/>
      <c r="D1956" s="38"/>
      <c r="E1956" s="493"/>
      <c r="F1956" s="492"/>
      <c r="G1956" s="492"/>
      <c r="H1956" s="100"/>
      <c r="I1956" s="155"/>
      <c r="J1956" s="156"/>
      <c r="K1956" s="155"/>
      <c r="L1956" s="155"/>
      <c r="M1956" s="10"/>
      <c r="N1956" s="10"/>
      <c r="O1956"/>
      <c r="P1956"/>
    </row>
    <row r="1957" spans="1:16" s="146" customFormat="1" ht="18" x14ac:dyDescent="0.25">
      <c r="A1957" s="519"/>
      <c r="B1957" s="499"/>
      <c r="C1957" s="499"/>
      <c r="D1957" s="38"/>
      <c r="E1957" s="493"/>
      <c r="F1957" s="492"/>
      <c r="G1957" s="492"/>
      <c r="H1957" s="100"/>
      <c r="I1957" s="155"/>
      <c r="J1957" s="156"/>
      <c r="K1957" s="155"/>
      <c r="L1957" s="155"/>
      <c r="M1957" s="10"/>
      <c r="N1957" s="10"/>
      <c r="O1957"/>
      <c r="P1957"/>
    </row>
    <row r="1958" spans="1:16" s="146" customFormat="1" ht="18.75" thickBot="1" x14ac:dyDescent="0.3">
      <c r="A1958" s="187"/>
      <c r="B1958" s="413"/>
      <c r="C1958" s="413"/>
      <c r="D1958" s="358"/>
      <c r="E1958" s="531"/>
      <c r="F1958" s="389"/>
      <c r="G1958" s="389"/>
      <c r="H1958" s="308"/>
      <c r="I1958" s="182"/>
      <c r="J1958" s="183"/>
      <c r="K1958" s="182"/>
      <c r="L1958" s="182"/>
      <c r="M1958" s="10"/>
      <c r="N1958" s="10"/>
      <c r="O1958"/>
      <c r="P1958"/>
    </row>
    <row r="1959" spans="1:16" s="146" customFormat="1" ht="18" x14ac:dyDescent="0.25">
      <c r="A1959" s="499"/>
      <c r="B1959" s="499"/>
      <c r="C1959" s="499"/>
      <c r="D1959" s="38"/>
      <c r="E1959" s="496"/>
      <c r="F1959" s="499"/>
      <c r="G1959" s="499"/>
      <c r="H1959" s="381"/>
      <c r="I1959" s="126"/>
      <c r="J1959" s="127"/>
      <c r="K1959" s="126"/>
      <c r="L1959" s="126"/>
      <c r="M1959" s="10"/>
      <c r="N1959" s="10"/>
      <c r="O1959"/>
      <c r="P1959"/>
    </row>
    <row r="1960" spans="1:16" s="146" customFormat="1" ht="18" x14ac:dyDescent="0.25">
      <c r="A1960" s="499"/>
      <c r="B1960" s="499"/>
      <c r="C1960" s="499"/>
      <c r="D1960" s="38"/>
      <c r="E1960" s="496"/>
      <c r="F1960" s="499"/>
      <c r="G1960" s="499"/>
      <c r="H1960" s="381"/>
      <c r="I1960" s="126"/>
      <c r="J1960" s="127"/>
      <c r="K1960" s="126"/>
      <c r="L1960" s="126"/>
      <c r="M1960" s="10"/>
      <c r="N1960" s="10"/>
      <c r="O1960"/>
      <c r="P1960"/>
    </row>
    <row r="1961" spans="1:16" ht="18" customHeight="1" x14ac:dyDescent="0.25">
      <c r="A1961" s="8" t="s">
        <v>112</v>
      </c>
    </row>
    <row r="1962" spans="1:16" ht="18" customHeight="1" x14ac:dyDescent="0.25">
      <c r="A1962" s="8" t="s">
        <v>891</v>
      </c>
    </row>
    <row r="1963" spans="1:16" ht="18" customHeight="1" x14ac:dyDescent="0.25">
      <c r="A1963" s="1636" t="s">
        <v>113</v>
      </c>
      <c r="B1963" s="1636"/>
      <c r="C1963" s="1636"/>
      <c r="D1963" s="1636"/>
      <c r="E1963" s="1636"/>
      <c r="F1963" s="1636"/>
      <c r="G1963" s="1636"/>
      <c r="H1963" s="1636"/>
      <c r="I1963" s="1636"/>
      <c r="J1963" s="1636"/>
      <c r="K1963" s="1636"/>
      <c r="L1963" s="1636"/>
    </row>
    <row r="1964" spans="1:16" s="7" customFormat="1" ht="18" customHeight="1" x14ac:dyDescent="0.25">
      <c r="A1964" s="1624" t="s">
        <v>114</v>
      </c>
      <c r="B1964" s="1624"/>
      <c r="C1964" s="1624"/>
      <c r="D1964" s="1624"/>
      <c r="E1964" s="1624"/>
      <c r="F1964" s="1624"/>
      <c r="G1964" s="1624"/>
      <c r="H1964" s="1624"/>
      <c r="I1964" s="1624"/>
      <c r="J1964" s="1624"/>
      <c r="K1964" s="1624"/>
      <c r="L1964" s="1624"/>
      <c r="M1964" s="6"/>
      <c r="N1964" s="6"/>
    </row>
    <row r="1965" spans="1:16" ht="18.75" thickBot="1" x14ac:dyDescent="0.3">
      <c r="A1965" s="41"/>
      <c r="B1965" s="41"/>
      <c r="C1965" s="41"/>
      <c r="D1965" s="63"/>
      <c r="E1965" s="41"/>
      <c r="F1965" s="41"/>
      <c r="G1965" s="41"/>
      <c r="H1965" s="41"/>
    </row>
    <row r="1966" spans="1:16" ht="63" customHeight="1" thickBot="1" x14ac:dyDescent="0.3">
      <c r="A1966" s="1625" t="s">
        <v>115</v>
      </c>
      <c r="B1966" s="1626"/>
      <c r="C1966" s="1626"/>
      <c r="D1966" s="1626"/>
      <c r="E1966" s="1626"/>
      <c r="F1966" s="1626"/>
      <c r="G1966" s="1627"/>
      <c r="H1966" s="93" t="s">
        <v>116</v>
      </c>
      <c r="I1966" s="130" t="s">
        <v>117</v>
      </c>
      <c r="J1966" s="130" t="s">
        <v>118</v>
      </c>
      <c r="K1966" s="130" t="s">
        <v>119</v>
      </c>
      <c r="L1966" s="130" t="s">
        <v>120</v>
      </c>
    </row>
    <row r="1967" spans="1:16" s="146" customFormat="1" ht="18" x14ac:dyDescent="0.25">
      <c r="A1967" s="519"/>
      <c r="B1967" s="499"/>
      <c r="C1967" s="499"/>
      <c r="D1967" s="1620" t="s">
        <v>918</v>
      </c>
      <c r="E1967" s="1620"/>
      <c r="F1967" s="1620"/>
      <c r="G1967" s="1621"/>
      <c r="H1967" s="100"/>
      <c r="I1967" s="155"/>
      <c r="J1967" s="156"/>
      <c r="K1967" s="155"/>
      <c r="L1967" s="155"/>
      <c r="M1967" s="10"/>
      <c r="N1967" s="10"/>
      <c r="O1967"/>
      <c r="P1967"/>
    </row>
    <row r="1968" spans="1:16" s="146" customFormat="1" ht="18" customHeight="1" x14ac:dyDescent="0.25">
      <c r="A1968" s="519"/>
      <c r="B1968" s="499"/>
      <c r="C1968" s="499"/>
      <c r="D1968" s="129" t="s">
        <v>799</v>
      </c>
      <c r="E1968" s="152"/>
      <c r="F1968" s="152"/>
      <c r="G1968" s="152"/>
      <c r="H1968" s="100"/>
      <c r="I1968" s="101"/>
      <c r="J1968" s="102"/>
      <c r="K1968" s="101"/>
      <c r="L1968" s="101"/>
      <c r="M1968" s="10"/>
      <c r="N1968" s="10"/>
      <c r="O1968"/>
      <c r="P1968"/>
    </row>
    <row r="1969" spans="1:16" s="194" customFormat="1" ht="18" customHeight="1" x14ac:dyDescent="0.25">
      <c r="A1969" s="519"/>
      <c r="B1969" s="499"/>
      <c r="C1969" s="499"/>
      <c r="D1969" s="44" t="s">
        <v>924</v>
      </c>
      <c r="E1969" s="125"/>
      <c r="F1969" s="125"/>
      <c r="G1969" s="125"/>
      <c r="H1969" s="100"/>
      <c r="I1969" s="101"/>
      <c r="J1969" s="102"/>
      <c r="K1969" s="101"/>
      <c r="L1969" s="101">
        <v>15000</v>
      </c>
      <c r="M1969" s="10"/>
      <c r="N1969" s="10"/>
      <c r="O1969" s="191"/>
      <c r="P1969" s="191"/>
    </row>
    <row r="1970" spans="1:16" s="194" customFormat="1" ht="18" customHeight="1" x14ac:dyDescent="0.25">
      <c r="A1970" s="519"/>
      <c r="B1970" s="499"/>
      <c r="C1970" s="499"/>
      <c r="D1970" s="44" t="s">
        <v>925</v>
      </c>
      <c r="E1970" s="125"/>
      <c r="F1970" s="125"/>
      <c r="G1970" s="125"/>
      <c r="H1970" s="100"/>
      <c r="I1970" s="101"/>
      <c r="J1970" s="102"/>
      <c r="K1970" s="101"/>
      <c r="L1970" s="101">
        <v>15000</v>
      </c>
      <c r="M1970" s="10"/>
      <c r="N1970" s="10"/>
      <c r="O1970" s="191"/>
      <c r="P1970" s="191"/>
    </row>
    <row r="1971" spans="1:16" s="194" customFormat="1" ht="18" customHeight="1" x14ac:dyDescent="0.25">
      <c r="A1971" s="519"/>
      <c r="B1971" s="499"/>
      <c r="C1971" s="499"/>
      <c r="D1971" s="44" t="s">
        <v>926</v>
      </c>
      <c r="E1971" s="125"/>
      <c r="F1971" s="125"/>
      <c r="G1971" s="125"/>
      <c r="H1971" s="100"/>
      <c r="I1971" s="101"/>
      <c r="J1971" s="102"/>
      <c r="K1971" s="101"/>
      <c r="L1971" s="101">
        <v>20000</v>
      </c>
      <c r="M1971" s="10"/>
      <c r="N1971" s="10"/>
      <c r="O1971" s="191"/>
      <c r="P1971" s="191"/>
    </row>
    <row r="1972" spans="1:16" s="146" customFormat="1" ht="18" x14ac:dyDescent="0.25">
      <c r="A1972" s="519"/>
      <c r="B1972" s="499"/>
      <c r="C1972" s="499"/>
      <c r="D1972" s="38" t="s">
        <v>927</v>
      </c>
      <c r="E1972" s="157"/>
      <c r="F1972" s="499"/>
      <c r="G1972" s="491"/>
      <c r="H1972" s="100"/>
      <c r="I1972" s="101"/>
      <c r="J1972" s="102">
        <v>70000</v>
      </c>
      <c r="K1972" s="101"/>
      <c r="L1972" s="101"/>
      <c r="M1972" s="10"/>
      <c r="N1972" s="10"/>
      <c r="O1972"/>
      <c r="P1972"/>
    </row>
    <row r="1973" spans="1:16" s="146" customFormat="1" ht="18" x14ac:dyDescent="0.25">
      <c r="A1973" s="519"/>
      <c r="B1973" s="499"/>
      <c r="C1973" s="499"/>
      <c r="D1973" s="38" t="s">
        <v>928</v>
      </c>
      <c r="E1973" s="157"/>
      <c r="F1973" s="499"/>
      <c r="G1973" s="491"/>
      <c r="H1973" s="100"/>
      <c r="I1973" s="101"/>
      <c r="J1973" s="102">
        <v>15000</v>
      </c>
      <c r="K1973" s="101"/>
      <c r="L1973" s="101"/>
      <c r="M1973" s="10"/>
      <c r="N1973" s="10"/>
      <c r="O1973"/>
      <c r="P1973"/>
    </row>
    <row r="1974" spans="1:16" s="146" customFormat="1" ht="39" customHeight="1" x14ac:dyDescent="0.25">
      <c r="A1974" s="519"/>
      <c r="B1974" s="499"/>
      <c r="C1974" s="499"/>
      <c r="D1974" s="1623" t="s">
        <v>929</v>
      </c>
      <c r="E1974" s="1623"/>
      <c r="F1974" s="1623"/>
      <c r="G1974" s="1645"/>
      <c r="H1974" s="100"/>
      <c r="I1974" s="101"/>
      <c r="J1974" s="102">
        <v>11500</v>
      </c>
      <c r="K1974" s="101"/>
      <c r="L1974" s="101"/>
      <c r="M1974" s="10"/>
      <c r="N1974" s="10"/>
      <c r="O1974"/>
      <c r="P1974"/>
    </row>
    <row r="1975" spans="1:16" s="146" customFormat="1" ht="18" x14ac:dyDescent="0.25">
      <c r="A1975" s="519"/>
      <c r="B1975" s="499"/>
      <c r="C1975" s="499"/>
      <c r="D1975" s="38" t="s">
        <v>930</v>
      </c>
      <c r="E1975" s="157"/>
      <c r="F1975" s="499"/>
      <c r="G1975" s="491"/>
      <c r="H1975" s="100"/>
      <c r="I1975" s="101"/>
      <c r="J1975" s="102">
        <v>9000</v>
      </c>
      <c r="K1975" s="101"/>
      <c r="L1975" s="105"/>
      <c r="M1975" s="10"/>
      <c r="N1975" s="10"/>
      <c r="O1975"/>
      <c r="P1975"/>
    </row>
    <row r="1976" spans="1:16" s="146" customFormat="1" ht="18.75" thickBot="1" x14ac:dyDescent="0.3">
      <c r="A1976" s="519"/>
      <c r="B1976" s="499"/>
      <c r="C1976" s="499"/>
      <c r="D1976" s="496" t="s">
        <v>200</v>
      </c>
      <c r="F1976" s="496"/>
      <c r="G1976" s="493"/>
      <c r="H1976" s="392"/>
      <c r="I1976" s="119">
        <f>SUM(I1969:I1975)</f>
        <v>0</v>
      </c>
      <c r="J1976" s="119">
        <f>SUM(J1969:J1975)</f>
        <v>105500</v>
      </c>
      <c r="K1976" s="119">
        <f>SUM(K1969:K1975)</f>
        <v>0</v>
      </c>
      <c r="L1976" s="119">
        <f>SUM(L1969:L1975)</f>
        <v>50000</v>
      </c>
      <c r="M1976" s="10"/>
      <c r="N1976" s="10"/>
      <c r="O1976"/>
      <c r="P1976"/>
    </row>
    <row r="1977" spans="1:16" s="146" customFormat="1" ht="18" x14ac:dyDescent="0.25">
      <c r="A1977" s="519"/>
      <c r="B1977" s="499"/>
      <c r="C1977" s="499"/>
      <c r="D1977" s="496" t="s">
        <v>15</v>
      </c>
      <c r="F1977" s="496"/>
      <c r="G1977" s="493"/>
      <c r="H1977" s="301"/>
      <c r="I1977" s="155">
        <f>I1976+I1955</f>
        <v>149334.6</v>
      </c>
      <c r="J1977" s="156">
        <f>J1976+J1955</f>
        <v>283500</v>
      </c>
      <c r="K1977" s="155">
        <f>K1976+K1955</f>
        <v>44622.5</v>
      </c>
      <c r="L1977" s="155">
        <f>L1976+L1955</f>
        <v>277416.5</v>
      </c>
      <c r="M1977" s="10"/>
      <c r="N1977" s="10"/>
      <c r="O1977"/>
      <c r="P1977"/>
    </row>
    <row r="1978" spans="1:16" s="146" customFormat="1" ht="14.1" customHeight="1" x14ac:dyDescent="0.25">
      <c r="A1978" s="519"/>
      <c r="B1978" s="499"/>
      <c r="C1978" s="499"/>
      <c r="D1978" s="513"/>
      <c r="E1978" s="496"/>
      <c r="F1978" s="496"/>
      <c r="G1978" s="493"/>
      <c r="H1978" s="301"/>
      <c r="I1978" s="155"/>
      <c r="J1978" s="156"/>
      <c r="K1978" s="155"/>
      <c r="L1978" s="155"/>
      <c r="M1978" s="10"/>
      <c r="N1978" s="10"/>
      <c r="O1978"/>
      <c r="P1978"/>
    </row>
    <row r="1979" spans="1:16" s="146" customFormat="1" ht="18" x14ac:dyDescent="0.25">
      <c r="A1979" s="519"/>
      <c r="B1979" s="499"/>
      <c r="C1979" s="499"/>
      <c r="D1979" s="36" t="s">
        <v>931</v>
      </c>
      <c r="E1979" s="393"/>
      <c r="F1979" s="499"/>
      <c r="G1979" s="491"/>
      <c r="H1979" s="100"/>
      <c r="I1979" s="101"/>
      <c r="J1979" s="102"/>
      <c r="K1979" s="101"/>
      <c r="L1979" s="101"/>
      <c r="M1979" s="10"/>
      <c r="N1979" s="10"/>
      <c r="O1979"/>
      <c r="P1979"/>
    </row>
    <row r="1980" spans="1:16" s="146" customFormat="1" ht="18" x14ac:dyDescent="0.25">
      <c r="A1980" s="519"/>
      <c r="B1980" s="499"/>
      <c r="C1980" s="499"/>
      <c r="D1980" s="36" t="s">
        <v>932</v>
      </c>
      <c r="E1980" s="157"/>
      <c r="F1980" s="499"/>
      <c r="G1980" s="491"/>
      <c r="H1980" s="100"/>
      <c r="I1980" s="101"/>
      <c r="J1980" s="102"/>
      <c r="K1980" s="101"/>
      <c r="L1980" s="101"/>
      <c r="M1980" s="10"/>
      <c r="N1980" s="10"/>
      <c r="O1980"/>
      <c r="P1980"/>
    </row>
    <row r="1981" spans="1:16" s="146" customFormat="1" ht="18" x14ac:dyDescent="0.25">
      <c r="A1981" s="519"/>
      <c r="B1981" s="499"/>
      <c r="C1981" s="499"/>
      <c r="D1981" s="38" t="s">
        <v>791</v>
      </c>
      <c r="E1981" s="3"/>
      <c r="F1981" s="499"/>
      <c r="G1981" s="491"/>
      <c r="H1981" s="394" t="s">
        <v>169</v>
      </c>
      <c r="I1981" s="101">
        <v>21773.5</v>
      </c>
      <c r="J1981" s="102">
        <v>187701</v>
      </c>
      <c r="K1981" s="101">
        <v>80136</v>
      </c>
      <c r="L1981" s="101">
        <v>79980</v>
      </c>
      <c r="M1981" s="10"/>
      <c r="N1981" s="10"/>
      <c r="O1981"/>
      <c r="P1981"/>
    </row>
    <row r="1982" spans="1:16" s="146" customFormat="1" ht="18" x14ac:dyDescent="0.25">
      <c r="A1982" s="519"/>
      <c r="B1982" s="499"/>
      <c r="C1982" s="499"/>
      <c r="D1982" s="38" t="s">
        <v>933</v>
      </c>
      <c r="E1982" s="3"/>
      <c r="F1982" s="499"/>
      <c r="G1982" s="491"/>
      <c r="H1982" s="394" t="s">
        <v>173</v>
      </c>
      <c r="I1982" s="101">
        <v>62736.92</v>
      </c>
      <c r="J1982" s="102">
        <v>76032</v>
      </c>
      <c r="K1982" s="101">
        <v>62083.839999999997</v>
      </c>
      <c r="L1982" s="101">
        <v>341400</v>
      </c>
      <c r="M1982" s="10"/>
      <c r="N1982" s="10"/>
      <c r="O1982"/>
      <c r="P1982"/>
    </row>
    <row r="1983" spans="1:16" s="146" customFormat="1" ht="18" x14ac:dyDescent="0.25">
      <c r="A1983" s="519"/>
      <c r="B1983" s="499"/>
      <c r="C1983" s="499"/>
      <c r="D1983" s="38" t="s">
        <v>793</v>
      </c>
      <c r="E1983" s="3"/>
      <c r="F1983" s="499"/>
      <c r="G1983" s="491"/>
      <c r="H1983" s="394" t="s">
        <v>171</v>
      </c>
      <c r="I1983" s="101">
        <v>4394</v>
      </c>
      <c r="J1983" s="102">
        <v>32850</v>
      </c>
      <c r="K1983" s="101"/>
      <c r="L1983" s="101"/>
      <c r="M1983" s="10"/>
      <c r="N1983" s="10"/>
      <c r="O1983"/>
      <c r="P1983"/>
    </row>
    <row r="1984" spans="1:16" s="146" customFormat="1" ht="18" x14ac:dyDescent="0.25">
      <c r="A1984" s="519"/>
      <c r="B1984" s="499"/>
      <c r="C1984" s="499"/>
      <c r="D1984" s="38" t="s">
        <v>934</v>
      </c>
      <c r="E1984" s="3"/>
      <c r="F1984" s="499"/>
      <c r="G1984" s="491"/>
      <c r="H1984" s="394" t="s">
        <v>171</v>
      </c>
      <c r="I1984" s="101"/>
      <c r="J1984" s="102"/>
      <c r="K1984" s="101"/>
      <c r="L1984" s="101">
        <v>141825</v>
      </c>
      <c r="M1984" s="10"/>
      <c r="N1984" s="10"/>
      <c r="O1984"/>
      <c r="P1984"/>
    </row>
    <row r="1985" spans="1:16" s="146" customFormat="1" ht="18" x14ac:dyDescent="0.25">
      <c r="A1985" s="519"/>
      <c r="B1985" s="499"/>
      <c r="C1985" s="499"/>
      <c r="D1985" s="38" t="s">
        <v>935</v>
      </c>
      <c r="E1985" s="3"/>
      <c r="F1985" s="499"/>
      <c r="G1985" s="491"/>
      <c r="H1985" s="394" t="s">
        <v>171</v>
      </c>
      <c r="I1985" s="101"/>
      <c r="J1985" s="102">
        <v>6000</v>
      </c>
      <c r="K1985" s="101"/>
      <c r="L1985" s="101"/>
      <c r="M1985" s="10"/>
      <c r="N1985" s="10"/>
      <c r="O1985"/>
      <c r="P1985"/>
    </row>
    <row r="1986" spans="1:16" s="146" customFormat="1" ht="18" x14ac:dyDescent="0.25">
      <c r="A1986" s="519"/>
      <c r="B1986" s="499"/>
      <c r="C1986" s="499"/>
      <c r="D1986" s="38" t="s">
        <v>936</v>
      </c>
      <c r="E1986" s="3"/>
      <c r="F1986" s="499"/>
      <c r="G1986" s="491"/>
      <c r="H1986" s="394" t="s">
        <v>171</v>
      </c>
      <c r="I1986" s="101"/>
      <c r="J1986" s="102">
        <v>8000</v>
      </c>
      <c r="K1986" s="101"/>
      <c r="L1986" s="101"/>
      <c r="M1986" s="10"/>
      <c r="N1986" s="10"/>
      <c r="O1986"/>
      <c r="P1986"/>
    </row>
    <row r="1987" spans="1:16" s="146" customFormat="1" ht="18" x14ac:dyDescent="0.25">
      <c r="A1987" s="519"/>
      <c r="B1987" s="499"/>
      <c r="C1987" s="499"/>
      <c r="D1987" s="38" t="s">
        <v>937</v>
      </c>
      <c r="E1987" s="3"/>
      <c r="F1987" s="499"/>
      <c r="G1987" s="491"/>
      <c r="H1987" s="394" t="s">
        <v>171</v>
      </c>
      <c r="I1987" s="101"/>
      <c r="J1987" s="102">
        <v>5000</v>
      </c>
      <c r="K1987" s="101"/>
      <c r="L1987" s="101"/>
      <c r="M1987" s="10"/>
      <c r="N1987" s="10"/>
      <c r="O1987"/>
      <c r="P1987"/>
    </row>
    <row r="1988" spans="1:16" s="146" customFormat="1" ht="18" x14ac:dyDescent="0.25">
      <c r="A1988" s="519"/>
      <c r="B1988" s="499"/>
      <c r="C1988" s="499"/>
      <c r="D1988" s="38" t="s">
        <v>938</v>
      </c>
      <c r="E1988" s="3"/>
      <c r="F1988" s="499"/>
      <c r="G1988" s="491"/>
      <c r="H1988" s="394" t="s">
        <v>171</v>
      </c>
      <c r="I1988" s="101"/>
      <c r="J1988" s="102">
        <v>50000</v>
      </c>
      <c r="K1988" s="101"/>
      <c r="L1988" s="101"/>
      <c r="M1988" s="10"/>
      <c r="N1988" s="10"/>
      <c r="O1988"/>
      <c r="P1988"/>
    </row>
    <row r="1989" spans="1:16" s="146" customFormat="1" ht="18" x14ac:dyDescent="0.25">
      <c r="A1989" s="519"/>
      <c r="B1989" s="499"/>
      <c r="C1989" s="499"/>
      <c r="D1989" s="38" t="s">
        <v>939</v>
      </c>
      <c r="E1989" s="3"/>
      <c r="F1989" s="499"/>
      <c r="G1989" s="491"/>
      <c r="H1989" s="394" t="s">
        <v>171</v>
      </c>
      <c r="I1989" s="101"/>
      <c r="J1989" s="102">
        <v>4500</v>
      </c>
      <c r="K1989" s="101"/>
      <c r="L1989" s="101"/>
      <c r="M1989" s="10"/>
      <c r="N1989" s="10"/>
      <c r="O1989"/>
      <c r="P1989"/>
    </row>
    <row r="1990" spans="1:16" s="146" customFormat="1" ht="18" x14ac:dyDescent="0.25">
      <c r="A1990" s="519"/>
      <c r="B1990" s="499"/>
      <c r="C1990" s="499"/>
      <c r="D1990" s="38" t="s">
        <v>940</v>
      </c>
      <c r="E1990" s="3"/>
      <c r="F1990" s="499"/>
      <c r="G1990" s="491"/>
      <c r="H1990" s="394" t="s">
        <v>171</v>
      </c>
      <c r="I1990" s="101"/>
      <c r="J1990" s="102">
        <v>25000</v>
      </c>
      <c r="K1990" s="101"/>
      <c r="L1990" s="101"/>
      <c r="M1990" s="10"/>
      <c r="N1990" s="10"/>
      <c r="O1990"/>
      <c r="P1990"/>
    </row>
    <row r="1991" spans="1:16" s="146" customFormat="1" ht="18" x14ac:dyDescent="0.25">
      <c r="A1991" s="519"/>
      <c r="B1991" s="499"/>
      <c r="C1991" s="499"/>
      <c r="D1991" s="38" t="s">
        <v>941</v>
      </c>
      <c r="E1991" s="3"/>
      <c r="F1991" s="499"/>
      <c r="G1991" s="491"/>
      <c r="H1991" s="394" t="s">
        <v>171</v>
      </c>
      <c r="I1991" s="101"/>
      <c r="J1991" s="102">
        <v>18000</v>
      </c>
      <c r="K1991" s="101"/>
      <c r="L1991" s="101"/>
      <c r="M1991" s="10"/>
      <c r="N1991" s="10"/>
      <c r="O1991"/>
      <c r="P1991"/>
    </row>
    <row r="1992" spans="1:16" s="146" customFormat="1" ht="18" x14ac:dyDescent="0.25">
      <c r="A1992" s="519"/>
      <c r="B1992" s="499"/>
      <c r="C1992" s="499"/>
      <c r="D1992" s="38" t="s">
        <v>942</v>
      </c>
      <c r="E1992" s="3"/>
      <c r="F1992" s="499"/>
      <c r="G1992" s="491"/>
      <c r="H1992" s="394" t="s">
        <v>171</v>
      </c>
      <c r="I1992" s="101"/>
      <c r="J1992" s="102">
        <v>4000</v>
      </c>
      <c r="K1992" s="101"/>
      <c r="L1992" s="101"/>
      <c r="M1992" s="10"/>
      <c r="N1992" s="10"/>
      <c r="O1992"/>
      <c r="P1992"/>
    </row>
    <row r="1993" spans="1:16" s="146" customFormat="1" ht="18" x14ac:dyDescent="0.25">
      <c r="A1993" s="519"/>
      <c r="B1993" s="499"/>
      <c r="C1993" s="499"/>
      <c r="D1993" s="38" t="s">
        <v>943</v>
      </c>
      <c r="E1993" s="3"/>
      <c r="F1993" s="499"/>
      <c r="G1993" s="491"/>
      <c r="H1993" s="394" t="s">
        <v>189</v>
      </c>
      <c r="I1993" s="101">
        <v>0</v>
      </c>
      <c r="J1993" s="102">
        <v>210000</v>
      </c>
      <c r="K1993" s="101">
        <v>11297</v>
      </c>
      <c r="L1993" s="101">
        <v>340000</v>
      </c>
      <c r="M1993" s="10"/>
      <c r="N1993" s="10"/>
      <c r="O1993"/>
      <c r="P1993"/>
    </row>
    <row r="1994" spans="1:16" s="146" customFormat="1" ht="18" x14ac:dyDescent="0.25">
      <c r="A1994" s="519"/>
      <c r="B1994" s="499"/>
      <c r="C1994" s="499"/>
      <c r="D1994" s="38" t="s">
        <v>944</v>
      </c>
      <c r="E1994" s="3"/>
      <c r="F1994" s="499"/>
      <c r="G1994" s="491"/>
      <c r="H1994" s="394" t="s">
        <v>282</v>
      </c>
      <c r="I1994" s="101">
        <v>0</v>
      </c>
      <c r="J1994" s="102">
        <v>5000</v>
      </c>
      <c r="K1994" s="101"/>
      <c r="L1994" s="101"/>
      <c r="M1994" s="10"/>
      <c r="N1994" s="10"/>
      <c r="O1994"/>
      <c r="P1994"/>
    </row>
    <row r="1995" spans="1:16" s="146" customFormat="1" ht="18" x14ac:dyDescent="0.25">
      <c r="A1995" s="519"/>
      <c r="B1995" s="499"/>
      <c r="C1995" s="499"/>
      <c r="D1995" s="38" t="s">
        <v>945</v>
      </c>
      <c r="E1995" s="3"/>
      <c r="F1995" s="499"/>
      <c r="G1995" s="499"/>
      <c r="H1995" s="394"/>
      <c r="I1995" s="105">
        <v>0</v>
      </c>
      <c r="J1995" s="106"/>
      <c r="K1995" s="105"/>
      <c r="L1995" s="105"/>
      <c r="M1995" s="10"/>
      <c r="N1995" s="10"/>
      <c r="O1995"/>
      <c r="P1995"/>
    </row>
    <row r="1996" spans="1:16" s="146" customFormat="1" ht="18" x14ac:dyDescent="0.25">
      <c r="A1996" s="519"/>
      <c r="B1996" s="499"/>
      <c r="C1996" s="499"/>
      <c r="D1996" s="496" t="s">
        <v>15</v>
      </c>
      <c r="F1996" s="499"/>
      <c r="G1996" s="499"/>
      <c r="H1996" s="100"/>
      <c r="I1996" s="155">
        <f>SUM(I1981:I1995)</f>
        <v>88904.42</v>
      </c>
      <c r="J1996" s="155">
        <f>SUM(J1981:J1995)</f>
        <v>632083</v>
      </c>
      <c r="K1996" s="155">
        <f>SUM(K1981:K1995)</f>
        <v>153516.84</v>
      </c>
      <c r="L1996" s="155">
        <f>SUM(L1981:L1995)</f>
        <v>903205</v>
      </c>
      <c r="M1996" s="10"/>
      <c r="N1996" s="10"/>
      <c r="O1996"/>
      <c r="P1996"/>
    </row>
    <row r="1997" spans="1:16" s="146" customFormat="1" ht="18" x14ac:dyDescent="0.25">
      <c r="A1997" s="519"/>
      <c r="B1997" s="499"/>
      <c r="C1997" s="499"/>
      <c r="D1997" s="513"/>
      <c r="E1997" s="496"/>
      <c r="F1997" s="499"/>
      <c r="G1997" s="499"/>
      <c r="H1997" s="100"/>
      <c r="I1997" s="155"/>
      <c r="J1997" s="156"/>
      <c r="K1997" s="155"/>
      <c r="L1997" s="155"/>
      <c r="M1997" s="10"/>
      <c r="N1997" s="10"/>
      <c r="O1997"/>
      <c r="P1997"/>
    </row>
    <row r="1998" spans="1:16" s="146" customFormat="1" ht="18" customHeight="1" x14ac:dyDescent="0.25">
      <c r="A1998" s="519"/>
      <c r="B1998" s="499"/>
      <c r="C1998" s="499"/>
      <c r="D1998" s="152" t="s">
        <v>799</v>
      </c>
      <c r="E1998" s="152"/>
      <c r="F1998" s="152"/>
      <c r="G1998" s="152"/>
      <c r="H1998" s="186"/>
      <c r="I1998" s="101"/>
      <c r="J1998" s="102"/>
      <c r="K1998" s="101"/>
      <c r="L1998" s="101"/>
      <c r="M1998" s="10"/>
      <c r="N1998" s="10"/>
      <c r="O1998"/>
      <c r="P1998"/>
    </row>
    <row r="1999" spans="1:16" s="146" customFormat="1" ht="18" x14ac:dyDescent="0.25">
      <c r="A1999" s="519"/>
      <c r="B1999" s="499"/>
      <c r="C1999" s="499"/>
      <c r="D1999" s="395" t="s">
        <v>946</v>
      </c>
      <c r="E1999" s="396"/>
      <c r="F1999" s="397"/>
      <c r="G1999" s="397"/>
      <c r="H1999" s="398"/>
      <c r="I1999" s="399"/>
      <c r="J1999" s="399"/>
      <c r="K1999" s="399"/>
      <c r="L1999" s="399">
        <v>115000</v>
      </c>
      <c r="M1999" s="10"/>
      <c r="N1999" s="10">
        <f>115000+15000</f>
        <v>130000</v>
      </c>
      <c r="O1999"/>
      <c r="P1999"/>
    </row>
    <row r="2000" spans="1:16" s="146" customFormat="1" ht="18" x14ac:dyDescent="0.25">
      <c r="A2000" s="519"/>
      <c r="B2000" s="499"/>
      <c r="C2000" s="499"/>
      <c r="D2000" s="395" t="s">
        <v>947</v>
      </c>
      <c r="E2000" s="396"/>
      <c r="F2000" s="397"/>
      <c r="G2000" s="397"/>
      <c r="H2000" s="398"/>
      <c r="I2000" s="399"/>
      <c r="J2000" s="399"/>
      <c r="K2000" s="399"/>
      <c r="L2000" s="399">
        <v>40000</v>
      </c>
      <c r="M2000" s="10"/>
      <c r="N2000" s="10">
        <f>26000+14000</f>
        <v>40000</v>
      </c>
      <c r="O2000"/>
      <c r="P2000"/>
    </row>
    <row r="2001" spans="1:16" s="146" customFormat="1" ht="18" x14ac:dyDescent="0.25">
      <c r="A2001" s="519"/>
      <c r="B2001" s="499"/>
      <c r="C2001" s="499"/>
      <c r="D2001" s="38" t="s">
        <v>948</v>
      </c>
      <c r="E2001" s="157"/>
      <c r="F2001" s="499"/>
      <c r="G2001" s="499"/>
      <c r="H2001" s="100"/>
      <c r="I2001" s="101"/>
      <c r="J2001" s="102"/>
      <c r="K2001" s="101"/>
      <c r="L2001" s="101">
        <v>20000</v>
      </c>
      <c r="M2001" s="10"/>
      <c r="N2001" s="10"/>
      <c r="O2001"/>
      <c r="P2001"/>
    </row>
    <row r="2002" spans="1:16" s="146" customFormat="1" ht="18" x14ac:dyDescent="0.25">
      <c r="A2002" s="519"/>
      <c r="B2002" s="499"/>
      <c r="C2002" s="499"/>
      <c r="D2002" s="38" t="s">
        <v>949</v>
      </c>
      <c r="E2002" s="157"/>
      <c r="F2002" s="499"/>
      <c r="G2002" s="491"/>
      <c r="H2002" s="100"/>
      <c r="I2002" s="101"/>
      <c r="J2002" s="102"/>
      <c r="K2002" s="101"/>
      <c r="L2002" s="105">
        <v>15000</v>
      </c>
      <c r="M2002" s="10"/>
      <c r="N2002" s="10"/>
      <c r="O2002"/>
      <c r="P2002"/>
    </row>
    <row r="2003" spans="1:16" s="146" customFormat="1" ht="18.75" thickBot="1" x14ac:dyDescent="0.3">
      <c r="A2003" s="519"/>
      <c r="B2003" s="499"/>
      <c r="C2003" s="499"/>
      <c r="D2003" s="496" t="s">
        <v>200</v>
      </c>
      <c r="F2003" s="496"/>
      <c r="G2003" s="493"/>
      <c r="H2003" s="392"/>
      <c r="I2003" s="119">
        <f>SUM(I1999:I2002)</f>
        <v>0</v>
      </c>
      <c r="J2003" s="119">
        <f>SUM(J1999:J2002)</f>
        <v>0</v>
      </c>
      <c r="K2003" s="119">
        <f>SUM(K1999:K2002)</f>
        <v>0</v>
      </c>
      <c r="L2003" s="119">
        <f>SUM(L1999:L2002)</f>
        <v>190000</v>
      </c>
      <c r="M2003" s="10"/>
      <c r="N2003" s="10"/>
      <c r="O2003"/>
      <c r="P2003"/>
    </row>
    <row r="2004" spans="1:16" s="146" customFormat="1" ht="18.75" thickBot="1" x14ac:dyDescent="0.3">
      <c r="A2004" s="519"/>
      <c r="B2004" s="499"/>
      <c r="C2004" s="499"/>
      <c r="D2004" s="496" t="s">
        <v>15</v>
      </c>
      <c r="E2004" s="575"/>
      <c r="F2004" s="532"/>
      <c r="G2004" s="532"/>
      <c r="H2004" s="392"/>
      <c r="I2004" s="182">
        <f>I2003+I1996</f>
        <v>88904.42</v>
      </c>
      <c r="J2004" s="182">
        <f>J2003+J1996</f>
        <v>632083</v>
      </c>
      <c r="K2004" s="182">
        <f>K2003+K1996</f>
        <v>153516.84</v>
      </c>
      <c r="L2004" s="182">
        <f>L2003+L1996</f>
        <v>1093205</v>
      </c>
      <c r="M2004" s="10"/>
      <c r="N2004" s="10"/>
      <c r="O2004"/>
      <c r="P2004"/>
    </row>
    <row r="2005" spans="1:16" s="146" customFormat="1" ht="18" x14ac:dyDescent="0.25">
      <c r="A2005" s="519"/>
      <c r="B2005" s="499"/>
      <c r="C2005" s="499"/>
      <c r="D2005" s="513"/>
      <c r="E2005" s="493"/>
      <c r="F2005" s="492"/>
      <c r="G2005" s="492"/>
      <c r="H2005" s="100"/>
      <c r="I2005" s="155"/>
      <c r="J2005" s="156"/>
      <c r="K2005" s="155"/>
      <c r="L2005" s="155"/>
      <c r="M2005" s="10"/>
      <c r="N2005" s="10"/>
      <c r="O2005"/>
      <c r="P2005"/>
    </row>
    <row r="2006" spans="1:16" s="146" customFormat="1" ht="18" customHeight="1" x14ac:dyDescent="0.25">
      <c r="A2006" s="579"/>
      <c r="B2006" s="573"/>
      <c r="C2006" s="573"/>
      <c r="D2006" s="125" t="s">
        <v>951</v>
      </c>
      <c r="E2006" s="114"/>
      <c r="F2006" s="116"/>
      <c r="G2006" s="116"/>
      <c r="H2006" s="376"/>
      <c r="I2006" s="101">
        <v>0</v>
      </c>
      <c r="J2006" s="102">
        <v>500000</v>
      </c>
      <c r="K2006" s="101"/>
      <c r="L2006" s="102">
        <v>500000</v>
      </c>
      <c r="M2006" s="10"/>
      <c r="N2006" s="10"/>
      <c r="O2006"/>
      <c r="P2006"/>
    </row>
    <row r="2007" spans="1:16" s="146" customFormat="1" ht="18" customHeight="1" x14ac:dyDescent="0.25">
      <c r="A2007" s="579"/>
      <c r="B2007" s="573"/>
      <c r="C2007" s="573"/>
      <c r="D2007" s="125" t="s">
        <v>952</v>
      </c>
      <c r="E2007" s="114"/>
      <c r="F2007" s="116"/>
      <c r="G2007" s="492"/>
      <c r="H2007" s="100"/>
      <c r="I2007" s="101">
        <v>0</v>
      </c>
      <c r="J2007" s="102">
        <v>150000</v>
      </c>
      <c r="K2007" s="101"/>
      <c r="L2007" s="102">
        <v>150000</v>
      </c>
      <c r="M2007" s="10"/>
      <c r="N2007" s="10"/>
      <c r="O2007"/>
      <c r="P2007"/>
    </row>
    <row r="2008" spans="1:16" s="146" customFormat="1" ht="18" x14ac:dyDescent="0.25">
      <c r="A2008" s="579"/>
      <c r="B2008" s="573"/>
      <c r="C2008" s="573"/>
      <c r="D2008" s="206" t="s">
        <v>953</v>
      </c>
      <c r="E2008" s="297"/>
      <c r="F2008" s="580"/>
      <c r="G2008" s="492"/>
      <c r="H2008" s="100"/>
      <c r="I2008" s="101">
        <v>0</v>
      </c>
      <c r="J2008" s="102">
        <v>500000</v>
      </c>
      <c r="K2008" s="101"/>
      <c r="L2008" s="102">
        <v>500000</v>
      </c>
      <c r="M2008" s="10"/>
      <c r="N2008" s="10"/>
      <c r="O2008"/>
      <c r="P2008"/>
    </row>
    <row r="2009" spans="1:16" s="146" customFormat="1" ht="42" customHeight="1" x14ac:dyDescent="0.25">
      <c r="A2009" s="579"/>
      <c r="B2009" s="573"/>
      <c r="C2009" s="573"/>
      <c r="D2009" s="1634" t="s">
        <v>954</v>
      </c>
      <c r="E2009" s="1653"/>
      <c r="F2009" s="581"/>
      <c r="G2009" s="492"/>
      <c r="H2009" s="100"/>
      <c r="I2009" s="101">
        <v>26500</v>
      </c>
      <c r="J2009" s="102">
        <v>500000</v>
      </c>
      <c r="K2009" s="101">
        <v>33600</v>
      </c>
      <c r="L2009" s="102">
        <v>500000</v>
      </c>
      <c r="M2009" s="10"/>
      <c r="N2009" s="10"/>
      <c r="O2009"/>
      <c r="P2009"/>
    </row>
    <row r="2010" spans="1:16" s="146" customFormat="1" ht="38.25" customHeight="1" x14ac:dyDescent="0.25">
      <c r="A2010" s="579"/>
      <c r="B2010" s="573"/>
      <c r="C2010" s="573"/>
      <c r="D2010" s="1634" t="s">
        <v>955</v>
      </c>
      <c r="E2010" s="1653"/>
      <c r="F2010" s="581"/>
      <c r="G2010" s="492"/>
      <c r="H2010" s="100"/>
      <c r="I2010" s="101">
        <v>248700</v>
      </c>
      <c r="J2010" s="102">
        <v>250000</v>
      </c>
      <c r="K2010" s="101"/>
      <c r="L2010" s="102">
        <v>250000</v>
      </c>
      <c r="M2010" s="10"/>
      <c r="N2010" s="10"/>
      <c r="O2010"/>
      <c r="P2010"/>
    </row>
    <row r="2011" spans="1:16" s="146" customFormat="1" ht="18" x14ac:dyDescent="0.25">
      <c r="A2011" s="579"/>
      <c r="B2011" s="573"/>
      <c r="C2011" s="573"/>
      <c r="D2011" s="536" t="s">
        <v>956</v>
      </c>
      <c r="E2011" s="512"/>
      <c r="F2011" s="582"/>
      <c r="G2011" s="492"/>
      <c r="H2011" s="100"/>
      <c r="I2011" s="101">
        <v>68965</v>
      </c>
      <c r="J2011" s="102"/>
      <c r="K2011" s="101"/>
      <c r="L2011" s="102">
        <v>150000</v>
      </c>
      <c r="M2011" s="10"/>
      <c r="N2011" s="10"/>
      <c r="O2011"/>
      <c r="P2011"/>
    </row>
    <row r="2012" spans="1:16" s="146" customFormat="1" ht="18" x14ac:dyDescent="0.25">
      <c r="A2012" s="579"/>
      <c r="B2012" s="573"/>
      <c r="C2012" s="573"/>
      <c r="D2012" s="536" t="s">
        <v>957</v>
      </c>
      <c r="E2012" s="512"/>
      <c r="F2012" s="582"/>
      <c r="G2012" s="492"/>
      <c r="H2012" s="100"/>
      <c r="I2012" s="101">
        <v>6382937.5</v>
      </c>
      <c r="J2012" s="102">
        <v>0</v>
      </c>
      <c r="K2012" s="101"/>
      <c r="L2012" s="106">
        <v>15000000</v>
      </c>
      <c r="M2012" s="10"/>
      <c r="N2012" s="10"/>
      <c r="O2012"/>
      <c r="P2012"/>
    </row>
    <row r="2013" spans="1:16" ht="18" x14ac:dyDescent="0.25">
      <c r="A2013" s="519"/>
      <c r="B2013" s="499"/>
      <c r="C2013" s="499"/>
      <c r="D2013" s="496" t="s">
        <v>15</v>
      </c>
      <c r="E2013" s="236"/>
      <c r="F2013" s="492"/>
      <c r="G2013" s="492"/>
      <c r="H2013" s="100"/>
      <c r="I2013" s="119">
        <f>SUM(I2006:I2012)</f>
        <v>6727102.5</v>
      </c>
      <c r="J2013" s="119">
        <f>SUM(J2006:J2012)</f>
        <v>1900000</v>
      </c>
      <c r="K2013" s="119">
        <f>SUM(K2006:K2012)</f>
        <v>33600</v>
      </c>
      <c r="L2013" s="119">
        <f>SUM(L2006:L2012)</f>
        <v>17050000</v>
      </c>
    </row>
    <row r="2014" spans="1:16" s="146" customFormat="1" ht="18" x14ac:dyDescent="0.25">
      <c r="A2014" s="519"/>
      <c r="B2014" s="499"/>
      <c r="C2014" s="499"/>
      <c r="D2014" s="513"/>
      <c r="E2014" s="493"/>
      <c r="F2014" s="492"/>
      <c r="G2014" s="492"/>
      <c r="H2014" s="100"/>
      <c r="I2014" s="155"/>
      <c r="J2014" s="156"/>
      <c r="K2014" s="155"/>
      <c r="L2014" s="155"/>
      <c r="M2014" s="10"/>
      <c r="N2014" s="10"/>
      <c r="O2014"/>
      <c r="P2014"/>
    </row>
    <row r="2015" spans="1:16" s="146" customFormat="1" ht="18" x14ac:dyDescent="0.25">
      <c r="A2015" s="519"/>
      <c r="B2015" s="499"/>
      <c r="C2015" s="499"/>
      <c r="D2015" s="513"/>
      <c r="E2015" s="493"/>
      <c r="F2015" s="492"/>
      <c r="G2015" s="492"/>
      <c r="H2015" s="100"/>
      <c r="I2015" s="155"/>
      <c r="J2015" s="156"/>
      <c r="K2015" s="155"/>
      <c r="L2015" s="155"/>
      <c r="M2015" s="10"/>
      <c r="N2015" s="10"/>
      <c r="O2015"/>
      <c r="P2015"/>
    </row>
    <row r="2016" spans="1:16" s="146" customFormat="1" ht="18" x14ac:dyDescent="0.25">
      <c r="A2016" s="519"/>
      <c r="B2016" s="499"/>
      <c r="C2016" s="499"/>
      <c r="D2016" s="513"/>
      <c r="E2016" s="493"/>
      <c r="F2016" s="492"/>
      <c r="G2016" s="492"/>
      <c r="H2016" s="100"/>
      <c r="I2016" s="155"/>
      <c r="J2016" s="156"/>
      <c r="K2016" s="155"/>
      <c r="L2016" s="155"/>
      <c r="M2016" s="10"/>
      <c r="N2016" s="10"/>
      <c r="O2016"/>
      <c r="P2016"/>
    </row>
    <row r="2017" spans="1:16" s="146" customFormat="1" ht="18.75" thickBot="1" x14ac:dyDescent="0.3">
      <c r="A2017" s="187"/>
      <c r="B2017" s="413"/>
      <c r="C2017" s="413"/>
      <c r="D2017" s="318"/>
      <c r="E2017" s="531"/>
      <c r="F2017" s="389"/>
      <c r="G2017" s="389"/>
      <c r="H2017" s="308"/>
      <c r="I2017" s="182"/>
      <c r="J2017" s="183"/>
      <c r="K2017" s="182"/>
      <c r="L2017" s="182"/>
      <c r="M2017" s="10"/>
      <c r="N2017" s="10"/>
      <c r="O2017"/>
      <c r="P2017"/>
    </row>
    <row r="2018" spans="1:16" s="146" customFormat="1" ht="18" x14ac:dyDescent="0.25">
      <c r="A2018" s="499"/>
      <c r="B2018" s="499"/>
      <c r="C2018" s="499"/>
      <c r="D2018" s="513"/>
      <c r="E2018" s="496"/>
      <c r="F2018" s="499"/>
      <c r="G2018" s="499"/>
      <c r="H2018" s="381"/>
      <c r="I2018" s="126"/>
      <c r="J2018" s="127"/>
      <c r="K2018" s="126"/>
      <c r="L2018" s="126"/>
      <c r="M2018" s="10"/>
      <c r="N2018" s="10"/>
      <c r="O2018"/>
      <c r="P2018"/>
    </row>
    <row r="2019" spans="1:16" s="146" customFormat="1" ht="18" x14ac:dyDescent="0.25">
      <c r="A2019" s="499"/>
      <c r="B2019" s="499"/>
      <c r="C2019" s="499"/>
      <c r="D2019" s="513"/>
      <c r="E2019" s="496"/>
      <c r="F2019" s="499"/>
      <c r="G2019" s="499"/>
      <c r="H2019" s="381"/>
      <c r="I2019" s="126"/>
      <c r="J2019" s="127"/>
      <c r="K2019" s="126"/>
      <c r="L2019" s="126"/>
      <c r="M2019" s="10"/>
      <c r="N2019" s="10"/>
      <c r="O2019"/>
      <c r="P2019"/>
    </row>
    <row r="2020" spans="1:16" s="146" customFormat="1" ht="18" x14ac:dyDescent="0.25">
      <c r="A2020" s="499"/>
      <c r="B2020" s="499"/>
      <c r="C2020" s="499"/>
      <c r="D2020" s="513"/>
      <c r="E2020" s="496"/>
      <c r="F2020" s="499"/>
      <c r="G2020" s="499"/>
      <c r="H2020" s="381"/>
      <c r="I2020" s="126"/>
      <c r="J2020" s="127"/>
      <c r="K2020" s="126"/>
      <c r="L2020" s="126"/>
      <c r="M2020" s="10"/>
      <c r="N2020" s="10"/>
      <c r="O2020"/>
      <c r="P2020"/>
    </row>
    <row r="2021" spans="1:16" s="146" customFormat="1" ht="18" x14ac:dyDescent="0.25">
      <c r="A2021" s="499"/>
      <c r="B2021" s="499"/>
      <c r="C2021" s="499"/>
      <c r="D2021" s="513"/>
      <c r="E2021" s="496"/>
      <c r="F2021" s="499"/>
      <c r="G2021" s="499"/>
      <c r="H2021" s="381"/>
      <c r="I2021" s="126"/>
      <c r="J2021" s="127"/>
      <c r="K2021" s="126"/>
      <c r="L2021" s="126"/>
      <c r="M2021" s="10"/>
      <c r="N2021" s="10"/>
      <c r="O2021"/>
      <c r="P2021"/>
    </row>
    <row r="2022" spans="1:16" s="146" customFormat="1" ht="18" x14ac:dyDescent="0.25">
      <c r="A2022" s="499"/>
      <c r="B2022" s="499"/>
      <c r="C2022" s="499"/>
      <c r="D2022" s="513"/>
      <c r="E2022" s="496"/>
      <c r="F2022" s="499"/>
      <c r="G2022" s="499"/>
      <c r="H2022" s="381"/>
      <c r="I2022" s="126"/>
      <c r="J2022" s="127"/>
      <c r="K2022" s="126"/>
      <c r="L2022" s="126"/>
      <c r="M2022" s="10"/>
      <c r="N2022" s="10"/>
      <c r="O2022"/>
      <c r="P2022"/>
    </row>
    <row r="2023" spans="1:16" s="146" customFormat="1" ht="18" x14ac:dyDescent="0.25">
      <c r="A2023" s="499"/>
      <c r="B2023" s="499"/>
      <c r="C2023" s="499"/>
      <c r="D2023" s="513"/>
      <c r="E2023" s="496"/>
      <c r="F2023" s="499"/>
      <c r="G2023" s="499"/>
      <c r="H2023" s="381"/>
      <c r="I2023" s="126"/>
      <c r="J2023" s="127"/>
      <c r="K2023" s="126"/>
      <c r="L2023" s="126"/>
      <c r="M2023" s="10"/>
      <c r="N2023" s="10"/>
      <c r="O2023"/>
      <c r="P2023"/>
    </row>
    <row r="2024" spans="1:16" s="146" customFormat="1" ht="18" x14ac:dyDescent="0.25">
      <c r="A2024" s="499"/>
      <c r="B2024" s="499"/>
      <c r="C2024" s="499"/>
      <c r="D2024" s="513"/>
      <c r="E2024" s="496"/>
      <c r="F2024" s="499"/>
      <c r="G2024" s="499"/>
      <c r="H2024" s="381"/>
      <c r="I2024" s="126"/>
      <c r="J2024" s="127"/>
      <c r="K2024" s="126"/>
      <c r="L2024" s="126"/>
      <c r="M2024" s="10"/>
      <c r="N2024" s="10"/>
      <c r="O2024"/>
      <c r="P2024"/>
    </row>
    <row r="2025" spans="1:16" ht="18" customHeight="1" x14ac:dyDescent="0.25">
      <c r="A2025" s="8" t="s">
        <v>112</v>
      </c>
    </row>
    <row r="2026" spans="1:16" ht="18" customHeight="1" x14ac:dyDescent="0.25">
      <c r="A2026" s="8" t="s">
        <v>917</v>
      </c>
    </row>
    <row r="2027" spans="1:16" ht="18" customHeight="1" x14ac:dyDescent="0.25">
      <c r="A2027" s="1636" t="s">
        <v>113</v>
      </c>
      <c r="B2027" s="1636"/>
      <c r="C2027" s="1636"/>
      <c r="D2027" s="1636"/>
      <c r="E2027" s="1636"/>
      <c r="F2027" s="1636"/>
      <c r="G2027" s="1636"/>
      <c r="H2027" s="1636"/>
      <c r="I2027" s="1636"/>
      <c r="J2027" s="1636"/>
      <c r="K2027" s="1636"/>
      <c r="L2027" s="1636"/>
    </row>
    <row r="2028" spans="1:16" s="7" customFormat="1" ht="18" customHeight="1" x14ac:dyDescent="0.25">
      <c r="A2028" s="1624" t="s">
        <v>114</v>
      </c>
      <c r="B2028" s="1624"/>
      <c r="C2028" s="1624"/>
      <c r="D2028" s="1624"/>
      <c r="E2028" s="1624"/>
      <c r="F2028" s="1624"/>
      <c r="G2028" s="1624"/>
      <c r="H2028" s="1624"/>
      <c r="I2028" s="1624"/>
      <c r="J2028" s="1624"/>
      <c r="K2028" s="1624"/>
      <c r="L2028" s="1624"/>
      <c r="M2028" s="6"/>
      <c r="N2028" s="6"/>
    </row>
    <row r="2029" spans="1:16" ht="18.75" thickBot="1" x14ac:dyDescent="0.3">
      <c r="A2029" s="41"/>
      <c r="B2029" s="41"/>
      <c r="C2029" s="41"/>
      <c r="D2029" s="63"/>
      <c r="E2029" s="41"/>
      <c r="F2029" s="41"/>
      <c r="G2029" s="41"/>
      <c r="H2029" s="41"/>
    </row>
    <row r="2030" spans="1:16" ht="61.5" customHeight="1" thickBot="1" x14ac:dyDescent="0.3">
      <c r="A2030" s="1625" t="s">
        <v>115</v>
      </c>
      <c r="B2030" s="1626"/>
      <c r="C2030" s="1626"/>
      <c r="D2030" s="1626"/>
      <c r="E2030" s="1626"/>
      <c r="F2030" s="1626"/>
      <c r="G2030" s="1627"/>
      <c r="H2030" s="93" t="s">
        <v>116</v>
      </c>
      <c r="I2030" s="130" t="s">
        <v>117</v>
      </c>
      <c r="J2030" s="130" t="s">
        <v>118</v>
      </c>
      <c r="K2030" s="130" t="s">
        <v>119</v>
      </c>
      <c r="L2030" s="130" t="s">
        <v>120</v>
      </c>
    </row>
    <row r="2031" spans="1:16" ht="18" x14ac:dyDescent="0.25">
      <c r="A2031" s="519"/>
      <c r="B2031" s="499"/>
      <c r="C2031" s="499"/>
      <c r="D2031" s="369" t="s">
        <v>958</v>
      </c>
      <c r="E2031" s="400"/>
      <c r="F2031" s="401"/>
      <c r="G2031" s="491"/>
      <c r="H2031" s="100"/>
      <c r="I2031" s="101"/>
      <c r="J2031" s="102"/>
      <c r="K2031" s="101"/>
      <c r="L2031" s="101"/>
    </row>
    <row r="2032" spans="1:16" ht="18" x14ac:dyDescent="0.25">
      <c r="A2032" s="519"/>
      <c r="B2032" s="499"/>
      <c r="C2032" s="499"/>
      <c r="D2032" s="1620" t="s">
        <v>813</v>
      </c>
      <c r="E2032" s="1620"/>
      <c r="F2032" s="1620"/>
      <c r="G2032" s="1621"/>
      <c r="H2032" s="100"/>
      <c r="I2032" s="101"/>
      <c r="J2032" s="102"/>
      <c r="K2032" s="101"/>
      <c r="L2032" s="101"/>
    </row>
    <row r="2033" spans="1:14" s="212" customFormat="1" ht="18" customHeight="1" x14ac:dyDescent="0.25">
      <c r="A2033" s="154"/>
      <c r="B2033" s="502"/>
      <c r="C2033" s="502"/>
      <c r="D2033" s="44" t="s">
        <v>959</v>
      </c>
      <c r="E2033" s="402"/>
      <c r="F2033" s="403"/>
      <c r="G2033" s="503"/>
      <c r="H2033" s="100" t="s">
        <v>165</v>
      </c>
      <c r="I2033" s="101">
        <v>63692.44</v>
      </c>
      <c r="J2033" s="102">
        <v>120000</v>
      </c>
      <c r="K2033" s="101"/>
      <c r="L2033" s="102">
        <v>120000</v>
      </c>
      <c r="M2033" s="207"/>
      <c r="N2033" s="207"/>
    </row>
    <row r="2034" spans="1:14" s="212" customFormat="1" ht="18" customHeight="1" x14ac:dyDescent="0.25">
      <c r="A2034" s="154"/>
      <c r="B2034" s="502"/>
      <c r="C2034" s="502"/>
      <c r="D2034" s="44" t="s">
        <v>805</v>
      </c>
      <c r="E2034" s="402"/>
      <c r="F2034" s="403"/>
      <c r="G2034" s="503"/>
      <c r="H2034" s="100" t="s">
        <v>167</v>
      </c>
      <c r="I2034" s="101">
        <v>0</v>
      </c>
      <c r="J2034" s="102">
        <v>120000</v>
      </c>
      <c r="K2034" s="101">
        <v>11968.71</v>
      </c>
      <c r="L2034" s="102">
        <v>120000</v>
      </c>
      <c r="M2034" s="207"/>
      <c r="N2034" s="207"/>
    </row>
    <row r="2035" spans="1:14" s="212" customFormat="1" ht="18" customHeight="1" x14ac:dyDescent="0.25">
      <c r="A2035" s="154"/>
      <c r="B2035" s="502"/>
      <c r="C2035" s="502"/>
      <c r="D2035" s="44" t="s">
        <v>864</v>
      </c>
      <c r="E2035" s="402"/>
      <c r="F2035" s="403"/>
      <c r="G2035" s="503"/>
      <c r="H2035" s="100" t="s">
        <v>169</v>
      </c>
      <c r="I2035" s="101">
        <v>607091</v>
      </c>
      <c r="J2035" s="102">
        <v>180000</v>
      </c>
      <c r="K2035" s="101">
        <v>177195</v>
      </c>
      <c r="L2035" s="102">
        <v>585000</v>
      </c>
      <c r="M2035" s="207"/>
      <c r="N2035" s="207">
        <f>590000-5000</f>
        <v>585000</v>
      </c>
    </row>
    <row r="2036" spans="1:14" s="212" customFormat="1" ht="18" customHeight="1" x14ac:dyDescent="0.25">
      <c r="A2036" s="154"/>
      <c r="B2036" s="502"/>
      <c r="C2036" s="502"/>
      <c r="D2036" s="44" t="s">
        <v>873</v>
      </c>
      <c r="E2036" s="157"/>
      <c r="F2036" s="403"/>
      <c r="G2036" s="503"/>
      <c r="H2036" s="100" t="s">
        <v>173</v>
      </c>
      <c r="I2036" s="101">
        <v>27554.05</v>
      </c>
      <c r="J2036" s="102">
        <v>50000</v>
      </c>
      <c r="K2036" s="101">
        <v>4320.6000000000004</v>
      </c>
      <c r="L2036" s="102">
        <v>50000</v>
      </c>
      <c r="M2036" s="207"/>
      <c r="N2036" s="207"/>
    </row>
    <row r="2037" spans="1:14" s="212" customFormat="1" ht="18" x14ac:dyDescent="0.25">
      <c r="A2037" s="154"/>
      <c r="B2037" s="502"/>
      <c r="C2037" s="502"/>
      <c r="D2037" s="44" t="s">
        <v>960</v>
      </c>
      <c r="E2037" s="402"/>
      <c r="F2037" s="403"/>
      <c r="G2037" s="503"/>
      <c r="H2037" s="100" t="s">
        <v>179</v>
      </c>
      <c r="I2037" s="101">
        <v>0</v>
      </c>
      <c r="J2037" s="102">
        <v>24000</v>
      </c>
      <c r="K2037" s="101"/>
      <c r="L2037" s="102">
        <v>24000</v>
      </c>
      <c r="M2037" s="207"/>
      <c r="N2037" s="207"/>
    </row>
    <row r="2038" spans="1:14" s="212" customFormat="1" ht="18" customHeight="1" x14ac:dyDescent="0.25">
      <c r="A2038" s="154"/>
      <c r="B2038" s="502"/>
      <c r="C2038" s="502"/>
      <c r="D2038" s="44" t="s">
        <v>961</v>
      </c>
      <c r="E2038" s="402"/>
      <c r="F2038" s="403"/>
      <c r="G2038" s="503"/>
      <c r="H2038" s="100" t="s">
        <v>183</v>
      </c>
      <c r="I2038" s="101">
        <v>0</v>
      </c>
      <c r="J2038" s="102">
        <v>42000</v>
      </c>
      <c r="K2038" s="101">
        <v>1701.9</v>
      </c>
      <c r="L2038" s="102">
        <v>42000</v>
      </c>
      <c r="M2038" s="207"/>
      <c r="N2038" s="207"/>
    </row>
    <row r="2039" spans="1:14" s="212" customFormat="1" ht="18" customHeight="1" x14ac:dyDescent="0.25">
      <c r="A2039" s="154"/>
      <c r="B2039" s="502"/>
      <c r="C2039" s="502"/>
      <c r="D2039" s="44" t="s">
        <v>962</v>
      </c>
      <c r="E2039" s="402"/>
      <c r="F2039" s="402"/>
      <c r="G2039" s="502"/>
      <c r="H2039" s="100" t="s">
        <v>356</v>
      </c>
      <c r="I2039" s="101">
        <v>0</v>
      </c>
      <c r="J2039" s="102">
        <v>40000</v>
      </c>
      <c r="K2039" s="101">
        <v>15894.12</v>
      </c>
      <c r="L2039" s="102">
        <v>40000</v>
      </c>
      <c r="M2039" s="207"/>
      <c r="N2039" s="207">
        <f>563*500*12</f>
        <v>3378000</v>
      </c>
    </row>
    <row r="2040" spans="1:14" s="212" customFormat="1" ht="18" customHeight="1" x14ac:dyDescent="0.25">
      <c r="A2040" s="154"/>
      <c r="B2040" s="502"/>
      <c r="C2040" s="502"/>
      <c r="D2040" s="44" t="s">
        <v>963</v>
      </c>
      <c r="E2040" s="402"/>
      <c r="F2040" s="402"/>
      <c r="G2040" s="502"/>
      <c r="H2040" s="100" t="s">
        <v>199</v>
      </c>
      <c r="I2040" s="101">
        <v>0</v>
      </c>
      <c r="J2040" s="102">
        <v>254000</v>
      </c>
      <c r="K2040" s="101"/>
      <c r="L2040" s="102">
        <v>254000</v>
      </c>
      <c r="M2040" s="207"/>
      <c r="N2040" s="207">
        <f>N2038-N2039</f>
        <v>-3378000</v>
      </c>
    </row>
    <row r="2041" spans="1:14" s="212" customFormat="1" ht="18" customHeight="1" x14ac:dyDescent="0.25">
      <c r="A2041" s="154"/>
      <c r="B2041" s="502"/>
      <c r="C2041" s="502"/>
      <c r="D2041" s="44"/>
      <c r="E2041" s="402"/>
      <c r="F2041" s="402"/>
      <c r="G2041" s="502"/>
      <c r="H2041" s="100"/>
      <c r="I2041" s="101"/>
      <c r="J2041" s="102"/>
      <c r="K2041" s="101"/>
      <c r="L2041" s="102"/>
      <c r="M2041" s="207"/>
      <c r="N2041" s="207"/>
    </row>
    <row r="2042" spans="1:14" ht="18" customHeight="1" x14ac:dyDescent="0.25">
      <c r="A2042" s="519"/>
      <c r="B2042" s="499"/>
      <c r="C2042" s="499"/>
      <c r="D2042" s="129" t="s">
        <v>799</v>
      </c>
      <c r="E2042" s="152"/>
      <c r="F2042" s="152"/>
      <c r="G2042" s="152"/>
      <c r="H2042" s="186"/>
      <c r="I2042" s="101"/>
      <c r="J2042" s="102"/>
      <c r="K2042" s="101"/>
      <c r="L2042" s="102"/>
    </row>
    <row r="2043" spans="1:14" ht="18" customHeight="1" x14ac:dyDescent="0.25">
      <c r="A2043" s="519"/>
      <c r="B2043" s="499"/>
      <c r="C2043" s="499"/>
      <c r="D2043" s="44" t="s">
        <v>1328</v>
      </c>
      <c r="E2043" s="152"/>
      <c r="F2043" s="152"/>
      <c r="G2043" s="152"/>
      <c r="H2043" s="186"/>
      <c r="I2043" s="101"/>
      <c r="J2043" s="102"/>
      <c r="K2043" s="101"/>
      <c r="L2043" s="102">
        <v>50000</v>
      </c>
    </row>
    <row r="2044" spans="1:14" ht="18" x14ac:dyDescent="0.25">
      <c r="A2044" s="519"/>
      <c r="B2044" s="499"/>
      <c r="C2044" s="499"/>
      <c r="D2044" s="536" t="s">
        <v>1327</v>
      </c>
      <c r="E2044" s="507"/>
      <c r="F2044" s="507"/>
      <c r="G2044" s="499"/>
      <c r="H2044" s="100"/>
      <c r="I2044" s="101"/>
      <c r="J2044" s="102">
        <v>150000</v>
      </c>
      <c r="K2044" s="101"/>
      <c r="L2044" s="102">
        <v>320000</v>
      </c>
    </row>
    <row r="2045" spans="1:14" ht="18" x14ac:dyDescent="0.25">
      <c r="A2045" s="519"/>
      <c r="B2045" s="499"/>
      <c r="C2045" s="499"/>
      <c r="D2045" s="536" t="s">
        <v>964</v>
      </c>
      <c r="E2045" s="507"/>
      <c r="F2045" s="507"/>
      <c r="G2045" s="499"/>
      <c r="H2045" s="100"/>
      <c r="I2045" s="101"/>
      <c r="J2045" s="102"/>
      <c r="K2045" s="101"/>
      <c r="L2045" s="102">
        <v>50000</v>
      </c>
    </row>
    <row r="2046" spans="1:14" ht="18" x14ac:dyDescent="0.25">
      <c r="A2046" s="519"/>
      <c r="B2046" s="499"/>
      <c r="C2046" s="499"/>
      <c r="D2046" s="536" t="s">
        <v>965</v>
      </c>
      <c r="E2046" s="507"/>
      <c r="F2046" s="507"/>
      <c r="G2046" s="499"/>
      <c r="H2046" s="100"/>
      <c r="I2046" s="101"/>
      <c r="J2046" s="102"/>
      <c r="K2046" s="101"/>
      <c r="L2046" s="102">
        <v>50000</v>
      </c>
    </row>
    <row r="2047" spans="1:14" ht="18" x14ac:dyDescent="0.25">
      <c r="A2047" s="519"/>
      <c r="B2047" s="499"/>
      <c r="C2047" s="499"/>
      <c r="D2047" s="536" t="s">
        <v>966</v>
      </c>
      <c r="E2047" s="507"/>
      <c r="F2047" s="507"/>
      <c r="G2047" s="499"/>
      <c r="H2047" s="100"/>
      <c r="I2047" s="101"/>
      <c r="J2047" s="102"/>
      <c r="K2047" s="101"/>
      <c r="L2047" s="102">
        <v>84000</v>
      </c>
      <c r="N2047" s="10">
        <f>26000*2</f>
        <v>52000</v>
      </c>
    </row>
    <row r="2048" spans="1:14" ht="18" x14ac:dyDescent="0.25">
      <c r="A2048" s="519"/>
      <c r="B2048" s="499"/>
      <c r="C2048" s="499"/>
      <c r="D2048" s="536" t="s">
        <v>967</v>
      </c>
      <c r="E2048" s="507"/>
      <c r="F2048" s="507"/>
      <c r="G2048" s="491"/>
      <c r="H2048" s="100"/>
      <c r="I2048" s="101"/>
      <c r="J2048" s="102">
        <v>20000</v>
      </c>
      <c r="K2048" s="101"/>
      <c r="L2048" s="102"/>
      <c r="N2048" s="10">
        <f>16000*2</f>
        <v>32000</v>
      </c>
    </row>
    <row r="2049" spans="1:14" ht="18" x14ac:dyDescent="0.25">
      <c r="A2049" s="519"/>
      <c r="B2049" s="499"/>
      <c r="C2049" s="499"/>
      <c r="D2049" s="404" t="s">
        <v>15</v>
      </c>
      <c r="F2049" s="405"/>
      <c r="G2049" s="491"/>
      <c r="H2049" s="100"/>
      <c r="I2049" s="119">
        <f>SUM(I2033:I2048)</f>
        <v>698337.49</v>
      </c>
      <c r="J2049" s="119">
        <f>SUM(J2033:J2048)</f>
        <v>1000000</v>
      </c>
      <c r="K2049" s="119">
        <f>SUM(K2033:K2048)</f>
        <v>211080.33</v>
      </c>
      <c r="L2049" s="119">
        <f>SUM(L2033:L2048)</f>
        <v>1789000</v>
      </c>
      <c r="N2049" s="10">
        <f>563*250*6</f>
        <v>844500</v>
      </c>
    </row>
    <row r="2050" spans="1:14" ht="18" x14ac:dyDescent="0.25">
      <c r="A2050" s="519"/>
      <c r="B2050" s="499"/>
      <c r="C2050" s="499"/>
      <c r="D2050" s="43"/>
      <c r="E2050" s="404"/>
      <c r="F2050" s="405"/>
      <c r="G2050" s="491"/>
      <c r="H2050" s="100"/>
      <c r="I2050" s="155"/>
      <c r="J2050" s="156"/>
      <c r="K2050" s="155"/>
      <c r="L2050" s="155"/>
    </row>
    <row r="2051" spans="1:14" ht="18" x14ac:dyDescent="0.25">
      <c r="A2051" s="519"/>
      <c r="B2051" s="499"/>
      <c r="C2051" s="499"/>
      <c r="D2051" s="406" t="s">
        <v>968</v>
      </c>
      <c r="E2051" s="404"/>
      <c r="F2051" s="405"/>
      <c r="G2051" s="491"/>
      <c r="H2051" s="100"/>
      <c r="I2051" s="155"/>
      <c r="J2051" s="156"/>
      <c r="K2051" s="155"/>
      <c r="L2051" s="155"/>
    </row>
    <row r="2052" spans="1:14" ht="18" x14ac:dyDescent="0.25">
      <c r="A2052" s="519"/>
      <c r="B2052" s="499"/>
      <c r="C2052" s="499"/>
      <c r="D2052" s="407" t="s">
        <v>969</v>
      </c>
      <c r="E2052" s="404"/>
      <c r="F2052" s="405"/>
      <c r="G2052" s="491"/>
      <c r="H2052" s="100"/>
      <c r="I2052" s="155"/>
      <c r="J2052" s="408">
        <v>5000000</v>
      </c>
      <c r="K2052" s="155"/>
      <c r="L2052" s="155"/>
    </row>
    <row r="2053" spans="1:14" ht="18" x14ac:dyDescent="0.25">
      <c r="A2053" s="519"/>
      <c r="B2053" s="499"/>
      <c r="C2053" s="499"/>
      <c r="D2053" s="409" t="s">
        <v>970</v>
      </c>
      <c r="E2053" s="404"/>
      <c r="F2053" s="405"/>
      <c r="G2053" s="491"/>
      <c r="H2053" s="100"/>
      <c r="I2053" s="155"/>
      <c r="J2053" s="408">
        <v>2000000</v>
      </c>
      <c r="K2053" s="155"/>
      <c r="L2053" s="155"/>
    </row>
    <row r="2054" spans="1:14" ht="18" x14ac:dyDescent="0.25">
      <c r="A2054" s="519"/>
      <c r="B2054" s="499"/>
      <c r="C2054" s="499"/>
      <c r="D2054" s="409" t="s">
        <v>971</v>
      </c>
      <c r="E2054" s="404"/>
      <c r="F2054" s="405"/>
      <c r="G2054" s="491"/>
      <c r="H2054" s="100"/>
      <c r="I2054" s="155"/>
      <c r="J2054" s="408">
        <v>2000000</v>
      </c>
      <c r="K2054" s="155"/>
      <c r="L2054" s="155"/>
    </row>
    <row r="2055" spans="1:14" ht="18" x14ac:dyDescent="0.25">
      <c r="A2055" s="519"/>
      <c r="B2055" s="499"/>
      <c r="C2055" s="499"/>
      <c r="D2055" s="409" t="s">
        <v>972</v>
      </c>
      <c r="E2055" s="404"/>
      <c r="F2055" s="405"/>
      <c r="G2055" s="491"/>
      <c r="H2055" s="100"/>
      <c r="I2055" s="155"/>
      <c r="J2055" s="408">
        <v>1500000</v>
      </c>
      <c r="K2055" s="155"/>
      <c r="L2055" s="155"/>
    </row>
    <row r="2056" spans="1:14" ht="18" x14ac:dyDescent="0.25">
      <c r="A2056" s="519"/>
      <c r="B2056" s="499"/>
      <c r="C2056" s="499"/>
      <c r="D2056" s="409" t="s">
        <v>973</v>
      </c>
      <c r="E2056" s="404"/>
      <c r="F2056" s="405"/>
      <c r="G2056" s="491"/>
      <c r="H2056" s="100"/>
      <c r="I2056" s="155"/>
      <c r="J2056" s="408">
        <v>8000000</v>
      </c>
      <c r="K2056" s="155"/>
      <c r="L2056" s="155"/>
    </row>
    <row r="2057" spans="1:14" ht="18" x14ac:dyDescent="0.25">
      <c r="A2057" s="519"/>
      <c r="B2057" s="499"/>
      <c r="C2057" s="499"/>
      <c r="D2057" s="409" t="s">
        <v>974</v>
      </c>
      <c r="E2057" s="404"/>
      <c r="F2057" s="405"/>
      <c r="G2057" s="491"/>
      <c r="H2057" s="100"/>
      <c r="I2057" s="155"/>
      <c r="J2057" s="408">
        <v>2000000</v>
      </c>
      <c r="K2057" s="155"/>
      <c r="L2057" s="155"/>
    </row>
    <row r="2058" spans="1:14" ht="18" x14ac:dyDescent="0.25">
      <c r="A2058" s="519"/>
      <c r="B2058" s="499"/>
      <c r="C2058" s="499"/>
      <c r="D2058" s="409" t="s">
        <v>975</v>
      </c>
      <c r="E2058" s="404"/>
      <c r="F2058" s="405"/>
      <c r="G2058" s="491"/>
      <c r="H2058" s="100"/>
      <c r="I2058" s="109"/>
      <c r="J2058" s="410">
        <v>3364715.97</v>
      </c>
      <c r="K2058" s="109"/>
      <c r="L2058" s="109"/>
    </row>
    <row r="2059" spans="1:14" ht="18" x14ac:dyDescent="0.25">
      <c r="A2059" s="519"/>
      <c r="B2059" s="499"/>
      <c r="C2059" s="499"/>
      <c r="D2059" s="404" t="s">
        <v>15</v>
      </c>
      <c r="F2059" s="405"/>
      <c r="G2059" s="491"/>
      <c r="H2059" s="100"/>
      <c r="I2059" s="119"/>
      <c r="J2059" s="411">
        <f>SUM(J2052:J2058)</f>
        <v>23864715.969999999</v>
      </c>
      <c r="K2059" s="119"/>
      <c r="L2059" s="119"/>
    </row>
    <row r="2060" spans="1:14" ht="18" x14ac:dyDescent="0.25">
      <c r="A2060" s="519"/>
      <c r="B2060" s="499"/>
      <c r="C2060" s="499"/>
      <c r="D2060" s="43"/>
      <c r="E2060" s="404"/>
      <c r="F2060" s="405"/>
      <c r="G2060" s="491"/>
      <c r="H2060" s="100"/>
      <c r="I2060" s="155"/>
      <c r="J2060" s="412"/>
      <c r="K2060" s="155"/>
      <c r="L2060" s="155"/>
    </row>
    <row r="2061" spans="1:14" ht="18" x14ac:dyDescent="0.25">
      <c r="A2061" s="519"/>
      <c r="B2061" s="499"/>
      <c r="C2061" s="499"/>
      <c r="D2061" s="1620" t="s">
        <v>977</v>
      </c>
      <c r="E2061" s="1620"/>
      <c r="F2061" s="1620"/>
      <c r="G2061" s="1621"/>
      <c r="H2061" s="100"/>
      <c r="I2061" s="101"/>
      <c r="J2061" s="102"/>
      <c r="K2061" s="101"/>
      <c r="L2061" s="101"/>
    </row>
    <row r="2062" spans="1:14" ht="18" x14ac:dyDescent="0.25">
      <c r="A2062" s="519"/>
      <c r="B2062" s="499"/>
      <c r="C2062" s="499"/>
      <c r="D2062" s="536" t="s">
        <v>978</v>
      </c>
      <c r="E2062" s="499"/>
      <c r="F2062" s="499"/>
      <c r="G2062" s="491"/>
      <c r="H2062" s="100"/>
      <c r="I2062" s="101">
        <v>1888000</v>
      </c>
      <c r="J2062" s="102">
        <v>5000000</v>
      </c>
      <c r="K2062" s="101">
        <v>623000</v>
      </c>
      <c r="L2062" s="102">
        <v>5000000</v>
      </c>
    </row>
    <row r="2063" spans="1:14" ht="18" x14ac:dyDescent="0.25">
      <c r="A2063" s="519"/>
      <c r="B2063" s="499"/>
      <c r="C2063" s="499"/>
      <c r="D2063" s="38" t="s">
        <v>979</v>
      </c>
      <c r="E2063" s="198"/>
      <c r="F2063" s="198"/>
      <c r="G2063" s="491"/>
      <c r="H2063" s="100"/>
      <c r="I2063" s="101">
        <v>46200</v>
      </c>
      <c r="J2063" s="102">
        <v>300000</v>
      </c>
      <c r="K2063" s="101"/>
      <c r="L2063" s="102">
        <v>300000</v>
      </c>
    </row>
    <row r="2064" spans="1:14" s="415" customFormat="1" ht="18" x14ac:dyDescent="0.25">
      <c r="A2064" s="519"/>
      <c r="B2064" s="499"/>
      <c r="C2064" s="499"/>
      <c r="D2064" s="38" t="s">
        <v>980</v>
      </c>
      <c r="E2064" s="199"/>
      <c r="F2064" s="199"/>
      <c r="G2064" s="491"/>
      <c r="H2064" s="100"/>
      <c r="I2064" s="101">
        <v>6347125</v>
      </c>
      <c r="J2064" s="102">
        <v>6739000</v>
      </c>
      <c r="K2064" s="101">
        <v>2625750</v>
      </c>
      <c r="L2064" s="102">
        <v>6739000</v>
      </c>
      <c r="M2064" s="10"/>
      <c r="N2064" s="10"/>
    </row>
    <row r="2065" spans="1:14" ht="18" x14ac:dyDescent="0.25">
      <c r="A2065" s="519"/>
      <c r="B2065" s="499"/>
      <c r="C2065" s="499"/>
      <c r="D2065" s="38" t="s">
        <v>981</v>
      </c>
      <c r="E2065" s="199"/>
      <c r="F2065" s="199"/>
      <c r="G2065" s="491"/>
      <c r="H2065" s="100"/>
      <c r="I2065" s="101">
        <v>61692</v>
      </c>
      <c r="J2065" s="102">
        <v>200000</v>
      </c>
      <c r="K2065" s="101"/>
      <c r="L2065" s="102">
        <v>200000</v>
      </c>
    </row>
    <row r="2066" spans="1:14" ht="18" x14ac:dyDescent="0.25">
      <c r="A2066" s="519"/>
      <c r="B2066" s="499"/>
      <c r="C2066" s="499"/>
      <c r="D2066" s="38" t="s">
        <v>982</v>
      </c>
      <c r="E2066" s="199"/>
      <c r="F2066" s="199"/>
      <c r="G2066" s="491"/>
      <c r="H2066" s="100"/>
      <c r="I2066" s="101"/>
      <c r="J2066" s="102">
        <v>5000000</v>
      </c>
      <c r="K2066" s="101"/>
      <c r="L2066" s="101"/>
    </row>
    <row r="2067" spans="1:14" ht="18" x14ac:dyDescent="0.25">
      <c r="A2067" s="519"/>
      <c r="B2067" s="499"/>
      <c r="C2067" s="499"/>
      <c r="D2067" s="404" t="s">
        <v>15</v>
      </c>
      <c r="F2067" s="499"/>
      <c r="G2067" s="491"/>
      <c r="H2067" s="100"/>
      <c r="I2067" s="119">
        <f>SUM(I2061:I2066)</f>
        <v>8343017</v>
      </c>
      <c r="J2067" s="119">
        <f>SUM(J2061:J2066)</f>
        <v>17239000</v>
      </c>
      <c r="K2067" s="119">
        <f>SUM(K2061:K2066)</f>
        <v>3248750</v>
      </c>
      <c r="L2067" s="119">
        <f>SUM(L2061:L2066)</f>
        <v>12239000</v>
      </c>
    </row>
    <row r="2068" spans="1:14" ht="18" x14ac:dyDescent="0.25">
      <c r="A2068" s="519"/>
      <c r="B2068" s="499"/>
      <c r="C2068" s="499"/>
      <c r="D2068" s="513"/>
      <c r="E2068" s="404"/>
      <c r="F2068" s="499"/>
      <c r="G2068" s="499"/>
      <c r="H2068" s="100"/>
      <c r="I2068" s="155"/>
      <c r="J2068" s="156"/>
      <c r="K2068" s="155"/>
      <c r="L2068" s="155"/>
    </row>
    <row r="2069" spans="1:14" ht="18" x14ac:dyDescent="0.25">
      <c r="A2069" s="519"/>
      <c r="B2069" s="499"/>
      <c r="C2069" s="499"/>
      <c r="D2069" s="36" t="s">
        <v>983</v>
      </c>
      <c r="E2069" s="199"/>
      <c r="F2069" s="199"/>
      <c r="G2069" s="184"/>
      <c r="H2069" s="100"/>
      <c r="I2069" s="101"/>
      <c r="J2069" s="102"/>
      <c r="K2069" s="101"/>
      <c r="L2069" s="101"/>
    </row>
    <row r="2070" spans="1:14" ht="18" x14ac:dyDescent="0.25">
      <c r="A2070" s="519"/>
      <c r="B2070" s="499"/>
      <c r="C2070" s="499"/>
      <c r="D2070" s="407" t="s">
        <v>984</v>
      </c>
      <c r="E2070" s="199"/>
      <c r="F2070" s="199"/>
      <c r="G2070" s="184"/>
      <c r="H2070" s="100"/>
      <c r="I2070" s="101"/>
      <c r="J2070" s="102">
        <v>700000</v>
      </c>
      <c r="K2070" s="101"/>
      <c r="L2070" s="101">
        <v>700000</v>
      </c>
    </row>
    <row r="2071" spans="1:14" ht="37.5" customHeight="1" x14ac:dyDescent="0.25">
      <c r="A2071" s="519"/>
      <c r="B2071" s="499"/>
      <c r="C2071" s="499"/>
      <c r="D2071" s="1652" t="s">
        <v>985</v>
      </c>
      <c r="E2071" s="1652"/>
      <c r="F2071" s="1652"/>
      <c r="G2071" s="184"/>
      <c r="H2071" s="100"/>
      <c r="I2071" s="101"/>
      <c r="J2071" s="102">
        <v>500000</v>
      </c>
      <c r="K2071" s="101"/>
      <c r="L2071" s="101">
        <v>500000</v>
      </c>
    </row>
    <row r="2072" spans="1:14" ht="51.75" customHeight="1" x14ac:dyDescent="0.25">
      <c r="A2072" s="519"/>
      <c r="B2072" s="499"/>
      <c r="C2072" s="499"/>
      <c r="D2072" s="1652" t="s">
        <v>986</v>
      </c>
      <c r="E2072" s="1652"/>
      <c r="F2072" s="1652"/>
      <c r="G2072" s="184"/>
      <c r="H2072" s="100"/>
      <c r="I2072" s="101"/>
      <c r="J2072" s="102">
        <v>500000</v>
      </c>
      <c r="K2072" s="101"/>
      <c r="L2072" s="101">
        <v>500000</v>
      </c>
    </row>
    <row r="2073" spans="1:14" ht="71.25" customHeight="1" x14ac:dyDescent="0.25">
      <c r="A2073" s="519"/>
      <c r="B2073" s="499"/>
      <c r="C2073" s="499"/>
      <c r="D2073" s="1652" t="s">
        <v>987</v>
      </c>
      <c r="E2073" s="1652"/>
      <c r="F2073" s="1652"/>
      <c r="G2073" s="184"/>
      <c r="H2073" s="100"/>
      <c r="I2073" s="101"/>
      <c r="J2073" s="102">
        <v>500000</v>
      </c>
      <c r="K2073" s="101"/>
      <c r="L2073" s="101">
        <v>500000</v>
      </c>
    </row>
    <row r="2074" spans="1:14" ht="18" x14ac:dyDescent="0.25">
      <c r="A2074" s="519"/>
      <c r="B2074" s="499"/>
      <c r="C2074" s="499"/>
      <c r="D2074" s="38" t="s">
        <v>988</v>
      </c>
      <c r="E2074" s="3"/>
      <c r="F2074" s="199"/>
      <c r="G2074" s="184"/>
      <c r="H2074" s="100"/>
      <c r="I2074" s="101">
        <v>6325500</v>
      </c>
      <c r="J2074" s="102">
        <v>10328000</v>
      </c>
      <c r="K2074" s="101">
        <v>1563000</v>
      </c>
      <c r="L2074" s="101">
        <v>13000000</v>
      </c>
    </row>
    <row r="2075" spans="1:14" ht="76.5" customHeight="1" x14ac:dyDescent="0.25">
      <c r="A2075" s="519"/>
      <c r="B2075" s="499"/>
      <c r="C2075" s="499"/>
      <c r="D2075" s="1651" t="s">
        <v>989</v>
      </c>
      <c r="E2075" s="1651"/>
      <c r="F2075" s="199"/>
      <c r="G2075" s="184"/>
      <c r="H2075" s="100"/>
      <c r="I2075" s="101">
        <v>435410.15</v>
      </c>
      <c r="J2075" s="102">
        <v>500000</v>
      </c>
      <c r="K2075" s="101"/>
      <c r="L2075" s="101">
        <v>500000</v>
      </c>
      <c r="N2075" s="10">
        <f>563*12*500</f>
        <v>3378000</v>
      </c>
    </row>
    <row r="2076" spans="1:14" ht="33.75" customHeight="1" x14ac:dyDescent="0.25">
      <c r="A2076" s="519"/>
      <c r="B2076" s="499"/>
      <c r="C2076" s="499"/>
      <c r="D2076" s="1628" t="s">
        <v>990</v>
      </c>
      <c r="E2076" s="1628"/>
      <c r="F2076" s="199"/>
      <c r="G2076" s="184"/>
      <c r="H2076" s="100"/>
      <c r="I2076" s="101"/>
      <c r="J2076" s="102">
        <v>500000</v>
      </c>
      <c r="K2076" s="101">
        <v>222997.87</v>
      </c>
      <c r="L2076" s="101">
        <v>550000</v>
      </c>
    </row>
    <row r="2077" spans="1:14" ht="21" customHeight="1" x14ac:dyDescent="0.25">
      <c r="A2077" s="519"/>
      <c r="B2077" s="499"/>
      <c r="C2077" s="499"/>
      <c r="D2077" s="1650" t="s">
        <v>991</v>
      </c>
      <c r="E2077" s="1650"/>
      <c r="F2077" s="199"/>
      <c r="G2077" s="184"/>
      <c r="H2077" s="100"/>
      <c r="I2077" s="101"/>
      <c r="J2077" s="102">
        <v>500000</v>
      </c>
      <c r="K2077" s="101"/>
      <c r="L2077" s="101">
        <v>500000</v>
      </c>
    </row>
    <row r="2078" spans="1:14" ht="33.75" customHeight="1" x14ac:dyDescent="0.25">
      <c r="A2078" s="519"/>
      <c r="B2078" s="499"/>
      <c r="C2078" s="499"/>
      <c r="D2078" s="1651" t="s">
        <v>992</v>
      </c>
      <c r="E2078" s="1651"/>
      <c r="F2078" s="199"/>
      <c r="G2078" s="184"/>
      <c r="H2078" s="100"/>
      <c r="I2078" s="101"/>
      <c r="J2078" s="102">
        <v>15000000</v>
      </c>
      <c r="K2078" s="101"/>
      <c r="L2078" s="101">
        <v>15000000</v>
      </c>
    </row>
    <row r="2079" spans="1:14" ht="18.75" thickBot="1" x14ac:dyDescent="0.3">
      <c r="A2079" s="187"/>
      <c r="B2079" s="413"/>
      <c r="C2079" s="413"/>
      <c r="D2079" s="583" t="s">
        <v>15</v>
      </c>
      <c r="E2079" s="556"/>
      <c r="F2079" s="413"/>
      <c r="G2079" s="431"/>
      <c r="H2079" s="308"/>
      <c r="I2079" s="457">
        <f>SUM(I2070:I2078)</f>
        <v>6760910.1500000004</v>
      </c>
      <c r="J2079" s="457">
        <f>SUM(J2070:J2078)</f>
        <v>29028000</v>
      </c>
      <c r="K2079" s="457">
        <f>SUM(K2070:K2078)</f>
        <v>1785997.87</v>
      </c>
      <c r="L2079" s="457">
        <f>SUM(L2070:L2078)</f>
        <v>31750000</v>
      </c>
      <c r="N2079" s="10">
        <f>563*2000</f>
        <v>1126000</v>
      </c>
    </row>
    <row r="2080" spans="1:14" ht="18" x14ac:dyDescent="0.25">
      <c r="A2080" s="499"/>
      <c r="B2080" s="499"/>
      <c r="C2080" s="499"/>
      <c r="D2080" s="513"/>
      <c r="E2080" s="499"/>
      <c r="F2080" s="499"/>
      <c r="G2080" s="499"/>
      <c r="H2080" s="381"/>
      <c r="I2080" s="141"/>
      <c r="J2080" s="122"/>
      <c r="K2080" s="141"/>
      <c r="L2080" s="141"/>
    </row>
    <row r="2081" spans="1:14" ht="18" customHeight="1" x14ac:dyDescent="0.25">
      <c r="A2081" s="8" t="s">
        <v>112</v>
      </c>
    </row>
    <row r="2082" spans="1:14" ht="18" customHeight="1" x14ac:dyDescent="0.25">
      <c r="A2082" s="8" t="s">
        <v>950</v>
      </c>
    </row>
    <row r="2083" spans="1:14" ht="18" customHeight="1" x14ac:dyDescent="0.25">
      <c r="A2083" s="1636" t="s">
        <v>113</v>
      </c>
      <c r="B2083" s="1636"/>
      <c r="C2083" s="1636"/>
      <c r="D2083" s="1636"/>
      <c r="E2083" s="1636"/>
      <c r="F2083" s="1636"/>
      <c r="G2083" s="1636"/>
      <c r="H2083" s="1636"/>
      <c r="I2083" s="1636"/>
      <c r="J2083" s="1636"/>
      <c r="K2083" s="1636"/>
      <c r="L2083" s="1636"/>
    </row>
    <row r="2084" spans="1:14" s="7" customFormat="1" ht="18" customHeight="1" x14ac:dyDescent="0.25">
      <c r="A2084" s="1624" t="s">
        <v>114</v>
      </c>
      <c r="B2084" s="1624"/>
      <c r="C2084" s="1624"/>
      <c r="D2084" s="1624"/>
      <c r="E2084" s="1624"/>
      <c r="F2084" s="1624"/>
      <c r="G2084" s="1624"/>
      <c r="H2084" s="1624"/>
      <c r="I2084" s="1624"/>
      <c r="J2084" s="1624"/>
      <c r="K2084" s="1624"/>
      <c r="L2084" s="1624"/>
      <c r="M2084" s="6"/>
      <c r="N2084" s="6"/>
    </row>
    <row r="2085" spans="1:14" ht="18.75" thickBot="1" x14ac:dyDescent="0.3">
      <c r="A2085" s="41"/>
      <c r="B2085" s="41"/>
      <c r="C2085" s="41"/>
      <c r="D2085" s="63"/>
      <c r="E2085" s="41"/>
      <c r="F2085" s="41"/>
      <c r="G2085" s="41"/>
      <c r="H2085" s="41"/>
    </row>
    <row r="2086" spans="1:14" ht="62.25" customHeight="1" thickBot="1" x14ac:dyDescent="0.3">
      <c r="A2086" s="1625" t="s">
        <v>115</v>
      </c>
      <c r="B2086" s="1626"/>
      <c r="C2086" s="1626"/>
      <c r="D2086" s="1626"/>
      <c r="E2086" s="1626"/>
      <c r="F2086" s="1626"/>
      <c r="G2086" s="1627"/>
      <c r="H2086" s="93" t="s">
        <v>116</v>
      </c>
      <c r="I2086" s="130" t="s">
        <v>117</v>
      </c>
      <c r="J2086" s="130" t="s">
        <v>118</v>
      </c>
      <c r="K2086" s="130" t="s">
        <v>119</v>
      </c>
      <c r="L2086" s="130" t="s">
        <v>120</v>
      </c>
    </row>
    <row r="2087" spans="1:14" ht="18" x14ac:dyDescent="0.25">
      <c r="A2087" s="519"/>
      <c r="B2087" s="499"/>
      <c r="C2087" s="499"/>
      <c r="D2087" s="540" t="s">
        <v>993</v>
      </c>
      <c r="E2087" s="199"/>
      <c r="F2087" s="199"/>
      <c r="G2087" s="393"/>
      <c r="H2087" s="100"/>
      <c r="I2087" s="101"/>
      <c r="J2087" s="102"/>
      <c r="K2087" s="101"/>
      <c r="L2087" s="101"/>
    </row>
    <row r="2088" spans="1:14" ht="18" x14ac:dyDescent="0.25">
      <c r="A2088" s="519"/>
      <c r="B2088" s="499"/>
      <c r="C2088" s="499"/>
      <c r="D2088" s="38" t="s">
        <v>994</v>
      </c>
      <c r="E2088" s="157"/>
      <c r="F2088" s="199"/>
      <c r="G2088" s="184"/>
      <c r="H2088" s="100"/>
      <c r="I2088" s="101">
        <v>0</v>
      </c>
      <c r="J2088" s="102">
        <v>787680</v>
      </c>
      <c r="K2088" s="101"/>
      <c r="L2088" s="101">
        <v>1181475</v>
      </c>
    </row>
    <row r="2089" spans="1:14" ht="18" x14ac:dyDescent="0.25">
      <c r="A2089" s="519"/>
      <c r="B2089" s="499"/>
      <c r="C2089" s="499"/>
      <c r="D2089" s="38" t="s">
        <v>995</v>
      </c>
      <c r="E2089" s="157"/>
      <c r="F2089" s="199"/>
      <c r="G2089" s="184"/>
      <c r="H2089" s="100"/>
      <c r="I2089" s="101"/>
      <c r="J2089" s="102"/>
      <c r="K2089" s="101"/>
      <c r="L2089" s="101"/>
      <c r="N2089" s="10">
        <f>SUM(N2075:N2088)</f>
        <v>4504000</v>
      </c>
    </row>
    <row r="2090" spans="1:14" ht="18" x14ac:dyDescent="0.25">
      <c r="A2090" s="519"/>
      <c r="B2090" s="499"/>
      <c r="C2090" s="499"/>
      <c r="D2090" s="516" t="s">
        <v>996</v>
      </c>
      <c r="E2090" s="157"/>
      <c r="F2090" s="157"/>
      <c r="G2090" s="393"/>
      <c r="H2090" s="100"/>
      <c r="I2090" s="101">
        <v>0</v>
      </c>
      <c r="J2090" s="102">
        <v>75000</v>
      </c>
      <c r="K2090" s="101"/>
      <c r="L2090" s="101">
        <v>75000</v>
      </c>
    </row>
    <row r="2091" spans="1:14" ht="18" x14ac:dyDescent="0.25">
      <c r="A2091" s="519"/>
      <c r="B2091" s="499"/>
      <c r="C2091" s="499"/>
      <c r="D2091" s="38" t="s">
        <v>997</v>
      </c>
      <c r="E2091" s="157"/>
      <c r="F2091" s="157"/>
      <c r="G2091" s="393"/>
      <c r="H2091" s="100"/>
      <c r="I2091" s="101">
        <v>0</v>
      </c>
      <c r="J2091" s="102">
        <v>50000</v>
      </c>
      <c r="K2091" s="101"/>
      <c r="L2091" s="101">
        <v>50000</v>
      </c>
      <c r="N2091" s="10">
        <f>563*250*6</f>
        <v>844500</v>
      </c>
    </row>
    <row r="2092" spans="1:14" ht="18" x14ac:dyDescent="0.25">
      <c r="A2092" s="519"/>
      <c r="B2092" s="499"/>
      <c r="C2092" s="499"/>
      <c r="D2092" s="38" t="s">
        <v>998</v>
      </c>
      <c r="E2092" s="303"/>
      <c r="F2092" s="303"/>
      <c r="G2092" s="393"/>
      <c r="H2092" s="100"/>
      <c r="I2092" s="101">
        <v>0</v>
      </c>
      <c r="J2092" s="102">
        <v>25000</v>
      </c>
      <c r="K2092" s="101"/>
      <c r="L2092" s="101">
        <v>25000</v>
      </c>
      <c r="N2092" s="10">
        <f>SUM(N2089:N2091)</f>
        <v>5348500</v>
      </c>
    </row>
    <row r="2093" spans="1:14" ht="18" x14ac:dyDescent="0.25">
      <c r="A2093" s="519"/>
      <c r="B2093" s="499"/>
      <c r="C2093" s="499"/>
      <c r="D2093" s="38" t="s">
        <v>999</v>
      </c>
      <c r="E2093" s="303"/>
      <c r="F2093" s="303"/>
      <c r="G2093" s="393"/>
      <c r="H2093" s="100"/>
      <c r="I2093" s="101">
        <v>0</v>
      </c>
      <c r="J2093" s="102">
        <v>25000</v>
      </c>
      <c r="K2093" s="101"/>
      <c r="L2093" s="101">
        <v>25000</v>
      </c>
    </row>
    <row r="2094" spans="1:14" ht="18" x14ac:dyDescent="0.25">
      <c r="A2094" s="519"/>
      <c r="B2094" s="499"/>
      <c r="C2094" s="499"/>
      <c r="D2094" s="38" t="s">
        <v>1000</v>
      </c>
      <c r="E2094" s="303"/>
      <c r="F2094" s="303"/>
      <c r="G2094" s="393"/>
      <c r="H2094" s="100"/>
      <c r="I2094" s="101"/>
      <c r="J2094" s="102">
        <v>2000000</v>
      </c>
      <c r="K2094" s="101"/>
      <c r="L2094" s="101">
        <v>2000000</v>
      </c>
    </row>
    <row r="2095" spans="1:14" ht="18" x14ac:dyDescent="0.25">
      <c r="A2095" s="519"/>
      <c r="B2095" s="499"/>
      <c r="C2095" s="499"/>
      <c r="D2095" s="38" t="s">
        <v>1001</v>
      </c>
      <c r="E2095" s="303"/>
      <c r="F2095" s="303"/>
      <c r="G2095" s="393"/>
      <c r="H2095" s="100"/>
      <c r="I2095" s="101">
        <v>145176.70000000001</v>
      </c>
      <c r="J2095" s="102"/>
      <c r="K2095" s="101"/>
      <c r="L2095" s="101"/>
    </row>
    <row r="2096" spans="1:14" ht="18" x14ac:dyDescent="0.25">
      <c r="A2096" s="519"/>
      <c r="B2096" s="499"/>
      <c r="C2096" s="499"/>
      <c r="D2096" s="38" t="s">
        <v>1002</v>
      </c>
      <c r="E2096" s="303"/>
      <c r="F2096" s="303"/>
      <c r="G2096" s="393"/>
      <c r="H2096" s="100"/>
      <c r="I2096" s="105"/>
      <c r="J2096" s="106"/>
      <c r="K2096" s="105"/>
      <c r="L2096" s="105">
        <v>680000</v>
      </c>
    </row>
    <row r="2097" spans="1:16" s="146" customFormat="1" ht="18" x14ac:dyDescent="0.25">
      <c r="A2097" s="519"/>
      <c r="B2097" s="499"/>
      <c r="C2097" s="499"/>
      <c r="D2097" s="404" t="s">
        <v>15</v>
      </c>
      <c r="F2097" s="153"/>
      <c r="G2097" s="417"/>
      <c r="H2097" s="100"/>
      <c r="I2097" s="259">
        <f>SUM(I2088:I2096)</f>
        <v>145176.70000000001</v>
      </c>
      <c r="J2097" s="259">
        <f>SUM(J2088:J2096)</f>
        <v>2962680</v>
      </c>
      <c r="K2097" s="259">
        <f>SUM(K2088:K2096)</f>
        <v>0</v>
      </c>
      <c r="L2097" s="259">
        <f>SUM(L2088:L2096)</f>
        <v>4036475</v>
      </c>
      <c r="M2097" s="10"/>
      <c r="N2097" s="10"/>
      <c r="O2097"/>
      <c r="P2097"/>
    </row>
    <row r="2098" spans="1:16" s="146" customFormat="1" ht="18" x14ac:dyDescent="0.25">
      <c r="A2098" s="519"/>
      <c r="B2098" s="499"/>
      <c r="C2098" s="499"/>
      <c r="D2098" s="416"/>
      <c r="E2098" s="514"/>
      <c r="F2098" s="153"/>
      <c r="G2098" s="153"/>
      <c r="H2098" s="195"/>
      <c r="I2098" s="101"/>
      <c r="J2098" s="102"/>
      <c r="K2098" s="101"/>
      <c r="L2098" s="101"/>
      <c r="M2098" s="10"/>
      <c r="N2098" s="10"/>
      <c r="O2098"/>
      <c r="P2098"/>
    </row>
    <row r="2099" spans="1:16" s="146" customFormat="1" ht="18" x14ac:dyDescent="0.25">
      <c r="A2099" s="519"/>
      <c r="B2099" s="499"/>
      <c r="C2099" s="499"/>
      <c r="D2099" s="540" t="s">
        <v>1004</v>
      </c>
      <c r="E2099" s="199"/>
      <c r="F2099" s="199"/>
      <c r="G2099" s="393"/>
      <c r="H2099" s="100"/>
      <c r="I2099" s="101"/>
      <c r="J2099" s="102"/>
      <c r="K2099" s="101"/>
      <c r="L2099" s="101"/>
      <c r="M2099" s="10"/>
      <c r="N2099" s="10"/>
      <c r="O2099"/>
      <c r="P2099"/>
    </row>
    <row r="2100" spans="1:16" s="146" customFormat="1" ht="18" x14ac:dyDescent="0.25">
      <c r="A2100" s="519"/>
      <c r="B2100" s="499"/>
      <c r="C2100" s="499"/>
      <c r="D2100" s="38" t="s">
        <v>1005</v>
      </c>
      <c r="E2100" s="184"/>
      <c r="F2100" s="184"/>
      <c r="G2100" s="184"/>
      <c r="H2100" s="100"/>
      <c r="I2100" s="101">
        <v>416539.65</v>
      </c>
      <c r="J2100" s="102">
        <v>870000</v>
      </c>
      <c r="K2100" s="101"/>
      <c r="L2100" s="101">
        <v>270000</v>
      </c>
      <c r="M2100" s="10"/>
      <c r="N2100" s="10"/>
      <c r="O2100"/>
      <c r="P2100"/>
    </row>
    <row r="2101" spans="1:16" s="146" customFormat="1" ht="18" x14ac:dyDescent="0.25">
      <c r="A2101" s="519"/>
      <c r="B2101" s="499"/>
      <c r="C2101" s="499"/>
      <c r="D2101" s="38" t="s">
        <v>1006</v>
      </c>
      <c r="E2101" s="421"/>
      <c r="F2101" s="184"/>
      <c r="G2101" s="421"/>
      <c r="H2101" s="100"/>
      <c r="I2101" s="101">
        <v>367737.3</v>
      </c>
      <c r="J2101" s="102">
        <v>947500</v>
      </c>
      <c r="K2101" s="101">
        <v>107200</v>
      </c>
      <c r="L2101" s="101">
        <v>789000</v>
      </c>
      <c r="M2101" s="10"/>
      <c r="N2101" s="10"/>
      <c r="O2101"/>
      <c r="P2101"/>
    </row>
    <row r="2102" spans="1:16" s="146" customFormat="1" ht="18" x14ac:dyDescent="0.25">
      <c r="A2102" s="519"/>
      <c r="B2102" s="499"/>
      <c r="C2102" s="499"/>
      <c r="D2102" s="38" t="s">
        <v>1007</v>
      </c>
      <c r="E2102" s="421"/>
      <c r="F2102" s="184"/>
      <c r="G2102" s="421"/>
      <c r="H2102" s="100"/>
      <c r="I2102" s="101">
        <v>0</v>
      </c>
      <c r="J2102" s="102">
        <v>2000000</v>
      </c>
      <c r="K2102" s="101"/>
      <c r="L2102" s="101">
        <v>2000000</v>
      </c>
      <c r="M2102" s="10"/>
      <c r="N2102" s="10"/>
      <c r="O2102"/>
      <c r="P2102"/>
    </row>
    <row r="2103" spans="1:16" s="146" customFormat="1" ht="18" x14ac:dyDescent="0.25">
      <c r="A2103" s="519"/>
      <c r="B2103" s="499"/>
      <c r="C2103" s="499"/>
      <c r="D2103" s="38" t="s">
        <v>1008</v>
      </c>
      <c r="E2103" s="204"/>
      <c r="F2103" s="184"/>
      <c r="G2103" s="204"/>
      <c r="H2103" s="100"/>
      <c r="I2103" s="101">
        <v>0</v>
      </c>
      <c r="J2103" s="102">
        <v>1000000</v>
      </c>
      <c r="K2103" s="101"/>
      <c r="L2103" s="101"/>
      <c r="M2103" s="10"/>
      <c r="N2103" s="10"/>
      <c r="O2103"/>
      <c r="P2103"/>
    </row>
    <row r="2104" spans="1:16" s="146" customFormat="1" ht="18" x14ac:dyDescent="0.25">
      <c r="A2104" s="519"/>
      <c r="B2104" s="499"/>
      <c r="C2104" s="499"/>
      <c r="D2104" s="38" t="s">
        <v>1009</v>
      </c>
      <c r="E2104" s="204"/>
      <c r="F2104" s="184"/>
      <c r="G2104" s="204"/>
      <c r="H2104" s="100"/>
      <c r="I2104" s="101"/>
      <c r="J2104" s="102"/>
      <c r="K2104" s="101"/>
      <c r="L2104" s="101">
        <v>1570000</v>
      </c>
      <c r="M2104" s="10"/>
      <c r="N2104" s="10"/>
      <c r="O2104"/>
      <c r="P2104"/>
    </row>
    <row r="2105" spans="1:16" s="146" customFormat="1" ht="17.25" customHeight="1" x14ac:dyDescent="0.25">
      <c r="A2105" s="519"/>
      <c r="B2105" s="499"/>
      <c r="C2105" s="499"/>
      <c r="D2105" s="38" t="s">
        <v>1010</v>
      </c>
      <c r="E2105" s="204"/>
      <c r="F2105" s="184"/>
      <c r="G2105" s="204"/>
      <c r="H2105" s="100"/>
      <c r="I2105" s="101">
        <v>0</v>
      </c>
      <c r="J2105" s="102">
        <v>50000</v>
      </c>
      <c r="K2105" s="101"/>
      <c r="L2105" s="101"/>
      <c r="M2105" s="10"/>
      <c r="N2105" s="10"/>
      <c r="O2105"/>
      <c r="P2105"/>
    </row>
    <row r="2106" spans="1:16" s="146" customFormat="1" ht="18" x14ac:dyDescent="0.25">
      <c r="A2106" s="519"/>
      <c r="B2106" s="499"/>
      <c r="C2106" s="499"/>
      <c r="D2106" s="516" t="s">
        <v>1011</v>
      </c>
      <c r="E2106" s="204"/>
      <c r="F2106" s="422"/>
      <c r="G2106" s="204"/>
      <c r="H2106" s="100"/>
      <c r="I2106" s="101">
        <v>641500</v>
      </c>
      <c r="J2106" s="102">
        <v>7158500</v>
      </c>
      <c r="K2106" s="101"/>
      <c r="L2106" s="101">
        <v>4890000</v>
      </c>
      <c r="M2106" s="10"/>
      <c r="N2106" s="10"/>
      <c r="O2106"/>
      <c r="P2106"/>
    </row>
    <row r="2107" spans="1:16" s="146" customFormat="1" ht="18" x14ac:dyDescent="0.25">
      <c r="A2107" s="519"/>
      <c r="B2107" s="499"/>
      <c r="C2107" s="499"/>
      <c r="D2107" s="516" t="s">
        <v>1012</v>
      </c>
      <c r="E2107" s="204"/>
      <c r="F2107" s="422"/>
      <c r="G2107" s="204"/>
      <c r="H2107" s="100"/>
      <c r="I2107" s="101"/>
      <c r="J2107" s="102"/>
      <c r="K2107" s="101"/>
      <c r="L2107" s="101">
        <v>250000</v>
      </c>
      <c r="M2107" s="10"/>
      <c r="N2107" s="10"/>
      <c r="O2107"/>
      <c r="P2107"/>
    </row>
    <row r="2108" spans="1:16" s="146" customFormat="1" ht="18" x14ac:dyDescent="0.25">
      <c r="A2108" s="519"/>
      <c r="B2108" s="499"/>
      <c r="C2108" s="499"/>
      <c r="D2108" s="38" t="s">
        <v>1013</v>
      </c>
      <c r="E2108" s="184"/>
      <c r="F2108" s="184"/>
      <c r="G2108" s="184"/>
      <c r="H2108" s="100"/>
      <c r="I2108" s="101">
        <v>0</v>
      </c>
      <c r="J2108" s="102">
        <v>200000</v>
      </c>
      <c r="K2108" s="101"/>
      <c r="L2108" s="101"/>
      <c r="M2108" s="10"/>
      <c r="N2108" s="10"/>
      <c r="O2108"/>
      <c r="P2108"/>
    </row>
    <row r="2109" spans="1:16" s="146" customFormat="1" ht="35.25" customHeight="1" x14ac:dyDescent="0.25">
      <c r="A2109" s="519"/>
      <c r="B2109" s="499"/>
      <c r="C2109" s="499"/>
      <c r="D2109" s="1623" t="s">
        <v>1014</v>
      </c>
      <c r="E2109" s="1623"/>
      <c r="F2109" s="184"/>
      <c r="G2109" s="184"/>
      <c r="H2109" s="100"/>
      <c r="I2109" s="101">
        <v>194900</v>
      </c>
      <c r="J2109" s="102">
        <v>0</v>
      </c>
      <c r="K2109" s="101"/>
      <c r="L2109" s="101"/>
      <c r="M2109" s="10"/>
      <c r="N2109" s="10"/>
      <c r="O2109"/>
      <c r="P2109"/>
    </row>
    <row r="2110" spans="1:16" s="146" customFormat="1" ht="18" x14ac:dyDescent="0.25">
      <c r="A2110" s="519"/>
      <c r="B2110" s="499"/>
      <c r="C2110" s="499"/>
      <c r="D2110" s="38" t="s">
        <v>1015</v>
      </c>
      <c r="E2110" s="184"/>
      <c r="F2110" s="184"/>
      <c r="G2110" s="184"/>
      <c r="H2110" s="100"/>
      <c r="I2110" s="101">
        <v>84083.95</v>
      </c>
      <c r="J2110" s="102">
        <v>100000</v>
      </c>
      <c r="K2110" s="101"/>
      <c r="L2110" s="101">
        <v>120000</v>
      </c>
      <c r="M2110" s="10"/>
      <c r="N2110" s="10"/>
      <c r="O2110"/>
      <c r="P2110"/>
    </row>
    <row r="2111" spans="1:16" s="146" customFormat="1" ht="18" x14ac:dyDescent="0.25">
      <c r="A2111" s="519"/>
      <c r="B2111" s="499"/>
      <c r="C2111" s="499"/>
      <c r="D2111" s="38" t="s">
        <v>1016</v>
      </c>
      <c r="E2111" s="204"/>
      <c r="F2111" s="184"/>
      <c r="G2111" s="204"/>
      <c r="H2111" s="100"/>
      <c r="I2111" s="101">
        <v>0</v>
      </c>
      <c r="J2111" s="102">
        <v>100000</v>
      </c>
      <c r="K2111" s="101"/>
      <c r="L2111" s="101">
        <v>130000</v>
      </c>
      <c r="M2111" s="10"/>
      <c r="N2111" s="10"/>
      <c r="O2111"/>
      <c r="P2111"/>
    </row>
    <row r="2112" spans="1:16" s="146" customFormat="1" ht="18" x14ac:dyDescent="0.25">
      <c r="A2112" s="519"/>
      <c r="B2112" s="499"/>
      <c r="C2112" s="499"/>
      <c r="D2112" s="38" t="s">
        <v>1017</v>
      </c>
      <c r="E2112" s="204"/>
      <c r="F2112" s="184"/>
      <c r="G2112" s="204"/>
      <c r="H2112" s="100"/>
      <c r="I2112" s="101">
        <v>200290</v>
      </c>
      <c r="J2112" s="102">
        <v>500000</v>
      </c>
      <c r="K2112" s="101">
        <v>8800</v>
      </c>
      <c r="L2112" s="101">
        <v>670000</v>
      </c>
      <c r="M2112" s="10"/>
      <c r="N2112" s="10"/>
      <c r="O2112"/>
      <c r="P2112"/>
    </row>
    <row r="2113" spans="1:16" s="146" customFormat="1" ht="18" x14ac:dyDescent="0.25">
      <c r="A2113" s="519"/>
      <c r="B2113" s="499"/>
      <c r="C2113" s="499"/>
      <c r="D2113" s="38" t="s">
        <v>1018</v>
      </c>
      <c r="E2113" s="204"/>
      <c r="F2113" s="184"/>
      <c r="G2113" s="204"/>
      <c r="H2113" s="100"/>
      <c r="I2113" s="101"/>
      <c r="J2113" s="102">
        <v>350000</v>
      </c>
      <c r="K2113" s="101"/>
      <c r="L2113" s="101"/>
      <c r="M2113" s="10"/>
      <c r="N2113" s="10"/>
      <c r="O2113"/>
      <c r="P2113"/>
    </row>
    <row r="2114" spans="1:16" s="146" customFormat="1" ht="18" x14ac:dyDescent="0.25">
      <c r="A2114" s="519"/>
      <c r="B2114" s="499"/>
      <c r="C2114" s="499"/>
      <c r="D2114" s="38" t="s">
        <v>1019</v>
      </c>
      <c r="E2114" s="393"/>
      <c r="F2114" s="184"/>
      <c r="G2114" s="393"/>
      <c r="H2114" s="100"/>
      <c r="I2114" s="101">
        <v>0</v>
      </c>
      <c r="J2114" s="102">
        <v>50000</v>
      </c>
      <c r="K2114" s="101"/>
      <c r="L2114" s="101">
        <v>50000</v>
      </c>
      <c r="M2114" s="10"/>
      <c r="N2114" s="10"/>
      <c r="O2114"/>
      <c r="P2114"/>
    </row>
    <row r="2115" spans="1:16" s="146" customFormat="1" ht="18" x14ac:dyDescent="0.25">
      <c r="A2115" s="519"/>
      <c r="B2115" s="499"/>
      <c r="C2115" s="499"/>
      <c r="D2115" s="38" t="s">
        <v>1020</v>
      </c>
      <c r="E2115" s="393"/>
      <c r="F2115" s="184"/>
      <c r="G2115" s="393"/>
      <c r="H2115" s="100"/>
      <c r="I2115" s="101"/>
      <c r="J2115" s="102"/>
      <c r="K2115" s="101"/>
      <c r="L2115" s="101">
        <v>811500</v>
      </c>
      <c r="M2115" s="10"/>
      <c r="N2115" s="10"/>
      <c r="O2115"/>
      <c r="P2115"/>
    </row>
    <row r="2116" spans="1:16" ht="18" x14ac:dyDescent="0.25">
      <c r="A2116" s="519"/>
      <c r="B2116" s="499"/>
      <c r="C2116" s="499"/>
      <c r="D2116" s="404" t="s">
        <v>15</v>
      </c>
      <c r="F2116" s="113"/>
      <c r="G2116" s="114"/>
      <c r="H2116" s="100"/>
      <c r="I2116" s="119">
        <f>SUM(I2100:I2115)</f>
        <v>1905050.9</v>
      </c>
      <c r="J2116" s="119">
        <f>SUM(J2100:J2115)</f>
        <v>13326000</v>
      </c>
      <c r="K2116" s="119">
        <f>SUM(K2100:K2115)</f>
        <v>116000</v>
      </c>
      <c r="L2116" s="119">
        <f>SUM(L2100:L2115)</f>
        <v>11550500</v>
      </c>
    </row>
    <row r="2117" spans="1:16" ht="18" x14ac:dyDescent="0.25">
      <c r="A2117" s="519"/>
      <c r="B2117" s="499"/>
      <c r="C2117" s="499"/>
      <c r="D2117" s="170"/>
      <c r="E2117" s="404"/>
      <c r="F2117" s="113"/>
      <c r="G2117" s="113"/>
      <c r="H2117" s="100"/>
      <c r="I2117" s="155"/>
      <c r="J2117" s="156"/>
      <c r="K2117" s="155"/>
      <c r="L2117" s="155"/>
    </row>
    <row r="2118" spans="1:16" ht="18" x14ac:dyDescent="0.25">
      <c r="A2118" s="519"/>
      <c r="B2118" s="499"/>
      <c r="C2118" s="499"/>
      <c r="D2118" s="540" t="s">
        <v>1021</v>
      </c>
      <c r="E2118" s="199"/>
      <c r="F2118" s="199"/>
      <c r="G2118" s="393"/>
      <c r="H2118" s="100"/>
      <c r="I2118" s="101"/>
      <c r="J2118" s="102"/>
      <c r="K2118" s="101"/>
      <c r="L2118" s="101"/>
    </row>
    <row r="2119" spans="1:16" ht="39" customHeight="1" x14ac:dyDescent="0.25">
      <c r="A2119" s="519"/>
      <c r="B2119" s="499"/>
      <c r="C2119" s="499"/>
      <c r="D2119" s="1602" t="s">
        <v>1022</v>
      </c>
      <c r="E2119" s="1603"/>
      <c r="F2119" s="1603"/>
      <c r="G2119" s="1603"/>
      <c r="H2119" s="100"/>
      <c r="I2119" s="101"/>
      <c r="J2119" s="102"/>
      <c r="K2119" s="101"/>
      <c r="L2119" s="101">
        <v>103400</v>
      </c>
    </row>
    <row r="2120" spans="1:16" s="179" customFormat="1" ht="23.25" customHeight="1" thickBot="1" x14ac:dyDescent="0.3">
      <c r="A2120" s="173"/>
      <c r="B2120" s="505"/>
      <c r="C2120" s="505"/>
      <c r="D2120" s="1648" t="s">
        <v>1023</v>
      </c>
      <c r="E2120" s="1649"/>
      <c r="F2120" s="1649"/>
      <c r="G2120" s="1649"/>
      <c r="H2120" s="423"/>
      <c r="I2120" s="219">
        <v>74565</v>
      </c>
      <c r="J2120" s="220">
        <v>97500</v>
      </c>
      <c r="K2120" s="219">
        <v>84775</v>
      </c>
      <c r="L2120" s="182"/>
      <c r="M2120" s="193"/>
      <c r="N2120" s="193"/>
    </row>
    <row r="2121" spans="1:16" s="146" customFormat="1" ht="18" x14ac:dyDescent="0.25">
      <c r="A2121" s="519"/>
      <c r="B2121" s="499"/>
      <c r="C2121" s="499"/>
      <c r="D2121" s="404" t="s">
        <v>15</v>
      </c>
      <c r="F2121" s="499"/>
      <c r="G2121" s="491"/>
      <c r="H2121" s="100"/>
      <c r="I2121" s="155">
        <f>SUM(I2119:I2120)</f>
        <v>74565</v>
      </c>
      <c r="J2121" s="155">
        <f>SUM(J2119:J2120)</f>
        <v>97500</v>
      </c>
      <c r="K2121" s="155">
        <f>SUM(K2119:K2120)</f>
        <v>84775</v>
      </c>
      <c r="L2121" s="155">
        <f>SUM(L2119:L2120)</f>
        <v>103400</v>
      </c>
      <c r="M2121" s="10"/>
      <c r="N2121" s="10"/>
      <c r="O2121"/>
      <c r="P2121"/>
    </row>
    <row r="2122" spans="1:16" s="146" customFormat="1" ht="18" x14ac:dyDescent="0.25">
      <c r="A2122" s="519"/>
      <c r="B2122" s="499"/>
      <c r="C2122" s="499"/>
      <c r="D2122" s="513"/>
      <c r="E2122" s="404"/>
      <c r="F2122" s="499"/>
      <c r="G2122" s="491"/>
      <c r="H2122" s="100"/>
      <c r="I2122" s="155"/>
      <c r="J2122" s="155"/>
      <c r="K2122" s="155"/>
      <c r="L2122" s="155"/>
      <c r="M2122" s="10"/>
      <c r="N2122" s="10"/>
      <c r="O2122"/>
      <c r="P2122"/>
    </row>
    <row r="2123" spans="1:16" s="146" customFormat="1" ht="18" x14ac:dyDescent="0.25">
      <c r="A2123" s="519"/>
      <c r="B2123" s="499"/>
      <c r="C2123" s="499"/>
      <c r="D2123" s="1620" t="s">
        <v>1024</v>
      </c>
      <c r="E2123" s="1620"/>
      <c r="F2123" s="1620"/>
      <c r="G2123" s="1621"/>
      <c r="H2123" s="100"/>
      <c r="I2123" s="101"/>
      <c r="J2123" s="102"/>
      <c r="K2123" s="101"/>
      <c r="L2123" s="101"/>
      <c r="M2123" s="10"/>
      <c r="N2123" s="10"/>
      <c r="O2123"/>
      <c r="P2123"/>
    </row>
    <row r="2124" spans="1:16" s="146" customFormat="1" ht="18" x14ac:dyDescent="0.25">
      <c r="A2124" s="519"/>
      <c r="B2124" s="499"/>
      <c r="C2124" s="499"/>
      <c r="D2124" s="38" t="s">
        <v>1025</v>
      </c>
      <c r="E2124" s="184"/>
      <c r="F2124" s="184"/>
      <c r="G2124" s="184"/>
      <c r="H2124" s="100"/>
      <c r="I2124" s="101">
        <v>0</v>
      </c>
      <c r="J2124" s="102">
        <v>50000</v>
      </c>
      <c r="K2124" s="101"/>
      <c r="L2124" s="102"/>
      <c r="M2124" s="10"/>
      <c r="N2124" s="10"/>
      <c r="O2124"/>
      <c r="P2124"/>
    </row>
    <row r="2125" spans="1:16" s="146" customFormat="1" ht="18" x14ac:dyDescent="0.25">
      <c r="A2125" s="519"/>
      <c r="B2125" s="499"/>
      <c r="C2125" s="499"/>
      <c r="D2125" s="38" t="s">
        <v>1026</v>
      </c>
      <c r="E2125" s="184"/>
      <c r="F2125" s="184"/>
      <c r="G2125" s="184"/>
      <c r="H2125" s="100"/>
      <c r="I2125" s="101">
        <v>0</v>
      </c>
      <c r="J2125" s="102"/>
      <c r="K2125" s="101"/>
      <c r="L2125" s="106"/>
      <c r="M2125" s="10"/>
      <c r="N2125" s="10"/>
      <c r="O2125"/>
      <c r="P2125"/>
    </row>
    <row r="2126" spans="1:16" s="146" customFormat="1" ht="18" x14ac:dyDescent="0.25">
      <c r="A2126" s="519"/>
      <c r="B2126" s="499"/>
      <c r="C2126" s="499"/>
      <c r="D2126" s="404" t="s">
        <v>15</v>
      </c>
      <c r="F2126" s="184"/>
      <c r="G2126" s="184"/>
      <c r="H2126" s="100"/>
      <c r="I2126" s="119">
        <f>SUM(I2124:I2125)</f>
        <v>0</v>
      </c>
      <c r="J2126" s="150">
        <f>SUM(J2124:J2125)</f>
        <v>50000</v>
      </c>
      <c r="K2126" s="119">
        <f>SUM(K2124:K2125)</f>
        <v>0</v>
      </c>
      <c r="L2126" s="119">
        <f>SUM(L2124:L2125)</f>
        <v>0</v>
      </c>
      <c r="M2126" s="10"/>
      <c r="N2126" s="10"/>
      <c r="O2126"/>
      <c r="P2126"/>
    </row>
    <row r="2127" spans="1:16" s="146" customFormat="1" ht="18.75" thickBot="1" x14ac:dyDescent="0.3">
      <c r="A2127" s="519"/>
      <c r="B2127" s="499"/>
      <c r="C2127" s="499"/>
      <c r="D2127" s="404"/>
      <c r="E2127" s="573"/>
      <c r="F2127" s="184"/>
      <c r="G2127" s="184"/>
      <c r="H2127" s="100"/>
      <c r="I2127" s="155"/>
      <c r="J2127" s="156"/>
      <c r="K2127" s="155"/>
      <c r="L2127" s="155"/>
      <c r="M2127" s="10"/>
      <c r="N2127" s="10"/>
      <c r="O2127"/>
      <c r="P2127"/>
    </row>
    <row r="2128" spans="1:16" s="146" customFormat="1" ht="18" x14ac:dyDescent="0.25">
      <c r="A2128" s="519"/>
      <c r="B2128" s="499"/>
      <c r="C2128" s="499"/>
      <c r="D2128" s="540" t="s">
        <v>1028</v>
      </c>
      <c r="E2128" s="113"/>
      <c r="F2128" s="424"/>
      <c r="G2128" s="424"/>
      <c r="H2128" s="425"/>
      <c r="I2128" s="101"/>
      <c r="J2128" s="102"/>
      <c r="K2128" s="101"/>
      <c r="L2128" s="101"/>
      <c r="M2128" s="10"/>
      <c r="N2128" s="10"/>
      <c r="O2128"/>
      <c r="P2128"/>
    </row>
    <row r="2129" spans="1:16" s="313" customFormat="1" ht="18" x14ac:dyDescent="0.25">
      <c r="A2129" s="173"/>
      <c r="B2129" s="505"/>
      <c r="C2129" s="505"/>
      <c r="D2129" s="426" t="s">
        <v>1029</v>
      </c>
      <c r="E2129" s="174"/>
      <c r="F2129" s="174"/>
      <c r="G2129" s="174"/>
      <c r="H2129" s="423"/>
      <c r="I2129" s="101"/>
      <c r="J2129" s="102"/>
      <c r="K2129" s="101"/>
      <c r="L2129" s="102"/>
      <c r="M2129" s="193"/>
      <c r="N2129" s="193"/>
      <c r="O2129" s="179"/>
      <c r="P2129" s="179"/>
    </row>
    <row r="2130" spans="1:16" s="313" customFormat="1" ht="61.5" customHeight="1" x14ac:dyDescent="0.25">
      <c r="A2130" s="173"/>
      <c r="B2130" s="505"/>
      <c r="C2130" s="505"/>
      <c r="D2130" s="1638" t="s">
        <v>1030</v>
      </c>
      <c r="E2130" s="1638"/>
      <c r="F2130" s="174"/>
      <c r="G2130" s="174"/>
      <c r="H2130" s="423"/>
      <c r="I2130" s="101"/>
      <c r="J2130" s="102"/>
      <c r="K2130" s="101"/>
      <c r="L2130" s="102">
        <v>200000</v>
      </c>
      <c r="M2130" s="193"/>
      <c r="N2130" s="193"/>
      <c r="O2130" s="179"/>
      <c r="P2130" s="179"/>
    </row>
    <row r="2131" spans="1:16" s="313" customFormat="1" ht="60.75" customHeight="1" x14ac:dyDescent="0.25">
      <c r="A2131" s="173"/>
      <c r="B2131" s="505"/>
      <c r="C2131" s="505"/>
      <c r="D2131" s="1638" t="s">
        <v>1031</v>
      </c>
      <c r="E2131" s="1638"/>
      <c r="F2131" s="174"/>
      <c r="G2131" s="174"/>
      <c r="H2131" s="423"/>
      <c r="I2131" s="101"/>
      <c r="J2131" s="102"/>
      <c r="K2131" s="101"/>
      <c r="L2131" s="102">
        <v>100000</v>
      </c>
      <c r="M2131" s="193"/>
      <c r="N2131" s="193"/>
      <c r="O2131" s="179"/>
      <c r="P2131" s="179"/>
    </row>
    <row r="2132" spans="1:16" s="313" customFormat="1" ht="35.25" customHeight="1" x14ac:dyDescent="0.25">
      <c r="A2132" s="173"/>
      <c r="B2132" s="505"/>
      <c r="C2132" s="505"/>
      <c r="D2132" s="1628" t="s">
        <v>1032</v>
      </c>
      <c r="E2132" s="1628"/>
      <c r="F2132" s="174"/>
      <c r="G2132" s="174"/>
      <c r="H2132" s="423"/>
      <c r="I2132" s="101"/>
      <c r="J2132" s="102"/>
      <c r="K2132" s="101"/>
      <c r="L2132" s="102">
        <v>200000</v>
      </c>
      <c r="M2132" s="193"/>
      <c r="N2132" s="193"/>
      <c r="O2132" s="179"/>
      <c r="P2132" s="179"/>
    </row>
    <row r="2133" spans="1:16" s="146" customFormat="1" ht="36" customHeight="1" x14ac:dyDescent="0.25">
      <c r="A2133" s="519"/>
      <c r="B2133" s="499"/>
      <c r="C2133" s="499"/>
      <c r="D2133" s="1623" t="s">
        <v>1033</v>
      </c>
      <c r="E2133" s="1623"/>
      <c r="F2133" s="199"/>
      <c r="G2133" s="184"/>
      <c r="H2133" s="100"/>
      <c r="I2133" s="101"/>
      <c r="J2133" s="102">
        <v>1000000</v>
      </c>
      <c r="K2133" s="101"/>
      <c r="L2133" s="102"/>
      <c r="M2133" s="10"/>
      <c r="N2133" s="10"/>
      <c r="O2133"/>
      <c r="P2133"/>
    </row>
    <row r="2134" spans="1:16" s="313" customFormat="1" ht="25.5" customHeight="1" x14ac:dyDescent="0.25">
      <c r="A2134" s="173"/>
      <c r="B2134" s="505"/>
      <c r="C2134" s="505"/>
      <c r="D2134" s="528" t="s">
        <v>1034</v>
      </c>
      <c r="E2134" s="427"/>
      <c r="F2134" s="427"/>
      <c r="G2134" s="192"/>
      <c r="H2134" s="423"/>
      <c r="I2134" s="101">
        <v>4319.7</v>
      </c>
      <c r="J2134" s="102"/>
      <c r="K2134" s="101"/>
      <c r="L2134" s="102"/>
      <c r="M2134" s="193"/>
      <c r="N2134" s="193"/>
      <c r="O2134" s="179"/>
      <c r="P2134" s="179"/>
    </row>
    <row r="2135" spans="1:16" s="313" customFormat="1" ht="25.5" customHeight="1" x14ac:dyDescent="0.25">
      <c r="A2135" s="173"/>
      <c r="B2135" s="505"/>
      <c r="C2135" s="505"/>
      <c r="D2135" s="528" t="s">
        <v>1035</v>
      </c>
      <c r="E2135" s="427"/>
      <c r="F2135" s="427"/>
      <c r="G2135" s="192"/>
      <c r="H2135" s="423"/>
      <c r="I2135" s="101"/>
      <c r="J2135" s="102">
        <v>50000</v>
      </c>
      <c r="K2135" s="101"/>
      <c r="L2135" s="102"/>
      <c r="M2135" s="193"/>
      <c r="N2135" s="193"/>
      <c r="O2135" s="179"/>
      <c r="P2135" s="179"/>
    </row>
    <row r="2136" spans="1:16" s="146" customFormat="1" ht="18.75" thickBot="1" x14ac:dyDescent="0.3">
      <c r="A2136" s="187"/>
      <c r="B2136" s="413"/>
      <c r="C2136" s="413"/>
      <c r="D2136" s="418"/>
      <c r="E2136" s="419"/>
      <c r="F2136" s="420"/>
      <c r="G2136" s="420"/>
      <c r="H2136" s="414"/>
      <c r="I2136" s="219"/>
      <c r="J2136" s="220"/>
      <c r="K2136" s="219"/>
      <c r="L2136" s="219"/>
      <c r="M2136" s="10"/>
      <c r="N2136" s="10"/>
      <c r="O2136"/>
      <c r="P2136"/>
    </row>
    <row r="2137" spans="1:16" s="146" customFormat="1" ht="18" x14ac:dyDescent="0.25">
      <c r="A2137" s="499"/>
      <c r="B2137" s="499"/>
      <c r="C2137" s="499"/>
      <c r="D2137" s="416"/>
      <c r="E2137" s="514"/>
      <c r="F2137" s="153"/>
      <c r="G2137" s="153"/>
      <c r="H2137" s="381"/>
      <c r="I2137" s="141"/>
      <c r="J2137" s="122"/>
      <c r="K2137" s="141"/>
      <c r="L2137" s="141"/>
      <c r="M2137" s="10"/>
      <c r="N2137" s="10"/>
      <c r="O2137"/>
      <c r="P2137"/>
    </row>
    <row r="2138" spans="1:16" ht="18" customHeight="1" x14ac:dyDescent="0.25">
      <c r="A2138" s="8" t="s">
        <v>112</v>
      </c>
    </row>
    <row r="2139" spans="1:16" ht="18" customHeight="1" x14ac:dyDescent="0.25">
      <c r="A2139" s="8" t="s">
        <v>976</v>
      </c>
    </row>
    <row r="2140" spans="1:16" ht="18" customHeight="1" x14ac:dyDescent="0.25">
      <c r="A2140" s="1636" t="s">
        <v>113</v>
      </c>
      <c r="B2140" s="1636"/>
      <c r="C2140" s="1636"/>
      <c r="D2140" s="1636"/>
      <c r="E2140" s="1636"/>
      <c r="F2140" s="1636"/>
      <c r="G2140" s="1636"/>
      <c r="H2140" s="1636"/>
      <c r="I2140" s="1636"/>
      <c r="J2140" s="1636"/>
      <c r="K2140" s="1636"/>
      <c r="L2140" s="1636"/>
    </row>
    <row r="2141" spans="1:16" s="7" customFormat="1" ht="18" customHeight="1" x14ac:dyDescent="0.25">
      <c r="A2141" s="1624" t="s">
        <v>114</v>
      </c>
      <c r="B2141" s="1624"/>
      <c r="C2141" s="1624"/>
      <c r="D2141" s="1624"/>
      <c r="E2141" s="1624"/>
      <c r="F2141" s="1624"/>
      <c r="G2141" s="1624"/>
      <c r="H2141" s="1624"/>
      <c r="I2141" s="1624"/>
      <c r="J2141" s="1624"/>
      <c r="K2141" s="1624"/>
      <c r="L2141" s="1624"/>
      <c r="M2141" s="6"/>
      <c r="N2141" s="6"/>
    </row>
    <row r="2142" spans="1:16" ht="18.75" thickBot="1" x14ac:dyDescent="0.3">
      <c r="A2142" s="41"/>
      <c r="B2142" s="41"/>
      <c r="C2142" s="41"/>
      <c r="D2142" s="63"/>
      <c r="E2142" s="41"/>
      <c r="F2142" s="41"/>
      <c r="G2142" s="41"/>
      <c r="H2142" s="41"/>
    </row>
    <row r="2143" spans="1:16" ht="63.75" customHeight="1" thickBot="1" x14ac:dyDescent="0.3">
      <c r="A2143" s="1625" t="s">
        <v>115</v>
      </c>
      <c r="B2143" s="1626"/>
      <c r="C2143" s="1626"/>
      <c r="D2143" s="1626"/>
      <c r="E2143" s="1626"/>
      <c r="F2143" s="1626"/>
      <c r="G2143" s="1627"/>
      <c r="H2143" s="93" t="s">
        <v>116</v>
      </c>
      <c r="I2143" s="130" t="s">
        <v>117</v>
      </c>
      <c r="J2143" s="130" t="s">
        <v>118</v>
      </c>
      <c r="K2143" s="130" t="s">
        <v>119</v>
      </c>
      <c r="L2143" s="130" t="s">
        <v>120</v>
      </c>
    </row>
    <row r="2144" spans="1:16" s="146" customFormat="1" ht="18" x14ac:dyDescent="0.25">
      <c r="A2144" s="519"/>
      <c r="B2144" s="499"/>
      <c r="C2144" s="499"/>
      <c r="D2144" s="540" t="s">
        <v>1028</v>
      </c>
      <c r="E2144" s="113"/>
      <c r="F2144" s="424"/>
      <c r="G2144" s="424"/>
      <c r="H2144" s="425"/>
      <c r="I2144" s="101"/>
      <c r="J2144" s="102"/>
      <c r="K2144" s="101"/>
      <c r="L2144" s="101"/>
      <c r="M2144" s="10"/>
      <c r="N2144" s="10"/>
      <c r="O2144"/>
      <c r="P2144"/>
    </row>
    <row r="2145" spans="1:16" s="313" customFormat="1" ht="34.5" customHeight="1" x14ac:dyDescent="0.25">
      <c r="A2145" s="173"/>
      <c r="B2145" s="505"/>
      <c r="C2145" s="505"/>
      <c r="D2145" s="1622" t="s">
        <v>1036</v>
      </c>
      <c r="E2145" s="1622"/>
      <c r="F2145" s="192"/>
      <c r="G2145" s="192"/>
      <c r="H2145" s="423"/>
      <c r="I2145" s="101"/>
      <c r="J2145" s="102">
        <v>50000</v>
      </c>
      <c r="K2145" s="101"/>
      <c r="L2145" s="102">
        <v>50000</v>
      </c>
      <c r="M2145" s="193"/>
      <c r="N2145" s="193"/>
      <c r="O2145" s="179"/>
      <c r="P2145" s="179"/>
    </row>
    <row r="2146" spans="1:16" s="313" customFormat="1" ht="37.5" customHeight="1" x14ac:dyDescent="0.25">
      <c r="A2146" s="173"/>
      <c r="B2146" s="505"/>
      <c r="C2146" s="505"/>
      <c r="D2146" s="1622" t="s">
        <v>1037</v>
      </c>
      <c r="E2146" s="1622"/>
      <c r="F2146" s="192"/>
      <c r="G2146" s="192"/>
      <c r="H2146" s="423"/>
      <c r="I2146" s="101"/>
      <c r="J2146" s="102">
        <v>50000</v>
      </c>
      <c r="K2146" s="101"/>
      <c r="L2146" s="102">
        <v>50000</v>
      </c>
      <c r="M2146" s="193"/>
      <c r="N2146" s="193"/>
      <c r="O2146" s="179"/>
      <c r="P2146" s="179"/>
    </row>
    <row r="2147" spans="1:16" s="313" customFormat="1" ht="18" customHeight="1" x14ac:dyDescent="0.25">
      <c r="A2147" s="173"/>
      <c r="B2147" s="505"/>
      <c r="C2147" s="505"/>
      <c r="D2147" s="528" t="s">
        <v>1038</v>
      </c>
      <c r="E2147" s="533"/>
      <c r="F2147" s="192"/>
      <c r="G2147" s="192"/>
      <c r="H2147" s="423"/>
      <c r="I2147" s="101"/>
      <c r="J2147" s="102">
        <v>50000</v>
      </c>
      <c r="K2147" s="101"/>
      <c r="L2147" s="102">
        <v>50000</v>
      </c>
      <c r="M2147" s="193"/>
      <c r="N2147" s="193"/>
      <c r="O2147" s="179"/>
      <c r="P2147" s="179"/>
    </row>
    <row r="2148" spans="1:16" s="313" customFormat="1" ht="38.25" customHeight="1" x14ac:dyDescent="0.25">
      <c r="A2148" s="173"/>
      <c r="B2148" s="505"/>
      <c r="C2148" s="505"/>
      <c r="D2148" s="1622" t="s">
        <v>1039</v>
      </c>
      <c r="E2148" s="1622"/>
      <c r="F2148" s="192"/>
      <c r="G2148" s="192"/>
      <c r="H2148" s="423"/>
      <c r="I2148" s="101"/>
      <c r="J2148" s="102">
        <v>50000</v>
      </c>
      <c r="K2148" s="101"/>
      <c r="L2148" s="102">
        <v>50000</v>
      </c>
      <c r="M2148" s="193"/>
      <c r="N2148" s="193"/>
      <c r="O2148" s="179"/>
      <c r="P2148" s="179"/>
    </row>
    <row r="2149" spans="1:16" s="313" customFormat="1" ht="23.25" customHeight="1" x14ac:dyDescent="0.25">
      <c r="A2149" s="173" t="s">
        <v>1040</v>
      </c>
      <c r="B2149" s="505"/>
      <c r="C2149" s="505"/>
      <c r="D2149" s="1622" t="s">
        <v>1041</v>
      </c>
      <c r="E2149" s="1622"/>
      <c r="F2149" s="192"/>
      <c r="G2149" s="192"/>
      <c r="H2149" s="423"/>
      <c r="I2149" s="101"/>
      <c r="J2149" s="102">
        <v>542535</v>
      </c>
      <c r="K2149" s="101"/>
      <c r="L2149" s="102">
        <v>542535</v>
      </c>
      <c r="M2149" s="193"/>
      <c r="N2149" s="193"/>
      <c r="O2149" s="179"/>
      <c r="P2149" s="179"/>
    </row>
    <row r="2150" spans="1:16" s="313" customFormat="1" ht="19.5" customHeight="1" x14ac:dyDescent="0.25">
      <c r="A2150" s="173"/>
      <c r="B2150" s="505"/>
      <c r="C2150" s="505"/>
      <c r="D2150" s="528" t="s">
        <v>1042</v>
      </c>
      <c r="E2150" s="533"/>
      <c r="F2150" s="192"/>
      <c r="G2150" s="192"/>
      <c r="H2150" s="423"/>
      <c r="I2150" s="101"/>
      <c r="J2150" s="102">
        <v>25000</v>
      </c>
      <c r="K2150" s="101"/>
      <c r="L2150" s="102"/>
      <c r="M2150" s="193"/>
      <c r="N2150" s="193"/>
      <c r="O2150" s="179"/>
      <c r="P2150" s="179"/>
    </row>
    <row r="2151" spans="1:16" s="146" customFormat="1" ht="18" x14ac:dyDescent="0.25">
      <c r="A2151" s="519"/>
      <c r="B2151" s="499"/>
      <c r="C2151" s="499"/>
      <c r="D2151" s="404" t="s">
        <v>15</v>
      </c>
      <c r="F2151" s="113"/>
      <c r="G2151" s="113"/>
      <c r="H2151" s="100"/>
      <c r="I2151" s="119">
        <f>SUM(I2130:I2150)</f>
        <v>4319.7</v>
      </c>
      <c r="J2151" s="119">
        <f>SUM(J2130:J2150)</f>
        <v>1817535</v>
      </c>
      <c r="K2151" s="119">
        <f>SUM(K2130:K2150)</f>
        <v>0</v>
      </c>
      <c r="L2151" s="119">
        <f>SUM(L2130:L2150)</f>
        <v>1242535</v>
      </c>
      <c r="M2151" s="10"/>
      <c r="N2151" s="10"/>
      <c r="O2151"/>
      <c r="P2151"/>
    </row>
    <row r="2152" spans="1:16" s="146" customFormat="1" ht="18" x14ac:dyDescent="0.25">
      <c r="A2152" s="519"/>
      <c r="B2152" s="499"/>
      <c r="C2152" s="499"/>
      <c r="D2152" s="170"/>
      <c r="E2152" s="113"/>
      <c r="F2152" s="113"/>
      <c r="G2152" s="113"/>
      <c r="H2152" s="381"/>
      <c r="I2152" s="121"/>
      <c r="J2152" s="145"/>
      <c r="K2152" s="121"/>
      <c r="L2152" s="121"/>
      <c r="M2152" s="10"/>
      <c r="N2152" s="10"/>
      <c r="O2152"/>
      <c r="P2152"/>
    </row>
    <row r="2153" spans="1:16" s="146" customFormat="1" ht="18" x14ac:dyDescent="0.25">
      <c r="A2153" s="519"/>
      <c r="B2153" s="499"/>
      <c r="C2153" s="499"/>
      <c r="D2153" s="540" t="s">
        <v>1043</v>
      </c>
      <c r="E2153" s="199"/>
      <c r="F2153" s="199"/>
      <c r="G2153" s="393"/>
      <c r="H2153" s="100"/>
      <c r="I2153" s="101"/>
      <c r="J2153" s="102"/>
      <c r="K2153" s="101"/>
      <c r="L2153" s="101"/>
      <c r="M2153" s="10"/>
      <c r="N2153" s="10"/>
      <c r="O2153"/>
      <c r="P2153"/>
    </row>
    <row r="2154" spans="1:16" s="146" customFormat="1" ht="18" customHeight="1" x14ac:dyDescent="0.25">
      <c r="A2154" s="519"/>
      <c r="B2154" s="499"/>
      <c r="C2154" s="499"/>
      <c r="D2154" s="516" t="s">
        <v>1044</v>
      </c>
      <c r="E2154" s="511"/>
      <c r="F2154" s="422"/>
      <c r="G2154" s="422"/>
      <c r="H2154" s="100"/>
      <c r="I2154" s="101">
        <v>0</v>
      </c>
      <c r="J2154" s="102">
        <v>1500000</v>
      </c>
      <c r="K2154" s="101"/>
      <c r="L2154" s="102">
        <v>700000</v>
      </c>
      <c r="M2154" s="10"/>
      <c r="N2154" s="10"/>
      <c r="O2154"/>
      <c r="P2154"/>
    </row>
    <row r="2155" spans="1:16" s="146" customFormat="1" ht="18" customHeight="1" x14ac:dyDescent="0.25">
      <c r="A2155" s="519" t="s">
        <v>1040</v>
      </c>
      <c r="B2155" s="499"/>
      <c r="C2155" s="499"/>
      <c r="D2155" s="516" t="s">
        <v>1045</v>
      </c>
      <c r="E2155" s="199"/>
      <c r="F2155" s="184"/>
      <c r="G2155" s="184"/>
      <c r="H2155" s="100"/>
      <c r="I2155" s="101">
        <v>0</v>
      </c>
      <c r="J2155" s="102">
        <v>700000</v>
      </c>
      <c r="K2155" s="101"/>
      <c r="L2155" s="102">
        <v>500000</v>
      </c>
      <c r="M2155" s="10"/>
      <c r="N2155" s="10"/>
      <c r="O2155"/>
      <c r="P2155"/>
    </row>
    <row r="2156" spans="1:16" s="146" customFormat="1" ht="18" customHeight="1" x14ac:dyDescent="0.25">
      <c r="A2156" s="519"/>
      <c r="B2156" s="499"/>
      <c r="C2156" s="499"/>
      <c r="D2156" s="516" t="s">
        <v>1046</v>
      </c>
      <c r="E2156" s="511"/>
      <c r="F2156" s="422"/>
      <c r="G2156" s="422"/>
      <c r="H2156" s="100"/>
      <c r="I2156" s="101">
        <v>0</v>
      </c>
      <c r="J2156" s="102">
        <v>1500000</v>
      </c>
      <c r="K2156" s="101"/>
      <c r="L2156" s="102">
        <v>800000</v>
      </c>
      <c r="M2156" s="10"/>
      <c r="N2156" s="10"/>
      <c r="O2156"/>
      <c r="P2156"/>
    </row>
    <row r="2157" spans="1:16" s="146" customFormat="1" ht="18" customHeight="1" x14ac:dyDescent="0.25">
      <c r="A2157" s="519"/>
      <c r="B2157" s="499"/>
      <c r="C2157" s="499"/>
      <c r="D2157" s="516" t="s">
        <v>1047</v>
      </c>
      <c r="E2157" s="199"/>
      <c r="F2157" s="184"/>
      <c r="G2157" s="184"/>
      <c r="H2157" s="100"/>
      <c r="I2157" s="101">
        <v>3920</v>
      </c>
      <c r="J2157" s="102">
        <v>350000</v>
      </c>
      <c r="K2157" s="101"/>
      <c r="L2157" s="102">
        <v>50000</v>
      </c>
      <c r="M2157" s="10"/>
      <c r="N2157" s="10"/>
      <c r="O2157"/>
      <c r="P2157"/>
    </row>
    <row r="2158" spans="1:16" s="146" customFormat="1" ht="18" customHeight="1" x14ac:dyDescent="0.25">
      <c r="A2158" s="519"/>
      <c r="B2158" s="499"/>
      <c r="C2158" s="499"/>
      <c r="D2158" s="516" t="s">
        <v>1048</v>
      </c>
      <c r="E2158" s="199"/>
      <c r="F2158" s="184"/>
      <c r="G2158" s="184"/>
      <c r="H2158" s="100"/>
      <c r="I2158" s="105">
        <v>20500</v>
      </c>
      <c r="J2158" s="106">
        <v>300000</v>
      </c>
      <c r="K2158" s="105"/>
      <c r="L2158" s="106">
        <v>100000</v>
      </c>
      <c r="M2158" s="10"/>
      <c r="N2158" s="10"/>
      <c r="O2158"/>
      <c r="P2158"/>
    </row>
    <row r="2159" spans="1:16" s="146" customFormat="1" ht="18.75" thickBot="1" x14ac:dyDescent="0.3">
      <c r="A2159" s="519"/>
      <c r="B2159" s="499"/>
      <c r="C2159" s="499"/>
      <c r="D2159" s="404" t="s">
        <v>15</v>
      </c>
      <c r="F2159" s="113"/>
      <c r="G2159" s="114"/>
      <c r="H2159" s="308"/>
      <c r="I2159" s="182">
        <f>SUM(I2154:I2158)</f>
        <v>24420</v>
      </c>
      <c r="J2159" s="183">
        <f>SUM(J2154:J2158)</f>
        <v>4350000</v>
      </c>
      <c r="K2159" s="182">
        <f>SUM(K2154:K2158)</f>
        <v>0</v>
      </c>
      <c r="L2159" s="182">
        <f>SUM(L2154:L2158)</f>
        <v>2150000</v>
      </c>
      <c r="M2159" s="10"/>
      <c r="N2159" s="10"/>
      <c r="O2159"/>
      <c r="P2159"/>
    </row>
    <row r="2160" spans="1:16" s="146" customFormat="1" ht="18" x14ac:dyDescent="0.25">
      <c r="A2160" s="519"/>
      <c r="B2160" s="499"/>
      <c r="C2160" s="499"/>
      <c r="D2160" s="170"/>
      <c r="E2160" s="113"/>
      <c r="F2160" s="113"/>
      <c r="G2160" s="114"/>
      <c r="H2160" s="100"/>
      <c r="I2160" s="101"/>
      <c r="J2160" s="102"/>
      <c r="K2160" s="101"/>
      <c r="L2160" s="101"/>
      <c r="M2160" s="10"/>
      <c r="N2160" s="10"/>
      <c r="O2160"/>
      <c r="P2160"/>
    </row>
    <row r="2161" spans="1:16" s="146" customFormat="1" ht="18" x14ac:dyDescent="0.25">
      <c r="A2161" s="519"/>
      <c r="B2161" s="499"/>
      <c r="C2161" s="499"/>
      <c r="D2161" s="540" t="s">
        <v>1050</v>
      </c>
      <c r="E2161" s="199"/>
      <c r="F2161" s="199"/>
      <c r="G2161" s="393"/>
      <c r="H2161" s="100"/>
      <c r="I2161" s="101"/>
      <c r="J2161" s="102"/>
      <c r="K2161" s="101"/>
      <c r="L2161" s="101"/>
      <c r="M2161" s="10"/>
      <c r="N2161" s="10"/>
      <c r="O2161"/>
      <c r="P2161"/>
    </row>
    <row r="2162" spans="1:16" s="146" customFormat="1" ht="18" x14ac:dyDescent="0.25">
      <c r="A2162" s="519"/>
      <c r="B2162" s="499"/>
      <c r="C2162" s="499"/>
      <c r="D2162" s="36" t="s">
        <v>1051</v>
      </c>
      <c r="E2162" s="198"/>
      <c r="F2162" s="198"/>
      <c r="G2162" s="491"/>
      <c r="H2162" s="100"/>
      <c r="I2162" s="101"/>
      <c r="J2162" s="102"/>
      <c r="K2162" s="101"/>
      <c r="L2162" s="101"/>
      <c r="M2162" s="10"/>
      <c r="N2162" s="10"/>
      <c r="O2162"/>
      <c r="P2162"/>
    </row>
    <row r="2163" spans="1:16" s="146" customFormat="1" ht="18" x14ac:dyDescent="0.25">
      <c r="A2163" s="519"/>
      <c r="B2163" s="499"/>
      <c r="C2163" s="499"/>
      <c r="D2163" s="38" t="s">
        <v>1052</v>
      </c>
      <c r="E2163" s="3"/>
      <c r="F2163" s="199"/>
      <c r="G2163" s="491"/>
      <c r="H2163" s="100"/>
      <c r="I2163" s="101">
        <v>88591.8</v>
      </c>
      <c r="J2163" s="102">
        <v>300000</v>
      </c>
      <c r="K2163" s="101">
        <v>49700</v>
      </c>
      <c r="L2163" s="101">
        <v>300000</v>
      </c>
      <c r="M2163" s="10"/>
      <c r="N2163" s="10"/>
      <c r="O2163"/>
      <c r="P2163"/>
    </row>
    <row r="2164" spans="1:16" s="146" customFormat="1" ht="18" x14ac:dyDescent="0.25">
      <c r="A2164" s="519"/>
      <c r="B2164" s="499"/>
      <c r="C2164" s="499"/>
      <c r="D2164" s="38" t="s">
        <v>1053</v>
      </c>
      <c r="E2164" s="3"/>
      <c r="F2164" s="199"/>
      <c r="G2164" s="491"/>
      <c r="H2164" s="100"/>
      <c r="I2164" s="101">
        <v>0</v>
      </c>
      <c r="J2164" s="102">
        <v>510000</v>
      </c>
      <c r="K2164" s="101"/>
      <c r="L2164" s="101">
        <v>510000</v>
      </c>
      <c r="M2164" s="10"/>
      <c r="N2164" s="10"/>
      <c r="O2164"/>
      <c r="P2164"/>
    </row>
    <row r="2165" spans="1:16" s="146" customFormat="1" ht="18" x14ac:dyDescent="0.25">
      <c r="A2165" s="519"/>
      <c r="B2165" s="499"/>
      <c r="C2165" s="499"/>
      <c r="D2165" s="516" t="s">
        <v>1054</v>
      </c>
      <c r="E2165" s="3"/>
      <c r="F2165" s="199"/>
      <c r="G2165" s="491"/>
      <c r="H2165" s="100"/>
      <c r="I2165" s="101">
        <v>0</v>
      </c>
      <c r="J2165" s="102">
        <v>100000</v>
      </c>
      <c r="K2165" s="101"/>
      <c r="L2165" s="101">
        <v>100000</v>
      </c>
      <c r="M2165" s="10"/>
      <c r="N2165" s="10"/>
      <c r="O2165"/>
      <c r="P2165"/>
    </row>
    <row r="2166" spans="1:16" s="146" customFormat="1" ht="18" x14ac:dyDescent="0.25">
      <c r="A2166" s="519"/>
      <c r="B2166" s="499"/>
      <c r="C2166" s="499"/>
      <c r="D2166" s="516" t="s">
        <v>1055</v>
      </c>
      <c r="E2166" s="3"/>
      <c r="F2166" s="199"/>
      <c r="G2166" s="491"/>
      <c r="H2166" s="100"/>
      <c r="I2166" s="101">
        <v>0</v>
      </c>
      <c r="J2166" s="102">
        <v>200000</v>
      </c>
      <c r="K2166" s="101"/>
      <c r="L2166" s="101">
        <v>200000</v>
      </c>
      <c r="M2166" s="10"/>
      <c r="N2166" s="10"/>
      <c r="O2166"/>
      <c r="P2166"/>
    </row>
    <row r="2167" spans="1:16" s="146" customFormat="1" ht="52.5" customHeight="1" x14ac:dyDescent="0.25">
      <c r="A2167" s="519"/>
      <c r="B2167" s="499"/>
      <c r="C2167" s="499"/>
      <c r="D2167" s="1634" t="s">
        <v>1056</v>
      </c>
      <c r="E2167" s="1634"/>
      <c r="F2167" s="428"/>
      <c r="G2167" s="491"/>
      <c r="H2167" s="100"/>
      <c r="I2167" s="101">
        <v>0</v>
      </c>
      <c r="J2167" s="102">
        <v>60000</v>
      </c>
      <c r="K2167" s="101"/>
      <c r="L2167" s="101">
        <v>60000</v>
      </c>
      <c r="M2167" s="10"/>
      <c r="N2167" s="10"/>
      <c r="O2167"/>
      <c r="P2167"/>
    </row>
    <row r="2168" spans="1:16" s="146" customFormat="1" ht="18" x14ac:dyDescent="0.25">
      <c r="A2168" s="519"/>
      <c r="B2168" s="499"/>
      <c r="C2168" s="499"/>
      <c r="D2168" s="180" t="s">
        <v>1057</v>
      </c>
      <c r="E2168" s="225"/>
      <c r="F2168" s="225"/>
      <c r="G2168" s="491"/>
      <c r="H2168" s="100"/>
      <c r="I2168" s="101">
        <v>337275</v>
      </c>
      <c r="J2168" s="102">
        <v>650000</v>
      </c>
      <c r="K2168" s="101"/>
      <c r="L2168" s="101">
        <v>834000</v>
      </c>
      <c r="M2168" s="10"/>
      <c r="N2168" s="10"/>
      <c r="O2168"/>
      <c r="P2168"/>
    </row>
    <row r="2169" spans="1:16" s="146" customFormat="1" ht="18" x14ac:dyDescent="0.25">
      <c r="A2169" s="519"/>
      <c r="B2169" s="499"/>
      <c r="C2169" s="499"/>
      <c r="D2169" s="1639" t="s">
        <v>1058</v>
      </c>
      <c r="E2169" s="1639"/>
      <c r="F2169" s="1639"/>
      <c r="G2169" s="491"/>
      <c r="H2169" s="100"/>
      <c r="I2169" s="101">
        <v>6250</v>
      </c>
      <c r="J2169" s="102">
        <v>25000</v>
      </c>
      <c r="K2169" s="101"/>
      <c r="L2169" s="101">
        <v>25000</v>
      </c>
      <c r="M2169" s="10"/>
      <c r="N2169" s="10"/>
      <c r="O2169"/>
      <c r="P2169"/>
    </row>
    <row r="2170" spans="1:16" s="146" customFormat="1" ht="18" x14ac:dyDescent="0.25">
      <c r="A2170" s="519"/>
      <c r="B2170" s="499"/>
      <c r="C2170" s="499"/>
      <c r="D2170" s="1646" t="s">
        <v>1059</v>
      </c>
      <c r="E2170" s="1646"/>
      <c r="F2170" s="44"/>
      <c r="G2170" s="525"/>
      <c r="H2170" s="205"/>
      <c r="I2170" s="102">
        <v>815253.26</v>
      </c>
      <c r="J2170" s="102">
        <v>1000000</v>
      </c>
      <c r="K2170" s="102"/>
      <c r="L2170" s="102">
        <v>300000</v>
      </c>
      <c r="M2170" s="10"/>
      <c r="N2170" s="10"/>
      <c r="O2170"/>
      <c r="P2170"/>
    </row>
    <row r="2171" spans="1:16" s="146" customFormat="1" ht="18.75" customHeight="1" x14ac:dyDescent="0.25">
      <c r="A2171" s="519"/>
      <c r="B2171" s="499"/>
      <c r="C2171" s="499"/>
      <c r="D2171" s="1628" t="s">
        <v>1060</v>
      </c>
      <c r="E2171" s="1628"/>
      <c r="F2171" s="1628"/>
      <c r="G2171" s="1647"/>
      <c r="H2171" s="205"/>
      <c r="I2171" s="106">
        <v>0</v>
      </c>
      <c r="J2171" s="106"/>
      <c r="K2171" s="106"/>
      <c r="L2171" s="106">
        <v>563250</v>
      </c>
      <c r="M2171" s="10"/>
      <c r="N2171" s="10"/>
      <c r="O2171"/>
      <c r="P2171"/>
    </row>
    <row r="2172" spans="1:16" s="146" customFormat="1" ht="18" x14ac:dyDescent="0.25">
      <c r="A2172" s="519"/>
      <c r="B2172" s="499"/>
      <c r="C2172" s="499"/>
      <c r="D2172" s="404" t="s">
        <v>15</v>
      </c>
      <c r="F2172" s="499"/>
      <c r="G2172" s="491"/>
      <c r="H2172" s="100"/>
      <c r="I2172" s="119">
        <f>SUM(I2163:I2171)</f>
        <v>1247370.06</v>
      </c>
      <c r="J2172" s="150">
        <f>SUM(J2163:J2171)</f>
        <v>2845000</v>
      </c>
      <c r="K2172" s="119">
        <f>SUM(K2163:K2171)</f>
        <v>49700</v>
      </c>
      <c r="L2172" s="119">
        <f>SUM(L2163:L2171)</f>
        <v>2892250</v>
      </c>
      <c r="M2172" s="10"/>
      <c r="N2172" s="10"/>
      <c r="O2172"/>
      <c r="P2172"/>
    </row>
    <row r="2173" spans="1:16" s="146" customFormat="1" ht="18" x14ac:dyDescent="0.25">
      <c r="A2173" s="519"/>
      <c r="B2173" s="499"/>
      <c r="C2173" s="499"/>
      <c r="D2173" s="170"/>
      <c r="E2173" s="113"/>
      <c r="F2173" s="113"/>
      <c r="G2173" s="113"/>
      <c r="H2173" s="381"/>
      <c r="I2173" s="101"/>
      <c r="J2173" s="102"/>
      <c r="K2173" s="101"/>
      <c r="L2173" s="101"/>
      <c r="M2173" s="10"/>
      <c r="N2173" s="10"/>
      <c r="O2173"/>
      <c r="P2173"/>
    </row>
    <row r="2174" spans="1:16" ht="18" x14ac:dyDescent="0.25">
      <c r="A2174" s="519"/>
      <c r="B2174" s="499"/>
      <c r="C2174" s="499"/>
      <c r="D2174" s="540" t="s">
        <v>1061</v>
      </c>
      <c r="E2174" s="199"/>
      <c r="F2174" s="199"/>
      <c r="G2174" s="393"/>
      <c r="H2174" s="100"/>
      <c r="I2174" s="101"/>
      <c r="J2174" s="102"/>
      <c r="K2174" s="101"/>
      <c r="L2174" s="101"/>
    </row>
    <row r="2175" spans="1:16" ht="18" x14ac:dyDescent="0.25">
      <c r="A2175" s="519"/>
      <c r="B2175" s="499"/>
      <c r="C2175" s="499"/>
      <c r="D2175" s="38" t="s">
        <v>315</v>
      </c>
      <c r="E2175" s="199"/>
      <c r="F2175" s="499"/>
      <c r="G2175" s="491"/>
      <c r="H2175" s="100"/>
      <c r="I2175" s="101">
        <v>250000</v>
      </c>
      <c r="J2175" s="102"/>
      <c r="K2175" s="101"/>
      <c r="L2175" s="101"/>
    </row>
    <row r="2176" spans="1:16" ht="18" x14ac:dyDescent="0.25">
      <c r="A2176" s="519"/>
      <c r="B2176" s="499"/>
      <c r="C2176" s="499"/>
      <c r="D2176" s="38" t="s">
        <v>1062</v>
      </c>
      <c r="E2176" s="199"/>
      <c r="F2176" s="499"/>
      <c r="G2176" s="491"/>
      <c r="H2176" s="100"/>
      <c r="I2176" s="101">
        <v>0</v>
      </c>
      <c r="J2176" s="102">
        <v>50000</v>
      </c>
      <c r="K2176" s="101"/>
      <c r="L2176" s="101"/>
    </row>
    <row r="2177" spans="1:16" ht="36" customHeight="1" x14ac:dyDescent="0.25">
      <c r="A2177" s="519"/>
      <c r="B2177" s="499"/>
      <c r="C2177" s="499"/>
      <c r="D2177" s="1623" t="s">
        <v>1063</v>
      </c>
      <c r="E2177" s="1623"/>
      <c r="F2177" s="1623"/>
      <c r="G2177" s="1645"/>
      <c r="H2177" s="100"/>
      <c r="I2177" s="101">
        <v>0</v>
      </c>
      <c r="J2177" s="102">
        <v>15000</v>
      </c>
      <c r="K2177" s="101"/>
      <c r="L2177" s="101"/>
    </row>
    <row r="2178" spans="1:16" ht="21" customHeight="1" x14ac:dyDescent="0.25">
      <c r="A2178" s="519"/>
      <c r="B2178" s="499"/>
      <c r="C2178" s="499"/>
      <c r="D2178" s="1628" t="s">
        <v>1064</v>
      </c>
      <c r="E2178" s="1628"/>
      <c r="F2178" s="499"/>
      <c r="G2178" s="491"/>
      <c r="H2178" s="100"/>
      <c r="I2178" s="101">
        <v>30000</v>
      </c>
      <c r="J2178" s="102">
        <v>85000</v>
      </c>
      <c r="K2178" s="101"/>
      <c r="L2178" s="101"/>
    </row>
    <row r="2179" spans="1:16" ht="18" x14ac:dyDescent="0.25">
      <c r="A2179" s="519"/>
      <c r="B2179" s="499"/>
      <c r="C2179" s="499"/>
      <c r="D2179" s="38" t="s">
        <v>1065</v>
      </c>
      <c r="E2179" s="199"/>
      <c r="F2179" s="499"/>
      <c r="G2179" s="491"/>
      <c r="H2179" s="100"/>
      <c r="I2179" s="101"/>
      <c r="J2179" s="102"/>
      <c r="K2179" s="101"/>
      <c r="L2179" s="101">
        <v>600000</v>
      </c>
    </row>
    <row r="2180" spans="1:16" s="146" customFormat="1" ht="18" x14ac:dyDescent="0.25">
      <c r="A2180" s="519"/>
      <c r="B2180" s="499"/>
      <c r="C2180" s="499"/>
      <c r="D2180" s="38" t="s">
        <v>1066</v>
      </c>
      <c r="E2180" s="199"/>
      <c r="F2180" s="499"/>
      <c r="G2180" s="491"/>
      <c r="H2180" s="100"/>
      <c r="I2180" s="101">
        <v>0</v>
      </c>
      <c r="J2180" s="102">
        <v>10000</v>
      </c>
      <c r="K2180" s="101"/>
      <c r="L2180" s="101"/>
      <c r="M2180" s="10"/>
      <c r="N2180" s="10"/>
      <c r="O2180"/>
      <c r="P2180"/>
    </row>
    <row r="2181" spans="1:16" s="146" customFormat="1" ht="18" x14ac:dyDescent="0.25">
      <c r="A2181" s="519"/>
      <c r="B2181" s="499"/>
      <c r="C2181" s="499"/>
      <c r="D2181" s="38" t="s">
        <v>1067</v>
      </c>
      <c r="E2181" s="199"/>
      <c r="F2181" s="499"/>
      <c r="G2181" s="491"/>
      <c r="H2181" s="100"/>
      <c r="I2181" s="101"/>
      <c r="J2181" s="102"/>
      <c r="K2181" s="101"/>
      <c r="L2181" s="101"/>
      <c r="M2181" s="10"/>
      <c r="N2181" s="10"/>
      <c r="O2181"/>
      <c r="P2181"/>
    </row>
    <row r="2182" spans="1:16" s="146" customFormat="1" ht="18" x14ac:dyDescent="0.25">
      <c r="A2182" s="519"/>
      <c r="B2182" s="499"/>
      <c r="C2182" s="499"/>
      <c r="D2182" s="38" t="s">
        <v>1068</v>
      </c>
      <c r="E2182" s="199"/>
      <c r="F2182" s="499"/>
      <c r="G2182" s="491"/>
      <c r="H2182" s="100"/>
      <c r="I2182" s="101">
        <v>0</v>
      </c>
      <c r="J2182" s="102">
        <v>150000</v>
      </c>
      <c r="K2182" s="101"/>
      <c r="L2182" s="101">
        <v>200000</v>
      </c>
      <c r="M2182" s="10"/>
      <c r="N2182" s="10"/>
      <c r="O2182"/>
      <c r="P2182"/>
    </row>
    <row r="2183" spans="1:16" s="146" customFormat="1" ht="18" x14ac:dyDescent="0.25">
      <c r="A2183" s="519"/>
      <c r="B2183" s="499"/>
      <c r="C2183" s="499"/>
      <c r="D2183" s="38" t="s">
        <v>1069</v>
      </c>
      <c r="E2183" s="199"/>
      <c r="F2183" s="499"/>
      <c r="G2183" s="491"/>
      <c r="H2183" s="100"/>
      <c r="I2183" s="101">
        <v>0</v>
      </c>
      <c r="J2183" s="102">
        <v>600000</v>
      </c>
      <c r="K2183" s="101"/>
      <c r="L2183" s="101">
        <v>600000</v>
      </c>
      <c r="M2183" s="10"/>
      <c r="N2183" s="10"/>
      <c r="O2183"/>
      <c r="P2183"/>
    </row>
    <row r="2184" spans="1:16" s="146" customFormat="1" ht="18" x14ac:dyDescent="0.25">
      <c r="A2184" s="519"/>
      <c r="B2184" s="499"/>
      <c r="C2184" s="499"/>
      <c r="D2184" s="38" t="s">
        <v>1070</v>
      </c>
      <c r="E2184" s="199"/>
      <c r="F2184" s="499"/>
      <c r="G2184" s="491"/>
      <c r="H2184" s="100"/>
      <c r="I2184" s="101">
        <v>0</v>
      </c>
      <c r="J2184" s="102">
        <v>20000</v>
      </c>
      <c r="K2184" s="101"/>
      <c r="L2184" s="101"/>
      <c r="M2184" s="10"/>
      <c r="N2184" s="10"/>
      <c r="O2184"/>
      <c r="P2184"/>
    </row>
    <row r="2185" spans="1:16" s="146" customFormat="1" ht="18" x14ac:dyDescent="0.25">
      <c r="A2185" s="519"/>
      <c r="B2185" s="499"/>
      <c r="C2185" s="499"/>
      <c r="D2185" s="1611" t="s">
        <v>1071</v>
      </c>
      <c r="E2185" s="1611"/>
      <c r="F2185" s="1611"/>
      <c r="G2185" s="1602"/>
      <c r="H2185" s="100"/>
      <c r="I2185" s="101">
        <v>0</v>
      </c>
      <c r="J2185" s="102">
        <v>600000</v>
      </c>
      <c r="K2185" s="101"/>
      <c r="L2185" s="101">
        <v>300000</v>
      </c>
      <c r="M2185" s="10"/>
      <c r="N2185" s="10"/>
      <c r="O2185"/>
      <c r="P2185"/>
    </row>
    <row r="2186" spans="1:16" s="146" customFormat="1" ht="36.75" customHeight="1" x14ac:dyDescent="0.25">
      <c r="A2186" s="519"/>
      <c r="B2186" s="499"/>
      <c r="C2186" s="499"/>
      <c r="D2186" s="1637" t="s">
        <v>1072</v>
      </c>
      <c r="E2186" s="1637"/>
      <c r="F2186" s="1637"/>
      <c r="G2186" s="491"/>
      <c r="H2186" s="100"/>
      <c r="I2186" s="101">
        <v>15000</v>
      </c>
      <c r="J2186" s="102">
        <v>140000</v>
      </c>
      <c r="K2186" s="101">
        <v>8046.1</v>
      </c>
      <c r="L2186" s="101"/>
      <c r="M2186" s="10"/>
      <c r="N2186" s="10"/>
      <c r="O2186"/>
      <c r="P2186"/>
    </row>
    <row r="2187" spans="1:16" s="146" customFormat="1" ht="56.25" customHeight="1" x14ac:dyDescent="0.25">
      <c r="A2187" s="519"/>
      <c r="B2187" s="499"/>
      <c r="C2187" s="499"/>
      <c r="D2187" s="1622" t="s">
        <v>1073</v>
      </c>
      <c r="E2187" s="1622"/>
      <c r="F2187" s="499"/>
      <c r="G2187" s="491"/>
      <c r="H2187" s="100"/>
      <c r="I2187" s="101"/>
      <c r="J2187" s="102"/>
      <c r="K2187" s="101"/>
      <c r="L2187" s="101"/>
      <c r="M2187" s="10"/>
      <c r="N2187" s="10"/>
      <c r="O2187"/>
      <c r="P2187"/>
    </row>
    <row r="2188" spans="1:16" s="146" customFormat="1" ht="18" customHeight="1" x14ac:dyDescent="0.25">
      <c r="A2188" s="519"/>
      <c r="B2188" s="499"/>
      <c r="C2188" s="499"/>
      <c r="D2188" s="429" t="s">
        <v>1074</v>
      </c>
      <c r="E2188" s="507"/>
      <c r="F2188" s="507"/>
      <c r="G2188" s="491"/>
      <c r="H2188" s="100"/>
      <c r="I2188" s="101"/>
      <c r="J2188" s="102"/>
      <c r="K2188" s="101"/>
      <c r="L2188" s="101">
        <v>60000</v>
      </c>
      <c r="M2188" s="10"/>
      <c r="N2188" s="10"/>
      <c r="O2188"/>
      <c r="P2188"/>
    </row>
    <row r="2189" spans="1:16" s="146" customFormat="1" ht="18" customHeight="1" x14ac:dyDescent="0.25">
      <c r="A2189" s="519"/>
      <c r="B2189" s="499"/>
      <c r="C2189" s="499"/>
      <c r="D2189" s="429" t="s">
        <v>1075</v>
      </c>
      <c r="E2189" s="512"/>
      <c r="F2189" s="582"/>
      <c r="G2189" s="492"/>
      <c r="H2189" s="100"/>
      <c r="I2189" s="101"/>
      <c r="J2189" s="102"/>
      <c r="K2189" s="101"/>
      <c r="L2189" s="101">
        <v>70000</v>
      </c>
      <c r="M2189" s="10"/>
      <c r="N2189" s="10"/>
      <c r="O2189"/>
      <c r="P2189"/>
    </row>
    <row r="2190" spans="1:16" s="146" customFormat="1" ht="18" x14ac:dyDescent="0.25">
      <c r="A2190" s="519"/>
      <c r="B2190" s="499"/>
      <c r="C2190" s="499"/>
      <c r="D2190" s="44"/>
      <c r="E2190" s="114"/>
      <c r="F2190" s="116"/>
      <c r="G2190" s="116"/>
      <c r="H2190" s="100"/>
      <c r="I2190" s="101"/>
      <c r="J2190" s="102"/>
      <c r="K2190" s="101"/>
      <c r="L2190" s="101"/>
      <c r="M2190" s="10"/>
      <c r="N2190" s="10"/>
      <c r="O2190"/>
      <c r="P2190"/>
    </row>
    <row r="2191" spans="1:16" s="146" customFormat="1" ht="18" x14ac:dyDescent="0.25">
      <c r="A2191" s="519"/>
      <c r="B2191" s="499"/>
      <c r="C2191" s="499"/>
      <c r="D2191" s="44"/>
      <c r="E2191" s="114"/>
      <c r="F2191" s="116"/>
      <c r="G2191" s="116"/>
      <c r="H2191" s="100"/>
      <c r="I2191" s="101"/>
      <c r="J2191" s="102"/>
      <c r="K2191" s="101"/>
      <c r="L2191" s="101"/>
      <c r="M2191" s="10"/>
      <c r="N2191" s="10"/>
      <c r="O2191"/>
      <c r="P2191"/>
    </row>
    <row r="2192" spans="1:16" s="146" customFormat="1" ht="18.75" thickBot="1" x14ac:dyDescent="0.3">
      <c r="A2192" s="187"/>
      <c r="B2192" s="413"/>
      <c r="C2192" s="413"/>
      <c r="D2192" s="215"/>
      <c r="E2192" s="584"/>
      <c r="F2192" s="585"/>
      <c r="G2192" s="585"/>
      <c r="H2192" s="308"/>
      <c r="I2192" s="219"/>
      <c r="J2192" s="220"/>
      <c r="K2192" s="219"/>
      <c r="L2192" s="219"/>
      <c r="M2192" s="10"/>
      <c r="N2192" s="10"/>
      <c r="O2192"/>
      <c r="P2192"/>
    </row>
    <row r="2193" spans="1:16" s="146" customFormat="1" ht="18" x14ac:dyDescent="0.25">
      <c r="A2193" s="499"/>
      <c r="B2193" s="499"/>
      <c r="C2193" s="499"/>
      <c r="D2193" s="44"/>
      <c r="E2193" s="113"/>
      <c r="F2193" s="113"/>
      <c r="G2193" s="113"/>
      <c r="H2193" s="381"/>
      <c r="I2193" s="141"/>
      <c r="J2193" s="122"/>
      <c r="K2193" s="141"/>
      <c r="L2193" s="141"/>
      <c r="M2193" s="10"/>
      <c r="N2193" s="10"/>
      <c r="O2193"/>
      <c r="P2193"/>
    </row>
    <row r="2194" spans="1:16" s="146" customFormat="1" ht="18" x14ac:dyDescent="0.25">
      <c r="A2194" s="499"/>
      <c r="B2194" s="499"/>
      <c r="C2194" s="499"/>
      <c r="D2194" s="44"/>
      <c r="E2194" s="113"/>
      <c r="F2194" s="113"/>
      <c r="G2194" s="113"/>
      <c r="H2194" s="381"/>
      <c r="I2194" s="141"/>
      <c r="J2194" s="122"/>
      <c r="K2194" s="141"/>
      <c r="L2194" s="141"/>
      <c r="M2194" s="10"/>
      <c r="N2194" s="10"/>
      <c r="O2194"/>
      <c r="P2194"/>
    </row>
    <row r="2195" spans="1:16" ht="18" customHeight="1" x14ac:dyDescent="0.25">
      <c r="A2195" s="8" t="s">
        <v>112</v>
      </c>
    </row>
    <row r="2196" spans="1:16" ht="18" customHeight="1" x14ac:dyDescent="0.25">
      <c r="A2196" s="8" t="s">
        <v>1003</v>
      </c>
    </row>
    <row r="2197" spans="1:16" ht="18" customHeight="1" x14ac:dyDescent="0.25">
      <c r="A2197" s="1636" t="s">
        <v>113</v>
      </c>
      <c r="B2197" s="1636"/>
      <c r="C2197" s="1636"/>
      <c r="D2197" s="1636"/>
      <c r="E2197" s="1636"/>
      <c r="F2197" s="1636"/>
      <c r="G2197" s="1636"/>
      <c r="H2197" s="1636"/>
      <c r="I2197" s="1636"/>
      <c r="J2197" s="1636"/>
      <c r="K2197" s="1636"/>
      <c r="L2197" s="1636"/>
    </row>
    <row r="2198" spans="1:16" s="7" customFormat="1" ht="18" customHeight="1" x14ac:dyDescent="0.25">
      <c r="A2198" s="1624" t="s">
        <v>114</v>
      </c>
      <c r="B2198" s="1624"/>
      <c r="C2198" s="1624"/>
      <c r="D2198" s="1624"/>
      <c r="E2198" s="1624"/>
      <c r="F2198" s="1624"/>
      <c r="G2198" s="1624"/>
      <c r="H2198" s="1624"/>
      <c r="I2198" s="1624"/>
      <c r="J2198" s="1624"/>
      <c r="K2198" s="1624"/>
      <c r="L2198" s="1624"/>
      <c r="M2198" s="6"/>
      <c r="N2198" s="6"/>
    </row>
    <row r="2199" spans="1:16" ht="18.75" thickBot="1" x14ac:dyDescent="0.3">
      <c r="A2199" s="41"/>
      <c r="B2199" s="41"/>
      <c r="C2199" s="41"/>
      <c r="D2199" s="63"/>
      <c r="E2199" s="41"/>
      <c r="F2199" s="41"/>
      <c r="G2199" s="41"/>
      <c r="H2199" s="41"/>
    </row>
    <row r="2200" spans="1:16" ht="63.75" customHeight="1" thickBot="1" x14ac:dyDescent="0.3">
      <c r="A2200" s="1625" t="s">
        <v>115</v>
      </c>
      <c r="B2200" s="1626"/>
      <c r="C2200" s="1626"/>
      <c r="D2200" s="1626"/>
      <c r="E2200" s="1626"/>
      <c r="F2200" s="1626"/>
      <c r="G2200" s="1627"/>
      <c r="H2200" s="93" t="s">
        <v>116</v>
      </c>
      <c r="I2200" s="130" t="s">
        <v>117</v>
      </c>
      <c r="J2200" s="130" t="s">
        <v>118</v>
      </c>
      <c r="K2200" s="130" t="s">
        <v>119</v>
      </c>
      <c r="L2200" s="130" t="s">
        <v>120</v>
      </c>
    </row>
    <row r="2201" spans="1:16" s="146" customFormat="1" ht="18" x14ac:dyDescent="0.25">
      <c r="A2201" s="519"/>
      <c r="B2201" s="499"/>
      <c r="C2201" s="499"/>
      <c r="D2201" s="540" t="s">
        <v>1061</v>
      </c>
      <c r="E2201" s="499"/>
      <c r="F2201" s="499"/>
      <c r="G2201" s="491"/>
      <c r="H2201" s="100"/>
      <c r="I2201" s="101"/>
      <c r="J2201" s="102"/>
      <c r="K2201" s="101"/>
      <c r="L2201" s="101"/>
      <c r="M2201" s="10"/>
      <c r="N2201" s="10"/>
      <c r="O2201"/>
      <c r="P2201"/>
    </row>
    <row r="2202" spans="1:16" s="146" customFormat="1" ht="35.25" customHeight="1" x14ac:dyDescent="0.25">
      <c r="A2202" s="519"/>
      <c r="B2202" s="499"/>
      <c r="C2202" s="499"/>
      <c r="D2202" s="1637" t="s">
        <v>1076</v>
      </c>
      <c r="E2202" s="1637"/>
      <c r="F2202" s="1637"/>
      <c r="G2202" s="1641"/>
      <c r="H2202" s="100"/>
      <c r="I2202" s="101">
        <v>30178</v>
      </c>
      <c r="J2202" s="102">
        <v>227783.76</v>
      </c>
      <c r="K2202" s="101"/>
      <c r="L2202" s="101"/>
      <c r="M2202" s="10"/>
      <c r="N2202" s="10"/>
      <c r="O2202"/>
      <c r="P2202"/>
    </row>
    <row r="2203" spans="1:16" s="146" customFormat="1" ht="18" customHeight="1" x14ac:dyDescent="0.25">
      <c r="A2203" s="519"/>
      <c r="B2203" s="499"/>
      <c r="C2203" s="499"/>
      <c r="D2203" s="429" t="s">
        <v>1077</v>
      </c>
      <c r="E2203" s="507"/>
      <c r="F2203" s="507"/>
      <c r="G2203" s="512"/>
      <c r="H2203" s="100"/>
      <c r="I2203" s="101"/>
      <c r="J2203" s="102"/>
      <c r="K2203" s="101"/>
      <c r="L2203" s="101"/>
      <c r="M2203" s="10"/>
      <c r="N2203" s="10"/>
      <c r="O2203"/>
      <c r="P2203"/>
    </row>
    <row r="2204" spans="1:16" s="146" customFormat="1" ht="18" customHeight="1" x14ac:dyDescent="0.25">
      <c r="A2204" s="519"/>
      <c r="B2204" s="499"/>
      <c r="C2204" s="499"/>
      <c r="D2204" s="429" t="s">
        <v>1078</v>
      </c>
      <c r="E2204" s="507"/>
      <c r="F2204" s="507"/>
      <c r="G2204" s="512"/>
      <c r="H2204" s="100"/>
      <c r="I2204" s="101"/>
      <c r="J2204" s="102"/>
      <c r="K2204" s="101"/>
      <c r="L2204" s="102">
        <v>200000</v>
      </c>
      <c r="M2204" s="10"/>
      <c r="N2204" s="10"/>
      <c r="O2204"/>
      <c r="P2204"/>
    </row>
    <row r="2205" spans="1:16" s="146" customFormat="1" ht="18" customHeight="1" x14ac:dyDescent="0.25">
      <c r="A2205" s="519"/>
      <c r="B2205" s="499"/>
      <c r="C2205" s="499"/>
      <c r="D2205" s="429" t="s">
        <v>1079</v>
      </c>
      <c r="E2205" s="507"/>
      <c r="F2205" s="507"/>
      <c r="G2205" s="512"/>
      <c r="H2205" s="100"/>
      <c r="I2205" s="101"/>
      <c r="J2205" s="102"/>
      <c r="K2205" s="101"/>
      <c r="L2205" s="101">
        <v>127783.76</v>
      </c>
      <c r="M2205" s="10"/>
      <c r="N2205" s="10"/>
      <c r="O2205"/>
      <c r="P2205"/>
    </row>
    <row r="2206" spans="1:16" s="146" customFormat="1" ht="18" customHeight="1" x14ac:dyDescent="0.25">
      <c r="A2206" s="519"/>
      <c r="B2206" s="499"/>
      <c r="C2206" s="499"/>
      <c r="D2206" s="429" t="s">
        <v>1080</v>
      </c>
      <c r="E2206" s="507"/>
      <c r="F2206" s="507"/>
      <c r="G2206" s="512"/>
      <c r="H2206" s="100"/>
      <c r="I2206" s="101"/>
      <c r="J2206" s="102"/>
      <c r="K2206" s="101"/>
      <c r="L2206" s="101">
        <v>800000</v>
      </c>
      <c r="M2206" s="10"/>
      <c r="N2206" s="10"/>
      <c r="O2206"/>
      <c r="P2206"/>
    </row>
    <row r="2207" spans="1:16" s="146" customFormat="1" ht="53.25" customHeight="1" x14ac:dyDescent="0.25">
      <c r="A2207" s="519"/>
      <c r="B2207" s="499"/>
      <c r="C2207" s="499"/>
      <c r="D2207" s="1623" t="s">
        <v>1081</v>
      </c>
      <c r="E2207" s="1623"/>
      <c r="F2207" s="499"/>
      <c r="G2207" s="491"/>
      <c r="H2207" s="100"/>
      <c r="I2207" s="101">
        <v>0</v>
      </c>
      <c r="J2207" s="102">
        <v>170000</v>
      </c>
      <c r="K2207" s="101">
        <v>65660</v>
      </c>
      <c r="L2207" s="101"/>
      <c r="M2207" s="10"/>
      <c r="N2207" s="10"/>
      <c r="O2207"/>
      <c r="P2207"/>
    </row>
    <row r="2208" spans="1:16" s="146" customFormat="1" ht="35.25" customHeight="1" x14ac:dyDescent="0.25">
      <c r="A2208" s="519"/>
      <c r="B2208" s="499"/>
      <c r="C2208" s="499"/>
      <c r="D2208" s="1623" t="s">
        <v>1082</v>
      </c>
      <c r="E2208" s="1623"/>
      <c r="F2208" s="499"/>
      <c r="G2208" s="491"/>
      <c r="H2208" s="100"/>
      <c r="I2208" s="101">
        <v>0</v>
      </c>
      <c r="J2208" s="102">
        <v>600000</v>
      </c>
      <c r="K2208" s="101"/>
      <c r="L2208" s="101"/>
      <c r="M2208" s="10"/>
      <c r="N2208" s="10"/>
      <c r="O2208"/>
      <c r="P2208"/>
    </row>
    <row r="2209" spans="1:16" s="146" customFormat="1" ht="18" x14ac:dyDescent="0.25">
      <c r="A2209" s="519"/>
      <c r="B2209" s="499"/>
      <c r="C2209" s="499"/>
      <c r="D2209" s="153" t="s">
        <v>15</v>
      </c>
      <c r="F2209" s="499"/>
      <c r="G2209" s="491"/>
      <c r="H2209" s="100"/>
      <c r="I2209" s="119">
        <f>SUM(I2175:I2208)</f>
        <v>325178</v>
      </c>
      <c r="J2209" s="150">
        <f>SUM(J2175:J2208)</f>
        <v>2667783.7599999998</v>
      </c>
      <c r="K2209" s="119">
        <f>SUM(K2175:K2208)</f>
        <v>73706.100000000006</v>
      </c>
      <c r="L2209" s="119">
        <f>SUM(L2175:L2208)</f>
        <v>2957783.76</v>
      </c>
      <c r="M2209" s="10"/>
      <c r="N2209" s="10"/>
      <c r="O2209"/>
      <c r="P2209"/>
    </row>
    <row r="2210" spans="1:16" s="146" customFormat="1" ht="18" x14ac:dyDescent="0.25">
      <c r="A2210" s="519"/>
      <c r="B2210" s="499"/>
      <c r="C2210" s="499"/>
      <c r="D2210" s="513"/>
      <c r="E2210" s="153"/>
      <c r="F2210" s="499"/>
      <c r="G2210" s="499"/>
      <c r="H2210" s="100"/>
      <c r="I2210" s="155"/>
      <c r="J2210" s="156"/>
      <c r="K2210" s="155"/>
      <c r="L2210" s="155"/>
      <c r="M2210" s="10"/>
      <c r="N2210" s="10"/>
      <c r="O2210"/>
      <c r="P2210"/>
    </row>
    <row r="2211" spans="1:16" ht="18" x14ac:dyDescent="0.25">
      <c r="A2211" s="519"/>
      <c r="B2211" s="499"/>
      <c r="C2211" s="499"/>
      <c r="D2211" s="540" t="s">
        <v>1360</v>
      </c>
      <c r="E2211" s="199"/>
      <c r="F2211" s="199"/>
      <c r="G2211" s="393"/>
      <c r="H2211" s="100"/>
      <c r="I2211" s="101"/>
      <c r="J2211" s="102"/>
      <c r="K2211" s="101"/>
      <c r="L2211" s="101"/>
    </row>
    <row r="2212" spans="1:16" ht="36.75" hidden="1" customHeight="1" x14ac:dyDescent="0.25">
      <c r="A2212" s="519"/>
      <c r="B2212" s="499"/>
      <c r="C2212" s="499"/>
      <c r="D2212" s="1637" t="s">
        <v>1083</v>
      </c>
      <c r="E2212" s="1637"/>
      <c r="F2212" s="1637"/>
      <c r="G2212" s="1641"/>
      <c r="H2212" s="100"/>
      <c r="I2212" s="101">
        <v>0</v>
      </c>
      <c r="J2212" s="102">
        <v>0</v>
      </c>
      <c r="K2212" s="101"/>
      <c r="L2212" s="101"/>
    </row>
    <row r="2213" spans="1:16" ht="36.75" hidden="1" customHeight="1" x14ac:dyDescent="0.25">
      <c r="A2213" s="519"/>
      <c r="B2213" s="499"/>
      <c r="C2213" s="499"/>
      <c r="D2213" s="1642" t="s">
        <v>1084</v>
      </c>
      <c r="E2213" s="1643"/>
      <c r="F2213" s="1643"/>
      <c r="G2213" s="1644"/>
      <c r="H2213" s="100"/>
      <c r="I2213" s="101">
        <v>0</v>
      </c>
      <c r="J2213" s="102">
        <v>0</v>
      </c>
      <c r="K2213" s="101"/>
      <c r="L2213" s="101"/>
    </row>
    <row r="2214" spans="1:16" ht="18" hidden="1" x14ac:dyDescent="0.25">
      <c r="A2214" s="519"/>
      <c r="B2214" s="499"/>
      <c r="C2214" s="499"/>
      <c r="D2214" s="38" t="s">
        <v>1085</v>
      </c>
      <c r="E2214" s="199"/>
      <c r="F2214" s="198"/>
      <c r="G2214" s="491"/>
      <c r="H2214" s="100"/>
      <c r="I2214" s="101">
        <v>0</v>
      </c>
      <c r="J2214" s="102">
        <v>0</v>
      </c>
      <c r="K2214" s="101"/>
      <c r="L2214" s="101"/>
    </row>
    <row r="2215" spans="1:16" ht="35.25" hidden="1" customHeight="1" x14ac:dyDescent="0.25">
      <c r="A2215" s="519"/>
      <c r="B2215" s="499"/>
      <c r="C2215" s="499"/>
      <c r="D2215" s="1623" t="s">
        <v>1086</v>
      </c>
      <c r="E2215" s="1623"/>
      <c r="F2215" s="198"/>
      <c r="G2215" s="491"/>
      <c r="H2215" s="100"/>
      <c r="I2215" s="101">
        <v>0</v>
      </c>
      <c r="J2215" s="102">
        <v>0</v>
      </c>
      <c r="K2215" s="101"/>
      <c r="L2215" s="101"/>
    </row>
    <row r="2216" spans="1:16" ht="18" hidden="1" x14ac:dyDescent="0.25">
      <c r="A2216" s="519"/>
      <c r="B2216" s="499"/>
      <c r="C2216" s="499"/>
      <c r="D2216" s="38" t="s">
        <v>1087</v>
      </c>
      <c r="E2216" s="199"/>
      <c r="F2216" s="198"/>
      <c r="G2216" s="491"/>
      <c r="H2216" s="100"/>
      <c r="I2216" s="101">
        <v>0</v>
      </c>
      <c r="J2216" s="102">
        <v>0</v>
      </c>
      <c r="K2216" s="101"/>
      <c r="L2216" s="101"/>
    </row>
    <row r="2217" spans="1:16" s="146" customFormat="1" ht="18" hidden="1" x14ac:dyDescent="0.25">
      <c r="A2217" s="519"/>
      <c r="B2217" s="499"/>
      <c r="C2217" s="499"/>
      <c r="D2217" s="38" t="s">
        <v>1088</v>
      </c>
      <c r="E2217" s="199"/>
      <c r="F2217" s="198"/>
      <c r="G2217" s="491"/>
      <c r="H2217" s="100"/>
      <c r="I2217" s="101">
        <v>0</v>
      </c>
      <c r="J2217" s="102">
        <v>0</v>
      </c>
      <c r="K2217" s="101"/>
      <c r="L2217" s="101"/>
      <c r="M2217" s="10"/>
      <c r="N2217" s="10"/>
      <c r="O2217"/>
      <c r="P2217"/>
    </row>
    <row r="2218" spans="1:16" s="146" customFormat="1" ht="18" hidden="1" x14ac:dyDescent="0.25">
      <c r="A2218" s="519"/>
      <c r="B2218" s="499"/>
      <c r="C2218" s="499"/>
      <c r="D2218" s="38" t="s">
        <v>1089</v>
      </c>
      <c r="E2218" s="199"/>
      <c r="F2218" s="198"/>
      <c r="G2218" s="491"/>
      <c r="H2218" s="100"/>
      <c r="I2218" s="101">
        <v>0</v>
      </c>
      <c r="J2218" s="102">
        <v>0</v>
      </c>
      <c r="K2218" s="101"/>
      <c r="L2218" s="101"/>
      <c r="M2218" s="10"/>
      <c r="N2218" s="10"/>
      <c r="O2218"/>
      <c r="P2218"/>
    </row>
    <row r="2219" spans="1:16" s="146" customFormat="1" ht="18" hidden="1" x14ac:dyDescent="0.25">
      <c r="A2219" s="519"/>
      <c r="B2219" s="499"/>
      <c r="C2219" s="499"/>
      <c r="D2219" s="38" t="s">
        <v>1090</v>
      </c>
      <c r="E2219" s="199"/>
      <c r="F2219" s="199"/>
      <c r="G2219" s="491"/>
      <c r="H2219" s="100"/>
      <c r="I2219" s="101">
        <v>0</v>
      </c>
      <c r="J2219" s="102">
        <v>0</v>
      </c>
      <c r="K2219" s="101"/>
      <c r="L2219" s="101"/>
      <c r="M2219" s="10"/>
      <c r="N2219" s="10"/>
      <c r="O2219"/>
      <c r="P2219"/>
    </row>
    <row r="2220" spans="1:16" s="146" customFormat="1" ht="18" hidden="1" x14ac:dyDescent="0.25">
      <c r="A2220" s="519"/>
      <c r="B2220" s="499"/>
      <c r="C2220" s="499"/>
      <c r="D2220" s="38" t="s">
        <v>1091</v>
      </c>
      <c r="E2220" s="199"/>
      <c r="F2220" s="199"/>
      <c r="G2220" s="491"/>
      <c r="H2220" s="100"/>
      <c r="I2220" s="101">
        <v>0</v>
      </c>
      <c r="J2220" s="102">
        <v>0</v>
      </c>
      <c r="K2220" s="101"/>
      <c r="L2220" s="101"/>
      <c r="M2220" s="10"/>
      <c r="N2220" s="10"/>
      <c r="O2220"/>
      <c r="P2220"/>
    </row>
    <row r="2221" spans="1:16" s="146" customFormat="1" ht="37.5" hidden="1" customHeight="1" x14ac:dyDescent="0.25">
      <c r="A2221" s="519"/>
      <c r="B2221" s="499"/>
      <c r="C2221" s="499"/>
      <c r="D2221" s="1623" t="s">
        <v>1092</v>
      </c>
      <c r="E2221" s="1623"/>
      <c r="F2221" s="199"/>
      <c r="G2221" s="491"/>
      <c r="H2221" s="100"/>
      <c r="I2221" s="101">
        <v>0</v>
      </c>
      <c r="J2221" s="102">
        <v>0</v>
      </c>
      <c r="K2221" s="101"/>
      <c r="L2221" s="101"/>
      <c r="M2221" s="10"/>
      <c r="N2221" s="10"/>
      <c r="O2221"/>
      <c r="P2221"/>
    </row>
    <row r="2222" spans="1:16" s="146" customFormat="1" ht="18" x14ac:dyDescent="0.25">
      <c r="A2222" s="519"/>
      <c r="B2222" s="499"/>
      <c r="C2222" s="499"/>
      <c r="D2222" s="36" t="s">
        <v>1093</v>
      </c>
      <c r="E2222" s="199"/>
      <c r="F2222" s="199"/>
      <c r="G2222" s="491"/>
      <c r="H2222" s="100"/>
      <c r="I2222" s="101">
        <v>593459.19999999995</v>
      </c>
      <c r="J2222" s="102">
        <v>1260000</v>
      </c>
      <c r="K2222" s="101">
        <v>102100.15</v>
      </c>
      <c r="L2222" s="101"/>
      <c r="M2222" s="10"/>
      <c r="N2222" s="10"/>
      <c r="O2222"/>
      <c r="P2222"/>
    </row>
    <row r="2223" spans="1:16" s="146" customFormat="1" ht="17.45" customHeight="1" x14ac:dyDescent="0.25">
      <c r="A2223" s="519"/>
      <c r="B2223" s="499"/>
      <c r="C2223" s="499"/>
      <c r="D2223" s="38" t="s">
        <v>1094</v>
      </c>
      <c r="E2223" s="199"/>
      <c r="F2223" s="199"/>
      <c r="G2223" s="491"/>
      <c r="H2223" s="100"/>
      <c r="I2223" s="101"/>
      <c r="J2223" s="102"/>
      <c r="K2223" s="101"/>
      <c r="L2223" s="101">
        <v>70000</v>
      </c>
      <c r="M2223" s="10"/>
      <c r="N2223" s="10"/>
      <c r="O2223"/>
      <c r="P2223"/>
    </row>
    <row r="2224" spans="1:16" s="146" customFormat="1" ht="17.45" customHeight="1" x14ac:dyDescent="0.25">
      <c r="A2224" s="519"/>
      <c r="B2224" s="499"/>
      <c r="C2224" s="499"/>
      <c r="D2224" s="38" t="s">
        <v>1095</v>
      </c>
      <c r="E2224" s="199"/>
      <c r="F2224" s="199"/>
      <c r="G2224" s="491"/>
      <c r="H2224" s="100"/>
      <c r="I2224" s="101"/>
      <c r="J2224" s="102"/>
      <c r="K2224" s="101"/>
      <c r="L2224" s="101">
        <v>32500</v>
      </c>
      <c r="M2224" s="10"/>
      <c r="N2224" s="10"/>
      <c r="O2224"/>
      <c r="P2224"/>
    </row>
    <row r="2225" spans="1:16" s="146" customFormat="1" ht="36.75" customHeight="1" x14ac:dyDescent="0.25">
      <c r="A2225" s="519"/>
      <c r="B2225" s="499"/>
      <c r="C2225" s="499"/>
      <c r="D2225" s="1623" t="s">
        <v>1096</v>
      </c>
      <c r="E2225" s="1623"/>
      <c r="F2225" s="199"/>
      <c r="G2225" s="491"/>
      <c r="H2225" s="100"/>
      <c r="I2225" s="101"/>
      <c r="J2225" s="102"/>
      <c r="K2225" s="101"/>
      <c r="L2225" s="101">
        <v>160000</v>
      </c>
      <c r="M2225" s="10"/>
      <c r="N2225" s="10"/>
      <c r="O2225"/>
      <c r="P2225"/>
    </row>
    <row r="2226" spans="1:16" s="146" customFormat="1" ht="17.45" customHeight="1" x14ac:dyDescent="0.25">
      <c r="A2226" s="519"/>
      <c r="B2226" s="499"/>
      <c r="C2226" s="499"/>
      <c r="D2226" s="38" t="s">
        <v>1097</v>
      </c>
      <c r="E2226" s="199"/>
      <c r="F2226" s="199"/>
      <c r="G2226" s="491"/>
      <c r="H2226" s="195"/>
      <c r="I2226" s="101"/>
      <c r="J2226" s="102"/>
      <c r="K2226" s="101"/>
      <c r="L2226" s="101">
        <v>20000</v>
      </c>
      <c r="M2226" s="10"/>
      <c r="N2226" s="10"/>
      <c r="O2226"/>
      <c r="P2226"/>
    </row>
    <row r="2227" spans="1:16" s="146" customFormat="1" ht="17.45" customHeight="1" x14ac:dyDescent="0.25">
      <c r="A2227" s="519"/>
      <c r="B2227" s="499"/>
      <c r="C2227" s="499"/>
      <c r="D2227" s="38" t="s">
        <v>1099</v>
      </c>
      <c r="E2227" s="199"/>
      <c r="F2227" s="199"/>
      <c r="G2227" s="491"/>
      <c r="H2227" s="100"/>
      <c r="I2227" s="101"/>
      <c r="J2227" s="102"/>
      <c r="K2227" s="101"/>
      <c r="L2227" s="101">
        <v>47500</v>
      </c>
      <c r="M2227" s="10"/>
      <c r="N2227" s="10"/>
      <c r="O2227"/>
      <c r="P2227"/>
    </row>
    <row r="2228" spans="1:16" s="146" customFormat="1" ht="36" customHeight="1" x14ac:dyDescent="0.25">
      <c r="A2228" s="519"/>
      <c r="B2228" s="499"/>
      <c r="C2228" s="499"/>
      <c r="D2228" s="1623" t="s">
        <v>1100</v>
      </c>
      <c r="E2228" s="1623"/>
      <c r="F2228" s="199"/>
      <c r="G2228" s="491"/>
      <c r="H2228" s="100"/>
      <c r="I2228" s="101"/>
      <c r="J2228" s="102"/>
      <c r="K2228" s="101"/>
      <c r="L2228" s="101">
        <v>100000</v>
      </c>
      <c r="M2228" s="10"/>
      <c r="N2228" s="10"/>
      <c r="O2228"/>
      <c r="P2228"/>
    </row>
    <row r="2229" spans="1:16" s="146" customFormat="1" ht="18" x14ac:dyDescent="0.25">
      <c r="A2229" s="519"/>
      <c r="B2229" s="499"/>
      <c r="C2229" s="499"/>
      <c r="D2229" s="38" t="s">
        <v>1101</v>
      </c>
      <c r="E2229" s="199"/>
      <c r="F2229" s="199"/>
      <c r="G2229" s="491"/>
      <c r="H2229" s="100"/>
      <c r="I2229" s="101"/>
      <c r="J2229" s="102"/>
      <c r="K2229" s="101"/>
      <c r="L2229" s="101">
        <v>180000</v>
      </c>
      <c r="M2229" s="10"/>
      <c r="N2229" s="10"/>
      <c r="O2229"/>
      <c r="P2229"/>
    </row>
    <row r="2230" spans="1:16" s="146" customFormat="1" ht="35.25" customHeight="1" x14ac:dyDescent="0.25">
      <c r="A2230" s="519"/>
      <c r="B2230" s="499"/>
      <c r="C2230" s="499"/>
      <c r="D2230" s="1623" t="s">
        <v>1102</v>
      </c>
      <c r="E2230" s="1623"/>
      <c r="F2230" s="199"/>
      <c r="G2230" s="491"/>
      <c r="H2230" s="100"/>
      <c r="I2230" s="101"/>
      <c r="J2230" s="102"/>
      <c r="K2230" s="101"/>
      <c r="L2230" s="101">
        <v>200000</v>
      </c>
      <c r="M2230" s="10"/>
      <c r="N2230" s="10"/>
      <c r="O2230"/>
      <c r="P2230"/>
    </row>
    <row r="2231" spans="1:16" s="146" customFormat="1" ht="36.75" customHeight="1" x14ac:dyDescent="0.25">
      <c r="A2231" s="519"/>
      <c r="B2231" s="499"/>
      <c r="C2231" s="499"/>
      <c r="D2231" s="1623" t="s">
        <v>1103</v>
      </c>
      <c r="E2231" s="1623"/>
      <c r="F2231" s="199"/>
      <c r="G2231" s="491"/>
      <c r="H2231" s="100"/>
      <c r="I2231" s="101"/>
      <c r="J2231" s="102"/>
      <c r="K2231" s="101"/>
      <c r="L2231" s="101">
        <v>200000</v>
      </c>
      <c r="M2231" s="10"/>
      <c r="N2231" s="10"/>
      <c r="O2231"/>
      <c r="P2231"/>
    </row>
    <row r="2232" spans="1:16" s="146" customFormat="1" ht="18" x14ac:dyDescent="0.25">
      <c r="A2232" s="519"/>
      <c r="B2232" s="499"/>
      <c r="C2232" s="499"/>
      <c r="D2232" s="38" t="s">
        <v>1104</v>
      </c>
      <c r="E2232" s="199"/>
      <c r="F2232" s="199"/>
      <c r="G2232" s="491"/>
      <c r="H2232" s="100"/>
      <c r="I2232" s="101"/>
      <c r="J2232" s="102"/>
      <c r="K2232" s="101"/>
      <c r="L2232" s="101">
        <v>250000</v>
      </c>
      <c r="M2232" s="10"/>
      <c r="N2232" s="10"/>
      <c r="O2232"/>
      <c r="P2232"/>
    </row>
    <row r="2233" spans="1:16" s="146" customFormat="1" ht="18" x14ac:dyDescent="0.25">
      <c r="A2233" s="519"/>
      <c r="B2233" s="499"/>
      <c r="C2233" s="499"/>
      <c r="D2233" s="38" t="s">
        <v>1105</v>
      </c>
      <c r="E2233" s="199"/>
      <c r="F2233" s="199"/>
      <c r="G2233" s="491"/>
      <c r="H2233" s="100"/>
      <c r="I2233" s="101"/>
      <c r="J2233" s="102"/>
      <c r="K2233" s="101"/>
      <c r="L2233" s="101">
        <v>40000</v>
      </c>
      <c r="M2233" s="10"/>
      <c r="N2233" s="10"/>
      <c r="O2233"/>
      <c r="P2233"/>
    </row>
    <row r="2234" spans="1:16" s="146" customFormat="1" ht="18" x14ac:dyDescent="0.25">
      <c r="A2234" s="519"/>
      <c r="B2234" s="499"/>
      <c r="C2234" s="499"/>
      <c r="D2234" s="38"/>
      <c r="E2234" s="199"/>
      <c r="F2234" s="199"/>
      <c r="G2234" s="491"/>
      <c r="H2234" s="100"/>
      <c r="I2234" s="101"/>
      <c r="J2234" s="102"/>
      <c r="K2234" s="101"/>
      <c r="L2234" s="101"/>
      <c r="M2234" s="10"/>
      <c r="N2234" s="10"/>
      <c r="O2234"/>
      <c r="P2234"/>
    </row>
    <row r="2235" spans="1:16" s="146" customFormat="1" ht="18" x14ac:dyDescent="0.25">
      <c r="A2235" s="519"/>
      <c r="B2235" s="499"/>
      <c r="C2235" s="499"/>
      <c r="D2235" s="36" t="s">
        <v>1106</v>
      </c>
      <c r="E2235" s="199"/>
      <c r="F2235" s="199"/>
      <c r="G2235" s="491"/>
      <c r="H2235" s="100"/>
      <c r="I2235" s="101">
        <v>291202.95</v>
      </c>
      <c r="J2235" s="102">
        <v>1500000</v>
      </c>
      <c r="K2235" s="101">
        <v>40600</v>
      </c>
      <c r="L2235" s="101"/>
      <c r="M2235" s="10"/>
      <c r="N2235" s="10"/>
      <c r="O2235"/>
      <c r="P2235"/>
    </row>
    <row r="2236" spans="1:16" s="146" customFormat="1" ht="17.45" customHeight="1" x14ac:dyDescent="0.25">
      <c r="A2236" s="519"/>
      <c r="B2236" s="499"/>
      <c r="C2236" s="499"/>
      <c r="D2236" s="38" t="s">
        <v>1107</v>
      </c>
      <c r="E2236" s="199"/>
      <c r="F2236" s="199"/>
      <c r="G2236" s="491"/>
      <c r="H2236" s="100"/>
      <c r="I2236" s="101"/>
      <c r="J2236" s="102"/>
      <c r="K2236" s="101"/>
      <c r="L2236" s="101">
        <v>200000</v>
      </c>
      <c r="M2236" s="10"/>
      <c r="N2236" s="10"/>
      <c r="O2236"/>
      <c r="P2236"/>
    </row>
    <row r="2237" spans="1:16" s="146" customFormat="1" ht="17.45" customHeight="1" x14ac:dyDescent="0.25">
      <c r="A2237" s="519"/>
      <c r="B2237" s="499"/>
      <c r="C2237" s="499"/>
      <c r="D2237" s="38" t="s">
        <v>1108</v>
      </c>
      <c r="E2237" s="199"/>
      <c r="F2237" s="199"/>
      <c r="G2237" s="491"/>
      <c r="H2237" s="100"/>
      <c r="I2237" s="101"/>
      <c r="J2237" s="102"/>
      <c r="K2237" s="101"/>
      <c r="L2237" s="101">
        <v>200000</v>
      </c>
      <c r="M2237" s="10"/>
      <c r="N2237" s="10"/>
      <c r="O2237"/>
      <c r="P2237"/>
    </row>
    <row r="2238" spans="1:16" s="146" customFormat="1" ht="17.45" customHeight="1" x14ac:dyDescent="0.25">
      <c r="A2238" s="519"/>
      <c r="B2238" s="499"/>
      <c r="C2238" s="499"/>
      <c r="D2238" s="38" t="s">
        <v>1109</v>
      </c>
      <c r="E2238" s="199"/>
      <c r="F2238" s="199"/>
      <c r="G2238" s="491"/>
      <c r="H2238" s="100"/>
      <c r="I2238" s="101"/>
      <c r="J2238" s="102"/>
      <c r="K2238" s="101"/>
      <c r="L2238" s="101">
        <v>250000</v>
      </c>
      <c r="M2238" s="10"/>
      <c r="N2238" s="10"/>
      <c r="O2238"/>
      <c r="P2238"/>
    </row>
    <row r="2239" spans="1:16" s="146" customFormat="1" ht="17.45" customHeight="1" x14ac:dyDescent="0.25">
      <c r="A2239" s="519"/>
      <c r="B2239" s="499"/>
      <c r="C2239" s="499"/>
      <c r="D2239" s="38" t="s">
        <v>1110</v>
      </c>
      <c r="E2239" s="199"/>
      <c r="F2239" s="199"/>
      <c r="G2239" s="491"/>
      <c r="H2239" s="100"/>
      <c r="I2239" s="101"/>
      <c r="J2239" s="102"/>
      <c r="K2239" s="101"/>
      <c r="L2239" s="101">
        <v>300000</v>
      </c>
      <c r="M2239" s="10"/>
      <c r="N2239" s="10"/>
      <c r="O2239"/>
      <c r="P2239"/>
    </row>
    <row r="2240" spans="1:16" s="146" customFormat="1" ht="17.45" customHeight="1" x14ac:dyDescent="0.25">
      <c r="A2240" s="519"/>
      <c r="B2240" s="499"/>
      <c r="C2240" s="499"/>
      <c r="D2240" s="38" t="s">
        <v>1111</v>
      </c>
      <c r="E2240" s="199"/>
      <c r="F2240" s="199"/>
      <c r="G2240" s="491"/>
      <c r="H2240" s="100"/>
      <c r="I2240" s="101"/>
      <c r="J2240" s="102"/>
      <c r="K2240" s="101"/>
      <c r="L2240" s="101">
        <v>150000</v>
      </c>
      <c r="M2240" s="10"/>
      <c r="N2240" s="10"/>
      <c r="O2240"/>
      <c r="P2240"/>
    </row>
    <row r="2241" spans="1:16" s="146" customFormat="1" ht="17.45" customHeight="1" x14ac:dyDescent="0.25">
      <c r="A2241" s="519"/>
      <c r="B2241" s="499"/>
      <c r="C2241" s="499"/>
      <c r="D2241" s="38" t="s">
        <v>1112</v>
      </c>
      <c r="E2241" s="199"/>
      <c r="F2241" s="199"/>
      <c r="G2241" s="491"/>
      <c r="H2241" s="100"/>
      <c r="I2241" s="101"/>
      <c r="J2241" s="102"/>
      <c r="K2241" s="101"/>
      <c r="L2241" s="101">
        <v>200000</v>
      </c>
      <c r="M2241" s="10"/>
      <c r="N2241" s="10"/>
      <c r="O2241"/>
      <c r="P2241"/>
    </row>
    <row r="2242" spans="1:16" s="146" customFormat="1" ht="17.45" customHeight="1" x14ac:dyDescent="0.25">
      <c r="A2242" s="519"/>
      <c r="B2242" s="499"/>
      <c r="C2242" s="499"/>
      <c r="D2242" s="38" t="s">
        <v>1113</v>
      </c>
      <c r="E2242" s="199"/>
      <c r="F2242" s="199"/>
      <c r="G2242" s="491"/>
      <c r="H2242" s="100"/>
      <c r="I2242" s="101"/>
      <c r="J2242" s="102"/>
      <c r="K2242" s="101"/>
      <c r="L2242" s="101">
        <v>400000</v>
      </c>
      <c r="M2242" s="10"/>
      <c r="N2242" s="10"/>
      <c r="O2242"/>
      <c r="P2242"/>
    </row>
    <row r="2243" spans="1:16" s="146" customFormat="1" ht="17.45" customHeight="1" x14ac:dyDescent="0.25">
      <c r="A2243" s="519"/>
      <c r="B2243" s="499"/>
      <c r="C2243" s="499"/>
      <c r="D2243" s="38" t="s">
        <v>1114</v>
      </c>
      <c r="E2243" s="199"/>
      <c r="F2243" s="199"/>
      <c r="G2243" s="491"/>
      <c r="H2243" s="100"/>
      <c r="I2243" s="101"/>
      <c r="J2243" s="102"/>
      <c r="K2243" s="101"/>
      <c r="L2243" s="101">
        <v>10000</v>
      </c>
      <c r="M2243" s="10"/>
      <c r="N2243" s="10"/>
      <c r="O2243"/>
      <c r="P2243"/>
    </row>
    <row r="2244" spans="1:16" s="146" customFormat="1" ht="17.45" customHeight="1" x14ac:dyDescent="0.25">
      <c r="A2244" s="519"/>
      <c r="B2244" s="499"/>
      <c r="C2244" s="499"/>
      <c r="D2244" s="38" t="s">
        <v>1115</v>
      </c>
      <c r="E2244" s="199"/>
      <c r="F2244" s="199"/>
      <c r="G2244" s="491"/>
      <c r="H2244" s="100"/>
      <c r="I2244" s="101"/>
      <c r="J2244" s="102"/>
      <c r="K2244" s="101"/>
      <c r="L2244" s="101">
        <v>350000</v>
      </c>
      <c r="M2244" s="10"/>
      <c r="N2244" s="10"/>
      <c r="O2244"/>
      <c r="P2244"/>
    </row>
    <row r="2245" spans="1:16" s="146" customFormat="1" ht="17.45" customHeight="1" x14ac:dyDescent="0.25">
      <c r="A2245" s="519"/>
      <c r="B2245" s="499"/>
      <c r="C2245" s="499"/>
      <c r="D2245" s="38" t="s">
        <v>1116</v>
      </c>
      <c r="E2245" s="199"/>
      <c r="F2245" s="199"/>
      <c r="G2245" s="491"/>
      <c r="H2245" s="100"/>
      <c r="I2245" s="101"/>
      <c r="J2245" s="102"/>
      <c r="K2245" s="101"/>
      <c r="L2245" s="101">
        <v>1000000</v>
      </c>
      <c r="M2245" s="10"/>
      <c r="N2245" s="10"/>
      <c r="O2245"/>
      <c r="P2245"/>
    </row>
    <row r="2246" spans="1:16" s="146" customFormat="1" ht="17.100000000000001" customHeight="1" x14ac:dyDescent="0.25">
      <c r="A2246" s="519"/>
      <c r="B2246" s="499"/>
      <c r="C2246" s="499"/>
      <c r="D2246" s="153" t="s">
        <v>15</v>
      </c>
      <c r="F2246" s="499"/>
      <c r="G2246" s="491"/>
      <c r="H2246" s="100"/>
      <c r="I2246" s="119">
        <f>SUM(I2222:I2244)</f>
        <v>884662.14999999991</v>
      </c>
      <c r="J2246" s="119">
        <f>SUM(J2222:J2244)</f>
        <v>2760000</v>
      </c>
      <c r="K2246" s="119">
        <f>SUM(K2222:K2244)</f>
        <v>142700.15</v>
      </c>
      <c r="L2246" s="119">
        <f>SUM(L2222:L2245)</f>
        <v>4360000</v>
      </c>
      <c r="M2246" s="10"/>
      <c r="N2246" s="10"/>
      <c r="O2246"/>
      <c r="P2246"/>
    </row>
    <row r="2247" spans="1:16" s="146" customFormat="1" ht="17.45" customHeight="1" x14ac:dyDescent="0.25">
      <c r="A2247" s="519"/>
      <c r="B2247" s="499"/>
      <c r="C2247" s="499"/>
      <c r="D2247" s="38"/>
      <c r="E2247" s="199"/>
      <c r="F2247" s="199"/>
      <c r="G2247" s="499"/>
      <c r="H2247" s="381"/>
      <c r="I2247" s="101"/>
      <c r="J2247" s="102"/>
      <c r="K2247" s="101"/>
      <c r="L2247" s="101"/>
      <c r="M2247" s="10"/>
      <c r="N2247" s="10"/>
      <c r="O2247"/>
      <c r="P2247"/>
    </row>
    <row r="2248" spans="1:16" s="146" customFormat="1" ht="17.100000000000001" customHeight="1" x14ac:dyDescent="0.25">
      <c r="A2248" s="519"/>
      <c r="B2248" s="499"/>
      <c r="C2248" s="499"/>
      <c r="D2248" s="543" t="s">
        <v>33</v>
      </c>
      <c r="E2248" s="153"/>
      <c r="F2248" s="499"/>
      <c r="G2248" s="491"/>
      <c r="H2248" s="100"/>
      <c r="I2248" s="155"/>
      <c r="J2248" s="156"/>
      <c r="K2248" s="155"/>
      <c r="L2248" s="155"/>
      <c r="M2248" s="10"/>
      <c r="N2248" s="10"/>
      <c r="O2248"/>
      <c r="P2248"/>
    </row>
    <row r="2249" spans="1:16" s="203" customFormat="1" ht="55.5" customHeight="1" x14ac:dyDescent="0.25">
      <c r="A2249" s="519"/>
      <c r="B2249" s="499"/>
      <c r="C2249" s="499"/>
      <c r="D2249" s="1574" t="s">
        <v>1117</v>
      </c>
      <c r="E2249" s="1574"/>
      <c r="F2249" s="499"/>
      <c r="G2249" s="491"/>
      <c r="H2249" s="100"/>
      <c r="I2249" s="101"/>
      <c r="J2249" s="102"/>
      <c r="K2249" s="101"/>
      <c r="L2249" s="101">
        <v>500000</v>
      </c>
      <c r="M2249" s="10"/>
      <c r="N2249" s="10"/>
      <c r="O2249" s="415"/>
      <c r="P2249" s="415"/>
    </row>
    <row r="2250" spans="1:16" s="203" customFormat="1" ht="36" customHeight="1" x14ac:dyDescent="0.25">
      <c r="A2250" s="519"/>
      <c r="B2250" s="499"/>
      <c r="C2250" s="499"/>
      <c r="D2250" s="1574" t="s">
        <v>1118</v>
      </c>
      <c r="E2250" s="1574"/>
      <c r="F2250" s="499"/>
      <c r="G2250" s="491"/>
      <c r="H2250" s="100"/>
      <c r="I2250" s="101"/>
      <c r="J2250" s="102"/>
      <c r="K2250" s="101"/>
      <c r="L2250" s="101">
        <v>100000</v>
      </c>
      <c r="M2250" s="10"/>
      <c r="N2250" s="10"/>
      <c r="O2250" s="415"/>
      <c r="P2250" s="415"/>
    </row>
    <row r="2251" spans="1:16" s="146" customFormat="1" ht="18" x14ac:dyDescent="0.25">
      <c r="A2251" s="519"/>
      <c r="B2251" s="499"/>
      <c r="C2251" s="499"/>
      <c r="D2251" s="536" t="s">
        <v>1119</v>
      </c>
      <c r="E2251" s="153"/>
      <c r="F2251" s="499"/>
      <c r="G2251" s="491"/>
      <c r="H2251" s="100"/>
      <c r="I2251" s="109"/>
      <c r="J2251" s="106">
        <v>1441794.32</v>
      </c>
      <c r="K2251" s="105">
        <v>565022.64</v>
      </c>
      <c r="L2251" s="106">
        <v>1542319.76</v>
      </c>
      <c r="M2251" s="10"/>
      <c r="N2251" s="10">
        <f>141132+1099037.76+150000+6750+68400+77000</f>
        <v>1542319.76</v>
      </c>
      <c r="O2251"/>
      <c r="P2251"/>
    </row>
    <row r="2252" spans="1:16" s="146" customFormat="1" ht="17.100000000000001" customHeight="1" x14ac:dyDescent="0.25">
      <c r="A2252" s="519"/>
      <c r="B2252" s="499"/>
      <c r="C2252" s="499"/>
      <c r="D2252" s="153" t="s">
        <v>15</v>
      </c>
      <c r="F2252" s="499"/>
      <c r="G2252" s="491"/>
      <c r="H2252" s="100"/>
      <c r="I2252" s="109"/>
      <c r="J2252" s="110">
        <f>SUM(J2249:J2251)</f>
        <v>1441794.32</v>
      </c>
      <c r="K2252" s="110">
        <f>SUM(K2249:K2251)</f>
        <v>565022.64</v>
      </c>
      <c r="L2252" s="110">
        <f>SUM(L2249:L2251)</f>
        <v>2142319.7599999998</v>
      </c>
      <c r="M2252" s="10"/>
      <c r="N2252" s="10"/>
      <c r="O2252"/>
      <c r="P2252"/>
    </row>
    <row r="2253" spans="1:16" s="146" customFormat="1" ht="17.45" customHeight="1" x14ac:dyDescent="0.25">
      <c r="A2253" s="519"/>
      <c r="B2253" s="499"/>
      <c r="C2253" s="499"/>
      <c r="D2253" s="38"/>
      <c r="E2253" s="199"/>
      <c r="F2253" s="199"/>
      <c r="G2253" s="499"/>
      <c r="H2253" s="381"/>
      <c r="I2253" s="101"/>
      <c r="J2253" s="102"/>
      <c r="K2253" s="101"/>
      <c r="L2253" s="101"/>
      <c r="M2253" s="10"/>
      <c r="N2253" s="10"/>
      <c r="O2253"/>
      <c r="P2253"/>
    </row>
    <row r="2254" spans="1:16" s="146" customFormat="1" ht="17.45" customHeight="1" x14ac:dyDescent="0.25">
      <c r="A2254" s="519"/>
      <c r="B2254" s="499"/>
      <c r="C2254" s="499"/>
      <c r="D2254" s="38"/>
      <c r="E2254" s="199"/>
      <c r="F2254" s="199"/>
      <c r="G2254" s="499"/>
      <c r="H2254" s="381"/>
      <c r="I2254" s="101"/>
      <c r="J2254" s="102"/>
      <c r="K2254" s="101"/>
      <c r="L2254" s="101"/>
      <c r="M2254" s="10"/>
      <c r="N2254" s="10"/>
      <c r="O2254"/>
      <c r="P2254"/>
    </row>
    <row r="2255" spans="1:16" s="146" customFormat="1" ht="17.45" customHeight="1" thickBot="1" x14ac:dyDescent="0.3">
      <c r="A2255" s="187"/>
      <c r="B2255" s="413"/>
      <c r="C2255" s="413"/>
      <c r="D2255" s="358"/>
      <c r="E2255" s="430"/>
      <c r="F2255" s="430"/>
      <c r="G2255" s="413"/>
      <c r="H2255" s="414"/>
      <c r="I2255" s="219"/>
      <c r="J2255" s="220"/>
      <c r="K2255" s="219"/>
      <c r="L2255" s="219"/>
      <c r="M2255" s="10"/>
      <c r="N2255" s="10"/>
      <c r="O2255"/>
      <c r="P2255"/>
    </row>
    <row r="2256" spans="1:16" s="146" customFormat="1" ht="17.45" customHeight="1" x14ac:dyDescent="0.25">
      <c r="A2256" s="499"/>
      <c r="B2256" s="499"/>
      <c r="C2256" s="499"/>
      <c r="D2256" s="38"/>
      <c r="E2256" s="199"/>
      <c r="F2256" s="199"/>
      <c r="G2256" s="499"/>
      <c r="H2256" s="381"/>
      <c r="I2256" s="141"/>
      <c r="J2256" s="122"/>
      <c r="K2256" s="141"/>
      <c r="L2256" s="141"/>
      <c r="M2256" s="10"/>
      <c r="N2256" s="10"/>
      <c r="O2256"/>
      <c r="P2256"/>
    </row>
    <row r="2257" spans="1:16" s="146" customFormat="1" ht="17.45" customHeight="1" x14ac:dyDescent="0.25">
      <c r="A2257" s="499"/>
      <c r="B2257" s="499"/>
      <c r="C2257" s="499"/>
      <c r="D2257" s="38"/>
      <c r="E2257" s="199"/>
      <c r="F2257" s="199"/>
      <c r="G2257" s="499"/>
      <c r="H2257" s="381"/>
      <c r="I2257" s="141"/>
      <c r="J2257" s="122"/>
      <c r="K2257" s="141"/>
      <c r="L2257" s="141"/>
      <c r="M2257" s="10"/>
      <c r="N2257" s="10"/>
      <c r="O2257"/>
      <c r="P2257"/>
    </row>
    <row r="2258" spans="1:16" s="146" customFormat="1" ht="17.45" customHeight="1" x14ac:dyDescent="0.25">
      <c r="A2258" s="499"/>
      <c r="B2258" s="499"/>
      <c r="C2258" s="499"/>
      <c r="D2258" s="38"/>
      <c r="E2258" s="199"/>
      <c r="F2258" s="199"/>
      <c r="G2258" s="499"/>
      <c r="H2258" s="381"/>
      <c r="I2258" s="141"/>
      <c r="J2258" s="122"/>
      <c r="K2258" s="141"/>
      <c r="L2258" s="141"/>
      <c r="M2258" s="10"/>
      <c r="N2258" s="10"/>
      <c r="O2258"/>
      <c r="P2258"/>
    </row>
    <row r="2259" spans="1:16" s="146" customFormat="1" ht="17.45" customHeight="1" x14ac:dyDescent="0.25">
      <c r="A2259" s="499"/>
      <c r="B2259" s="499"/>
      <c r="C2259" s="499"/>
      <c r="D2259" s="38"/>
      <c r="E2259" s="199"/>
      <c r="F2259" s="199"/>
      <c r="G2259" s="499"/>
      <c r="H2259" s="381"/>
      <c r="I2259" s="141"/>
      <c r="J2259" s="122"/>
      <c r="K2259" s="141"/>
      <c r="L2259" s="141"/>
      <c r="M2259" s="10"/>
      <c r="N2259" s="10"/>
      <c r="O2259"/>
      <c r="P2259"/>
    </row>
    <row r="2260" spans="1:16" s="146" customFormat="1" ht="17.45" customHeight="1" x14ac:dyDescent="0.25">
      <c r="A2260" s="499"/>
      <c r="B2260" s="499"/>
      <c r="C2260" s="499"/>
      <c r="D2260" s="38"/>
      <c r="E2260" s="199"/>
      <c r="F2260" s="199"/>
      <c r="G2260" s="499"/>
      <c r="H2260" s="381"/>
      <c r="I2260" s="141"/>
      <c r="J2260" s="122"/>
      <c r="K2260" s="141"/>
      <c r="L2260" s="141"/>
      <c r="M2260" s="10"/>
      <c r="N2260" s="10"/>
      <c r="O2260"/>
      <c r="P2260"/>
    </row>
    <row r="2261" spans="1:16" s="146" customFormat="1" ht="17.45" customHeight="1" x14ac:dyDescent="0.25">
      <c r="A2261" s="499"/>
      <c r="B2261" s="499"/>
      <c r="C2261" s="499"/>
      <c r="D2261" s="38"/>
      <c r="E2261" s="199"/>
      <c r="F2261" s="199"/>
      <c r="G2261" s="499"/>
      <c r="H2261" s="381"/>
      <c r="I2261" s="141"/>
      <c r="J2261" s="122"/>
      <c r="K2261" s="141"/>
      <c r="L2261" s="141"/>
      <c r="M2261" s="10"/>
      <c r="N2261" s="10"/>
      <c r="O2261"/>
      <c r="P2261"/>
    </row>
    <row r="2262" spans="1:16" ht="18" customHeight="1" x14ac:dyDescent="0.25">
      <c r="A2262" s="8" t="s">
        <v>112</v>
      </c>
    </row>
    <row r="2263" spans="1:16" ht="18" customHeight="1" x14ac:dyDescent="0.25">
      <c r="A2263" s="8" t="s">
        <v>1027</v>
      </c>
    </row>
    <row r="2264" spans="1:16" ht="18" customHeight="1" x14ac:dyDescent="0.25">
      <c r="A2264" s="1636" t="s">
        <v>113</v>
      </c>
      <c r="B2264" s="1636"/>
      <c r="C2264" s="1636"/>
      <c r="D2264" s="1636"/>
      <c r="E2264" s="1636"/>
      <c r="F2264" s="1636"/>
      <c r="G2264" s="1636"/>
      <c r="H2264" s="1636"/>
      <c r="I2264" s="1636"/>
      <c r="J2264" s="1636"/>
      <c r="K2264" s="1636"/>
      <c r="L2264" s="1636"/>
    </row>
    <row r="2265" spans="1:16" s="7" customFormat="1" ht="18" customHeight="1" x14ac:dyDescent="0.25">
      <c r="A2265" s="1624" t="s">
        <v>114</v>
      </c>
      <c r="B2265" s="1624"/>
      <c r="C2265" s="1624"/>
      <c r="D2265" s="1624"/>
      <c r="E2265" s="1624"/>
      <c r="F2265" s="1624"/>
      <c r="G2265" s="1624"/>
      <c r="H2265" s="1624"/>
      <c r="I2265" s="1624"/>
      <c r="J2265" s="1624"/>
      <c r="K2265" s="1624"/>
      <c r="L2265" s="1624"/>
      <c r="M2265" s="6"/>
      <c r="N2265" s="6"/>
    </row>
    <row r="2266" spans="1:16" ht="12" customHeight="1" thickBot="1" x14ac:dyDescent="0.3">
      <c r="A2266" s="41"/>
      <c r="B2266" s="41"/>
      <c r="C2266" s="41"/>
      <c r="D2266" s="63"/>
      <c r="E2266" s="41"/>
      <c r="F2266" s="41"/>
      <c r="G2266" s="41"/>
      <c r="H2266" s="41"/>
    </row>
    <row r="2267" spans="1:16" ht="63.75" customHeight="1" thickBot="1" x14ac:dyDescent="0.3">
      <c r="A2267" s="1625" t="s">
        <v>115</v>
      </c>
      <c r="B2267" s="1626"/>
      <c r="C2267" s="1626"/>
      <c r="D2267" s="1626"/>
      <c r="E2267" s="1626"/>
      <c r="F2267" s="1626"/>
      <c r="G2267" s="1627"/>
      <c r="H2267" s="93" t="s">
        <v>116</v>
      </c>
      <c r="I2267" s="130" t="s">
        <v>117</v>
      </c>
      <c r="J2267" s="130" t="s">
        <v>118</v>
      </c>
      <c r="K2267" s="130" t="s">
        <v>119</v>
      </c>
      <c r="L2267" s="130" t="s">
        <v>120</v>
      </c>
    </row>
    <row r="2268" spans="1:16" s="146" customFormat="1" ht="18" x14ac:dyDescent="0.25">
      <c r="A2268" s="519"/>
      <c r="B2268" s="499"/>
      <c r="C2268" s="499"/>
      <c r="D2268" s="540" t="s">
        <v>1120</v>
      </c>
      <c r="E2268" s="199"/>
      <c r="F2268" s="199"/>
      <c r="G2268" s="432"/>
      <c r="H2268" s="100"/>
      <c r="I2268" s="101"/>
      <c r="J2268" s="102"/>
      <c r="K2268" s="101"/>
      <c r="L2268" s="101"/>
      <c r="M2268" s="10"/>
      <c r="N2268" s="10">
        <v>1099037.76</v>
      </c>
      <c r="O2268"/>
      <c r="P2268"/>
    </row>
    <row r="2269" spans="1:16" s="146" customFormat="1" ht="18" x14ac:dyDescent="0.25">
      <c r="A2269" s="519"/>
      <c r="B2269" s="499"/>
      <c r="C2269" s="499"/>
      <c r="D2269" s="36" t="s">
        <v>1121</v>
      </c>
      <c r="E2269" s="511"/>
      <c r="F2269" s="499"/>
      <c r="G2269" s="491"/>
      <c r="H2269" s="100"/>
      <c r="I2269" s="101"/>
      <c r="J2269" s="102"/>
      <c r="K2269" s="101"/>
      <c r="L2269" s="101"/>
      <c r="M2269" s="10"/>
      <c r="N2269" s="10">
        <v>150000</v>
      </c>
      <c r="O2269"/>
      <c r="P2269"/>
    </row>
    <row r="2270" spans="1:16" s="146" customFormat="1" ht="17.45" customHeight="1" x14ac:dyDescent="0.25">
      <c r="A2270" s="519"/>
      <c r="B2270" s="499"/>
      <c r="C2270" s="499"/>
      <c r="D2270" s="516" t="s">
        <v>1122</v>
      </c>
      <c r="E2270" s="3"/>
      <c r="F2270" s="499"/>
      <c r="G2270" s="491"/>
      <c r="H2270" s="100"/>
      <c r="I2270" s="101">
        <v>0</v>
      </c>
      <c r="J2270" s="102">
        <v>30000</v>
      </c>
      <c r="K2270" s="101"/>
      <c r="L2270" s="101"/>
      <c r="M2270" s="10"/>
      <c r="N2270" s="10">
        <v>6750</v>
      </c>
      <c r="O2270"/>
      <c r="P2270"/>
    </row>
    <row r="2271" spans="1:16" s="146" customFormat="1" ht="17.45" customHeight="1" x14ac:dyDescent="0.25">
      <c r="A2271" s="519"/>
      <c r="B2271" s="499"/>
      <c r="C2271" s="499"/>
      <c r="D2271" s="516" t="s">
        <v>1123</v>
      </c>
      <c r="E2271" s="3"/>
      <c r="F2271" s="499"/>
      <c r="G2271" s="491"/>
      <c r="H2271" s="100"/>
      <c r="I2271" s="101">
        <v>0</v>
      </c>
      <c r="J2271" s="102">
        <v>100000</v>
      </c>
      <c r="K2271" s="101"/>
      <c r="L2271" s="101"/>
      <c r="M2271" s="10"/>
      <c r="N2271" s="10">
        <v>68400</v>
      </c>
      <c r="O2271"/>
      <c r="P2271"/>
    </row>
    <row r="2272" spans="1:16" s="146" customFormat="1" ht="35.25" customHeight="1" x14ac:dyDescent="0.25">
      <c r="A2272" s="519"/>
      <c r="B2272" s="499"/>
      <c r="C2272" s="499"/>
      <c r="D2272" s="1623" t="s">
        <v>1124</v>
      </c>
      <c r="E2272" s="1623"/>
      <c r="F2272" s="499"/>
      <c r="G2272" s="491"/>
      <c r="H2272" s="100"/>
      <c r="I2272" s="101"/>
      <c r="J2272" s="102">
        <v>20000</v>
      </c>
      <c r="K2272" s="101"/>
      <c r="L2272" s="101"/>
      <c r="M2272" s="10"/>
      <c r="N2272" s="10">
        <v>77000</v>
      </c>
      <c r="O2272"/>
      <c r="P2272"/>
    </row>
    <row r="2273" spans="1:16" s="146" customFormat="1" ht="17.45" customHeight="1" x14ac:dyDescent="0.25">
      <c r="A2273" s="519"/>
      <c r="B2273" s="499"/>
      <c r="C2273" s="499"/>
      <c r="D2273" s="516" t="s">
        <v>1125</v>
      </c>
      <c r="E2273" s="3"/>
      <c r="F2273" s="499"/>
      <c r="G2273" s="491"/>
      <c r="H2273" s="100"/>
      <c r="I2273" s="101">
        <v>99390</v>
      </c>
      <c r="J2273" s="102">
        <v>200000</v>
      </c>
      <c r="K2273" s="101">
        <v>10210</v>
      </c>
      <c r="L2273" s="101">
        <v>201100</v>
      </c>
      <c r="M2273" s="10"/>
      <c r="N2273" s="10">
        <f>SUM(N2268:N2272)</f>
        <v>1401187.76</v>
      </c>
      <c r="O2273"/>
      <c r="P2273"/>
    </row>
    <row r="2274" spans="1:16" s="146" customFormat="1" ht="17.45" customHeight="1" x14ac:dyDescent="0.25">
      <c r="A2274" s="519"/>
      <c r="B2274" s="499"/>
      <c r="C2274" s="499"/>
      <c r="D2274" s="516" t="s">
        <v>1126</v>
      </c>
      <c r="E2274" s="3"/>
      <c r="F2274" s="499"/>
      <c r="G2274" s="491"/>
      <c r="H2274" s="100"/>
      <c r="I2274" s="101"/>
      <c r="J2274" s="102"/>
      <c r="K2274" s="101"/>
      <c r="L2274" s="101">
        <v>40000</v>
      </c>
      <c r="M2274" s="10"/>
      <c r="N2274" s="10">
        <v>600000</v>
      </c>
      <c r="O2274"/>
      <c r="P2274"/>
    </row>
    <row r="2275" spans="1:16" s="146" customFormat="1" ht="17.45" customHeight="1" x14ac:dyDescent="0.25">
      <c r="A2275" s="519"/>
      <c r="B2275" s="499"/>
      <c r="C2275" s="499"/>
      <c r="D2275" s="516" t="s">
        <v>1127</v>
      </c>
      <c r="E2275" s="3"/>
      <c r="F2275" s="499"/>
      <c r="G2275" s="491"/>
      <c r="H2275" s="100"/>
      <c r="I2275" s="101">
        <v>0</v>
      </c>
      <c r="J2275" s="102">
        <v>40000</v>
      </c>
      <c r="K2275" s="101"/>
      <c r="L2275" s="101"/>
      <c r="M2275" s="10"/>
      <c r="N2275" s="10"/>
      <c r="O2275"/>
      <c r="P2275"/>
    </row>
    <row r="2276" spans="1:16" s="146" customFormat="1" ht="17.45" customHeight="1" x14ac:dyDescent="0.25">
      <c r="A2276" s="519"/>
      <c r="B2276" s="499"/>
      <c r="C2276" s="499"/>
      <c r="D2276" s="516" t="s">
        <v>1128</v>
      </c>
      <c r="E2276" s="3"/>
      <c r="F2276" s="499"/>
      <c r="G2276" s="491"/>
      <c r="H2276" s="100"/>
      <c r="I2276" s="101">
        <v>0</v>
      </c>
      <c r="J2276" s="102">
        <v>80000</v>
      </c>
      <c r="K2276" s="101"/>
      <c r="L2276" s="101"/>
      <c r="M2276" s="10"/>
      <c r="N2276" s="10"/>
      <c r="O2276"/>
      <c r="P2276"/>
    </row>
    <row r="2277" spans="1:16" s="146" customFormat="1" ht="17.45" customHeight="1" x14ac:dyDescent="0.25">
      <c r="A2277" s="519"/>
      <c r="B2277" s="499"/>
      <c r="C2277" s="499"/>
      <c r="D2277" s="516" t="s">
        <v>1129</v>
      </c>
      <c r="E2277" s="3"/>
      <c r="F2277" s="499"/>
      <c r="G2277" s="491"/>
      <c r="H2277" s="100"/>
      <c r="I2277" s="101">
        <v>29500</v>
      </c>
      <c r="J2277" s="102">
        <v>50000</v>
      </c>
      <c r="K2277" s="101"/>
      <c r="L2277" s="101"/>
      <c r="M2277" s="10"/>
      <c r="N2277" s="10"/>
      <c r="O2277"/>
      <c r="P2277"/>
    </row>
    <row r="2278" spans="1:16" s="146" customFormat="1" ht="17.45" customHeight="1" x14ac:dyDescent="0.25">
      <c r="A2278" s="519"/>
      <c r="B2278" s="499"/>
      <c r="C2278" s="499"/>
      <c r="D2278" s="516" t="s">
        <v>1130</v>
      </c>
      <c r="E2278" s="3"/>
      <c r="F2278" s="499"/>
      <c r="G2278" s="491"/>
      <c r="H2278" s="100"/>
      <c r="I2278" s="101">
        <v>0</v>
      </c>
      <c r="J2278" s="102">
        <v>100000</v>
      </c>
      <c r="K2278" s="101"/>
      <c r="L2278" s="101"/>
      <c r="M2278" s="10"/>
      <c r="N2278" s="10"/>
      <c r="O2278"/>
      <c r="P2278"/>
    </row>
    <row r="2279" spans="1:16" s="146" customFormat="1" ht="17.45" customHeight="1" x14ac:dyDescent="0.25">
      <c r="A2279" s="519"/>
      <c r="B2279" s="499"/>
      <c r="C2279" s="499"/>
      <c r="D2279" s="516" t="s">
        <v>1131</v>
      </c>
      <c r="E2279" s="3"/>
      <c r="F2279" s="499"/>
      <c r="G2279" s="491"/>
      <c r="H2279" s="100"/>
      <c r="I2279" s="101">
        <v>0</v>
      </c>
      <c r="J2279" s="102">
        <v>50000</v>
      </c>
      <c r="K2279" s="101"/>
      <c r="L2279" s="101"/>
      <c r="M2279" s="10"/>
      <c r="N2279" s="10"/>
      <c r="O2279"/>
      <c r="P2279"/>
    </row>
    <row r="2280" spans="1:16" s="146" customFormat="1" ht="17.45" customHeight="1" x14ac:dyDescent="0.25">
      <c r="A2280" s="519"/>
      <c r="B2280" s="499"/>
      <c r="C2280" s="499"/>
      <c r="D2280" s="516" t="s">
        <v>1132</v>
      </c>
      <c r="E2280" s="3"/>
      <c r="F2280" s="499"/>
      <c r="G2280" s="491"/>
      <c r="H2280" s="100"/>
      <c r="I2280" s="101">
        <v>0</v>
      </c>
      <c r="J2280" s="102">
        <v>27000</v>
      </c>
      <c r="K2280" s="101"/>
      <c r="L2280" s="101">
        <v>27000</v>
      </c>
      <c r="M2280" s="10"/>
      <c r="N2280" s="10"/>
      <c r="O2280"/>
      <c r="P2280"/>
    </row>
    <row r="2281" spans="1:16" s="146" customFormat="1" ht="17.45" customHeight="1" x14ac:dyDescent="0.25">
      <c r="A2281" s="519"/>
      <c r="B2281" s="499"/>
      <c r="C2281" s="499"/>
      <c r="D2281" s="516" t="s">
        <v>1133</v>
      </c>
      <c r="E2281" s="125"/>
      <c r="F2281" s="499"/>
      <c r="G2281" s="491"/>
      <c r="H2281" s="100"/>
      <c r="I2281" s="101"/>
      <c r="J2281" s="102">
        <v>25000</v>
      </c>
      <c r="K2281" s="101"/>
      <c r="L2281" s="101">
        <v>25000</v>
      </c>
      <c r="M2281" s="10"/>
      <c r="N2281" s="10"/>
      <c r="O2281"/>
      <c r="P2281"/>
    </row>
    <row r="2282" spans="1:16" s="146" customFormat="1" ht="17.45" customHeight="1" x14ac:dyDescent="0.25">
      <c r="A2282" s="519"/>
      <c r="B2282" s="499"/>
      <c r="C2282" s="499"/>
      <c r="D2282" s="516" t="s">
        <v>1134</v>
      </c>
      <c r="E2282" s="125"/>
      <c r="F2282" s="499"/>
      <c r="G2282" s="491"/>
      <c r="H2282" s="100"/>
      <c r="I2282" s="101"/>
      <c r="J2282" s="102"/>
      <c r="K2282" s="101"/>
      <c r="L2282" s="101">
        <v>189000</v>
      </c>
      <c r="M2282" s="10"/>
      <c r="N2282" s="10"/>
      <c r="O2282"/>
      <c r="P2282"/>
    </row>
    <row r="2283" spans="1:16" s="146" customFormat="1" ht="17.45" customHeight="1" x14ac:dyDescent="0.25">
      <c r="A2283" s="519"/>
      <c r="B2283" s="499"/>
      <c r="C2283" s="499"/>
      <c r="D2283" s="516" t="s">
        <v>1135</v>
      </c>
      <c r="E2283" s="125"/>
      <c r="F2283" s="499"/>
      <c r="G2283" s="491"/>
      <c r="H2283" s="100"/>
      <c r="I2283" s="101"/>
      <c r="J2283" s="102"/>
      <c r="K2283" s="101"/>
      <c r="L2283" s="101">
        <v>108945</v>
      </c>
      <c r="M2283" s="10"/>
      <c r="N2283" s="10"/>
      <c r="O2283"/>
      <c r="P2283"/>
    </row>
    <row r="2284" spans="1:16" s="146" customFormat="1" ht="17.45" customHeight="1" x14ac:dyDescent="0.25">
      <c r="A2284" s="519"/>
      <c r="B2284" s="499"/>
      <c r="C2284" s="499"/>
      <c r="D2284" s="516" t="s">
        <v>1136</v>
      </c>
      <c r="E2284" s="125"/>
      <c r="F2284" s="499"/>
      <c r="G2284" s="491"/>
      <c r="H2284" s="100"/>
      <c r="I2284" s="101"/>
      <c r="J2284" s="102">
        <v>100000</v>
      </c>
      <c r="K2284" s="101"/>
      <c r="L2284" s="101"/>
      <c r="M2284" s="10"/>
      <c r="N2284" s="10"/>
      <c r="O2284"/>
      <c r="P2284"/>
    </row>
    <row r="2285" spans="1:16" s="146" customFormat="1" ht="17.45" customHeight="1" x14ac:dyDescent="0.25">
      <c r="A2285" s="519"/>
      <c r="B2285" s="499"/>
      <c r="C2285" s="499"/>
      <c r="D2285" s="516"/>
      <c r="E2285" s="125"/>
      <c r="F2285" s="499"/>
      <c r="G2285" s="491"/>
      <c r="H2285" s="100"/>
      <c r="I2285" s="101"/>
      <c r="J2285" s="102"/>
      <c r="K2285" s="101"/>
      <c r="L2285" s="101"/>
      <c r="M2285" s="10"/>
      <c r="N2285" s="10"/>
      <c r="O2285"/>
      <c r="P2285"/>
    </row>
    <row r="2286" spans="1:16" s="146" customFormat="1" ht="18" x14ac:dyDescent="0.25">
      <c r="A2286" s="519"/>
      <c r="B2286" s="499"/>
      <c r="C2286" s="499"/>
      <c r="D2286" s="36" t="s">
        <v>1138</v>
      </c>
      <c r="E2286" s="511"/>
      <c r="F2286" s="499"/>
      <c r="G2286" s="491"/>
      <c r="H2286" s="100"/>
      <c r="I2286" s="101"/>
      <c r="J2286" s="102"/>
      <c r="K2286" s="101"/>
      <c r="L2286" s="101"/>
      <c r="M2286" s="10"/>
      <c r="N2286" s="10"/>
      <c r="O2286"/>
      <c r="P2286"/>
    </row>
    <row r="2287" spans="1:16" s="146" customFormat="1" ht="18" x14ac:dyDescent="0.25">
      <c r="A2287" s="519"/>
      <c r="B2287" s="499"/>
      <c r="C2287" s="499"/>
      <c r="D2287" s="38" t="s">
        <v>1139</v>
      </c>
      <c r="E2287" s="511"/>
      <c r="F2287" s="499"/>
      <c r="G2287" s="491"/>
      <c r="H2287" s="100"/>
      <c r="I2287" s="101">
        <v>0</v>
      </c>
      <c r="J2287" s="102">
        <v>0</v>
      </c>
      <c r="K2287" s="101">
        <v>0</v>
      </c>
      <c r="L2287" s="101">
        <v>200000</v>
      </c>
      <c r="M2287" s="10"/>
      <c r="N2287" s="10"/>
      <c r="O2287"/>
      <c r="P2287"/>
    </row>
    <row r="2288" spans="1:16" s="146" customFormat="1" ht="36" customHeight="1" x14ac:dyDescent="0.25">
      <c r="A2288" s="519"/>
      <c r="B2288" s="499"/>
      <c r="C2288" s="499"/>
      <c r="D2288" s="1623" t="s">
        <v>1140</v>
      </c>
      <c r="E2288" s="1623"/>
      <c r="F2288" s="499"/>
      <c r="G2288" s="491"/>
      <c r="H2288" s="100"/>
      <c r="I2288" s="101">
        <v>0</v>
      </c>
      <c r="J2288" s="102">
        <v>20000</v>
      </c>
      <c r="K2288" s="101"/>
      <c r="L2288" s="101">
        <v>20000</v>
      </c>
      <c r="M2288" s="10"/>
      <c r="N2288" s="10"/>
      <c r="O2288"/>
      <c r="P2288"/>
    </row>
    <row r="2289" spans="1:16" s="146" customFormat="1" ht="18" x14ac:dyDescent="0.25">
      <c r="A2289" s="519"/>
      <c r="B2289" s="499"/>
      <c r="C2289" s="499"/>
      <c r="D2289" s="516" t="s">
        <v>1141</v>
      </c>
      <c r="E2289" s="3"/>
      <c r="F2289" s="499"/>
      <c r="G2289" s="491"/>
      <c r="H2289" s="100"/>
      <c r="I2289" s="101">
        <v>0</v>
      </c>
      <c r="J2289" s="102">
        <v>80000</v>
      </c>
      <c r="K2289" s="101">
        <v>0</v>
      </c>
      <c r="L2289" s="101"/>
      <c r="M2289" s="10"/>
      <c r="N2289" s="10"/>
      <c r="O2289"/>
      <c r="P2289"/>
    </row>
    <row r="2290" spans="1:16" s="146" customFormat="1" ht="18" x14ac:dyDescent="0.25">
      <c r="A2290" s="519"/>
      <c r="B2290" s="499"/>
      <c r="C2290" s="499"/>
      <c r="D2290" s="516" t="s">
        <v>1142</v>
      </c>
      <c r="E2290" s="3"/>
      <c r="F2290" s="499"/>
      <c r="G2290" s="491"/>
      <c r="H2290" s="100"/>
      <c r="I2290" s="101">
        <v>498450</v>
      </c>
      <c r="J2290" s="102">
        <v>500000</v>
      </c>
      <c r="K2290" s="101">
        <v>0</v>
      </c>
      <c r="L2290" s="101">
        <v>2000000</v>
      </c>
      <c r="M2290" s="10"/>
      <c r="N2290" s="10"/>
      <c r="O2290"/>
      <c r="P2290"/>
    </row>
    <row r="2291" spans="1:16" s="146" customFormat="1" ht="18" x14ac:dyDescent="0.25">
      <c r="A2291" s="519"/>
      <c r="B2291" s="499"/>
      <c r="C2291" s="499"/>
      <c r="D2291" s="516" t="s">
        <v>1143</v>
      </c>
      <c r="E2291" s="3"/>
      <c r="F2291" s="499"/>
      <c r="G2291" s="491"/>
      <c r="H2291" s="100"/>
      <c r="I2291" s="101">
        <v>99750</v>
      </c>
      <c r="J2291" s="102">
        <v>80000</v>
      </c>
      <c r="K2291" s="101">
        <v>0</v>
      </c>
      <c r="L2291" s="101"/>
      <c r="M2291" s="10"/>
      <c r="N2291" s="10"/>
      <c r="O2291"/>
      <c r="P2291"/>
    </row>
    <row r="2292" spans="1:16" s="146" customFormat="1" ht="18" x14ac:dyDescent="0.25">
      <c r="A2292" s="519"/>
      <c r="B2292" s="499"/>
      <c r="C2292" s="499"/>
      <c r="D2292" s="516" t="s">
        <v>1144</v>
      </c>
      <c r="E2292" s="3"/>
      <c r="F2292" s="499"/>
      <c r="G2292" s="491"/>
      <c r="H2292" s="100"/>
      <c r="I2292" s="101">
        <v>0</v>
      </c>
      <c r="J2292" s="102">
        <v>0</v>
      </c>
      <c r="K2292" s="101">
        <v>0</v>
      </c>
      <c r="L2292" s="101"/>
      <c r="M2292" s="10"/>
      <c r="N2292" s="10"/>
      <c r="O2292"/>
      <c r="P2292"/>
    </row>
    <row r="2293" spans="1:16" s="146" customFormat="1" ht="18" x14ac:dyDescent="0.25">
      <c r="A2293" s="519"/>
      <c r="B2293" s="499"/>
      <c r="C2293" s="499"/>
      <c r="D2293" s="516" t="s">
        <v>1145</v>
      </c>
      <c r="E2293" s="3"/>
      <c r="F2293" s="499"/>
      <c r="G2293" s="491"/>
      <c r="H2293" s="100"/>
      <c r="I2293" s="101"/>
      <c r="J2293" s="102">
        <v>800000</v>
      </c>
      <c r="K2293" s="101">
        <v>0</v>
      </c>
      <c r="L2293" s="101">
        <v>800000</v>
      </c>
      <c r="M2293" s="10"/>
      <c r="N2293" s="10"/>
      <c r="O2293"/>
      <c r="P2293"/>
    </row>
    <row r="2294" spans="1:16" s="146" customFormat="1" ht="37.5" customHeight="1" x14ac:dyDescent="0.25">
      <c r="A2294" s="519"/>
      <c r="B2294" s="499"/>
      <c r="C2294" s="499"/>
      <c r="D2294" s="1623" t="s">
        <v>1146</v>
      </c>
      <c r="E2294" s="1623"/>
      <c r="F2294" s="499"/>
      <c r="G2294" s="491"/>
      <c r="H2294" s="100"/>
      <c r="I2294" s="101">
        <v>0</v>
      </c>
      <c r="J2294" s="102">
        <v>70000</v>
      </c>
      <c r="K2294" s="101">
        <v>0</v>
      </c>
      <c r="L2294" s="101"/>
      <c r="M2294" s="10"/>
      <c r="N2294" s="10"/>
      <c r="O2294"/>
      <c r="P2294"/>
    </row>
    <row r="2295" spans="1:16" s="146" customFormat="1" ht="18" x14ac:dyDescent="0.25">
      <c r="A2295" s="519"/>
      <c r="B2295" s="499"/>
      <c r="C2295" s="499"/>
      <c r="D2295" s="1639" t="s">
        <v>1147</v>
      </c>
      <c r="E2295" s="1639"/>
      <c r="F2295" s="1639"/>
      <c r="G2295" s="1640"/>
      <c r="H2295" s="100"/>
      <c r="I2295" s="101">
        <v>181000</v>
      </c>
      <c r="J2295" s="102">
        <v>200000</v>
      </c>
      <c r="K2295" s="101">
        <v>14000</v>
      </c>
      <c r="L2295" s="101">
        <v>300000</v>
      </c>
      <c r="M2295" s="10"/>
      <c r="N2295" s="10"/>
      <c r="O2295"/>
      <c r="P2295"/>
    </row>
    <row r="2296" spans="1:16" s="146" customFormat="1" ht="18" x14ac:dyDescent="0.25">
      <c r="A2296" s="519"/>
      <c r="B2296" s="499"/>
      <c r="C2296" s="499"/>
      <c r="D2296" s="516" t="s">
        <v>1148</v>
      </c>
      <c r="E2296" s="3"/>
      <c r="F2296" s="499"/>
      <c r="G2296" s="491"/>
      <c r="H2296" s="100"/>
      <c r="I2296" s="101">
        <v>0</v>
      </c>
      <c r="J2296" s="102">
        <v>50000</v>
      </c>
      <c r="K2296" s="101">
        <v>10000</v>
      </c>
      <c r="L2296" s="101">
        <v>50000</v>
      </c>
      <c r="M2296" s="10"/>
      <c r="N2296" s="10"/>
      <c r="O2296"/>
      <c r="P2296"/>
    </row>
    <row r="2297" spans="1:16" s="146" customFormat="1" ht="18" x14ac:dyDescent="0.25">
      <c r="A2297" s="519"/>
      <c r="B2297" s="499"/>
      <c r="C2297" s="499"/>
      <c r="D2297" s="516" t="s">
        <v>1149</v>
      </c>
      <c r="E2297" s="3"/>
      <c r="F2297" s="499"/>
      <c r="G2297" s="491"/>
      <c r="H2297" s="100"/>
      <c r="I2297" s="101">
        <v>0</v>
      </c>
      <c r="J2297" s="102">
        <v>100000</v>
      </c>
      <c r="K2297" s="101">
        <v>0</v>
      </c>
      <c r="L2297" s="101">
        <v>500000</v>
      </c>
      <c r="M2297" s="10"/>
      <c r="N2297" s="10"/>
      <c r="O2297"/>
      <c r="P2297"/>
    </row>
    <row r="2298" spans="1:16" s="146" customFormat="1" ht="18" x14ac:dyDescent="0.25">
      <c r="A2298" s="519"/>
      <c r="B2298" s="499"/>
      <c r="C2298" s="499"/>
      <c r="D2298" s="516" t="s">
        <v>1150</v>
      </c>
      <c r="E2298" s="3"/>
      <c r="F2298" s="499"/>
      <c r="G2298" s="491"/>
      <c r="H2298" s="100"/>
      <c r="I2298" s="101">
        <v>128752</v>
      </c>
      <c r="J2298" s="102">
        <v>0</v>
      </c>
      <c r="K2298" s="101"/>
      <c r="L2298" s="101"/>
      <c r="M2298" s="10"/>
      <c r="N2298" s="10"/>
      <c r="O2298"/>
      <c r="P2298"/>
    </row>
    <row r="2299" spans="1:16" ht="18" x14ac:dyDescent="0.25">
      <c r="A2299" s="519"/>
      <c r="B2299" s="499"/>
      <c r="C2299" s="499"/>
      <c r="D2299" s="516" t="s">
        <v>1151</v>
      </c>
      <c r="E2299" s="3"/>
      <c r="F2299" s="499"/>
      <c r="G2299" s="491"/>
      <c r="H2299" s="100"/>
      <c r="I2299" s="101"/>
      <c r="J2299" s="102">
        <v>3000000</v>
      </c>
      <c r="K2299" s="101">
        <v>0</v>
      </c>
      <c r="L2299" s="101"/>
    </row>
    <row r="2300" spans="1:16" ht="18" x14ac:dyDescent="0.25">
      <c r="A2300" s="519"/>
      <c r="B2300" s="499"/>
      <c r="C2300" s="499"/>
      <c r="D2300" s="38" t="s">
        <v>1152</v>
      </c>
      <c r="E2300" s="199"/>
      <c r="F2300" s="499"/>
      <c r="G2300" s="491"/>
      <c r="H2300" s="100"/>
      <c r="I2300" s="101">
        <v>1477220</v>
      </c>
      <c r="J2300" s="102">
        <v>500000</v>
      </c>
      <c r="K2300" s="101">
        <v>0</v>
      </c>
      <c r="L2300" s="101">
        <v>500000</v>
      </c>
    </row>
    <row r="2301" spans="1:16" s="191" customFormat="1" ht="18" x14ac:dyDescent="0.25">
      <c r="A2301" s="433"/>
      <c r="B2301" s="435"/>
      <c r="C2301" s="435"/>
      <c r="D2301" s="240" t="s">
        <v>1153</v>
      </c>
      <c r="E2301" s="434"/>
      <c r="F2301" s="435"/>
      <c r="G2301" s="436"/>
      <c r="H2301" s="437"/>
      <c r="I2301" s="438">
        <v>3426500</v>
      </c>
      <c r="J2301" s="439">
        <v>3783500</v>
      </c>
      <c r="K2301" s="438">
        <v>1431550</v>
      </c>
      <c r="L2301" s="438">
        <v>2979000</v>
      </c>
      <c r="M2301" s="10"/>
      <c r="N2301" s="10"/>
    </row>
    <row r="2302" spans="1:16" s="191" customFormat="1" ht="18" x14ac:dyDescent="0.25">
      <c r="A2302" s="433"/>
      <c r="B2302" s="435"/>
      <c r="C2302" s="435"/>
      <c r="D2302" s="240" t="s">
        <v>1154</v>
      </c>
      <c r="E2302" s="434"/>
      <c r="F2302" s="435"/>
      <c r="G2302" s="436"/>
      <c r="H2302" s="437"/>
      <c r="I2302" s="438">
        <v>473000</v>
      </c>
      <c r="J2302" s="439">
        <v>529000</v>
      </c>
      <c r="K2302" s="438">
        <v>193500</v>
      </c>
      <c r="L2302" s="438">
        <v>474000</v>
      </c>
      <c r="M2302" s="10"/>
      <c r="N2302" s="10"/>
    </row>
    <row r="2303" spans="1:16" s="191" customFormat="1" ht="18" x14ac:dyDescent="0.25">
      <c r="A2303" s="433"/>
      <c r="B2303" s="435"/>
      <c r="C2303" s="435"/>
      <c r="D2303" s="240" t="s">
        <v>1155</v>
      </c>
      <c r="E2303" s="434"/>
      <c r="F2303" s="435"/>
      <c r="G2303" s="436"/>
      <c r="H2303" s="437"/>
      <c r="I2303" s="440">
        <v>717000</v>
      </c>
      <c r="J2303" s="441">
        <v>793500</v>
      </c>
      <c r="K2303" s="440">
        <v>282375</v>
      </c>
      <c r="L2303" s="440">
        <v>639000</v>
      </c>
      <c r="M2303" s="10"/>
      <c r="N2303" s="10"/>
    </row>
    <row r="2304" spans="1:16" ht="18" x14ac:dyDescent="0.25">
      <c r="A2304" s="519"/>
      <c r="B2304" s="499"/>
      <c r="C2304" s="499"/>
      <c r="D2304" s="153" t="s">
        <v>15</v>
      </c>
      <c r="F2304" s="499"/>
      <c r="G2304" s="491"/>
      <c r="H2304" s="100"/>
      <c r="I2304" s="119">
        <f>SUM(I2269:I2303)</f>
        <v>7130562</v>
      </c>
      <c r="J2304" s="150">
        <f>SUM(J2269:J2303)</f>
        <v>11328000</v>
      </c>
      <c r="K2304" s="119">
        <f>SUM(K2269:K2303)</f>
        <v>1941635</v>
      </c>
      <c r="L2304" s="119">
        <f>SUM(L2269:L2303)</f>
        <v>9053045</v>
      </c>
    </row>
    <row r="2305" spans="1:16" ht="18" x14ac:dyDescent="0.25">
      <c r="A2305" s="519"/>
      <c r="B2305" s="499"/>
      <c r="C2305" s="499"/>
      <c r="D2305" s="513"/>
      <c r="E2305" s="153"/>
      <c r="F2305" s="499"/>
      <c r="G2305" s="499"/>
      <c r="H2305" s="100"/>
      <c r="I2305" s="155"/>
      <c r="J2305" s="156"/>
      <c r="K2305" s="155"/>
      <c r="L2305" s="155"/>
    </row>
    <row r="2306" spans="1:16" ht="18" x14ac:dyDescent="0.25">
      <c r="A2306" s="519"/>
      <c r="B2306" s="499"/>
      <c r="C2306" s="499"/>
      <c r="D2306" s="540" t="s">
        <v>1156</v>
      </c>
      <c r="E2306" s="199"/>
      <c r="F2306" s="199"/>
      <c r="G2306" s="393"/>
      <c r="H2306" s="100"/>
      <c r="I2306" s="101"/>
      <c r="J2306" s="102"/>
      <c r="K2306" s="101"/>
      <c r="L2306" s="101"/>
    </row>
    <row r="2307" spans="1:16" ht="18" x14ac:dyDescent="0.25">
      <c r="A2307" s="519"/>
      <c r="B2307" s="499"/>
      <c r="C2307" s="499"/>
      <c r="D2307" s="442" t="s">
        <v>1157</v>
      </c>
      <c r="E2307" s="199"/>
      <c r="F2307" s="199"/>
      <c r="G2307" s="393"/>
      <c r="H2307" s="100"/>
      <c r="I2307" s="101"/>
      <c r="J2307" s="443">
        <v>10750000</v>
      </c>
      <c r="K2307" s="101"/>
      <c r="L2307" s="101"/>
      <c r="N2307" s="141"/>
    </row>
    <row r="2308" spans="1:16" ht="18" x14ac:dyDescent="0.25">
      <c r="A2308" s="519"/>
      <c r="B2308" s="499"/>
      <c r="C2308" s="499"/>
      <c r="D2308" s="38" t="s">
        <v>1158</v>
      </c>
      <c r="E2308" s="499"/>
      <c r="F2308" s="499"/>
      <c r="G2308" s="491"/>
      <c r="H2308" s="100"/>
      <c r="I2308" s="101">
        <v>4484515.96</v>
      </c>
      <c r="J2308" s="102">
        <v>4279800</v>
      </c>
      <c r="K2308" s="101">
        <v>1870404.48</v>
      </c>
      <c r="L2308" s="101">
        <v>4531591.68</v>
      </c>
      <c r="M2308" s="444"/>
      <c r="N2308" s="141"/>
    </row>
    <row r="2309" spans="1:16" ht="18" x14ac:dyDescent="0.25">
      <c r="A2309" s="519"/>
      <c r="B2309" s="499"/>
      <c r="C2309" s="499"/>
      <c r="D2309" s="38" t="s">
        <v>1159</v>
      </c>
      <c r="E2309" s="499"/>
      <c r="F2309" s="499"/>
      <c r="G2309" s="491"/>
      <c r="H2309" s="100"/>
      <c r="I2309" s="101">
        <v>40000</v>
      </c>
      <c r="J2309" s="102">
        <v>200000</v>
      </c>
      <c r="K2309" s="101">
        <v>20000</v>
      </c>
      <c r="L2309" s="101"/>
      <c r="M2309" s="444"/>
      <c r="N2309" s="445"/>
    </row>
    <row r="2310" spans="1:16" ht="36" customHeight="1" x14ac:dyDescent="0.25">
      <c r="A2310" s="519"/>
      <c r="B2310" s="499"/>
      <c r="C2310" s="499"/>
      <c r="D2310" s="1623" t="s">
        <v>1160</v>
      </c>
      <c r="E2310" s="1623"/>
      <c r="F2310" s="499"/>
      <c r="G2310" s="491"/>
      <c r="H2310" s="100"/>
      <c r="I2310" s="101"/>
      <c r="J2310" s="102">
        <v>400000</v>
      </c>
      <c r="K2310" s="101"/>
      <c r="L2310" s="101">
        <v>400000</v>
      </c>
      <c r="N2310" s="445"/>
    </row>
    <row r="2311" spans="1:16" ht="18" x14ac:dyDescent="0.25">
      <c r="A2311" s="519"/>
      <c r="B2311" s="499"/>
      <c r="C2311" s="499"/>
      <c r="D2311" s="38" t="s">
        <v>1161</v>
      </c>
      <c r="E2311" s="499"/>
      <c r="F2311" s="499"/>
      <c r="G2311" s="491"/>
      <c r="H2311" s="100"/>
      <c r="I2311" s="101">
        <v>226272</v>
      </c>
      <c r="J2311" s="102">
        <v>0</v>
      </c>
      <c r="K2311" s="101"/>
      <c r="L2311" s="101"/>
      <c r="N2311" s="445"/>
    </row>
    <row r="2312" spans="1:16" ht="39" customHeight="1" x14ac:dyDescent="0.25">
      <c r="A2312" s="519"/>
      <c r="B2312" s="499"/>
      <c r="C2312" s="499"/>
      <c r="D2312" s="1637" t="s">
        <v>1162</v>
      </c>
      <c r="E2312" s="1637"/>
      <c r="F2312" s="1637"/>
      <c r="G2312" s="1641"/>
      <c r="H2312" s="100"/>
      <c r="I2312" s="101">
        <v>5609293</v>
      </c>
      <c r="J2312" s="102">
        <v>0</v>
      </c>
      <c r="K2312" s="101"/>
      <c r="L2312" s="101">
        <v>15000000</v>
      </c>
      <c r="N2312" s="445"/>
    </row>
    <row r="2313" spans="1:16" ht="18" x14ac:dyDescent="0.25">
      <c r="A2313" s="519"/>
      <c r="B2313" s="499"/>
      <c r="C2313" s="499"/>
      <c r="D2313" s="536" t="s">
        <v>1163</v>
      </c>
      <c r="E2313" s="507"/>
      <c r="F2313" s="507"/>
      <c r="G2313" s="512"/>
      <c r="H2313" s="100"/>
      <c r="I2313" s="101">
        <v>1000000</v>
      </c>
      <c r="J2313" s="102"/>
      <c r="K2313" s="101"/>
      <c r="L2313" s="101"/>
      <c r="N2313" s="445"/>
    </row>
    <row r="2314" spans="1:16" ht="18" x14ac:dyDescent="0.25">
      <c r="A2314" s="519"/>
      <c r="B2314" s="499"/>
      <c r="C2314" s="499"/>
      <c r="D2314" s="38"/>
      <c r="E2314" s="499"/>
      <c r="F2314" s="499"/>
      <c r="G2314" s="491"/>
      <c r="H2314" s="100"/>
      <c r="I2314" s="105"/>
      <c r="J2314" s="106"/>
      <c r="K2314" s="105"/>
      <c r="L2314" s="105"/>
      <c r="N2314" s="445"/>
    </row>
    <row r="2315" spans="1:16" ht="18" x14ac:dyDescent="0.25">
      <c r="A2315" s="519"/>
      <c r="B2315" s="499"/>
      <c r="C2315" s="499"/>
      <c r="D2315" s="153" t="s">
        <v>200</v>
      </c>
      <c r="F2315" s="499"/>
      <c r="G2315" s="491"/>
      <c r="H2315" s="100"/>
      <c r="I2315" s="315">
        <f>SUM(I2308:I2314)</f>
        <v>11360080.960000001</v>
      </c>
      <c r="J2315" s="150">
        <f>SUM(J2307:J2314)</f>
        <v>15629800</v>
      </c>
      <c r="K2315" s="119">
        <f>SUM(K2307:K2314)</f>
        <v>1890404.48</v>
      </c>
      <c r="L2315" s="119">
        <f>SUM(L2308:L2314)</f>
        <v>19931591.68</v>
      </c>
      <c r="N2315" s="445"/>
    </row>
    <row r="2316" spans="1:16" ht="18" x14ac:dyDescent="0.25">
      <c r="A2316" s="519"/>
      <c r="B2316" s="499"/>
      <c r="C2316" s="499"/>
      <c r="D2316" s="153"/>
      <c r="F2316" s="499"/>
      <c r="G2316" s="491"/>
      <c r="H2316" s="100"/>
      <c r="I2316" s="189"/>
      <c r="J2316" s="156"/>
      <c r="K2316" s="155"/>
      <c r="L2316" s="155"/>
      <c r="N2316" s="445"/>
    </row>
    <row r="2317" spans="1:16" ht="18" x14ac:dyDescent="0.25">
      <c r="A2317" s="519"/>
      <c r="B2317" s="499"/>
      <c r="C2317" s="499"/>
      <c r="D2317" s="36" t="s">
        <v>1164</v>
      </c>
      <c r="E2317" s="499"/>
      <c r="F2317" s="499"/>
      <c r="G2317" s="491"/>
      <c r="H2317" s="100"/>
      <c r="I2317" s="101"/>
      <c r="J2317" s="102"/>
      <c r="K2317" s="101"/>
      <c r="L2317" s="101"/>
      <c r="N2317" s="445">
        <f>741305374*1%</f>
        <v>7413053.7400000002</v>
      </c>
    </row>
    <row r="2318" spans="1:16" ht="18" x14ac:dyDescent="0.25">
      <c r="A2318" s="519"/>
      <c r="B2318" s="499"/>
      <c r="C2318" s="499"/>
      <c r="D2318" s="38" t="s">
        <v>1165</v>
      </c>
      <c r="E2318" s="199"/>
      <c r="F2318" s="199"/>
      <c r="G2318" s="491"/>
      <c r="H2318" s="100"/>
      <c r="I2318" s="101"/>
      <c r="J2318" s="102"/>
      <c r="K2318" s="101"/>
      <c r="L2318" s="101"/>
      <c r="N2318" s="445"/>
    </row>
    <row r="2319" spans="1:16" ht="36.75" customHeight="1" x14ac:dyDescent="0.25">
      <c r="A2319" s="519"/>
      <c r="B2319" s="499"/>
      <c r="C2319" s="499"/>
      <c r="D2319" s="1623" t="s">
        <v>1166</v>
      </c>
      <c r="E2319" s="1623"/>
      <c r="F2319" s="199"/>
      <c r="G2319" s="491"/>
      <c r="H2319" s="100"/>
      <c r="I2319" s="101">
        <v>20920.830000000002</v>
      </c>
      <c r="J2319" s="102">
        <v>50000</v>
      </c>
      <c r="K2319" s="101">
        <v>7245.5</v>
      </c>
      <c r="L2319" s="101">
        <v>50000</v>
      </c>
    </row>
    <row r="2320" spans="1:16" s="146" customFormat="1" ht="18" x14ac:dyDescent="0.25">
      <c r="A2320" s="519"/>
      <c r="B2320" s="499"/>
      <c r="C2320" s="499"/>
      <c r="D2320" s="38" t="s">
        <v>1167</v>
      </c>
      <c r="E2320" s="199"/>
      <c r="F2320" s="199"/>
      <c r="G2320" s="491"/>
      <c r="H2320" s="100"/>
      <c r="I2320" s="101"/>
      <c r="J2320" s="102">
        <v>595103.21</v>
      </c>
      <c r="K2320" s="101"/>
      <c r="L2320" s="101">
        <v>600000</v>
      </c>
      <c r="M2320" s="10"/>
      <c r="N2320" s="10"/>
      <c r="O2320"/>
      <c r="P2320"/>
    </row>
    <row r="2321" spans="1:16" s="146" customFormat="1" ht="18" customHeight="1" thickBot="1" x14ac:dyDescent="0.3">
      <c r="A2321" s="187"/>
      <c r="B2321" s="413"/>
      <c r="C2321" s="413"/>
      <c r="D2321" s="508"/>
      <c r="E2321" s="508"/>
      <c r="F2321" s="430"/>
      <c r="G2321" s="431"/>
      <c r="H2321" s="308"/>
      <c r="I2321" s="219"/>
      <c r="J2321" s="220"/>
      <c r="K2321" s="219"/>
      <c r="L2321" s="219"/>
      <c r="M2321" s="10"/>
      <c r="N2321" s="10"/>
      <c r="O2321"/>
      <c r="P2321"/>
    </row>
    <row r="2322" spans="1:16" s="146" customFormat="1" ht="18" customHeight="1" x14ac:dyDescent="0.25">
      <c r="A2322" s="499"/>
      <c r="B2322" s="499"/>
      <c r="C2322" s="499"/>
      <c r="D2322" s="504"/>
      <c r="E2322" s="504"/>
      <c r="F2322" s="199"/>
      <c r="G2322" s="499"/>
      <c r="H2322" s="381"/>
      <c r="I2322" s="141"/>
      <c r="J2322" s="122"/>
      <c r="K2322" s="141"/>
      <c r="L2322" s="141"/>
      <c r="M2322" s="10"/>
      <c r="N2322" s="10"/>
      <c r="O2322"/>
      <c r="P2322"/>
    </row>
    <row r="2323" spans="1:16" s="146" customFormat="1" ht="18" customHeight="1" x14ac:dyDescent="0.25">
      <c r="A2323" s="499"/>
      <c r="B2323" s="499"/>
      <c r="C2323" s="499"/>
      <c r="D2323" s="504"/>
      <c r="E2323" s="504"/>
      <c r="F2323" s="199"/>
      <c r="G2323" s="499"/>
      <c r="H2323" s="381"/>
      <c r="I2323" s="141"/>
      <c r="J2323" s="122"/>
      <c r="K2323" s="141"/>
      <c r="L2323" s="141"/>
      <c r="M2323" s="10"/>
      <c r="N2323" s="10"/>
      <c r="O2323"/>
      <c r="P2323"/>
    </row>
    <row r="2324" spans="1:16" ht="18" customHeight="1" x14ac:dyDescent="0.25">
      <c r="A2324" s="235" t="s">
        <v>112</v>
      </c>
      <c r="B2324" s="235"/>
      <c r="C2324" s="235"/>
      <c r="D2324" s="51"/>
      <c r="E2324" s="235"/>
      <c r="F2324" s="235"/>
      <c r="G2324" s="235"/>
      <c r="H2324" s="235"/>
      <c r="I2324" s="160"/>
      <c r="J2324" s="161"/>
      <c r="K2324" s="160"/>
      <c r="L2324" s="160"/>
    </row>
    <row r="2325" spans="1:16" ht="18" customHeight="1" x14ac:dyDescent="0.25">
      <c r="A2325" s="8" t="s">
        <v>1049</v>
      </c>
    </row>
    <row r="2326" spans="1:16" ht="18" customHeight="1" x14ac:dyDescent="0.25">
      <c r="A2326" s="1636" t="s">
        <v>113</v>
      </c>
      <c r="B2326" s="1636"/>
      <c r="C2326" s="1636"/>
      <c r="D2326" s="1636"/>
      <c r="E2326" s="1636"/>
      <c r="F2326" s="1636"/>
      <c r="G2326" s="1636"/>
      <c r="H2326" s="1636"/>
      <c r="I2326" s="1636"/>
      <c r="J2326" s="1636"/>
      <c r="K2326" s="1636"/>
      <c r="L2326" s="1636"/>
    </row>
    <row r="2327" spans="1:16" s="7" customFormat="1" ht="18" customHeight="1" x14ac:dyDescent="0.25">
      <c r="A2327" s="1624" t="s">
        <v>114</v>
      </c>
      <c r="B2327" s="1624"/>
      <c r="C2327" s="1624"/>
      <c r="D2327" s="1624"/>
      <c r="E2327" s="1624"/>
      <c r="F2327" s="1624"/>
      <c r="G2327" s="1624"/>
      <c r="H2327" s="1624"/>
      <c r="I2327" s="1624"/>
      <c r="J2327" s="1624"/>
      <c r="K2327" s="1624"/>
      <c r="L2327" s="1624"/>
      <c r="M2327" s="6"/>
      <c r="N2327" s="6"/>
    </row>
    <row r="2328" spans="1:16" ht="18.75" thickBot="1" x14ac:dyDescent="0.3">
      <c r="A2328" s="41"/>
      <c r="B2328" s="41"/>
      <c r="C2328" s="41"/>
      <c r="D2328" s="63"/>
      <c r="E2328" s="41"/>
      <c r="F2328" s="41"/>
      <c r="G2328" s="41"/>
      <c r="H2328" s="41"/>
    </row>
    <row r="2329" spans="1:16" ht="61.5" customHeight="1" thickBot="1" x14ac:dyDescent="0.3">
      <c r="A2329" s="1625" t="s">
        <v>115</v>
      </c>
      <c r="B2329" s="1626"/>
      <c r="C2329" s="1626"/>
      <c r="D2329" s="1626"/>
      <c r="E2329" s="1626"/>
      <c r="F2329" s="1626"/>
      <c r="G2329" s="1627"/>
      <c r="H2329" s="93" t="s">
        <v>116</v>
      </c>
      <c r="I2329" s="130" t="s">
        <v>117</v>
      </c>
      <c r="J2329" s="130" t="s">
        <v>118</v>
      </c>
      <c r="K2329" s="130" t="s">
        <v>119</v>
      </c>
      <c r="L2329" s="130" t="s">
        <v>120</v>
      </c>
    </row>
    <row r="2330" spans="1:16" s="146" customFormat="1" ht="19.5" customHeight="1" x14ac:dyDescent="0.25">
      <c r="A2330" s="519"/>
      <c r="B2330" s="499"/>
      <c r="C2330" s="499"/>
      <c r="D2330" s="36" t="s">
        <v>1175</v>
      </c>
      <c r="E2330" s="504"/>
      <c r="F2330" s="199"/>
      <c r="G2330" s="491"/>
      <c r="H2330" s="100"/>
      <c r="I2330" s="101"/>
      <c r="J2330" s="102"/>
      <c r="K2330" s="101"/>
      <c r="L2330" s="101"/>
      <c r="M2330" s="10"/>
      <c r="N2330" s="10"/>
      <c r="O2330"/>
      <c r="P2330"/>
    </row>
    <row r="2331" spans="1:16" s="146" customFormat="1" ht="18" x14ac:dyDescent="0.25">
      <c r="A2331" s="519"/>
      <c r="B2331" s="499"/>
      <c r="C2331" s="499"/>
      <c r="D2331" s="38" t="s">
        <v>1168</v>
      </c>
      <c r="E2331" s="199"/>
      <c r="F2331" s="199"/>
      <c r="G2331" s="491"/>
      <c r="H2331" s="100"/>
      <c r="I2331" s="101">
        <v>0</v>
      </c>
      <c r="J2331" s="102">
        <v>900000</v>
      </c>
      <c r="K2331" s="101"/>
      <c r="L2331" s="101"/>
      <c r="M2331" s="10"/>
      <c r="N2331" s="10"/>
      <c r="O2331"/>
      <c r="P2331"/>
    </row>
    <row r="2332" spans="1:16" s="146" customFormat="1" ht="18" x14ac:dyDescent="0.25">
      <c r="A2332" s="519"/>
      <c r="B2332" s="499"/>
      <c r="C2332" s="499"/>
      <c r="D2332" s="38" t="s">
        <v>1169</v>
      </c>
      <c r="E2332" s="199"/>
      <c r="F2332" s="199"/>
      <c r="G2332" s="491"/>
      <c r="H2332" s="100"/>
      <c r="I2332" s="101">
        <v>0</v>
      </c>
      <c r="J2332" s="102">
        <v>300000</v>
      </c>
      <c r="K2332" s="101"/>
      <c r="L2332" s="102">
        <v>300000</v>
      </c>
      <c r="M2332" s="10"/>
      <c r="N2332" s="10"/>
      <c r="O2332"/>
      <c r="P2332"/>
    </row>
    <row r="2333" spans="1:16" s="146" customFormat="1" ht="18" x14ac:dyDescent="0.25">
      <c r="A2333" s="519"/>
      <c r="B2333" s="499"/>
      <c r="C2333" s="499"/>
      <c r="D2333" s="38" t="s">
        <v>1170</v>
      </c>
      <c r="E2333" s="199"/>
      <c r="F2333" s="199"/>
      <c r="G2333" s="491"/>
      <c r="H2333" s="100"/>
      <c r="I2333" s="101"/>
      <c r="J2333" s="102"/>
      <c r="K2333" s="101"/>
      <c r="L2333" s="102"/>
      <c r="M2333" s="10"/>
      <c r="N2333" s="10"/>
      <c r="O2333"/>
      <c r="P2333"/>
    </row>
    <row r="2334" spans="1:16" s="146" customFormat="1" ht="18" x14ac:dyDescent="0.25">
      <c r="A2334" s="519"/>
      <c r="B2334" s="499"/>
      <c r="C2334" s="499"/>
      <c r="D2334" s="38" t="s">
        <v>1171</v>
      </c>
      <c r="E2334" s="199"/>
      <c r="F2334" s="199"/>
      <c r="G2334" s="491"/>
      <c r="H2334" s="100"/>
      <c r="I2334" s="101">
        <v>551000</v>
      </c>
      <c r="J2334" s="102">
        <v>700000</v>
      </c>
      <c r="K2334" s="101"/>
      <c r="L2334" s="102">
        <v>1000000</v>
      </c>
      <c r="M2334" s="10"/>
      <c r="N2334" s="10"/>
      <c r="O2334"/>
      <c r="P2334"/>
    </row>
    <row r="2335" spans="1:16" s="146" customFormat="1" ht="18" x14ac:dyDescent="0.25">
      <c r="A2335" s="519"/>
      <c r="B2335" s="499"/>
      <c r="C2335" s="499"/>
      <c r="D2335" s="38" t="s">
        <v>1172</v>
      </c>
      <c r="E2335" s="199"/>
      <c r="F2335" s="199"/>
      <c r="G2335" s="491"/>
      <c r="H2335" s="100"/>
      <c r="I2335" s="101">
        <v>69350</v>
      </c>
      <c r="J2335" s="102">
        <v>350000</v>
      </c>
      <c r="K2335" s="101"/>
      <c r="L2335" s="101">
        <v>350000</v>
      </c>
      <c r="M2335" s="10"/>
      <c r="N2335" s="10"/>
      <c r="O2335"/>
      <c r="P2335"/>
    </row>
    <row r="2336" spans="1:16" s="146" customFormat="1" ht="36.75" customHeight="1" x14ac:dyDescent="0.25">
      <c r="A2336" s="519"/>
      <c r="B2336" s="499"/>
      <c r="C2336" s="499"/>
      <c r="D2336" s="1623" t="s">
        <v>1173</v>
      </c>
      <c r="E2336" s="1623"/>
      <c r="F2336" s="199"/>
      <c r="G2336" s="491"/>
      <c r="H2336" s="100"/>
      <c r="I2336" s="101">
        <v>0</v>
      </c>
      <c r="J2336" s="102">
        <v>500000</v>
      </c>
      <c r="K2336" s="101">
        <v>472606</v>
      </c>
      <c r="L2336" s="101">
        <v>700000</v>
      </c>
      <c r="M2336" s="10"/>
      <c r="N2336" s="10"/>
      <c r="O2336"/>
      <c r="P2336"/>
    </row>
    <row r="2337" spans="1:16" s="146" customFormat="1" ht="18" x14ac:dyDescent="0.25">
      <c r="A2337" s="519"/>
      <c r="B2337" s="499"/>
      <c r="C2337" s="499"/>
      <c r="D2337" s="38" t="s">
        <v>1176</v>
      </c>
      <c r="E2337" s="199"/>
      <c r="F2337" s="199"/>
      <c r="G2337" s="491"/>
      <c r="H2337" s="100"/>
      <c r="I2337" s="101"/>
      <c r="J2337" s="102"/>
      <c r="K2337" s="101"/>
      <c r="L2337" s="101"/>
      <c r="M2337" s="10"/>
      <c r="N2337" s="10"/>
      <c r="O2337"/>
      <c r="P2337"/>
    </row>
    <row r="2338" spans="1:16" s="146" customFormat="1" ht="36" customHeight="1" x14ac:dyDescent="0.25">
      <c r="A2338" s="519"/>
      <c r="B2338" s="499"/>
      <c r="C2338" s="499"/>
      <c r="D2338" s="1623" t="s">
        <v>1177</v>
      </c>
      <c r="E2338" s="1623"/>
      <c r="F2338" s="199"/>
      <c r="G2338" s="491"/>
      <c r="H2338" s="100"/>
      <c r="I2338" s="101">
        <v>3000</v>
      </c>
      <c r="J2338" s="102">
        <v>500000</v>
      </c>
      <c r="K2338" s="101">
        <v>10000</v>
      </c>
      <c r="L2338" s="101">
        <v>100000</v>
      </c>
      <c r="M2338" s="10"/>
      <c r="N2338" s="10"/>
      <c r="O2338"/>
      <c r="P2338"/>
    </row>
    <row r="2339" spans="1:16" s="146" customFormat="1" ht="18" x14ac:dyDescent="0.25">
      <c r="A2339" s="519"/>
      <c r="B2339" s="499"/>
      <c r="C2339" s="499"/>
      <c r="D2339" s="38" t="s">
        <v>1178</v>
      </c>
      <c r="E2339" s="199"/>
      <c r="F2339" s="199"/>
      <c r="G2339" s="491"/>
      <c r="H2339" s="100"/>
      <c r="I2339" s="101">
        <v>0</v>
      </c>
      <c r="J2339" s="102">
        <v>200000</v>
      </c>
      <c r="K2339" s="101"/>
      <c r="L2339" s="101">
        <v>200000</v>
      </c>
      <c r="M2339" s="10"/>
      <c r="N2339" s="10"/>
      <c r="O2339"/>
      <c r="P2339"/>
    </row>
    <row r="2340" spans="1:16" s="146" customFormat="1" ht="36.75" customHeight="1" x14ac:dyDescent="0.25">
      <c r="A2340" s="519"/>
      <c r="B2340" s="499"/>
      <c r="C2340" s="499"/>
      <c r="D2340" s="1623" t="s">
        <v>1179</v>
      </c>
      <c r="E2340" s="1623"/>
      <c r="F2340" s="199"/>
      <c r="G2340" s="491"/>
      <c r="H2340" s="100"/>
      <c r="I2340" s="101">
        <v>2941.33</v>
      </c>
      <c r="J2340" s="102">
        <v>150000</v>
      </c>
      <c r="K2340" s="101"/>
      <c r="L2340" s="101">
        <v>150000</v>
      </c>
      <c r="M2340" s="10"/>
      <c r="N2340" s="10"/>
      <c r="O2340"/>
      <c r="P2340"/>
    </row>
    <row r="2341" spans="1:16" s="146" customFormat="1" ht="18" x14ac:dyDescent="0.25">
      <c r="A2341" s="519"/>
      <c r="B2341" s="499"/>
      <c r="C2341" s="499"/>
      <c r="D2341" s="38" t="s">
        <v>1180</v>
      </c>
      <c r="E2341" s="199"/>
      <c r="F2341" s="199"/>
      <c r="G2341" s="491"/>
      <c r="H2341" s="100"/>
      <c r="I2341" s="101"/>
      <c r="J2341" s="102">
        <v>200000</v>
      </c>
      <c r="K2341" s="101"/>
      <c r="L2341" s="101">
        <v>200000</v>
      </c>
      <c r="M2341" s="10"/>
      <c r="N2341" s="10"/>
      <c r="O2341"/>
      <c r="P2341"/>
    </row>
    <row r="2342" spans="1:16" s="146" customFormat="1" ht="18" customHeight="1" x14ac:dyDescent="0.25">
      <c r="A2342" s="519"/>
      <c r="B2342" s="499"/>
      <c r="C2342" s="499"/>
      <c r="D2342" s="1634" t="s">
        <v>1181</v>
      </c>
      <c r="E2342" s="1634"/>
      <c r="F2342" s="199"/>
      <c r="G2342" s="491"/>
      <c r="H2342" s="100"/>
      <c r="I2342" s="101"/>
      <c r="J2342" s="102">
        <v>1000000</v>
      </c>
      <c r="K2342" s="101"/>
      <c r="L2342" s="101">
        <v>1000000</v>
      </c>
      <c r="M2342" s="10"/>
      <c r="N2342" s="10"/>
      <c r="O2342"/>
      <c r="P2342"/>
    </row>
    <row r="2343" spans="1:16" s="146" customFormat="1" ht="36.75" customHeight="1" x14ac:dyDescent="0.25">
      <c r="A2343" s="519"/>
      <c r="B2343" s="499"/>
      <c r="C2343" s="499"/>
      <c r="D2343" s="1634" t="s">
        <v>1182</v>
      </c>
      <c r="E2343" s="1634"/>
      <c r="F2343" s="199"/>
      <c r="G2343" s="491"/>
      <c r="H2343" s="100"/>
      <c r="I2343" s="101"/>
      <c r="J2343" s="102">
        <v>100000</v>
      </c>
      <c r="K2343" s="101"/>
      <c r="L2343" s="105">
        <v>100000</v>
      </c>
      <c r="M2343" s="10"/>
      <c r="N2343" s="10" t="s">
        <v>1183</v>
      </c>
      <c r="O2343"/>
      <c r="P2343"/>
    </row>
    <row r="2344" spans="1:16" s="146" customFormat="1" ht="18" x14ac:dyDescent="0.25">
      <c r="A2344" s="519"/>
      <c r="B2344" s="499"/>
      <c r="C2344" s="499"/>
      <c r="D2344" s="153" t="s">
        <v>200</v>
      </c>
      <c r="F2344" s="499"/>
      <c r="G2344" s="491"/>
      <c r="H2344" s="100"/>
      <c r="I2344" s="119">
        <f>SUM(I2318:I2343)</f>
        <v>647212.15999999992</v>
      </c>
      <c r="J2344" s="150">
        <f>SUM(J2318:J2343)</f>
        <v>5545103.21</v>
      </c>
      <c r="K2344" s="119">
        <f>SUM(K2318:K2343)</f>
        <v>489851.5</v>
      </c>
      <c r="L2344" s="119">
        <f>SUM(L2318:L2343)</f>
        <v>4750000</v>
      </c>
      <c r="M2344" s="446">
        <f>N2344*1%</f>
        <v>7413053.7400000002</v>
      </c>
      <c r="N2344" s="586">
        <v>741305374</v>
      </c>
      <c r="O2344"/>
      <c r="P2344"/>
    </row>
    <row r="2345" spans="1:16" s="146" customFormat="1" ht="18" x14ac:dyDescent="0.25">
      <c r="A2345" s="519"/>
      <c r="B2345" s="499"/>
      <c r="C2345" s="499"/>
      <c r="D2345" s="38"/>
      <c r="E2345" s="153"/>
      <c r="F2345" s="499"/>
      <c r="G2345" s="491"/>
      <c r="H2345" s="100"/>
      <c r="I2345" s="155"/>
      <c r="J2345" s="156"/>
      <c r="K2345" s="155"/>
      <c r="L2345" s="155"/>
      <c r="M2345" s="10">
        <f>M2344-L2344</f>
        <v>2663053.7400000002</v>
      </c>
      <c r="N2345" s="10"/>
      <c r="O2345"/>
      <c r="P2345"/>
    </row>
    <row r="2346" spans="1:16" s="146" customFormat="1" ht="18" x14ac:dyDescent="0.25">
      <c r="A2346" s="519"/>
      <c r="B2346" s="499"/>
      <c r="C2346" s="499"/>
      <c r="D2346" s="152" t="s">
        <v>1184</v>
      </c>
      <c r="E2346" s="152"/>
      <c r="F2346" s="152"/>
      <c r="G2346" s="295"/>
      <c r="H2346" s="100"/>
      <c r="I2346" s="101"/>
      <c r="J2346" s="102"/>
      <c r="K2346" s="101"/>
      <c r="L2346" s="101"/>
      <c r="M2346" s="10">
        <f>857363458.65*0.5%</f>
        <v>4286817.2932500001</v>
      </c>
      <c r="N2346" s="10"/>
      <c r="O2346"/>
      <c r="P2346"/>
    </row>
    <row r="2347" spans="1:16" s="146" customFormat="1" ht="18" x14ac:dyDescent="0.25">
      <c r="A2347" s="519"/>
      <c r="B2347" s="499"/>
      <c r="C2347" s="499"/>
      <c r="D2347" s="38" t="s">
        <v>1185</v>
      </c>
      <c r="E2347" s="199"/>
      <c r="F2347" s="199"/>
      <c r="G2347" s="491"/>
      <c r="H2347" s="100"/>
      <c r="I2347" s="101">
        <v>596760</v>
      </c>
      <c r="J2347" s="102">
        <v>0</v>
      </c>
      <c r="K2347" s="101"/>
      <c r="L2347" s="101"/>
      <c r="M2347" s="10"/>
      <c r="N2347" s="10"/>
      <c r="O2347"/>
      <c r="P2347"/>
    </row>
    <row r="2348" spans="1:16" s="146" customFormat="1" ht="18.75" customHeight="1" x14ac:dyDescent="0.25">
      <c r="A2348" s="519"/>
      <c r="B2348" s="499"/>
      <c r="C2348" s="499"/>
      <c r="D2348" s="506" t="s">
        <v>1186</v>
      </c>
      <c r="E2348" s="509"/>
      <c r="F2348" s="199"/>
      <c r="G2348" s="491"/>
      <c r="H2348" s="100"/>
      <c r="I2348" s="101"/>
      <c r="J2348" s="102">
        <v>20000</v>
      </c>
      <c r="K2348" s="101"/>
      <c r="L2348" s="101"/>
      <c r="M2348" s="10"/>
      <c r="N2348" s="10"/>
      <c r="O2348"/>
      <c r="P2348"/>
    </row>
    <row r="2349" spans="1:16" s="146" customFormat="1" ht="18.75" customHeight="1" x14ac:dyDescent="0.25">
      <c r="A2349" s="519"/>
      <c r="B2349" s="499"/>
      <c r="C2349" s="499"/>
      <c r="D2349" s="528" t="s">
        <v>1187</v>
      </c>
      <c r="E2349" s="509"/>
      <c r="F2349" s="199"/>
      <c r="G2349" s="491"/>
      <c r="H2349" s="100"/>
      <c r="I2349" s="101"/>
      <c r="J2349" s="102">
        <v>25000</v>
      </c>
      <c r="K2349" s="101"/>
      <c r="L2349" s="101">
        <v>25000</v>
      </c>
      <c r="M2349" s="10"/>
      <c r="N2349" s="10"/>
      <c r="O2349"/>
      <c r="P2349"/>
    </row>
    <row r="2350" spans="1:16" s="146" customFormat="1" ht="18.75" customHeight="1" x14ac:dyDescent="0.25">
      <c r="A2350" s="519"/>
      <c r="B2350" s="499"/>
      <c r="C2350" s="499"/>
      <c r="D2350" s="528" t="s">
        <v>1188</v>
      </c>
      <c r="E2350" s="509"/>
      <c r="F2350" s="199"/>
      <c r="G2350" s="491"/>
      <c r="H2350" s="100"/>
      <c r="I2350" s="101"/>
      <c r="J2350" s="102">
        <v>270000</v>
      </c>
      <c r="K2350" s="101">
        <v>135000</v>
      </c>
      <c r="L2350" s="101">
        <v>270000</v>
      </c>
      <c r="M2350" s="10"/>
      <c r="N2350" s="10"/>
      <c r="O2350"/>
      <c r="P2350"/>
    </row>
    <row r="2351" spans="1:16" s="146" customFormat="1" ht="18.75" customHeight="1" x14ac:dyDescent="0.25">
      <c r="A2351" s="519"/>
      <c r="B2351" s="499"/>
      <c r="C2351" s="499"/>
      <c r="D2351" s="528" t="s">
        <v>1189</v>
      </c>
      <c r="E2351" s="509"/>
      <c r="F2351" s="199"/>
      <c r="G2351" s="491"/>
      <c r="H2351" s="100"/>
      <c r="I2351" s="101"/>
      <c r="J2351" s="102"/>
      <c r="K2351" s="101"/>
      <c r="L2351" s="101">
        <v>65000</v>
      </c>
      <c r="M2351" s="10"/>
      <c r="N2351" s="10"/>
      <c r="O2351"/>
      <c r="P2351"/>
    </row>
    <row r="2352" spans="1:16" s="146" customFormat="1" ht="18.75" customHeight="1" x14ac:dyDescent="0.25">
      <c r="A2352" s="519"/>
      <c r="B2352" s="499"/>
      <c r="C2352" s="499"/>
      <c r="D2352" s="528" t="s">
        <v>1190</v>
      </c>
      <c r="E2352" s="509"/>
      <c r="F2352" s="199"/>
      <c r="G2352" s="491"/>
      <c r="H2352" s="100"/>
      <c r="I2352" s="101"/>
      <c r="J2352" s="102">
        <v>60000</v>
      </c>
      <c r="K2352" s="101"/>
      <c r="L2352" s="101">
        <v>60000</v>
      </c>
      <c r="M2352" s="10"/>
      <c r="N2352" s="10"/>
      <c r="O2352"/>
      <c r="P2352"/>
    </row>
    <row r="2353" spans="1:16" s="146" customFormat="1" ht="18.75" customHeight="1" x14ac:dyDescent="0.25">
      <c r="A2353" s="519"/>
      <c r="B2353" s="499"/>
      <c r="C2353" s="499"/>
      <c r="D2353" s="1634" t="s">
        <v>1191</v>
      </c>
      <c r="E2353" s="1634"/>
      <c r="F2353" s="199"/>
      <c r="G2353" s="491"/>
      <c r="H2353" s="100"/>
      <c r="I2353" s="101"/>
      <c r="J2353" s="102">
        <v>600000</v>
      </c>
      <c r="K2353" s="101"/>
      <c r="L2353" s="101">
        <v>600000</v>
      </c>
      <c r="M2353" s="10"/>
      <c r="N2353" s="10"/>
      <c r="O2353"/>
      <c r="P2353"/>
    </row>
    <row r="2354" spans="1:16" s="146" customFormat="1" ht="37.5" customHeight="1" x14ac:dyDescent="0.25">
      <c r="A2354" s="519"/>
      <c r="B2354" s="499"/>
      <c r="C2354" s="499"/>
      <c r="D2354" s="1623" t="s">
        <v>1192</v>
      </c>
      <c r="E2354" s="1623"/>
      <c r="F2354" s="1623"/>
      <c r="G2354" s="491"/>
      <c r="H2354" s="100"/>
      <c r="I2354" s="101">
        <v>0</v>
      </c>
      <c r="J2354" s="102">
        <v>65000</v>
      </c>
      <c r="K2354" s="101"/>
      <c r="L2354" s="101"/>
      <c r="M2354" s="10"/>
      <c r="N2354" s="10"/>
      <c r="O2354"/>
      <c r="P2354"/>
    </row>
    <row r="2355" spans="1:16" s="146" customFormat="1" ht="33.75" customHeight="1" x14ac:dyDescent="0.25">
      <c r="A2355" s="519"/>
      <c r="B2355" s="499"/>
      <c r="C2355" s="499"/>
      <c r="D2355" s="1638" t="s">
        <v>1193</v>
      </c>
      <c r="E2355" s="1638"/>
      <c r="F2355" s="515"/>
      <c r="G2355" s="525"/>
      <c r="H2355" s="205"/>
      <c r="I2355" s="102">
        <v>800000</v>
      </c>
      <c r="J2355" s="102">
        <v>750000</v>
      </c>
      <c r="K2355" s="102">
        <v>654000</v>
      </c>
      <c r="L2355" s="102">
        <v>1500000</v>
      </c>
      <c r="M2355" s="10"/>
      <c r="N2355" s="10"/>
      <c r="O2355"/>
      <c r="P2355"/>
    </row>
    <row r="2356" spans="1:16" s="146" customFormat="1" ht="21" customHeight="1" x14ac:dyDescent="0.25">
      <c r="A2356" s="519"/>
      <c r="B2356" s="499"/>
      <c r="C2356" s="499"/>
      <c r="D2356" s="1623" t="s">
        <v>1194</v>
      </c>
      <c r="E2356" s="1623"/>
      <c r="F2356" s="504"/>
      <c r="G2356" s="491"/>
      <c r="H2356" s="100"/>
      <c r="I2356" s="101">
        <v>72000</v>
      </c>
      <c r="J2356" s="102">
        <v>200000</v>
      </c>
      <c r="K2356" s="101">
        <v>41000</v>
      </c>
      <c r="L2356" s="101">
        <v>200000</v>
      </c>
      <c r="M2356" s="10"/>
      <c r="N2356" s="10"/>
      <c r="O2356"/>
      <c r="P2356"/>
    </row>
    <row r="2357" spans="1:16" s="146" customFormat="1" ht="19.5" customHeight="1" x14ac:dyDescent="0.25">
      <c r="A2357" s="519"/>
      <c r="B2357" s="499"/>
      <c r="C2357" s="499"/>
      <c r="D2357" s="1623" t="s">
        <v>1195</v>
      </c>
      <c r="E2357" s="1623"/>
      <c r="F2357" s="504"/>
      <c r="G2357" s="491"/>
      <c r="H2357" s="100"/>
      <c r="I2357" s="101">
        <v>690000</v>
      </c>
      <c r="J2357" s="102">
        <v>3000000</v>
      </c>
      <c r="K2357" s="101"/>
      <c r="L2357" s="101"/>
      <c r="M2357" s="10"/>
      <c r="N2357" s="10"/>
      <c r="O2357"/>
      <c r="P2357"/>
    </row>
    <row r="2358" spans="1:16" s="146" customFormat="1" ht="19.5" customHeight="1" x14ac:dyDescent="0.25">
      <c r="A2358" s="519"/>
      <c r="B2358" s="499"/>
      <c r="C2358" s="499"/>
      <c r="D2358" s="516" t="s">
        <v>1196</v>
      </c>
      <c r="E2358" s="504"/>
      <c r="F2358" s="504"/>
      <c r="G2358" s="491"/>
      <c r="H2358" s="100"/>
      <c r="I2358" s="101"/>
      <c r="J2358" s="102"/>
      <c r="K2358" s="101"/>
      <c r="L2358" s="101">
        <v>3000000</v>
      </c>
      <c r="M2358" s="10"/>
      <c r="N2358" s="10"/>
      <c r="O2358"/>
      <c r="P2358"/>
    </row>
    <row r="2359" spans="1:16" s="146" customFormat="1" ht="38.25" customHeight="1" x14ac:dyDescent="0.25">
      <c r="A2359" s="519"/>
      <c r="B2359" s="499"/>
      <c r="C2359" s="499"/>
      <c r="D2359" s="1622" t="s">
        <v>1197</v>
      </c>
      <c r="E2359" s="1622"/>
      <c r="F2359" s="504"/>
      <c r="G2359" s="491"/>
      <c r="H2359" s="100"/>
      <c r="I2359" s="101"/>
      <c r="J2359" s="102">
        <v>10000</v>
      </c>
      <c r="K2359" s="101"/>
      <c r="L2359" s="101">
        <v>10000</v>
      </c>
      <c r="M2359" s="10"/>
      <c r="N2359" s="10"/>
      <c r="O2359"/>
      <c r="P2359"/>
    </row>
    <row r="2360" spans="1:16" s="146" customFormat="1" ht="18.75" customHeight="1" x14ac:dyDescent="0.25">
      <c r="A2360" s="519"/>
      <c r="B2360" s="499"/>
      <c r="C2360" s="499"/>
      <c r="D2360" s="180" t="s">
        <v>1198</v>
      </c>
      <c r="E2360" s="505"/>
      <c r="F2360" s="504"/>
      <c r="G2360" s="491"/>
      <c r="H2360" s="100"/>
      <c r="I2360" s="101"/>
      <c r="J2360" s="102">
        <v>60000</v>
      </c>
      <c r="K2360" s="101"/>
      <c r="L2360" s="101"/>
      <c r="M2360" s="10"/>
      <c r="N2360" s="10"/>
      <c r="O2360"/>
      <c r="P2360"/>
    </row>
    <row r="2361" spans="1:16" s="146" customFormat="1" ht="18" x14ac:dyDescent="0.25">
      <c r="A2361" s="519"/>
      <c r="B2361" s="499"/>
      <c r="C2361" s="499"/>
      <c r="D2361" s="38" t="s">
        <v>1199</v>
      </c>
      <c r="E2361" s="199"/>
      <c r="F2361" s="199"/>
      <c r="G2361" s="491"/>
      <c r="H2361" s="100"/>
      <c r="I2361" s="101"/>
      <c r="J2361" s="102"/>
      <c r="K2361" s="101"/>
      <c r="L2361" s="101"/>
      <c r="M2361" s="10"/>
      <c r="N2361" s="10"/>
      <c r="O2361"/>
      <c r="P2361"/>
    </row>
    <row r="2362" spans="1:16" s="146" customFormat="1" ht="18" x14ac:dyDescent="0.25">
      <c r="A2362" s="519"/>
      <c r="B2362" s="499"/>
      <c r="C2362" s="499"/>
      <c r="D2362" s="38" t="s">
        <v>1200</v>
      </c>
      <c r="E2362" s="199"/>
      <c r="F2362" s="199"/>
      <c r="G2362" s="491"/>
      <c r="H2362" s="100"/>
      <c r="I2362" s="105">
        <v>65729.5</v>
      </c>
      <c r="J2362" s="106"/>
      <c r="K2362" s="105"/>
      <c r="L2362" s="105"/>
      <c r="M2362" s="10"/>
      <c r="N2362" s="10"/>
      <c r="O2362"/>
      <c r="P2362"/>
    </row>
    <row r="2363" spans="1:16" s="146" customFormat="1" ht="18" x14ac:dyDescent="0.25">
      <c r="A2363" s="519"/>
      <c r="B2363" s="499"/>
      <c r="C2363" s="499"/>
      <c r="D2363" s="153" t="s">
        <v>200</v>
      </c>
      <c r="F2363" s="499"/>
      <c r="G2363" s="491"/>
      <c r="H2363" s="100"/>
      <c r="I2363" s="119">
        <f>SUM(I2347:I2362)</f>
        <v>2224489.5</v>
      </c>
      <c r="J2363" s="150">
        <f>SUM(J2347:J2362)</f>
        <v>5060000</v>
      </c>
      <c r="K2363" s="119">
        <f>SUM(K2347:K2362)</f>
        <v>830000</v>
      </c>
      <c r="L2363" s="119">
        <f>SUM(L2347:L2362)</f>
        <v>5730000</v>
      </c>
      <c r="M2363" s="156">
        <f>11645609.39</f>
        <v>11645609.390000001</v>
      </c>
      <c r="N2363" s="446">
        <f>M2365*0.5%</f>
        <v>3764754.91695</v>
      </c>
      <c r="O2363"/>
      <c r="P2363"/>
    </row>
    <row r="2364" spans="1:16" s="146" customFormat="1" ht="18" x14ac:dyDescent="0.25">
      <c r="A2364" s="519"/>
      <c r="B2364" s="499"/>
      <c r="C2364" s="499"/>
      <c r="D2364" s="513"/>
      <c r="E2364" s="153"/>
      <c r="F2364" s="499"/>
      <c r="G2364" s="499"/>
      <c r="H2364" s="100"/>
      <c r="I2364" s="155"/>
      <c r="J2364" s="156"/>
      <c r="K2364" s="155"/>
      <c r="L2364" s="155"/>
      <c r="M2364" s="10">
        <v>741305374</v>
      </c>
      <c r="N2364" s="10"/>
      <c r="O2364"/>
      <c r="P2364"/>
    </row>
    <row r="2365" spans="1:16" s="146" customFormat="1" ht="18" x14ac:dyDescent="0.25">
      <c r="A2365" s="519"/>
      <c r="B2365" s="499"/>
      <c r="C2365" s="499"/>
      <c r="D2365" s="36" t="s">
        <v>1201</v>
      </c>
      <c r="E2365" s="184"/>
      <c r="F2365" s="184"/>
      <c r="G2365" s="184"/>
      <c r="H2365" s="100"/>
      <c r="I2365" s="101"/>
      <c r="J2365" s="102"/>
      <c r="K2365" s="101"/>
      <c r="L2365" s="101"/>
      <c r="M2365" s="10">
        <f>SUM(M2363:M2364)</f>
        <v>752950983.38999999</v>
      </c>
      <c r="N2365" s="10"/>
      <c r="O2365"/>
      <c r="P2365"/>
    </row>
    <row r="2366" spans="1:16" s="146" customFormat="1" ht="18" x14ac:dyDescent="0.25">
      <c r="A2366" s="519"/>
      <c r="B2366" s="499"/>
      <c r="C2366" s="499"/>
      <c r="D2366" s="516" t="s">
        <v>1202</v>
      </c>
      <c r="E2366" s="3"/>
      <c r="F2366" s="511"/>
      <c r="G2366" s="422"/>
      <c r="H2366" s="100"/>
      <c r="I2366" s="101">
        <v>254241.76</v>
      </c>
      <c r="J2366" s="102">
        <v>3321095</v>
      </c>
      <c r="K2366" s="101">
        <v>290409.59000000003</v>
      </c>
      <c r="L2366" s="101"/>
      <c r="M2366" s="203"/>
      <c r="N2366" s="10"/>
      <c r="O2366"/>
      <c r="P2366"/>
    </row>
    <row r="2367" spans="1:16" s="146" customFormat="1" ht="36.75" customHeight="1" x14ac:dyDescent="0.25">
      <c r="A2367" s="519"/>
      <c r="B2367" s="499"/>
      <c r="C2367" s="499"/>
      <c r="D2367" s="1637" t="s">
        <v>1203</v>
      </c>
      <c r="E2367" s="1637"/>
      <c r="F2367" s="507"/>
      <c r="G2367" s="400"/>
      <c r="H2367" s="100"/>
      <c r="I2367" s="101">
        <v>185000</v>
      </c>
      <c r="J2367" s="102"/>
      <c r="K2367" s="101"/>
      <c r="L2367" s="101"/>
      <c r="M2367" s="10"/>
      <c r="N2367" s="10"/>
      <c r="O2367"/>
      <c r="P2367"/>
    </row>
    <row r="2368" spans="1:16" s="146" customFormat="1" ht="36.75" customHeight="1" x14ac:dyDescent="0.25">
      <c r="A2368" s="519"/>
      <c r="B2368" s="499"/>
      <c r="C2368" s="499"/>
      <c r="D2368" s="1637" t="s">
        <v>1204</v>
      </c>
      <c r="E2368" s="1637"/>
      <c r="F2368" s="507"/>
      <c r="G2368" s="400"/>
      <c r="H2368" s="100"/>
      <c r="I2368" s="101"/>
      <c r="J2368" s="102"/>
      <c r="K2368" s="101"/>
      <c r="L2368" s="101"/>
      <c r="M2368" s="10"/>
      <c r="N2368" s="10"/>
      <c r="O2368"/>
      <c r="P2368"/>
    </row>
    <row r="2369" spans="1:16" s="146" customFormat="1" ht="18" customHeight="1" x14ac:dyDescent="0.25">
      <c r="A2369" s="519"/>
      <c r="B2369" s="499"/>
      <c r="C2369" s="499"/>
      <c r="D2369" s="536" t="s">
        <v>1205</v>
      </c>
      <c r="E2369" s="507"/>
      <c r="F2369" s="507"/>
      <c r="G2369" s="400"/>
      <c r="H2369" s="100"/>
      <c r="I2369" s="101"/>
      <c r="J2369" s="102"/>
      <c r="K2369" s="101"/>
      <c r="L2369" s="102">
        <v>50000</v>
      </c>
      <c r="M2369" s="10"/>
      <c r="N2369" s="10"/>
      <c r="O2369"/>
      <c r="P2369"/>
    </row>
    <row r="2370" spans="1:16" s="146" customFormat="1" ht="18" customHeight="1" x14ac:dyDescent="0.25">
      <c r="A2370" s="519"/>
      <c r="B2370" s="499"/>
      <c r="C2370" s="499"/>
      <c r="D2370" s="536" t="s">
        <v>1206</v>
      </c>
      <c r="E2370" s="507"/>
      <c r="F2370" s="507"/>
      <c r="G2370" s="400"/>
      <c r="H2370" s="100"/>
      <c r="I2370" s="101"/>
      <c r="J2370" s="102"/>
      <c r="K2370" s="101"/>
      <c r="L2370" s="102">
        <v>50000</v>
      </c>
      <c r="M2370" s="10"/>
      <c r="N2370" s="10"/>
      <c r="O2370"/>
      <c r="P2370"/>
    </row>
    <row r="2371" spans="1:16" s="146" customFormat="1" ht="18" customHeight="1" x14ac:dyDescent="0.25">
      <c r="A2371" s="519"/>
      <c r="B2371" s="499"/>
      <c r="C2371" s="499"/>
      <c r="D2371" s="536" t="s">
        <v>1207</v>
      </c>
      <c r="E2371" s="507"/>
      <c r="F2371" s="507"/>
      <c r="G2371" s="400"/>
      <c r="H2371" s="100"/>
      <c r="I2371" s="101"/>
      <c r="J2371" s="102"/>
      <c r="K2371" s="101"/>
      <c r="L2371" s="102">
        <v>50000</v>
      </c>
      <c r="M2371" s="10"/>
      <c r="N2371" s="10"/>
      <c r="O2371"/>
      <c r="P2371"/>
    </row>
    <row r="2372" spans="1:16" s="146" customFormat="1" ht="18" customHeight="1" x14ac:dyDescent="0.25">
      <c r="A2372" s="519"/>
      <c r="B2372" s="499"/>
      <c r="C2372" s="499"/>
      <c r="D2372" s="536" t="s">
        <v>1208</v>
      </c>
      <c r="E2372" s="507"/>
      <c r="F2372" s="507"/>
      <c r="G2372" s="400"/>
      <c r="H2372" s="100"/>
      <c r="I2372" s="101"/>
      <c r="J2372" s="102"/>
      <c r="K2372" s="101"/>
      <c r="L2372" s="102">
        <v>58246</v>
      </c>
      <c r="M2372" s="10"/>
      <c r="N2372" s="10"/>
      <c r="O2372"/>
      <c r="P2372"/>
    </row>
    <row r="2373" spans="1:16" s="146" customFormat="1" ht="18" customHeight="1" x14ac:dyDescent="0.25">
      <c r="A2373" s="519"/>
      <c r="B2373" s="499"/>
      <c r="C2373" s="499"/>
      <c r="D2373" s="536" t="s">
        <v>1209</v>
      </c>
      <c r="E2373" s="507"/>
      <c r="F2373" s="507"/>
      <c r="G2373" s="400"/>
      <c r="H2373" s="100"/>
      <c r="I2373" s="101"/>
      <c r="J2373" s="102"/>
      <c r="K2373" s="101"/>
      <c r="L2373" s="102">
        <v>38165</v>
      </c>
      <c r="M2373" s="10"/>
      <c r="N2373" s="10"/>
      <c r="O2373"/>
      <c r="P2373"/>
    </row>
    <row r="2374" spans="1:16" s="146" customFormat="1" ht="18" customHeight="1" x14ac:dyDescent="0.25">
      <c r="A2374" s="519"/>
      <c r="B2374" s="499"/>
      <c r="C2374" s="499"/>
      <c r="D2374" s="536" t="s">
        <v>1210</v>
      </c>
      <c r="E2374" s="507"/>
      <c r="F2374" s="507"/>
      <c r="G2374" s="400"/>
      <c r="H2374" s="100"/>
      <c r="I2374" s="101"/>
      <c r="J2374" s="102"/>
      <c r="K2374" s="101"/>
      <c r="L2374" s="102">
        <v>50000</v>
      </c>
      <c r="M2374" s="10"/>
      <c r="N2374" s="10"/>
      <c r="O2374"/>
      <c r="P2374"/>
    </row>
    <row r="2375" spans="1:16" s="146" customFormat="1" ht="18" customHeight="1" x14ac:dyDescent="0.25">
      <c r="A2375" s="519"/>
      <c r="B2375" s="499"/>
      <c r="C2375" s="499"/>
      <c r="D2375" s="536" t="s">
        <v>1211</v>
      </c>
      <c r="E2375" s="507"/>
      <c r="F2375" s="507"/>
      <c r="G2375" s="400"/>
      <c r="H2375" s="100"/>
      <c r="I2375" s="101"/>
      <c r="J2375" s="102"/>
      <c r="K2375" s="101"/>
      <c r="L2375" s="102">
        <v>96000</v>
      </c>
      <c r="M2375" s="10"/>
      <c r="N2375" s="10"/>
      <c r="O2375"/>
      <c r="P2375"/>
    </row>
    <row r="2376" spans="1:16" s="146" customFormat="1" ht="18" customHeight="1" x14ac:dyDescent="0.25">
      <c r="A2376" s="519"/>
      <c r="B2376" s="499"/>
      <c r="C2376" s="499"/>
      <c r="D2376" s="536" t="s">
        <v>1212</v>
      </c>
      <c r="E2376" s="507"/>
      <c r="F2376" s="507"/>
      <c r="G2376" s="400"/>
      <c r="H2376" s="100"/>
      <c r="I2376" s="101"/>
      <c r="J2376" s="102"/>
      <c r="K2376" s="101"/>
      <c r="L2376" s="102">
        <v>400000</v>
      </c>
      <c r="M2376" s="10"/>
      <c r="N2376" s="10"/>
      <c r="O2376"/>
      <c r="P2376"/>
    </row>
    <row r="2377" spans="1:16" s="146" customFormat="1" ht="18" customHeight="1" x14ac:dyDescent="0.25">
      <c r="A2377" s="519"/>
      <c r="B2377" s="499"/>
      <c r="C2377" s="499"/>
      <c r="D2377" s="536" t="s">
        <v>1213</v>
      </c>
      <c r="E2377" s="507"/>
      <c r="F2377" s="507"/>
      <c r="G2377" s="400"/>
      <c r="H2377" s="100"/>
      <c r="I2377" s="101"/>
      <c r="J2377" s="102"/>
      <c r="K2377" s="101"/>
      <c r="L2377" s="101">
        <v>100000</v>
      </c>
      <c r="M2377" s="10"/>
      <c r="N2377" s="10"/>
      <c r="O2377"/>
      <c r="P2377"/>
    </row>
    <row r="2378" spans="1:16" s="146" customFormat="1" ht="18" customHeight="1" thickBot="1" x14ac:dyDescent="0.3">
      <c r="A2378" s="187"/>
      <c r="B2378" s="413"/>
      <c r="C2378" s="413"/>
      <c r="D2378" s="447"/>
      <c r="E2378" s="448"/>
      <c r="F2378" s="448"/>
      <c r="G2378" s="449"/>
      <c r="H2378" s="308"/>
      <c r="I2378" s="219"/>
      <c r="J2378" s="220"/>
      <c r="K2378" s="219"/>
      <c r="L2378" s="219"/>
      <c r="M2378" s="10"/>
      <c r="N2378" s="10"/>
      <c r="O2378"/>
      <c r="P2378"/>
    </row>
    <row r="2379" spans="1:16" s="146" customFormat="1" ht="18" customHeight="1" x14ac:dyDescent="0.25">
      <c r="A2379" s="499"/>
      <c r="B2379" s="499"/>
      <c r="C2379" s="499"/>
      <c r="D2379" s="536"/>
      <c r="E2379" s="507"/>
      <c r="F2379" s="507"/>
      <c r="G2379" s="400"/>
      <c r="H2379" s="381"/>
      <c r="I2379" s="141"/>
      <c r="J2379" s="122"/>
      <c r="K2379" s="141"/>
      <c r="L2379" s="141"/>
      <c r="M2379" s="10"/>
      <c r="N2379" s="10"/>
      <c r="O2379"/>
      <c r="P2379"/>
    </row>
    <row r="2380" spans="1:16" s="146" customFormat="1" ht="18" customHeight="1" x14ac:dyDescent="0.25">
      <c r="A2380" s="499"/>
      <c r="B2380" s="499"/>
      <c r="C2380" s="499"/>
      <c r="D2380" s="536"/>
      <c r="E2380" s="507"/>
      <c r="F2380" s="507"/>
      <c r="G2380" s="400"/>
      <c r="H2380" s="381"/>
      <c r="I2380" s="141"/>
      <c r="J2380" s="122"/>
      <c r="K2380" s="141"/>
      <c r="L2380" s="141"/>
      <c r="M2380" s="10"/>
      <c r="N2380" s="10"/>
      <c r="O2380"/>
      <c r="P2380"/>
    </row>
    <row r="2381" spans="1:16" ht="18" customHeight="1" x14ac:dyDescent="0.25">
      <c r="A2381" s="235" t="s">
        <v>112</v>
      </c>
      <c r="B2381" s="235"/>
      <c r="C2381" s="235"/>
      <c r="D2381" s="51"/>
      <c r="E2381" s="235"/>
      <c r="F2381" s="235"/>
      <c r="G2381" s="235"/>
      <c r="H2381" s="235"/>
      <c r="I2381" s="160"/>
      <c r="J2381" s="161"/>
      <c r="K2381" s="160"/>
      <c r="L2381" s="160"/>
    </row>
    <row r="2382" spans="1:16" ht="18" customHeight="1" x14ac:dyDescent="0.25">
      <c r="A2382" s="8" t="s">
        <v>1098</v>
      </c>
    </row>
    <row r="2383" spans="1:16" ht="18" customHeight="1" x14ac:dyDescent="0.25">
      <c r="A2383" s="1636" t="s">
        <v>113</v>
      </c>
      <c r="B2383" s="1636"/>
      <c r="C2383" s="1636"/>
      <c r="D2383" s="1636"/>
      <c r="E2383" s="1636"/>
      <c r="F2383" s="1636"/>
      <c r="G2383" s="1636"/>
      <c r="H2383" s="1636"/>
      <c r="I2383" s="1636"/>
      <c r="J2383" s="1636"/>
      <c r="K2383" s="1636"/>
      <c r="L2383" s="1636"/>
    </row>
    <row r="2384" spans="1:16" s="7" customFormat="1" ht="18" customHeight="1" x14ac:dyDescent="0.25">
      <c r="A2384" s="1624" t="s">
        <v>114</v>
      </c>
      <c r="B2384" s="1624"/>
      <c r="C2384" s="1624"/>
      <c r="D2384" s="1624"/>
      <c r="E2384" s="1624"/>
      <c r="F2384" s="1624"/>
      <c r="G2384" s="1624"/>
      <c r="H2384" s="1624"/>
      <c r="I2384" s="1624"/>
      <c r="J2384" s="1624"/>
      <c r="K2384" s="1624"/>
      <c r="L2384" s="1624"/>
      <c r="M2384" s="6"/>
      <c r="N2384" s="6"/>
    </row>
    <row r="2385" spans="1:16" ht="18.75" thickBot="1" x14ac:dyDescent="0.3">
      <c r="A2385" s="41"/>
      <c r="B2385" s="41"/>
      <c r="C2385" s="41"/>
      <c r="D2385" s="63"/>
      <c r="E2385" s="41"/>
      <c r="F2385" s="41"/>
      <c r="G2385" s="41"/>
      <c r="H2385" s="41"/>
    </row>
    <row r="2386" spans="1:16" ht="63" customHeight="1" thickBot="1" x14ac:dyDescent="0.3">
      <c r="A2386" s="1625" t="s">
        <v>115</v>
      </c>
      <c r="B2386" s="1626"/>
      <c r="C2386" s="1626"/>
      <c r="D2386" s="1626"/>
      <c r="E2386" s="1626"/>
      <c r="F2386" s="1626"/>
      <c r="G2386" s="1627"/>
      <c r="H2386" s="93" t="s">
        <v>116</v>
      </c>
      <c r="I2386" s="130" t="s">
        <v>117</v>
      </c>
      <c r="J2386" s="130" t="s">
        <v>118</v>
      </c>
      <c r="K2386" s="130" t="s">
        <v>119</v>
      </c>
      <c r="L2386" s="130" t="s">
        <v>120</v>
      </c>
    </row>
    <row r="2387" spans="1:16" s="146" customFormat="1" ht="18" x14ac:dyDescent="0.25">
      <c r="A2387" s="519"/>
      <c r="B2387" s="499"/>
      <c r="C2387" s="499"/>
      <c r="D2387" s="36" t="s">
        <v>1215</v>
      </c>
      <c r="E2387" s="184"/>
      <c r="F2387" s="184"/>
      <c r="G2387" s="184"/>
      <c r="H2387" s="100"/>
      <c r="I2387" s="101"/>
      <c r="J2387" s="102"/>
      <c r="K2387" s="101"/>
      <c r="L2387" s="209"/>
      <c r="M2387" s="10"/>
      <c r="N2387" s="10"/>
      <c r="O2387"/>
      <c r="P2387"/>
    </row>
    <row r="2388" spans="1:16" s="146" customFormat="1" ht="18" customHeight="1" x14ac:dyDescent="0.25">
      <c r="A2388" s="519"/>
      <c r="B2388" s="499"/>
      <c r="C2388" s="499"/>
      <c r="D2388" s="536" t="s">
        <v>1216</v>
      </c>
      <c r="E2388" s="507"/>
      <c r="F2388" s="507"/>
      <c r="G2388" s="400"/>
      <c r="H2388" s="100"/>
      <c r="I2388" s="101"/>
      <c r="J2388" s="102"/>
      <c r="K2388" s="101"/>
      <c r="L2388" s="101">
        <v>100000</v>
      </c>
      <c r="M2388" s="10"/>
      <c r="N2388" s="10"/>
      <c r="O2388"/>
      <c r="P2388"/>
    </row>
    <row r="2389" spans="1:16" s="146" customFormat="1" ht="36.75" customHeight="1" x14ac:dyDescent="0.25">
      <c r="A2389" s="519"/>
      <c r="B2389" s="499"/>
      <c r="C2389" s="499"/>
      <c r="D2389" s="1637" t="s">
        <v>1217</v>
      </c>
      <c r="E2389" s="1637"/>
      <c r="F2389" s="507"/>
      <c r="G2389" s="400"/>
      <c r="H2389" s="100"/>
      <c r="I2389" s="101"/>
      <c r="J2389" s="102"/>
      <c r="K2389" s="101"/>
      <c r="L2389" s="101">
        <v>600000</v>
      </c>
      <c r="M2389" s="10"/>
      <c r="N2389" s="10"/>
      <c r="O2389"/>
      <c r="P2389"/>
    </row>
    <row r="2390" spans="1:16" s="146" customFormat="1" ht="18" customHeight="1" x14ac:dyDescent="0.25">
      <c r="A2390" s="519"/>
      <c r="B2390" s="499"/>
      <c r="C2390" s="499"/>
      <c r="D2390" s="536" t="s">
        <v>1218</v>
      </c>
      <c r="E2390" s="507"/>
      <c r="F2390" s="507"/>
      <c r="G2390" s="400"/>
      <c r="H2390" s="100"/>
      <c r="I2390" s="101"/>
      <c r="J2390" s="102"/>
      <c r="K2390" s="101"/>
      <c r="L2390" s="101">
        <v>10000</v>
      </c>
      <c r="M2390" s="10"/>
      <c r="N2390" s="10"/>
      <c r="O2390"/>
      <c r="P2390"/>
    </row>
    <row r="2391" spans="1:16" s="146" customFormat="1" ht="37.5" customHeight="1" x14ac:dyDescent="0.25">
      <c r="A2391" s="519"/>
      <c r="B2391" s="499"/>
      <c r="C2391" s="499"/>
      <c r="D2391" s="1637" t="s">
        <v>1219</v>
      </c>
      <c r="E2391" s="1637"/>
      <c r="F2391" s="507"/>
      <c r="G2391" s="400"/>
      <c r="H2391" s="100"/>
      <c r="I2391" s="101"/>
      <c r="J2391" s="102"/>
      <c r="K2391" s="101"/>
      <c r="L2391" s="101">
        <v>180000</v>
      </c>
      <c r="M2391" s="10"/>
      <c r="N2391" s="10"/>
      <c r="O2391"/>
      <c r="P2391"/>
    </row>
    <row r="2392" spans="1:16" s="146" customFormat="1" ht="18" customHeight="1" x14ac:dyDescent="0.25">
      <c r="A2392" s="519"/>
      <c r="B2392" s="499"/>
      <c r="C2392" s="499"/>
      <c r="D2392" s="536" t="s">
        <v>1220</v>
      </c>
      <c r="E2392" s="507"/>
      <c r="F2392" s="507"/>
      <c r="G2392" s="400"/>
      <c r="H2392" s="100"/>
      <c r="I2392" s="101"/>
      <c r="J2392" s="102"/>
      <c r="K2392" s="101"/>
      <c r="L2392" s="102">
        <v>600000</v>
      </c>
      <c r="M2392" s="10"/>
      <c r="N2392" s="10"/>
      <c r="O2392"/>
      <c r="P2392"/>
    </row>
    <row r="2393" spans="1:16" s="146" customFormat="1" ht="18" customHeight="1" x14ac:dyDescent="0.25">
      <c r="A2393" s="519"/>
      <c r="B2393" s="499"/>
      <c r="C2393" s="499"/>
      <c r="D2393" s="536" t="s">
        <v>1221</v>
      </c>
      <c r="E2393" s="507"/>
      <c r="F2393" s="507"/>
      <c r="G2393" s="400"/>
      <c r="H2393" s="100"/>
      <c r="I2393" s="101"/>
      <c r="J2393" s="102"/>
      <c r="K2393" s="101"/>
      <c r="L2393" s="101">
        <v>25000</v>
      </c>
      <c r="M2393" s="10"/>
      <c r="N2393" s="10"/>
      <c r="O2393"/>
      <c r="P2393"/>
    </row>
    <row r="2394" spans="1:16" s="146" customFormat="1" ht="18" customHeight="1" x14ac:dyDescent="0.25">
      <c r="A2394" s="519"/>
      <c r="B2394" s="499"/>
      <c r="C2394" s="499"/>
      <c r="D2394" s="536" t="s">
        <v>1222</v>
      </c>
      <c r="E2394" s="507"/>
      <c r="F2394" s="507"/>
      <c r="G2394" s="400"/>
      <c r="H2394" s="100"/>
      <c r="I2394" s="101"/>
      <c r="J2394" s="102"/>
      <c r="K2394" s="101"/>
      <c r="L2394" s="101">
        <v>250000</v>
      </c>
      <c r="M2394" s="10"/>
      <c r="N2394" s="10"/>
      <c r="O2394"/>
      <c r="P2394"/>
    </row>
    <row r="2395" spans="1:16" s="146" customFormat="1" ht="18" customHeight="1" x14ac:dyDescent="0.25">
      <c r="A2395" s="519"/>
      <c r="B2395" s="499"/>
      <c r="C2395" s="499"/>
      <c r="D2395" s="536" t="s">
        <v>1223</v>
      </c>
      <c r="E2395" s="507"/>
      <c r="F2395" s="507"/>
      <c r="G2395" s="400"/>
      <c r="H2395" s="100"/>
      <c r="I2395" s="101"/>
      <c r="J2395" s="102"/>
      <c r="K2395" s="101"/>
      <c r="L2395" s="102">
        <v>200000</v>
      </c>
      <c r="M2395" s="10"/>
      <c r="N2395" s="10"/>
      <c r="O2395"/>
      <c r="P2395"/>
    </row>
    <row r="2396" spans="1:16" s="146" customFormat="1" ht="36.75" customHeight="1" x14ac:dyDescent="0.25">
      <c r="A2396" s="519"/>
      <c r="B2396" s="499"/>
      <c r="C2396" s="499"/>
      <c r="D2396" s="1637" t="s">
        <v>1224</v>
      </c>
      <c r="E2396" s="1637"/>
      <c r="F2396" s="507"/>
      <c r="G2396" s="400"/>
      <c r="H2396" s="100"/>
      <c r="I2396" s="101"/>
      <c r="J2396" s="102"/>
      <c r="K2396" s="101"/>
      <c r="L2396" s="102">
        <v>50000</v>
      </c>
      <c r="M2396" s="10"/>
      <c r="N2396" s="10"/>
      <c r="O2396"/>
      <c r="P2396"/>
    </row>
    <row r="2397" spans="1:16" s="146" customFormat="1" ht="18" customHeight="1" x14ac:dyDescent="0.25">
      <c r="A2397" s="519"/>
      <c r="B2397" s="499"/>
      <c r="C2397" s="499"/>
      <c r="D2397" s="536" t="s">
        <v>1225</v>
      </c>
      <c r="E2397" s="507"/>
      <c r="F2397" s="507"/>
      <c r="G2397" s="400"/>
      <c r="H2397" s="100"/>
      <c r="I2397" s="101"/>
      <c r="J2397" s="102"/>
      <c r="K2397" s="101"/>
      <c r="L2397" s="105">
        <v>50000</v>
      </c>
      <c r="M2397" s="10"/>
      <c r="N2397" s="10"/>
      <c r="O2397"/>
      <c r="P2397"/>
    </row>
    <row r="2398" spans="1:16" s="146" customFormat="1" ht="18" x14ac:dyDescent="0.25">
      <c r="A2398" s="519"/>
      <c r="B2398" s="499"/>
      <c r="C2398" s="499"/>
      <c r="D2398" s="153" t="s">
        <v>200</v>
      </c>
      <c r="F2398" s="499"/>
      <c r="G2398" s="491"/>
      <c r="H2398" s="100"/>
      <c r="I2398" s="119">
        <f>SUM(I2366:I2391)</f>
        <v>439241.76</v>
      </c>
      <c r="J2398" s="150">
        <f>SUM(J2366:J2391)</f>
        <v>3321095</v>
      </c>
      <c r="K2398" s="119">
        <f>SUM(K2366:K2391)</f>
        <v>290409.59000000003</v>
      </c>
      <c r="L2398" s="119">
        <f>SUM(L2366:L2397)</f>
        <v>2957411</v>
      </c>
      <c r="M2398" s="10">
        <f>752950983.39</f>
        <v>752950983.38999999</v>
      </c>
      <c r="N2398" s="446">
        <f>M2398*0.5%</f>
        <v>3764754.91695</v>
      </c>
      <c r="O2398"/>
      <c r="P2398"/>
    </row>
    <row r="2399" spans="1:16" s="146" customFormat="1" ht="18" x14ac:dyDescent="0.25">
      <c r="A2399" s="519"/>
      <c r="B2399" s="499"/>
      <c r="C2399" s="499"/>
      <c r="D2399" s="513"/>
      <c r="E2399" s="153"/>
      <c r="F2399" s="499"/>
      <c r="G2399" s="499"/>
      <c r="H2399" s="100"/>
      <c r="I2399" s="155"/>
      <c r="J2399" s="156"/>
      <c r="K2399" s="155"/>
      <c r="L2399" s="155"/>
      <c r="M2399" s="10"/>
      <c r="N2399" s="10">
        <f>N2398-L2398</f>
        <v>807343.91694999998</v>
      </c>
      <c r="O2399"/>
      <c r="P2399"/>
    </row>
    <row r="2400" spans="1:16" s="146" customFormat="1" ht="18" x14ac:dyDescent="0.25">
      <c r="A2400" s="519"/>
      <c r="B2400" s="499"/>
      <c r="C2400" s="499"/>
      <c r="D2400" s="369" t="s">
        <v>1226</v>
      </c>
      <c r="E2400" s="153"/>
      <c r="F2400" s="499"/>
      <c r="G2400" s="499"/>
      <c r="H2400" s="100"/>
      <c r="I2400" s="155"/>
      <c r="J2400" s="156"/>
      <c r="K2400" s="155"/>
      <c r="L2400" s="155"/>
      <c r="M2400" s="10"/>
      <c r="N2400" s="10"/>
      <c r="O2400"/>
      <c r="P2400"/>
    </row>
    <row r="2401" spans="1:16" s="146" customFormat="1" ht="18" x14ac:dyDescent="0.25">
      <c r="A2401" s="519"/>
      <c r="B2401" s="499"/>
      <c r="C2401" s="499"/>
      <c r="D2401" s="536" t="s">
        <v>1227</v>
      </c>
      <c r="E2401" s="153"/>
      <c r="F2401" s="499"/>
      <c r="G2401" s="499"/>
      <c r="H2401" s="100"/>
      <c r="I2401" s="155"/>
      <c r="J2401" s="156"/>
      <c r="K2401" s="155"/>
      <c r="L2401" s="101">
        <v>50000</v>
      </c>
      <c r="M2401" s="10"/>
      <c r="N2401" s="10"/>
      <c r="O2401"/>
      <c r="P2401"/>
    </row>
    <row r="2402" spans="1:16" s="146" customFormat="1" ht="18" x14ac:dyDescent="0.25">
      <c r="A2402" s="519"/>
      <c r="B2402" s="499"/>
      <c r="C2402" s="499"/>
      <c r="D2402" s="153" t="s">
        <v>200</v>
      </c>
      <c r="F2402" s="499"/>
      <c r="G2402" s="499"/>
      <c r="H2402" s="100"/>
      <c r="I2402" s="119"/>
      <c r="J2402" s="150"/>
      <c r="K2402" s="119"/>
      <c r="L2402" s="119">
        <f>SUM(L2401:L2401)</f>
        <v>50000</v>
      </c>
      <c r="M2402" s="10"/>
      <c r="N2402" s="10"/>
      <c r="O2402"/>
      <c r="P2402"/>
    </row>
    <row r="2403" spans="1:16" s="146" customFormat="1" ht="18" x14ac:dyDescent="0.25">
      <c r="A2403" s="519"/>
      <c r="B2403" s="499"/>
      <c r="C2403" s="499"/>
      <c r="D2403" s="513"/>
      <c r="E2403" s="153"/>
      <c r="F2403" s="499"/>
      <c r="G2403" s="499"/>
      <c r="H2403" s="100"/>
      <c r="I2403" s="155"/>
      <c r="J2403" s="156"/>
      <c r="K2403" s="155"/>
      <c r="L2403" s="155"/>
      <c r="M2403" s="10"/>
      <c r="N2403" s="10"/>
      <c r="O2403"/>
      <c r="P2403"/>
    </row>
    <row r="2404" spans="1:16" s="146" customFormat="1" ht="18" x14ac:dyDescent="0.25">
      <c r="A2404" s="519"/>
      <c r="B2404" s="499"/>
      <c r="C2404" s="499"/>
      <c r="D2404" s="36" t="s">
        <v>1228</v>
      </c>
      <c r="E2404" s="450"/>
      <c r="F2404" s="400"/>
      <c r="G2404" s="400"/>
      <c r="H2404" s="100"/>
      <c r="I2404" s="101"/>
      <c r="J2404" s="102"/>
      <c r="K2404" s="101"/>
      <c r="L2404" s="101"/>
      <c r="M2404" s="10"/>
      <c r="N2404" s="10"/>
      <c r="O2404"/>
      <c r="P2404"/>
    </row>
    <row r="2405" spans="1:16" s="146" customFormat="1" ht="18" x14ac:dyDescent="0.25">
      <c r="A2405" s="519"/>
      <c r="B2405" s="499"/>
      <c r="C2405" s="499"/>
      <c r="D2405" s="536" t="s">
        <v>1229</v>
      </c>
      <c r="E2405" s="157"/>
      <c r="F2405" s="400"/>
      <c r="G2405" s="400"/>
      <c r="H2405" s="100"/>
      <c r="I2405" s="101">
        <v>0</v>
      </c>
      <c r="J2405" s="102">
        <v>30000</v>
      </c>
      <c r="K2405" s="101"/>
      <c r="L2405" s="101">
        <v>30000</v>
      </c>
      <c r="M2405" s="10"/>
      <c r="N2405" s="10"/>
      <c r="O2405"/>
      <c r="P2405"/>
    </row>
    <row r="2406" spans="1:16" s="146" customFormat="1" ht="18" x14ac:dyDescent="0.25">
      <c r="A2406" s="519"/>
      <c r="B2406" s="499"/>
      <c r="C2406" s="499"/>
      <c r="D2406" s="536" t="s">
        <v>1230</v>
      </c>
      <c r="E2406" s="157"/>
      <c r="F2406" s="400"/>
      <c r="G2406" s="400"/>
      <c r="H2406" s="100"/>
      <c r="I2406" s="101"/>
      <c r="J2406" s="102">
        <v>30000</v>
      </c>
      <c r="K2406" s="101">
        <v>11900</v>
      </c>
      <c r="L2406" s="101">
        <v>30000</v>
      </c>
      <c r="M2406" s="10"/>
      <c r="N2406" s="10"/>
      <c r="O2406"/>
      <c r="P2406"/>
    </row>
    <row r="2407" spans="1:16" s="146" customFormat="1" ht="18" x14ac:dyDescent="0.25">
      <c r="A2407" s="519"/>
      <c r="B2407" s="499"/>
      <c r="C2407" s="499"/>
      <c r="D2407" s="536" t="s">
        <v>1231</v>
      </c>
      <c r="E2407" s="157"/>
      <c r="F2407" s="400"/>
      <c r="G2407" s="400"/>
      <c r="H2407" s="100"/>
      <c r="I2407" s="101">
        <v>0</v>
      </c>
      <c r="J2407" s="102">
        <v>30000</v>
      </c>
      <c r="K2407" s="101">
        <v>6750</v>
      </c>
      <c r="L2407" s="101">
        <v>30000</v>
      </c>
      <c r="M2407" s="10"/>
      <c r="N2407" s="10"/>
      <c r="O2407"/>
      <c r="P2407"/>
    </row>
    <row r="2408" spans="1:16" s="146" customFormat="1" ht="18" x14ac:dyDescent="0.25">
      <c r="A2408" s="519"/>
      <c r="B2408" s="499"/>
      <c r="C2408" s="499"/>
      <c r="D2408" s="536" t="s">
        <v>1232</v>
      </c>
      <c r="E2408" s="157"/>
      <c r="F2408" s="400"/>
      <c r="G2408" s="400"/>
      <c r="H2408" s="100"/>
      <c r="I2408" s="101"/>
      <c r="J2408" s="102">
        <v>20000</v>
      </c>
      <c r="K2408" s="101"/>
      <c r="L2408" s="101">
        <v>20000</v>
      </c>
      <c r="M2408" s="10"/>
      <c r="N2408" s="10"/>
      <c r="O2408"/>
      <c r="P2408"/>
    </row>
    <row r="2409" spans="1:16" s="146" customFormat="1" ht="18" x14ac:dyDescent="0.25">
      <c r="A2409" s="519"/>
      <c r="B2409" s="499"/>
      <c r="C2409" s="499"/>
      <c r="D2409" s="536" t="s">
        <v>1233</v>
      </c>
      <c r="E2409" s="157"/>
      <c r="F2409" s="400"/>
      <c r="G2409" s="400"/>
      <c r="H2409" s="100"/>
      <c r="I2409" s="101"/>
      <c r="J2409" s="102"/>
      <c r="K2409" s="101"/>
      <c r="L2409" s="101">
        <v>20000</v>
      </c>
      <c r="M2409" s="10"/>
      <c r="N2409" s="10"/>
      <c r="O2409"/>
      <c r="P2409"/>
    </row>
    <row r="2410" spans="1:16" s="146" customFormat="1" ht="18" x14ac:dyDescent="0.25">
      <c r="A2410" s="519"/>
      <c r="B2410" s="499"/>
      <c r="C2410" s="499"/>
      <c r="D2410" s="536" t="s">
        <v>1234</v>
      </c>
      <c r="E2410" s="157"/>
      <c r="F2410" s="400"/>
      <c r="G2410" s="400"/>
      <c r="H2410" s="100"/>
      <c r="I2410" s="101"/>
      <c r="J2410" s="102"/>
      <c r="K2410" s="101"/>
      <c r="L2410" s="101">
        <v>50000</v>
      </c>
      <c r="M2410" s="10"/>
      <c r="N2410" s="10"/>
      <c r="O2410"/>
      <c r="P2410"/>
    </row>
    <row r="2411" spans="1:16" s="146" customFormat="1" ht="18" x14ac:dyDescent="0.25">
      <c r="A2411" s="519"/>
      <c r="B2411" s="499"/>
      <c r="C2411" s="499"/>
      <c r="D2411" s="536" t="s">
        <v>1235</v>
      </c>
      <c r="E2411" s="157"/>
      <c r="F2411" s="400"/>
      <c r="G2411" s="400"/>
      <c r="H2411" s="100"/>
      <c r="I2411" s="105">
        <v>0</v>
      </c>
      <c r="J2411" s="106">
        <v>100000</v>
      </c>
      <c r="K2411" s="105"/>
      <c r="L2411" s="105">
        <v>100000</v>
      </c>
      <c r="M2411" s="10"/>
      <c r="N2411" s="10"/>
      <c r="O2411"/>
      <c r="P2411"/>
    </row>
    <row r="2412" spans="1:16" s="146" customFormat="1" ht="18" x14ac:dyDescent="0.25">
      <c r="A2412" s="519"/>
      <c r="B2412" s="499"/>
      <c r="C2412" s="499"/>
      <c r="D2412" s="153" t="s">
        <v>200</v>
      </c>
      <c r="F2412" s="499"/>
      <c r="G2412" s="491"/>
      <c r="H2412" s="100"/>
      <c r="I2412" s="119">
        <f>SUM(I2405:I2411)</f>
        <v>0</v>
      </c>
      <c r="J2412" s="150">
        <f>SUM(J2405:J2411)</f>
        <v>210000</v>
      </c>
      <c r="K2412" s="119">
        <f>SUM(K2405:K2411)</f>
        <v>18650</v>
      </c>
      <c r="L2412" s="119">
        <f>SUM(L2405:L2411)</f>
        <v>280000</v>
      </c>
      <c r="M2412" s="10"/>
      <c r="N2412" s="10"/>
      <c r="O2412"/>
      <c r="P2412"/>
    </row>
    <row r="2413" spans="1:16" ht="18.75" thickBot="1" x14ac:dyDescent="0.3">
      <c r="A2413" s="519"/>
      <c r="B2413" s="499"/>
      <c r="C2413" s="499"/>
      <c r="D2413" s="496" t="s">
        <v>15</v>
      </c>
      <c r="F2413" s="413"/>
      <c r="G2413" s="431"/>
      <c r="H2413" s="308"/>
      <c r="I2413" s="123">
        <f>I2412+I2398+I2363+I2344+I2315</f>
        <v>14671024.380000001</v>
      </c>
      <c r="J2413" s="158">
        <f>J2412+J2398+J2363+J2344+J2315</f>
        <v>29765998.210000001</v>
      </c>
      <c r="K2413" s="123">
        <f>K2412+K2398+K2363+K2344+K2315</f>
        <v>3519315.5700000003</v>
      </c>
      <c r="L2413" s="123">
        <f>L2412+L2398+L2363+L2344+L2315+L2402</f>
        <v>33699002.68</v>
      </c>
    </row>
    <row r="2414" spans="1:16" ht="18" x14ac:dyDescent="0.25">
      <c r="A2414" s="519"/>
      <c r="B2414" s="499"/>
      <c r="C2414" s="499"/>
      <c r="D2414" s="513"/>
      <c r="E2414" s="496"/>
      <c r="F2414" s="499"/>
      <c r="G2414" s="499"/>
      <c r="H2414" s="100"/>
      <c r="I2414" s="155"/>
      <c r="J2414" s="156"/>
      <c r="K2414" s="155"/>
      <c r="L2414" s="155"/>
    </row>
    <row r="2415" spans="1:16" ht="18" x14ac:dyDescent="0.25">
      <c r="A2415" s="519"/>
      <c r="B2415" s="499"/>
      <c r="C2415" s="499"/>
      <c r="D2415" s="36" t="s">
        <v>1236</v>
      </c>
      <c r="E2415" s="199"/>
      <c r="F2415" s="199"/>
      <c r="G2415" s="199"/>
      <c r="H2415" s="100"/>
      <c r="I2415" s="101"/>
      <c r="J2415" s="102"/>
      <c r="K2415" s="101"/>
      <c r="L2415" s="101"/>
    </row>
    <row r="2416" spans="1:16" s="146" customFormat="1" ht="18" x14ac:dyDescent="0.25">
      <c r="A2416" s="519"/>
      <c r="B2416" s="499"/>
      <c r="C2416" s="499"/>
      <c r="D2416" s="38" t="s">
        <v>1237</v>
      </c>
      <c r="E2416" s="157"/>
      <c r="F2416" s="199"/>
      <c r="G2416" s="38"/>
      <c r="H2416" s="100"/>
      <c r="I2416" s="101">
        <v>0</v>
      </c>
      <c r="J2416" s="102">
        <v>2000000</v>
      </c>
      <c r="K2416" s="101">
        <v>1191282.5</v>
      </c>
      <c r="L2416" s="101">
        <v>2000000</v>
      </c>
      <c r="M2416" s="10"/>
      <c r="N2416" s="10"/>
      <c r="O2416"/>
      <c r="P2416"/>
    </row>
    <row r="2417" spans="1:16" s="146" customFormat="1" ht="18" x14ac:dyDescent="0.25">
      <c r="A2417" s="519"/>
      <c r="B2417" s="499"/>
      <c r="C2417" s="499"/>
      <c r="D2417" s="38" t="s">
        <v>1238</v>
      </c>
      <c r="E2417" s="157"/>
      <c r="F2417" s="199"/>
      <c r="G2417" s="199"/>
      <c r="H2417" s="100"/>
      <c r="I2417" s="101">
        <v>0</v>
      </c>
      <c r="J2417" s="102">
        <v>100000</v>
      </c>
      <c r="K2417" s="101"/>
      <c r="L2417" s="101">
        <v>150000</v>
      </c>
      <c r="M2417" s="10"/>
      <c r="N2417" s="10"/>
      <c r="O2417"/>
      <c r="P2417"/>
    </row>
    <row r="2418" spans="1:16" s="146" customFormat="1" ht="18" x14ac:dyDescent="0.25">
      <c r="A2418" s="519"/>
      <c r="B2418" s="499"/>
      <c r="C2418" s="499"/>
      <c r="D2418" s="38" t="s">
        <v>1239</v>
      </c>
      <c r="E2418" s="157"/>
      <c r="F2418" s="199"/>
      <c r="G2418" s="199"/>
      <c r="H2418" s="100"/>
      <c r="I2418" s="102">
        <v>0</v>
      </c>
      <c r="J2418" s="102">
        <v>300000</v>
      </c>
      <c r="K2418" s="101"/>
      <c r="L2418" s="101">
        <v>500000</v>
      </c>
      <c r="M2418" s="10"/>
      <c r="N2418" s="10"/>
      <c r="O2418"/>
      <c r="P2418"/>
    </row>
    <row r="2419" spans="1:16" s="146" customFormat="1" ht="18" x14ac:dyDescent="0.25">
      <c r="A2419" s="519"/>
      <c r="B2419" s="499"/>
      <c r="C2419" s="499"/>
      <c r="D2419" s="38" t="s">
        <v>1240</v>
      </c>
      <c r="E2419" s="157"/>
      <c r="F2419" s="199"/>
      <c r="G2419" s="199"/>
      <c r="H2419" s="100"/>
      <c r="I2419" s="102">
        <v>487344</v>
      </c>
      <c r="J2419" s="102">
        <v>500000</v>
      </c>
      <c r="K2419" s="101"/>
      <c r="L2419" s="101">
        <v>500000</v>
      </c>
      <c r="M2419" s="10"/>
      <c r="N2419" s="10"/>
      <c r="O2419"/>
      <c r="P2419"/>
    </row>
    <row r="2420" spans="1:16" s="313" customFormat="1" ht="18" customHeight="1" x14ac:dyDescent="0.25">
      <c r="A2420" s="173"/>
      <c r="B2420" s="505"/>
      <c r="C2420" s="505"/>
      <c r="D2420" s="528" t="s">
        <v>1241</v>
      </c>
      <c r="E2420" s="509"/>
      <c r="F2420" s="427"/>
      <c r="G2420" s="427"/>
      <c r="H2420" s="423"/>
      <c r="I2420" s="102"/>
      <c r="J2420" s="102"/>
      <c r="K2420" s="101"/>
      <c r="L2420" s="101">
        <v>260000</v>
      </c>
      <c r="M2420" s="193"/>
      <c r="N2420" s="193"/>
      <c r="O2420" s="179"/>
      <c r="P2420" s="179"/>
    </row>
    <row r="2421" spans="1:16" s="313" customFormat="1" ht="18" customHeight="1" x14ac:dyDescent="0.25">
      <c r="A2421" s="173"/>
      <c r="B2421" s="505"/>
      <c r="C2421" s="505"/>
      <c r="D2421" s="528" t="s">
        <v>1242</v>
      </c>
      <c r="E2421" s="509"/>
      <c r="F2421" s="427"/>
      <c r="G2421" s="427"/>
      <c r="H2421" s="423"/>
      <c r="I2421" s="102"/>
      <c r="J2421" s="102"/>
      <c r="K2421" s="101"/>
      <c r="L2421" s="101">
        <v>200000</v>
      </c>
      <c r="M2421" s="193"/>
      <c r="N2421" s="193"/>
      <c r="O2421" s="179"/>
      <c r="P2421" s="179"/>
    </row>
    <row r="2422" spans="1:16" s="313" customFormat="1" ht="18" customHeight="1" x14ac:dyDescent="0.25">
      <c r="A2422" s="173"/>
      <c r="B2422" s="505"/>
      <c r="C2422" s="505"/>
      <c r="D2422" s="528" t="s">
        <v>1243</v>
      </c>
      <c r="E2422" s="509"/>
      <c r="F2422" s="427"/>
      <c r="G2422" s="427"/>
      <c r="H2422" s="423"/>
      <c r="I2422" s="102"/>
      <c r="J2422" s="102"/>
      <c r="K2422" s="101"/>
      <c r="L2422" s="101">
        <v>100000</v>
      </c>
      <c r="M2422" s="193"/>
      <c r="N2422" s="193"/>
      <c r="O2422" s="179"/>
      <c r="P2422" s="179"/>
    </row>
    <row r="2423" spans="1:16" s="313" customFormat="1" ht="18.75" customHeight="1" x14ac:dyDescent="0.25">
      <c r="A2423" s="173"/>
      <c r="B2423" s="505"/>
      <c r="C2423" s="505"/>
      <c r="D2423" s="1628" t="s">
        <v>1244</v>
      </c>
      <c r="E2423" s="1628"/>
      <c r="F2423" s="427"/>
      <c r="G2423" s="427"/>
      <c r="H2423" s="423"/>
      <c r="I2423" s="102"/>
      <c r="J2423" s="102"/>
      <c r="K2423" s="101"/>
      <c r="L2423" s="101">
        <v>500000</v>
      </c>
      <c r="M2423" s="193"/>
      <c r="N2423" s="193"/>
      <c r="O2423" s="179"/>
      <c r="P2423" s="179"/>
    </row>
    <row r="2424" spans="1:16" s="146" customFormat="1" ht="18" x14ac:dyDescent="0.25">
      <c r="A2424" s="519"/>
      <c r="B2424" s="499"/>
      <c r="C2424" s="499"/>
      <c r="D2424" s="38" t="s">
        <v>1371</v>
      </c>
      <c r="E2424" s="157"/>
      <c r="F2424" s="451"/>
      <c r="G2424" s="199"/>
      <c r="H2424" s="100"/>
      <c r="I2424" s="102">
        <v>158363.5</v>
      </c>
      <c r="J2424" s="102">
        <v>0</v>
      </c>
      <c r="K2424" s="101"/>
      <c r="L2424" s="101">
        <v>1600000</v>
      </c>
      <c r="M2424" s="10"/>
      <c r="N2424" s="10"/>
      <c r="O2424"/>
      <c r="P2424"/>
    </row>
    <row r="2425" spans="1:16" s="313" customFormat="1" ht="18" customHeight="1" x14ac:dyDescent="0.25">
      <c r="A2425" s="173"/>
      <c r="B2425" s="505"/>
      <c r="C2425" s="505"/>
      <c r="D2425" s="528" t="s">
        <v>1245</v>
      </c>
      <c r="E2425" s="509"/>
      <c r="F2425" s="427"/>
      <c r="G2425" s="427"/>
      <c r="H2425" s="423"/>
      <c r="I2425" s="102"/>
      <c r="J2425" s="102"/>
      <c r="K2425" s="101"/>
      <c r="L2425" s="101">
        <v>400000</v>
      </c>
      <c r="M2425" s="193"/>
      <c r="N2425" s="193"/>
      <c r="O2425" s="179"/>
      <c r="P2425" s="179"/>
    </row>
    <row r="2426" spans="1:16" s="146" customFormat="1" ht="18" x14ac:dyDescent="0.25">
      <c r="A2426" s="519"/>
      <c r="B2426" s="499"/>
      <c r="C2426" s="499"/>
      <c r="D2426" s="38" t="s">
        <v>1246</v>
      </c>
      <c r="E2426" s="157"/>
      <c r="F2426" s="199"/>
      <c r="G2426" s="199"/>
      <c r="H2426" s="100"/>
      <c r="I2426" s="102">
        <v>29936170</v>
      </c>
      <c r="J2426" s="102">
        <v>0</v>
      </c>
      <c r="K2426" s="101"/>
      <c r="L2426" s="101">
        <v>41000000</v>
      </c>
      <c r="M2426" s="10"/>
      <c r="N2426" s="10"/>
      <c r="O2426"/>
      <c r="P2426"/>
    </row>
    <row r="2427" spans="1:16" s="313" customFormat="1" ht="18" customHeight="1" x14ac:dyDescent="0.25">
      <c r="A2427" s="173"/>
      <c r="B2427" s="505"/>
      <c r="C2427" s="505"/>
      <c r="D2427" s="528" t="s">
        <v>1247</v>
      </c>
      <c r="E2427" s="509"/>
      <c r="F2427" s="427"/>
      <c r="G2427" s="427"/>
      <c r="H2427" s="423"/>
      <c r="I2427" s="102"/>
      <c r="J2427" s="102"/>
      <c r="K2427" s="101"/>
      <c r="L2427" s="101">
        <v>20000000</v>
      </c>
      <c r="M2427" s="193"/>
      <c r="N2427" s="193"/>
      <c r="O2427" s="179"/>
      <c r="P2427" s="179"/>
    </row>
    <row r="2428" spans="1:16" s="313" customFormat="1" ht="18" customHeight="1" x14ac:dyDescent="0.25">
      <c r="A2428" s="173"/>
      <c r="B2428" s="505"/>
      <c r="C2428" s="505"/>
      <c r="D2428" s="528" t="s">
        <v>1248</v>
      </c>
      <c r="E2428" s="509"/>
      <c r="F2428" s="427"/>
      <c r="G2428" s="427"/>
      <c r="H2428" s="423"/>
      <c r="I2428" s="102"/>
      <c r="J2428" s="102"/>
      <c r="K2428" s="101"/>
      <c r="L2428" s="101">
        <v>2000000</v>
      </c>
      <c r="M2428" s="193"/>
      <c r="N2428" s="193"/>
      <c r="O2428" s="179"/>
      <c r="P2428" s="179"/>
    </row>
    <row r="2429" spans="1:16" s="146" customFormat="1" ht="36" customHeight="1" x14ac:dyDescent="0.25">
      <c r="A2429" s="519"/>
      <c r="B2429" s="499"/>
      <c r="C2429" s="499"/>
      <c r="D2429" s="1623" t="s">
        <v>1249</v>
      </c>
      <c r="E2429" s="1623"/>
      <c r="F2429" s="199"/>
      <c r="G2429" s="199"/>
      <c r="H2429" s="100"/>
      <c r="I2429" s="102">
        <v>988763.25</v>
      </c>
      <c r="J2429" s="102">
        <v>0</v>
      </c>
      <c r="K2429" s="101"/>
      <c r="L2429" s="101">
        <v>2000000</v>
      </c>
      <c r="M2429" s="10"/>
      <c r="N2429" s="10"/>
      <c r="O2429"/>
      <c r="P2429"/>
    </row>
    <row r="2430" spans="1:16" s="146" customFormat="1" ht="18" x14ac:dyDescent="0.25">
      <c r="A2430" s="519"/>
      <c r="B2430" s="499"/>
      <c r="C2430" s="499"/>
      <c r="D2430" s="38" t="s">
        <v>1250</v>
      </c>
      <c r="E2430" s="157"/>
      <c r="F2430" s="199"/>
      <c r="G2430" s="199"/>
      <c r="H2430" s="100"/>
      <c r="I2430" s="102"/>
      <c r="J2430" s="102"/>
      <c r="K2430" s="101"/>
      <c r="L2430" s="101"/>
      <c r="M2430" s="10"/>
      <c r="N2430" s="10"/>
      <c r="O2430"/>
      <c r="P2430"/>
    </row>
    <row r="2431" spans="1:16" s="146" customFormat="1" ht="18" x14ac:dyDescent="0.25">
      <c r="A2431" s="519"/>
      <c r="B2431" s="499"/>
      <c r="C2431" s="499"/>
      <c r="D2431" s="38" t="s">
        <v>1251</v>
      </c>
      <c r="E2431" s="157"/>
      <c r="F2431" s="199"/>
      <c r="G2431" s="38"/>
      <c r="H2431" s="100"/>
      <c r="I2431" s="102">
        <v>2137440</v>
      </c>
      <c r="J2431" s="102">
        <v>0</v>
      </c>
      <c r="K2431" s="101"/>
      <c r="L2431" s="101"/>
      <c r="M2431" s="10"/>
      <c r="N2431" s="10"/>
      <c r="O2431"/>
      <c r="P2431"/>
    </row>
    <row r="2432" spans="1:16" s="146" customFormat="1" ht="18" x14ac:dyDescent="0.25">
      <c r="A2432" s="519"/>
      <c r="B2432" s="499"/>
      <c r="C2432" s="499"/>
      <c r="D2432" s="38" t="s">
        <v>1252</v>
      </c>
      <c r="E2432" s="157"/>
      <c r="F2432" s="199"/>
      <c r="G2432" s="38"/>
      <c r="H2432" s="100"/>
      <c r="I2432" s="102">
        <v>0</v>
      </c>
      <c r="J2432" s="102">
        <v>0</v>
      </c>
      <c r="K2432" s="101"/>
      <c r="L2432" s="101"/>
      <c r="M2432" s="10"/>
      <c r="N2432" s="10"/>
      <c r="O2432"/>
      <c r="P2432"/>
    </row>
    <row r="2433" spans="1:16" s="146" customFormat="1" ht="18" x14ac:dyDescent="0.25">
      <c r="A2433" s="519"/>
      <c r="B2433" s="499"/>
      <c r="C2433" s="499"/>
      <c r="D2433" s="38" t="s">
        <v>1253</v>
      </c>
      <c r="E2433" s="157"/>
      <c r="F2433" s="199"/>
      <c r="G2433" s="305"/>
      <c r="H2433" s="100"/>
      <c r="I2433" s="102">
        <v>4060000</v>
      </c>
      <c r="J2433" s="102">
        <v>5000000</v>
      </c>
      <c r="K2433" s="101">
        <v>4000000</v>
      </c>
      <c r="L2433" s="101"/>
      <c r="M2433" s="10"/>
      <c r="N2433" s="10"/>
      <c r="O2433"/>
      <c r="P2433"/>
    </row>
    <row r="2434" spans="1:16" s="146" customFormat="1" ht="21" customHeight="1" x14ac:dyDescent="0.25">
      <c r="A2434" s="519"/>
      <c r="B2434" s="499"/>
      <c r="C2434" s="499"/>
      <c r="D2434" s="1634" t="s">
        <v>1254</v>
      </c>
      <c r="E2434" s="1634"/>
      <c r="F2434" s="199"/>
      <c r="G2434" s="199"/>
      <c r="H2434" s="100"/>
      <c r="I2434" s="102">
        <v>6577175</v>
      </c>
      <c r="J2434" s="102">
        <v>10000000</v>
      </c>
      <c r="K2434" s="101"/>
      <c r="L2434" s="101"/>
      <c r="M2434" s="10"/>
      <c r="N2434" s="10"/>
      <c r="O2434"/>
      <c r="P2434"/>
    </row>
    <row r="2435" spans="1:16" s="146" customFormat="1" ht="36.75" customHeight="1" x14ac:dyDescent="0.25">
      <c r="A2435" s="519"/>
      <c r="B2435" s="499"/>
      <c r="C2435" s="499"/>
      <c r="D2435" s="1623" t="s">
        <v>1255</v>
      </c>
      <c r="E2435" s="1623"/>
      <c r="F2435" s="199"/>
      <c r="G2435" s="199"/>
      <c r="H2435" s="100"/>
      <c r="I2435" s="102">
        <v>1093880</v>
      </c>
      <c r="J2435" s="102">
        <v>3000000</v>
      </c>
      <c r="K2435" s="101"/>
      <c r="L2435" s="101"/>
      <c r="M2435" s="10"/>
      <c r="N2435" s="10"/>
      <c r="O2435"/>
      <c r="P2435"/>
    </row>
    <row r="2436" spans="1:16" s="146" customFormat="1" ht="18" x14ac:dyDescent="0.25">
      <c r="A2436" s="519"/>
      <c r="B2436" s="499"/>
      <c r="C2436" s="499"/>
      <c r="D2436" s="38" t="s">
        <v>1256</v>
      </c>
      <c r="E2436" s="199"/>
      <c r="F2436" s="157"/>
      <c r="G2436" s="199"/>
      <c r="H2436" s="100"/>
      <c r="I2436" s="102"/>
      <c r="J2436" s="102">
        <v>700000</v>
      </c>
      <c r="K2436" s="101"/>
      <c r="L2436" s="101"/>
      <c r="M2436" s="10"/>
      <c r="N2436" s="10"/>
      <c r="O2436"/>
      <c r="P2436"/>
    </row>
    <row r="2437" spans="1:16" s="146" customFormat="1" ht="36.75" customHeight="1" x14ac:dyDescent="0.25">
      <c r="A2437" s="519"/>
      <c r="B2437" s="499"/>
      <c r="C2437" s="499"/>
      <c r="D2437" s="1623" t="s">
        <v>1257</v>
      </c>
      <c r="E2437" s="1623"/>
      <c r="F2437" s="199"/>
      <c r="G2437" s="199"/>
      <c r="H2437" s="100"/>
      <c r="I2437" s="102">
        <v>5139255</v>
      </c>
      <c r="J2437" s="102">
        <v>5000000</v>
      </c>
      <c r="K2437" s="101"/>
      <c r="L2437" s="101"/>
      <c r="M2437" s="10"/>
      <c r="N2437" s="10"/>
      <c r="O2437"/>
      <c r="P2437"/>
    </row>
    <row r="2438" spans="1:16" s="146" customFormat="1" ht="18" x14ac:dyDescent="0.25">
      <c r="A2438" s="519"/>
      <c r="B2438" s="499"/>
      <c r="C2438" s="499"/>
      <c r="D2438" s="153" t="s">
        <v>15</v>
      </c>
      <c r="F2438" s="199"/>
      <c r="G2438" s="305"/>
      <c r="H2438" s="100"/>
      <c r="I2438" s="315">
        <f>SUM(I2416:I2437)</f>
        <v>50578390.75</v>
      </c>
      <c r="J2438" s="150">
        <f>SUM(J2416:J2437)</f>
        <v>26600000</v>
      </c>
      <c r="K2438" s="119">
        <f>SUM(K2416:K2437)</f>
        <v>5191282.5</v>
      </c>
      <c r="L2438" s="119">
        <f>SUM(L2416:L2437)</f>
        <v>71210000</v>
      </c>
      <c r="M2438" s="10"/>
      <c r="N2438" s="10"/>
      <c r="O2438"/>
      <c r="P2438"/>
    </row>
    <row r="2439" spans="1:16" s="146" customFormat="1" ht="18" customHeight="1" thickBot="1" x14ac:dyDescent="0.3">
      <c r="A2439" s="187"/>
      <c r="B2439" s="413"/>
      <c r="C2439" s="413"/>
      <c r="D2439" s="1635"/>
      <c r="E2439" s="1635"/>
      <c r="F2439" s="430"/>
      <c r="G2439" s="430"/>
      <c r="H2439" s="308"/>
      <c r="I2439" s="219"/>
      <c r="J2439" s="220"/>
      <c r="K2439" s="219"/>
      <c r="L2439" s="219"/>
      <c r="M2439" s="10"/>
      <c r="N2439" s="10"/>
      <c r="O2439"/>
      <c r="P2439"/>
    </row>
    <row r="2440" spans="1:16" s="146" customFormat="1" ht="18" customHeight="1" x14ac:dyDescent="0.25">
      <c r="A2440" s="499"/>
      <c r="B2440" s="499"/>
      <c r="C2440" s="499"/>
      <c r="D2440" s="504"/>
      <c r="E2440" s="504"/>
      <c r="F2440" s="199"/>
      <c r="G2440" s="199"/>
      <c r="H2440" s="381"/>
      <c r="I2440" s="141"/>
      <c r="J2440" s="122"/>
      <c r="K2440" s="141"/>
      <c r="L2440" s="141"/>
      <c r="M2440" s="10"/>
      <c r="N2440" s="10"/>
      <c r="O2440"/>
      <c r="P2440"/>
    </row>
    <row r="2441" spans="1:16" s="146" customFormat="1" ht="18" customHeight="1" x14ac:dyDescent="0.25">
      <c r="A2441" s="499"/>
      <c r="B2441" s="499"/>
      <c r="C2441" s="499"/>
      <c r="D2441" s="504"/>
      <c r="E2441" s="504"/>
      <c r="F2441" s="199"/>
      <c r="G2441" s="199"/>
      <c r="H2441" s="381"/>
      <c r="I2441" s="141"/>
      <c r="J2441" s="122"/>
      <c r="K2441" s="141"/>
      <c r="L2441" s="141"/>
      <c r="M2441" s="10"/>
      <c r="N2441" s="10"/>
      <c r="O2441"/>
      <c r="P2441"/>
    </row>
    <row r="2442" spans="1:16" ht="18" customHeight="1" x14ac:dyDescent="0.25">
      <c r="A2442" s="235" t="s">
        <v>112</v>
      </c>
      <c r="B2442" s="235"/>
      <c r="C2442" s="235"/>
      <c r="D2442" s="51"/>
      <c r="E2442" s="235"/>
      <c r="F2442" s="235"/>
      <c r="G2442" s="235"/>
      <c r="H2442" s="235"/>
      <c r="I2442" s="160"/>
      <c r="J2442" s="161"/>
      <c r="K2442" s="160"/>
      <c r="L2442" s="160"/>
    </row>
    <row r="2443" spans="1:16" ht="18" customHeight="1" x14ac:dyDescent="0.25">
      <c r="A2443" s="8" t="s">
        <v>1137</v>
      </c>
    </row>
    <row r="2444" spans="1:16" ht="18" customHeight="1" x14ac:dyDescent="0.25">
      <c r="A2444" s="1636" t="s">
        <v>113</v>
      </c>
      <c r="B2444" s="1636"/>
      <c r="C2444" s="1636"/>
      <c r="D2444" s="1636"/>
      <c r="E2444" s="1636"/>
      <c r="F2444" s="1636"/>
      <c r="G2444" s="1636"/>
      <c r="H2444" s="1636"/>
      <c r="I2444" s="1636"/>
      <c r="J2444" s="1636"/>
      <c r="K2444" s="1636"/>
      <c r="L2444" s="1636"/>
    </row>
    <row r="2445" spans="1:16" s="7" customFormat="1" ht="18" customHeight="1" x14ac:dyDescent="0.25">
      <c r="A2445" s="1624" t="s">
        <v>114</v>
      </c>
      <c r="B2445" s="1624"/>
      <c r="C2445" s="1624"/>
      <c r="D2445" s="1624"/>
      <c r="E2445" s="1624"/>
      <c r="F2445" s="1624"/>
      <c r="G2445" s="1624"/>
      <c r="H2445" s="1624"/>
      <c r="I2445" s="1624"/>
      <c r="J2445" s="1624"/>
      <c r="K2445" s="1624"/>
      <c r="L2445" s="1624"/>
      <c r="M2445" s="6"/>
      <c r="N2445" s="6"/>
    </row>
    <row r="2446" spans="1:16" ht="18.75" thickBot="1" x14ac:dyDescent="0.3">
      <c r="A2446" s="41"/>
      <c r="B2446" s="41"/>
      <c r="C2446" s="41"/>
      <c r="D2446" s="63"/>
      <c r="E2446" s="41"/>
      <c r="F2446" s="41"/>
      <c r="G2446" s="41"/>
      <c r="H2446" s="41"/>
    </row>
    <row r="2447" spans="1:16" ht="63.75" customHeight="1" thickBot="1" x14ac:dyDescent="0.3">
      <c r="A2447" s="1625" t="s">
        <v>115</v>
      </c>
      <c r="B2447" s="1626"/>
      <c r="C2447" s="1626"/>
      <c r="D2447" s="1626"/>
      <c r="E2447" s="1626"/>
      <c r="F2447" s="1626"/>
      <c r="G2447" s="1627"/>
      <c r="H2447" s="93" t="s">
        <v>116</v>
      </c>
      <c r="I2447" s="130" t="s">
        <v>117</v>
      </c>
      <c r="J2447" s="130" t="s">
        <v>118</v>
      </c>
      <c r="K2447" s="130" t="s">
        <v>119</v>
      </c>
      <c r="L2447" s="130" t="s">
        <v>120</v>
      </c>
    </row>
    <row r="2448" spans="1:16" s="146" customFormat="1" ht="18" x14ac:dyDescent="0.25">
      <c r="A2448" s="519"/>
      <c r="B2448" s="499"/>
      <c r="C2448" s="499"/>
      <c r="D2448" s="36" t="s">
        <v>1336</v>
      </c>
      <c r="E2448" s="199"/>
      <c r="F2448" s="199"/>
      <c r="G2448" s="199"/>
      <c r="H2448" s="100"/>
      <c r="I2448" s="101"/>
      <c r="J2448" s="102"/>
      <c r="K2448" s="101"/>
      <c r="L2448" s="101"/>
      <c r="M2448" s="10"/>
      <c r="N2448" s="10"/>
      <c r="O2448"/>
      <c r="P2448"/>
    </row>
    <row r="2449" spans="1:16" s="146" customFormat="1" ht="35.25" customHeight="1" x14ac:dyDescent="0.25">
      <c r="A2449" s="519"/>
      <c r="B2449" s="499"/>
      <c r="C2449" s="499"/>
      <c r="D2449" s="1628" t="s">
        <v>1372</v>
      </c>
      <c r="E2449" s="1628"/>
      <c r="F2449" s="199"/>
      <c r="G2449" s="199"/>
      <c r="H2449" s="100"/>
      <c r="I2449" s="101"/>
      <c r="J2449" s="102"/>
      <c r="K2449" s="101"/>
      <c r="L2449" s="101">
        <v>8000000</v>
      </c>
      <c r="M2449" s="10"/>
      <c r="N2449" s="10"/>
      <c r="O2449"/>
      <c r="P2449"/>
    </row>
    <row r="2450" spans="1:16" s="146" customFormat="1" ht="42" customHeight="1" x14ac:dyDescent="0.25">
      <c r="A2450" s="519"/>
      <c r="B2450" s="499"/>
      <c r="C2450" s="499"/>
      <c r="D2450" s="1628" t="s">
        <v>1258</v>
      </c>
      <c r="E2450" s="1628"/>
      <c r="F2450" s="199"/>
      <c r="G2450" s="199"/>
      <c r="H2450" s="100"/>
      <c r="I2450" s="101"/>
      <c r="J2450" s="102"/>
      <c r="K2450" s="101"/>
      <c r="L2450" s="101">
        <v>1000000</v>
      </c>
      <c r="M2450" s="10"/>
      <c r="N2450" s="10"/>
      <c r="O2450"/>
      <c r="P2450"/>
    </row>
    <row r="2451" spans="1:16" s="146" customFormat="1" ht="18" x14ac:dyDescent="0.25">
      <c r="A2451" s="519"/>
      <c r="B2451" s="499"/>
      <c r="C2451" s="499"/>
      <c r="D2451" s="153" t="s">
        <v>15</v>
      </c>
      <c r="F2451" s="199"/>
      <c r="G2451" s="198"/>
      <c r="H2451" s="100"/>
      <c r="I2451" s="119">
        <f>SUM(I2450:I2450)</f>
        <v>0</v>
      </c>
      <c r="J2451" s="119">
        <f>SUM(J2450:J2450)</f>
        <v>0</v>
      </c>
      <c r="K2451" s="119">
        <f>SUM(K2450:K2450)</f>
        <v>0</v>
      </c>
      <c r="L2451" s="119">
        <f>SUM(L2449:L2450)</f>
        <v>9000000</v>
      </c>
      <c r="M2451" s="10"/>
      <c r="N2451" s="10"/>
      <c r="O2451"/>
      <c r="P2451"/>
    </row>
    <row r="2452" spans="1:16" s="146" customFormat="1" ht="18" x14ac:dyDescent="0.25">
      <c r="A2452" s="519"/>
      <c r="B2452" s="499"/>
      <c r="C2452" s="499"/>
      <c r="D2452" s="38"/>
      <c r="E2452" s="153"/>
      <c r="F2452" s="199"/>
      <c r="G2452" s="198"/>
      <c r="H2452" s="100"/>
      <c r="I2452" s="155"/>
      <c r="J2452" s="156"/>
      <c r="K2452" s="155"/>
      <c r="L2452" s="155"/>
      <c r="M2452" s="10"/>
      <c r="N2452" s="10"/>
      <c r="O2452"/>
      <c r="P2452"/>
    </row>
    <row r="2453" spans="1:16" ht="18" x14ac:dyDescent="0.25">
      <c r="A2453" s="519"/>
      <c r="B2453" s="499"/>
      <c r="C2453" s="499"/>
      <c r="D2453" s="36" t="s">
        <v>1373</v>
      </c>
      <c r="E2453" s="199"/>
      <c r="F2453" s="199"/>
      <c r="G2453" s="199"/>
      <c r="H2453" s="100"/>
      <c r="I2453" s="101"/>
      <c r="J2453" s="102"/>
      <c r="K2453" s="101"/>
      <c r="L2453" s="101"/>
    </row>
    <row r="2454" spans="1:16" ht="36.75" customHeight="1" x14ac:dyDescent="0.25">
      <c r="A2454" s="519"/>
      <c r="B2454" s="499"/>
      <c r="C2454" s="499"/>
      <c r="D2454" s="1629" t="s">
        <v>1259</v>
      </c>
      <c r="E2454" s="1630"/>
      <c r="F2454" s="1630"/>
      <c r="G2454" s="1631"/>
      <c r="H2454" s="100"/>
      <c r="I2454" s="101">
        <v>0</v>
      </c>
      <c r="J2454" s="102">
        <v>2971000</v>
      </c>
      <c r="K2454" s="101">
        <v>0</v>
      </c>
      <c r="L2454" s="105"/>
    </row>
    <row r="2455" spans="1:16" ht="18" x14ac:dyDescent="0.25">
      <c r="A2455" s="519"/>
      <c r="B2455" s="499"/>
      <c r="C2455" s="499"/>
      <c r="D2455" s="153" t="s">
        <v>15</v>
      </c>
      <c r="F2455" s="499"/>
      <c r="G2455" s="491"/>
      <c r="H2455" s="100"/>
      <c r="I2455" s="119">
        <f>SUM(I2454:I2454)</f>
        <v>0</v>
      </c>
      <c r="J2455" s="150">
        <f>SUM(J2454:J2454)</f>
        <v>2971000</v>
      </c>
      <c r="K2455" s="119">
        <f>SUM(K2454:K2454)</f>
        <v>0</v>
      </c>
      <c r="L2455" s="119">
        <f>SUM(L2454:L2454)</f>
        <v>0</v>
      </c>
    </row>
    <row r="2456" spans="1:16" s="146" customFormat="1" ht="22.5" customHeight="1" x14ac:dyDescent="0.25">
      <c r="A2456" s="527"/>
      <c r="B2456" s="513"/>
      <c r="C2456" s="513"/>
      <c r="D2456" s="1632" t="s">
        <v>1374</v>
      </c>
      <c r="E2456" s="1632"/>
      <c r="F2456" s="1632"/>
      <c r="G2456" s="1633"/>
      <c r="H2456" s="205"/>
      <c r="I2456" s="360">
        <f>I2455+I2451+I2438+I2413+I2304+I2246+I2209+I2172+I2159+I2151+I2126+I2121+I2116+I2097+I2079+I2067+I2049+I2013+I2004+I1977+I1943+I1874+I1827+I1799+I1779+I1750+I1739+I1722+I2252+I2059+I1851</f>
        <v>102348524.19</v>
      </c>
      <c r="J2456" s="360">
        <f>J2455+J2451+J2438+J2413+J2304+J2246+J2209+J2172+J2159+J2151+J2126+J2121+J2116+J2097+J2079+J2067+J2049+J2013+J2004+J1977+J1943+J1874+J1827+J1799+J1779+J1750+J1739+J1722+J2252+J2059+J1851</f>
        <v>183522159.26000002</v>
      </c>
      <c r="K2456" s="360">
        <f>K2455+K2451+K2438+K2413+K2304+K2246+K2209+K2172+K2159+K2151+K2126+K2121+K2116+K2097+K2079+K2067+K2049+K2013+K2004+K1977+K1943+K1874+K1827+K1799+K1779+K1750+K1739+K1722+K2252+K2059+K1851</f>
        <v>18252259.880000003</v>
      </c>
      <c r="L2456" s="360">
        <f>L2455+L2451+L2438+L2413+L2304+L2246+L2209+L2172+L2159+L2151+L2126+L2121+L2116+L2097+L2079+L2067+L2049+L2013+L2004+L1977+L1943+L1874+L1827+L1799+L1779+L1750+L1739+L1722+L2252+L2059+L1851+L1867</f>
        <v>228996244.69999999</v>
      </c>
      <c r="M2456" s="10"/>
      <c r="N2456" s="10">
        <v>232320641.91999999</v>
      </c>
    </row>
    <row r="2457" spans="1:16" s="146" customFormat="1" ht="19.5" customHeight="1" x14ac:dyDescent="0.25">
      <c r="A2457" s="519"/>
      <c r="B2457" s="499"/>
      <c r="C2457" s="499"/>
      <c r="D2457" s="152" t="s">
        <v>1375</v>
      </c>
      <c r="E2457" s="152"/>
      <c r="G2457" s="493"/>
      <c r="H2457" s="301"/>
      <c r="I2457" s="315" t="e">
        <f>I2456+I1665+I1656+I1634+I1622+I1608+I1473+#REF!+I1613</f>
        <v>#REF!</v>
      </c>
      <c r="J2457" s="315" t="e">
        <f>J2456+J1665+J1656+J1634+J1622+J1608+J1473+#REF!+J1613</f>
        <v>#REF!</v>
      </c>
      <c r="K2457" s="315" t="e">
        <f>K2456+K1665+K1656+K1634+K1622+K1608+K1473+#REF!+K1613</f>
        <v>#REF!</v>
      </c>
      <c r="L2457" s="315" t="e">
        <f>L2456+L1665+L1656+L1634+L1622+L1608+L1473+#REF!+L1613</f>
        <v>#REF!</v>
      </c>
      <c r="M2457" s="10"/>
      <c r="N2457" s="10"/>
      <c r="O2457"/>
      <c r="P2457"/>
    </row>
    <row r="2458" spans="1:16" s="146" customFormat="1" ht="18.75" thickBot="1" x14ac:dyDescent="0.3">
      <c r="A2458" s="187"/>
      <c r="B2458" s="413"/>
      <c r="C2458" s="413"/>
      <c r="D2458" s="318"/>
      <c r="E2458" s="498"/>
      <c r="F2458" s="498"/>
      <c r="G2458" s="531"/>
      <c r="H2458" s="392"/>
      <c r="I2458" s="452"/>
      <c r="J2458" s="183"/>
      <c r="K2458" s="182"/>
      <c r="L2458" s="182"/>
      <c r="M2458" s="10"/>
      <c r="N2458" s="10"/>
      <c r="O2458"/>
      <c r="P2458"/>
    </row>
    <row r="2459" spans="1:16" s="146" customFormat="1" ht="18" x14ac:dyDescent="0.25">
      <c r="A2459" s="499"/>
      <c r="B2459" s="499"/>
      <c r="C2459" s="499"/>
      <c r="D2459" s="513"/>
      <c r="E2459" s="499"/>
      <c r="F2459" s="499"/>
      <c r="G2459" s="499"/>
      <c r="H2459" s="381"/>
      <c r="I2459" s="141"/>
      <c r="J2459" s="122"/>
      <c r="K2459" s="141"/>
      <c r="L2459" s="141"/>
      <c r="M2459" s="10"/>
      <c r="N2459" s="10"/>
      <c r="O2459"/>
      <c r="P2459"/>
    </row>
    <row r="2460" spans="1:16" s="146" customFormat="1" ht="18" x14ac:dyDescent="0.25">
      <c r="A2460" s="499"/>
      <c r="B2460" s="499"/>
      <c r="C2460" s="499"/>
      <c r="D2460" s="513"/>
      <c r="E2460" s="499"/>
      <c r="F2460" s="499"/>
      <c r="G2460" s="499"/>
      <c r="H2460" s="381"/>
      <c r="I2460" s="141"/>
      <c r="J2460" s="122"/>
      <c r="K2460" s="141"/>
      <c r="L2460" s="141"/>
      <c r="M2460" s="10"/>
      <c r="N2460" s="10"/>
      <c r="O2460"/>
      <c r="P2460"/>
    </row>
    <row r="2461" spans="1:16" s="146" customFormat="1" ht="18" x14ac:dyDescent="0.25">
      <c r="A2461" s="499"/>
      <c r="B2461" s="499"/>
      <c r="C2461" s="499"/>
      <c r="D2461" s="513"/>
      <c r="E2461" s="499"/>
      <c r="F2461" s="499"/>
      <c r="G2461" s="499"/>
      <c r="H2461" s="381"/>
      <c r="I2461" s="141"/>
      <c r="J2461" s="122"/>
      <c r="K2461" s="141"/>
      <c r="L2461" s="141"/>
      <c r="M2461" s="10"/>
      <c r="N2461" s="10"/>
      <c r="O2461"/>
      <c r="P2461"/>
    </row>
    <row r="2462" spans="1:16" s="146" customFormat="1" ht="18" x14ac:dyDescent="0.25">
      <c r="A2462" s="499"/>
      <c r="B2462" s="499"/>
      <c r="C2462" s="499"/>
      <c r="D2462" s="513"/>
      <c r="E2462" s="499"/>
      <c r="F2462" s="499"/>
      <c r="G2462" s="499"/>
      <c r="H2462" s="381"/>
      <c r="I2462" s="141"/>
      <c r="J2462" s="122"/>
      <c r="K2462" s="141"/>
      <c r="L2462" s="141"/>
      <c r="M2462" s="10"/>
      <c r="N2462" s="10"/>
      <c r="O2462"/>
      <c r="P2462"/>
    </row>
    <row r="2463" spans="1:16" s="146" customFormat="1" ht="18" x14ac:dyDescent="0.25">
      <c r="A2463" s="499"/>
      <c r="B2463" s="499"/>
      <c r="C2463" s="499"/>
      <c r="D2463" s="513"/>
      <c r="E2463" s="499"/>
      <c r="F2463" s="499"/>
      <c r="G2463" s="499"/>
      <c r="H2463" s="381"/>
      <c r="I2463" s="141"/>
      <c r="J2463" s="122"/>
      <c r="K2463" s="141"/>
      <c r="L2463" s="141"/>
      <c r="M2463" s="10"/>
      <c r="N2463" s="10"/>
      <c r="O2463"/>
      <c r="P2463"/>
    </row>
    <row r="2464" spans="1:16" s="146" customFormat="1" ht="18" x14ac:dyDescent="0.25">
      <c r="A2464" s="499"/>
      <c r="B2464" s="499"/>
      <c r="C2464" s="499"/>
      <c r="D2464" s="513"/>
      <c r="E2464" s="499"/>
      <c r="F2464" s="499"/>
      <c r="G2464" s="499"/>
      <c r="H2464" s="381"/>
      <c r="I2464" s="141"/>
      <c r="J2464" s="122"/>
      <c r="K2464" s="141"/>
      <c r="L2464" s="141"/>
      <c r="M2464" s="10"/>
      <c r="N2464" s="10"/>
      <c r="O2464"/>
      <c r="P2464"/>
    </row>
    <row r="2465" spans="1:16" s="146" customFormat="1" ht="18" x14ac:dyDescent="0.25">
      <c r="A2465" s="499"/>
      <c r="B2465" s="499"/>
      <c r="C2465" s="499"/>
      <c r="D2465" s="513"/>
      <c r="E2465" s="499"/>
      <c r="F2465" s="499"/>
      <c r="G2465" s="499"/>
      <c r="H2465" s="381"/>
      <c r="I2465" s="141"/>
      <c r="J2465" s="122"/>
      <c r="K2465" s="141"/>
      <c r="L2465" s="141"/>
      <c r="M2465" s="10"/>
      <c r="N2465" s="10"/>
      <c r="O2465"/>
      <c r="P2465"/>
    </row>
    <row r="2466" spans="1:16" s="146" customFormat="1" ht="18" x14ac:dyDescent="0.25">
      <c r="A2466" s="499"/>
      <c r="B2466" s="499"/>
      <c r="C2466" s="499"/>
      <c r="D2466" s="513"/>
      <c r="E2466" s="499"/>
      <c r="F2466" s="499"/>
      <c r="G2466" s="499"/>
      <c r="H2466" s="381"/>
      <c r="I2466" s="141"/>
      <c r="J2466" s="122"/>
      <c r="K2466" s="141"/>
      <c r="L2466" s="141"/>
      <c r="M2466" s="10"/>
      <c r="N2466" s="10"/>
      <c r="O2466"/>
      <c r="P2466"/>
    </row>
    <row r="2467" spans="1:16" s="146" customFormat="1" ht="18" x14ac:dyDescent="0.25">
      <c r="A2467" s="499"/>
      <c r="B2467" s="499"/>
      <c r="C2467" s="499"/>
      <c r="D2467" s="513"/>
      <c r="E2467" s="499"/>
      <c r="F2467" s="499"/>
      <c r="G2467" s="499"/>
      <c r="H2467" s="381"/>
      <c r="I2467" s="141"/>
      <c r="J2467" s="122"/>
      <c r="K2467" s="141"/>
      <c r="L2467" s="141"/>
      <c r="M2467" s="10"/>
      <c r="N2467" s="10"/>
      <c r="O2467"/>
      <c r="P2467"/>
    </row>
    <row r="2468" spans="1:16" s="146" customFormat="1" ht="18" x14ac:dyDescent="0.25">
      <c r="A2468" s="499"/>
      <c r="B2468" s="499"/>
      <c r="C2468" s="499"/>
      <c r="D2468" s="513"/>
      <c r="E2468" s="499"/>
      <c r="F2468" s="499"/>
      <c r="G2468" s="499"/>
      <c r="H2468" s="381"/>
      <c r="I2468" s="141"/>
      <c r="J2468" s="122"/>
      <c r="K2468" s="141"/>
      <c r="L2468" s="141"/>
      <c r="M2468" s="10"/>
      <c r="N2468" s="10"/>
      <c r="O2468"/>
      <c r="P2468"/>
    </row>
    <row r="2469" spans="1:16" s="146" customFormat="1" ht="18" x14ac:dyDescent="0.25">
      <c r="A2469" s="499"/>
      <c r="B2469" s="499"/>
      <c r="C2469" s="499"/>
      <c r="D2469" s="513"/>
      <c r="E2469" s="499"/>
      <c r="F2469" s="499"/>
      <c r="G2469" s="499"/>
      <c r="H2469" s="381"/>
      <c r="I2469" s="141"/>
      <c r="J2469" s="122"/>
      <c r="K2469" s="141"/>
      <c r="L2469" s="141"/>
      <c r="M2469" s="10"/>
      <c r="N2469" s="10"/>
      <c r="O2469"/>
      <c r="P2469"/>
    </row>
    <row r="2470" spans="1:16" s="146" customFormat="1" ht="18" x14ac:dyDescent="0.25">
      <c r="A2470" s="499"/>
      <c r="B2470" s="499"/>
      <c r="C2470" s="499"/>
      <c r="D2470" s="513"/>
      <c r="E2470" s="499"/>
      <c r="F2470" s="499"/>
      <c r="G2470" s="499"/>
      <c r="H2470" s="381"/>
      <c r="I2470" s="141"/>
      <c r="J2470" s="122"/>
      <c r="K2470" s="141"/>
      <c r="L2470" s="141"/>
      <c r="M2470" s="10"/>
      <c r="N2470" s="10"/>
      <c r="O2470"/>
      <c r="P2470"/>
    </row>
    <row r="2471" spans="1:16" s="146" customFormat="1" ht="18" x14ac:dyDescent="0.25">
      <c r="A2471" s="499"/>
      <c r="B2471" s="499"/>
      <c r="C2471" s="499"/>
      <c r="D2471" s="513"/>
      <c r="E2471" s="499"/>
      <c r="F2471" s="499"/>
      <c r="G2471" s="499"/>
      <c r="H2471" s="381"/>
      <c r="I2471" s="141"/>
      <c r="J2471" s="122"/>
      <c r="K2471" s="141"/>
      <c r="L2471" s="141"/>
      <c r="M2471" s="10"/>
      <c r="N2471" s="10"/>
      <c r="O2471"/>
      <c r="P2471"/>
    </row>
    <row r="2472" spans="1:16" s="146" customFormat="1" ht="18" x14ac:dyDescent="0.25">
      <c r="A2472" s="499"/>
      <c r="B2472" s="499"/>
      <c r="C2472" s="499"/>
      <c r="D2472" s="513"/>
      <c r="E2472" s="499"/>
      <c r="F2472" s="499"/>
      <c r="G2472" s="499"/>
      <c r="H2472" s="381"/>
      <c r="I2472" s="141"/>
      <c r="J2472" s="122"/>
      <c r="K2472" s="141"/>
      <c r="L2472" s="141"/>
      <c r="M2472" s="10"/>
      <c r="N2472" s="10"/>
      <c r="O2472"/>
      <c r="P2472"/>
    </row>
    <row r="2473" spans="1:16" s="146" customFormat="1" ht="18" x14ac:dyDescent="0.25">
      <c r="A2473" s="499"/>
      <c r="B2473" s="499"/>
      <c r="C2473" s="499"/>
      <c r="D2473" s="513"/>
      <c r="E2473" s="499"/>
      <c r="F2473" s="499"/>
      <c r="G2473" s="499"/>
      <c r="H2473" s="381"/>
      <c r="I2473" s="141"/>
      <c r="J2473" s="122"/>
      <c r="K2473" s="141"/>
      <c r="L2473" s="141"/>
      <c r="M2473" s="10"/>
      <c r="N2473" s="10"/>
      <c r="O2473"/>
      <c r="P2473"/>
    </row>
    <row r="2474" spans="1:16" s="146" customFormat="1" ht="18" x14ac:dyDescent="0.25">
      <c r="A2474" s="499"/>
      <c r="B2474" s="499"/>
      <c r="C2474" s="499"/>
      <c r="D2474" s="513"/>
      <c r="E2474" s="499"/>
      <c r="F2474" s="499"/>
      <c r="G2474" s="499"/>
      <c r="H2474" s="381"/>
      <c r="I2474" s="141"/>
      <c r="J2474" s="122"/>
      <c r="K2474" s="141"/>
      <c r="L2474" s="141"/>
      <c r="M2474" s="10"/>
      <c r="N2474" s="10"/>
      <c r="O2474"/>
      <c r="P2474"/>
    </row>
    <row r="2475" spans="1:16" s="146" customFormat="1" ht="18" x14ac:dyDescent="0.25">
      <c r="A2475" s="499"/>
      <c r="B2475" s="499"/>
      <c r="C2475" s="499"/>
      <c r="D2475" s="513"/>
      <c r="E2475" s="499"/>
      <c r="F2475" s="499"/>
      <c r="G2475" s="499"/>
      <c r="H2475" s="381"/>
      <c r="I2475" s="141"/>
      <c r="J2475" s="122"/>
      <c r="K2475" s="141"/>
      <c r="L2475" s="141"/>
      <c r="M2475" s="10"/>
      <c r="N2475" s="10"/>
      <c r="O2475"/>
      <c r="P2475"/>
    </row>
    <row r="2476" spans="1:16" s="146" customFormat="1" ht="18" x14ac:dyDescent="0.25">
      <c r="A2476" s="499"/>
      <c r="B2476" s="499"/>
      <c r="C2476" s="499"/>
      <c r="D2476" s="513"/>
      <c r="E2476" s="499"/>
      <c r="F2476" s="499"/>
      <c r="G2476" s="499"/>
      <c r="H2476" s="381"/>
      <c r="I2476" s="141"/>
      <c r="J2476" s="122"/>
      <c r="K2476" s="141"/>
      <c r="L2476" s="141"/>
      <c r="M2476" s="10"/>
      <c r="N2476" s="10"/>
      <c r="O2476"/>
      <c r="P2476"/>
    </row>
    <row r="2477" spans="1:16" s="146" customFormat="1" ht="18" x14ac:dyDescent="0.25">
      <c r="A2477" s="499"/>
      <c r="B2477" s="499"/>
      <c r="C2477" s="499"/>
      <c r="D2477" s="513"/>
      <c r="E2477" s="499"/>
      <c r="F2477" s="499"/>
      <c r="G2477" s="499"/>
      <c r="H2477" s="381"/>
      <c r="I2477" s="141"/>
      <c r="J2477" s="122"/>
      <c r="K2477" s="141"/>
      <c r="L2477" s="141"/>
      <c r="M2477" s="10"/>
      <c r="N2477" s="10"/>
      <c r="O2477"/>
      <c r="P2477"/>
    </row>
    <row r="2478" spans="1:16" s="146" customFormat="1" ht="18" x14ac:dyDescent="0.25">
      <c r="A2478" s="499"/>
      <c r="B2478" s="499"/>
      <c r="C2478" s="499"/>
      <c r="D2478" s="513"/>
      <c r="E2478" s="499"/>
      <c r="F2478" s="499"/>
      <c r="G2478" s="499"/>
      <c r="H2478" s="381"/>
      <c r="I2478" s="141"/>
      <c r="J2478" s="122"/>
      <c r="K2478" s="141"/>
      <c r="L2478" s="141"/>
      <c r="M2478" s="10"/>
      <c r="N2478" s="10"/>
      <c r="O2478"/>
      <c r="P2478"/>
    </row>
    <row r="2479" spans="1:16" s="146" customFormat="1" ht="18" x14ac:dyDescent="0.25">
      <c r="A2479" s="499"/>
      <c r="B2479" s="499"/>
      <c r="C2479" s="499"/>
      <c r="D2479" s="513"/>
      <c r="E2479" s="499"/>
      <c r="F2479" s="499"/>
      <c r="G2479" s="499"/>
      <c r="H2479" s="381"/>
      <c r="I2479" s="141"/>
      <c r="J2479" s="122"/>
      <c r="K2479" s="141"/>
      <c r="L2479" s="141"/>
      <c r="M2479" s="10"/>
      <c r="N2479" s="10"/>
      <c r="O2479"/>
      <c r="P2479"/>
    </row>
    <row r="2480" spans="1:16" s="146" customFormat="1" ht="18" x14ac:dyDescent="0.25">
      <c r="A2480" s="499"/>
      <c r="B2480" s="499"/>
      <c r="C2480" s="499"/>
      <c r="D2480" s="513"/>
      <c r="E2480" s="499"/>
      <c r="F2480" s="499"/>
      <c r="G2480" s="499"/>
      <c r="H2480" s="381"/>
      <c r="I2480" s="141"/>
      <c r="J2480" s="122"/>
      <c r="K2480" s="141"/>
      <c r="L2480" s="141"/>
      <c r="M2480" s="10"/>
      <c r="N2480" s="10"/>
      <c r="O2480"/>
      <c r="P2480"/>
    </row>
    <row r="2481" spans="1:16" s="146" customFormat="1" ht="18" x14ac:dyDescent="0.25">
      <c r="A2481" s="499"/>
      <c r="B2481" s="499"/>
      <c r="C2481" s="499"/>
      <c r="D2481" s="513"/>
      <c r="E2481" s="499"/>
      <c r="F2481" s="499"/>
      <c r="G2481" s="499"/>
      <c r="H2481" s="381"/>
      <c r="I2481" s="141"/>
      <c r="J2481" s="122"/>
      <c r="K2481" s="141"/>
      <c r="L2481" s="141"/>
      <c r="M2481" s="10"/>
      <c r="N2481" s="10"/>
      <c r="O2481"/>
      <c r="P2481"/>
    </row>
    <row r="2482" spans="1:16" s="146" customFormat="1" ht="18" x14ac:dyDescent="0.25">
      <c r="A2482" s="499"/>
      <c r="B2482" s="499"/>
      <c r="C2482" s="499"/>
      <c r="D2482" s="513"/>
      <c r="E2482" s="499"/>
      <c r="F2482" s="499"/>
      <c r="G2482" s="499"/>
      <c r="H2482" s="381"/>
      <c r="I2482" s="141"/>
      <c r="J2482" s="122"/>
      <c r="K2482" s="141"/>
      <c r="L2482" s="141"/>
      <c r="M2482" s="10"/>
      <c r="N2482" s="10"/>
      <c r="O2482"/>
      <c r="P2482"/>
    </row>
    <row r="2483" spans="1:16" s="146" customFormat="1" ht="18" x14ac:dyDescent="0.25">
      <c r="A2483" s="499"/>
      <c r="B2483" s="499"/>
      <c r="C2483" s="499"/>
      <c r="D2483" s="513"/>
      <c r="E2483" s="499"/>
      <c r="F2483" s="499"/>
      <c r="G2483" s="499"/>
      <c r="H2483" s="381"/>
      <c r="I2483" s="141"/>
      <c r="J2483" s="122"/>
      <c r="K2483" s="141"/>
      <c r="L2483" s="141"/>
      <c r="M2483" s="10"/>
      <c r="N2483" s="10"/>
      <c r="O2483"/>
      <c r="P2483"/>
    </row>
    <row r="2484" spans="1:16" s="146" customFormat="1" ht="18" x14ac:dyDescent="0.25">
      <c r="A2484" s="499"/>
      <c r="B2484" s="499"/>
      <c r="C2484" s="499"/>
      <c r="D2484" s="513"/>
      <c r="E2484" s="499"/>
      <c r="F2484" s="499"/>
      <c r="G2484" s="499"/>
      <c r="H2484" s="381"/>
      <c r="I2484" s="141"/>
      <c r="J2484" s="122"/>
      <c r="K2484" s="141"/>
      <c r="L2484" s="141"/>
      <c r="M2484" s="10"/>
      <c r="N2484" s="10"/>
      <c r="O2484"/>
      <c r="P2484"/>
    </row>
    <row r="2485" spans="1:16" s="146" customFormat="1" ht="18" x14ac:dyDescent="0.25">
      <c r="A2485" s="499"/>
      <c r="B2485" s="499"/>
      <c r="C2485" s="499"/>
      <c r="D2485" s="513"/>
      <c r="E2485" s="499"/>
      <c r="F2485" s="499"/>
      <c r="G2485" s="499"/>
      <c r="H2485" s="381"/>
      <c r="I2485" s="141"/>
      <c r="J2485" s="122"/>
      <c r="K2485" s="141"/>
      <c r="L2485" s="141"/>
      <c r="M2485" s="10"/>
      <c r="N2485" s="10"/>
      <c r="O2485"/>
      <c r="P2485"/>
    </row>
    <row r="2486" spans="1:16" s="146" customFormat="1" ht="18" x14ac:dyDescent="0.25">
      <c r="A2486" s="499"/>
      <c r="B2486" s="499"/>
      <c r="C2486" s="499"/>
      <c r="D2486" s="513"/>
      <c r="E2486" s="499"/>
      <c r="F2486" s="499"/>
      <c r="G2486" s="499"/>
      <c r="H2486" s="381"/>
      <c r="I2486" s="141"/>
      <c r="J2486" s="122"/>
      <c r="K2486" s="141"/>
      <c r="L2486" s="141"/>
      <c r="M2486" s="10"/>
      <c r="N2486" s="10"/>
      <c r="O2486"/>
      <c r="P2486"/>
    </row>
    <row r="2487" spans="1:16" s="146" customFormat="1" ht="18" x14ac:dyDescent="0.25">
      <c r="A2487" s="499"/>
      <c r="B2487" s="499"/>
      <c r="C2487" s="499"/>
      <c r="D2487" s="513"/>
      <c r="E2487" s="499"/>
      <c r="F2487" s="499"/>
      <c r="G2487" s="499"/>
      <c r="H2487" s="381"/>
      <c r="I2487" s="141"/>
      <c r="J2487" s="122"/>
      <c r="K2487" s="141"/>
      <c r="L2487" s="141"/>
      <c r="M2487" s="10"/>
      <c r="N2487" s="10"/>
      <c r="O2487"/>
      <c r="P2487"/>
    </row>
    <row r="2488" spans="1:16" s="146" customFormat="1" ht="18" x14ac:dyDescent="0.25">
      <c r="A2488" s="499"/>
      <c r="B2488" s="499"/>
      <c r="C2488" s="499"/>
      <c r="D2488" s="513"/>
      <c r="E2488" s="499"/>
      <c r="F2488" s="499"/>
      <c r="G2488" s="499"/>
      <c r="H2488" s="381"/>
      <c r="I2488" s="141"/>
      <c r="J2488" s="122"/>
      <c r="K2488" s="141"/>
      <c r="L2488" s="141"/>
      <c r="M2488" s="10"/>
      <c r="N2488" s="10"/>
      <c r="O2488"/>
      <c r="P2488"/>
    </row>
    <row r="2489" spans="1:16" s="146" customFormat="1" ht="18" x14ac:dyDescent="0.25">
      <c r="A2489" s="499"/>
      <c r="B2489" s="499"/>
      <c r="C2489" s="499"/>
      <c r="D2489" s="513"/>
      <c r="E2489" s="499"/>
      <c r="F2489" s="499"/>
      <c r="G2489" s="499"/>
      <c r="H2489" s="381"/>
      <c r="I2489" s="141"/>
      <c r="J2489" s="122"/>
      <c r="K2489" s="141"/>
      <c r="L2489" s="141"/>
      <c r="M2489" s="10"/>
      <c r="N2489" s="10"/>
      <c r="O2489"/>
      <c r="P2489"/>
    </row>
    <row r="2490" spans="1:16" s="146" customFormat="1" ht="18" x14ac:dyDescent="0.25">
      <c r="A2490" s="499"/>
      <c r="B2490" s="499"/>
      <c r="C2490" s="499"/>
      <c r="D2490" s="513"/>
      <c r="E2490" s="499"/>
      <c r="F2490" s="499"/>
      <c r="G2490" s="499"/>
      <c r="H2490" s="381"/>
      <c r="I2490" s="141"/>
      <c r="J2490" s="122"/>
      <c r="K2490" s="141"/>
      <c r="L2490" s="141"/>
      <c r="M2490" s="10"/>
      <c r="N2490" s="10"/>
      <c r="O2490"/>
      <c r="P2490"/>
    </row>
    <row r="2491" spans="1:16" s="146" customFormat="1" ht="18" x14ac:dyDescent="0.25">
      <c r="A2491" s="499"/>
      <c r="B2491" s="499"/>
      <c r="C2491" s="499"/>
      <c r="D2491" s="513"/>
      <c r="E2491" s="499"/>
      <c r="F2491" s="499"/>
      <c r="G2491" s="499"/>
      <c r="H2491" s="381"/>
      <c r="I2491" s="141"/>
      <c r="J2491" s="122"/>
      <c r="K2491" s="141"/>
      <c r="L2491" s="141"/>
      <c r="M2491" s="10"/>
      <c r="N2491" s="10"/>
      <c r="O2491"/>
      <c r="P2491"/>
    </row>
    <row r="2492" spans="1:16" s="146" customFormat="1" ht="18" x14ac:dyDescent="0.25">
      <c r="A2492" s="499"/>
      <c r="B2492" s="499"/>
      <c r="C2492" s="499"/>
      <c r="D2492" s="513"/>
      <c r="E2492" s="499"/>
      <c r="F2492" s="499"/>
      <c r="G2492" s="499"/>
      <c r="H2492" s="381"/>
      <c r="I2492" s="141"/>
      <c r="J2492" s="122"/>
      <c r="K2492" s="141"/>
      <c r="L2492" s="141"/>
      <c r="M2492" s="10"/>
      <c r="N2492" s="10"/>
      <c r="O2492"/>
      <c r="P2492"/>
    </row>
    <row r="2493" spans="1:16" s="146" customFormat="1" ht="18" x14ac:dyDescent="0.25">
      <c r="A2493" s="499"/>
      <c r="B2493" s="499"/>
      <c r="C2493" s="499"/>
      <c r="D2493" s="513"/>
      <c r="E2493" s="499"/>
      <c r="F2493" s="499"/>
      <c r="G2493" s="499"/>
      <c r="H2493" s="381"/>
      <c r="I2493" s="141"/>
      <c r="J2493" s="122"/>
      <c r="K2493" s="141"/>
      <c r="L2493" s="141"/>
      <c r="M2493" s="10"/>
      <c r="N2493" s="10"/>
      <c r="O2493"/>
      <c r="P2493"/>
    </row>
    <row r="2494" spans="1:16" s="146" customFormat="1" ht="18" x14ac:dyDescent="0.25">
      <c r="A2494" s="499"/>
      <c r="B2494" s="499"/>
      <c r="C2494" s="499"/>
      <c r="D2494" s="513"/>
      <c r="E2494" s="499"/>
      <c r="F2494" s="499"/>
      <c r="G2494" s="499"/>
      <c r="H2494" s="381"/>
      <c r="I2494" s="141"/>
      <c r="J2494" s="122"/>
      <c r="K2494" s="141"/>
      <c r="L2494" s="141"/>
      <c r="M2494" s="10"/>
      <c r="N2494" s="10"/>
      <c r="O2494"/>
      <c r="P2494"/>
    </row>
    <row r="2495" spans="1:16" s="146" customFormat="1" ht="18" x14ac:dyDescent="0.25">
      <c r="A2495" s="499"/>
      <c r="B2495" s="499"/>
      <c r="C2495" s="499"/>
      <c r="D2495" s="513"/>
      <c r="E2495" s="499"/>
      <c r="F2495" s="499"/>
      <c r="G2495" s="499"/>
      <c r="H2495" s="381"/>
      <c r="I2495" s="141"/>
      <c r="J2495" s="122"/>
      <c r="K2495" s="141"/>
      <c r="L2495" s="141"/>
      <c r="M2495" s="10"/>
      <c r="N2495" s="10"/>
      <c r="O2495"/>
      <c r="P2495"/>
    </row>
    <row r="2496" spans="1:16" s="146" customFormat="1" ht="18" x14ac:dyDescent="0.25">
      <c r="A2496" s="499"/>
      <c r="B2496" s="499"/>
      <c r="C2496" s="499"/>
      <c r="D2496" s="513"/>
      <c r="E2496" s="499"/>
      <c r="F2496" s="499"/>
      <c r="G2496" s="499"/>
      <c r="H2496" s="381"/>
      <c r="I2496" s="141"/>
      <c r="J2496" s="122"/>
      <c r="K2496" s="141"/>
      <c r="L2496" s="141"/>
      <c r="M2496" s="10"/>
      <c r="N2496" s="10"/>
      <c r="O2496"/>
      <c r="P2496"/>
    </row>
    <row r="2497" spans="1:16" s="146" customFormat="1" ht="18" x14ac:dyDescent="0.25">
      <c r="A2497" s="499"/>
      <c r="B2497" s="499"/>
      <c r="C2497" s="499"/>
      <c r="D2497" s="513"/>
      <c r="E2497" s="499"/>
      <c r="F2497" s="499"/>
      <c r="G2497" s="499"/>
      <c r="H2497" s="381"/>
      <c r="I2497" s="141"/>
      <c r="J2497" s="122"/>
      <c r="K2497" s="141"/>
      <c r="L2497" s="141"/>
      <c r="M2497" s="10"/>
      <c r="N2497" s="10"/>
      <c r="O2497"/>
      <c r="P2497"/>
    </row>
    <row r="2498" spans="1:16" s="146" customFormat="1" ht="18" x14ac:dyDescent="0.25">
      <c r="A2498" s="499"/>
      <c r="B2498" s="499"/>
      <c r="C2498" s="499"/>
      <c r="D2498" s="513"/>
      <c r="E2498" s="499"/>
      <c r="F2498" s="499"/>
      <c r="G2498" s="499"/>
      <c r="H2498" s="381"/>
      <c r="I2498" s="141"/>
      <c r="J2498" s="122"/>
      <c r="K2498" s="141"/>
      <c r="L2498" s="141"/>
      <c r="M2498" s="10"/>
      <c r="N2498" s="10"/>
      <c r="O2498"/>
      <c r="P2498"/>
    </row>
    <row r="2499" spans="1:16" s="146" customFormat="1" ht="18" x14ac:dyDescent="0.25">
      <c r="A2499" s="499"/>
      <c r="B2499" s="499"/>
      <c r="C2499" s="499"/>
      <c r="D2499" s="513"/>
      <c r="E2499" s="499"/>
      <c r="F2499" s="499"/>
      <c r="G2499" s="499"/>
      <c r="H2499" s="381"/>
      <c r="I2499" s="141"/>
      <c r="J2499" s="122"/>
      <c r="K2499" s="141"/>
      <c r="L2499" s="141"/>
      <c r="M2499" s="10"/>
      <c r="N2499" s="10"/>
      <c r="O2499"/>
      <c r="P2499"/>
    </row>
    <row r="2500" spans="1:16" s="146" customFormat="1" ht="18" x14ac:dyDescent="0.25">
      <c r="A2500" s="499"/>
      <c r="B2500" s="499"/>
      <c r="C2500" s="499"/>
      <c r="D2500" s="513"/>
      <c r="E2500" s="499"/>
      <c r="F2500" s="499"/>
      <c r="G2500" s="499"/>
      <c r="H2500" s="381"/>
      <c r="I2500" s="141"/>
      <c r="J2500" s="122"/>
      <c r="K2500" s="141"/>
      <c r="L2500" s="141"/>
      <c r="M2500" s="10"/>
      <c r="N2500" s="10"/>
      <c r="O2500"/>
      <c r="P2500"/>
    </row>
    <row r="2501" spans="1:16" s="146" customFormat="1" ht="18" x14ac:dyDescent="0.25">
      <c r="A2501" s="499"/>
      <c r="B2501" s="499"/>
      <c r="C2501" s="499"/>
      <c r="D2501" s="513"/>
      <c r="E2501" s="499"/>
      <c r="F2501" s="499"/>
      <c r="G2501" s="499"/>
      <c r="H2501" s="381"/>
      <c r="I2501" s="141"/>
      <c r="J2501" s="122"/>
      <c r="K2501" s="141"/>
      <c r="L2501" s="141"/>
      <c r="M2501" s="10"/>
      <c r="N2501" s="10"/>
      <c r="O2501"/>
      <c r="P2501"/>
    </row>
    <row r="2502" spans="1:16" s="146" customFormat="1" ht="18" x14ac:dyDescent="0.25">
      <c r="A2502" s="499"/>
      <c r="B2502" s="499"/>
      <c r="C2502" s="499"/>
      <c r="D2502" s="513"/>
      <c r="E2502" s="499"/>
      <c r="F2502" s="499"/>
      <c r="G2502" s="499"/>
      <c r="H2502" s="381"/>
      <c r="I2502" s="141"/>
      <c r="J2502" s="122"/>
      <c r="K2502" s="141"/>
      <c r="L2502" s="141"/>
      <c r="M2502" s="10"/>
      <c r="N2502" s="10"/>
      <c r="O2502"/>
      <c r="P2502"/>
    </row>
    <row r="2503" spans="1:16" s="146" customFormat="1" ht="18" x14ac:dyDescent="0.25">
      <c r="A2503" s="499"/>
      <c r="B2503" s="499"/>
      <c r="C2503" s="499"/>
      <c r="D2503" s="513"/>
      <c r="E2503" s="499"/>
      <c r="F2503" s="499"/>
      <c r="G2503" s="499"/>
      <c r="H2503" s="381"/>
      <c r="I2503" s="141"/>
      <c r="J2503" s="122"/>
      <c r="K2503" s="141"/>
      <c r="L2503" s="141"/>
      <c r="M2503" s="10"/>
      <c r="N2503" s="10"/>
      <c r="O2503"/>
      <c r="P2503"/>
    </row>
    <row r="2504" spans="1:16" s="146" customFormat="1" ht="18" x14ac:dyDescent="0.25">
      <c r="A2504" s="499"/>
      <c r="B2504" s="499"/>
      <c r="C2504" s="499"/>
      <c r="D2504" s="513"/>
      <c r="E2504" s="499"/>
      <c r="F2504" s="499"/>
      <c r="G2504" s="499"/>
      <c r="H2504" s="381"/>
      <c r="I2504" s="141"/>
      <c r="J2504" s="122"/>
      <c r="K2504" s="141"/>
      <c r="L2504" s="141"/>
      <c r="M2504" s="10"/>
      <c r="N2504" s="10"/>
      <c r="O2504"/>
      <c r="P2504"/>
    </row>
    <row r="2505" spans="1:16" s="146" customFormat="1" ht="18" x14ac:dyDescent="0.25">
      <c r="A2505" s="519"/>
      <c r="B2505" s="499" t="s">
        <v>123</v>
      </c>
      <c r="C2505" s="502" t="s">
        <v>1388</v>
      </c>
      <c r="D2505" s="1602" t="s">
        <v>124</v>
      </c>
      <c r="E2505" s="1603"/>
      <c r="F2505" s="1603"/>
      <c r="G2505" s="1603"/>
      <c r="H2505" s="100" t="s">
        <v>125</v>
      </c>
      <c r="I2505" s="101">
        <v>2065820.82</v>
      </c>
      <c r="J2505" s="102">
        <v>2925708</v>
      </c>
      <c r="K2505" s="101">
        <v>1282836.69</v>
      </c>
      <c r="L2505" s="101">
        <v>3171624</v>
      </c>
      <c r="M2505" s="10"/>
      <c r="N2505" s="10"/>
      <c r="O2505"/>
      <c r="P2505"/>
    </row>
    <row r="2506" spans="1:16" s="146" customFormat="1" ht="18" x14ac:dyDescent="0.25">
      <c r="A2506" s="519"/>
      <c r="B2506" s="499" t="s">
        <v>123</v>
      </c>
      <c r="C2506" s="502" t="s">
        <v>1388</v>
      </c>
      <c r="D2506" s="1602" t="s">
        <v>126</v>
      </c>
      <c r="E2506" s="1603"/>
      <c r="F2506" s="1603"/>
      <c r="G2506" s="1603"/>
      <c r="H2506" s="100" t="s">
        <v>127</v>
      </c>
      <c r="I2506" s="101">
        <v>587673.22</v>
      </c>
      <c r="J2506" s="102">
        <v>749880</v>
      </c>
      <c r="K2506" s="101">
        <v>273088.09999999998</v>
      </c>
      <c r="L2506" s="101">
        <v>813600</v>
      </c>
      <c r="M2506" s="10"/>
      <c r="N2506" s="10"/>
      <c r="O2506"/>
      <c r="P2506"/>
    </row>
    <row r="2507" spans="1:16" s="146" customFormat="1" ht="15" customHeight="1" x14ac:dyDescent="0.25">
      <c r="A2507" s="519"/>
      <c r="B2507" s="499" t="s">
        <v>123</v>
      </c>
      <c r="C2507" s="502" t="s">
        <v>1388</v>
      </c>
      <c r="D2507" s="513" t="s">
        <v>128</v>
      </c>
      <c r="E2507" s="499"/>
      <c r="F2507" s="499"/>
      <c r="G2507" s="491"/>
      <c r="H2507" s="100" t="s">
        <v>125</v>
      </c>
      <c r="I2507" s="101"/>
      <c r="J2507" s="102">
        <v>2009</v>
      </c>
      <c r="K2507" s="101"/>
      <c r="L2507" s="101">
        <v>2513.38</v>
      </c>
      <c r="M2507" s="10"/>
      <c r="N2507" s="10"/>
      <c r="O2507"/>
      <c r="P2507"/>
    </row>
    <row r="2508" spans="1:16" s="146" customFormat="1" ht="18" x14ac:dyDescent="0.25">
      <c r="A2508" s="519"/>
      <c r="B2508" s="499" t="s">
        <v>123</v>
      </c>
      <c r="C2508" s="502" t="s">
        <v>1388</v>
      </c>
      <c r="D2508" s="1602" t="s">
        <v>129</v>
      </c>
      <c r="E2508" s="1603"/>
      <c r="F2508" s="1603"/>
      <c r="G2508" s="1603"/>
      <c r="H2508" s="103" t="s">
        <v>130</v>
      </c>
      <c r="I2508" s="101">
        <v>395727.31</v>
      </c>
      <c r="J2508" s="102">
        <v>576000</v>
      </c>
      <c r="K2508" s="101">
        <v>241909.09</v>
      </c>
      <c r="L2508" s="101">
        <v>576000</v>
      </c>
      <c r="M2508" s="10"/>
      <c r="N2508" s="10"/>
      <c r="O2508"/>
      <c r="P2508"/>
    </row>
    <row r="2509" spans="1:16" s="146" customFormat="1" ht="18" x14ac:dyDescent="0.25">
      <c r="A2509" s="519"/>
      <c r="B2509" s="499" t="s">
        <v>123</v>
      </c>
      <c r="C2509" s="502" t="s">
        <v>1388</v>
      </c>
      <c r="D2509" s="1602" t="s">
        <v>135</v>
      </c>
      <c r="E2509" s="1603"/>
      <c r="F2509" s="1603"/>
      <c r="G2509" s="1603"/>
      <c r="H2509" s="100" t="s">
        <v>136</v>
      </c>
      <c r="I2509" s="101">
        <v>244412.07</v>
      </c>
      <c r="J2509" s="102">
        <v>606092.16</v>
      </c>
      <c r="K2509" s="101">
        <v>172549.97</v>
      </c>
      <c r="L2509" s="101">
        <v>1336195.2</v>
      </c>
      <c r="M2509" s="10"/>
      <c r="N2509" s="10"/>
      <c r="O2509"/>
      <c r="P2509"/>
    </row>
    <row r="2510" spans="1:16" s="146" customFormat="1" ht="18" x14ac:dyDescent="0.25">
      <c r="A2510" s="519"/>
      <c r="B2510" s="499" t="s">
        <v>123</v>
      </c>
      <c r="C2510" s="502" t="s">
        <v>1388</v>
      </c>
      <c r="D2510" s="1602" t="s">
        <v>137</v>
      </c>
      <c r="E2510" s="1603"/>
      <c r="F2510" s="1603"/>
      <c r="G2510" s="1603"/>
      <c r="H2510" s="100" t="s">
        <v>138</v>
      </c>
      <c r="I2510" s="101">
        <v>84000</v>
      </c>
      <c r="J2510" s="102">
        <v>144000</v>
      </c>
      <c r="K2510" s="101">
        <v>108000</v>
      </c>
      <c r="L2510" s="101">
        <v>144000</v>
      </c>
      <c r="M2510" s="10"/>
      <c r="N2510" s="10"/>
      <c r="O2510"/>
      <c r="P2510"/>
    </row>
    <row r="2511" spans="1:16" s="146" customFormat="1" ht="18" customHeight="1" x14ac:dyDescent="0.25">
      <c r="A2511" s="519"/>
      <c r="B2511" s="499" t="s">
        <v>123</v>
      </c>
      <c r="C2511" s="502" t="s">
        <v>1388</v>
      </c>
      <c r="D2511" s="1602" t="s">
        <v>139</v>
      </c>
      <c r="E2511" s="1603"/>
      <c r="F2511" s="1603"/>
      <c r="G2511" s="1603"/>
      <c r="H2511" s="100" t="s">
        <v>140</v>
      </c>
      <c r="I2511" s="101">
        <v>213863</v>
      </c>
      <c r="J2511" s="102">
        <v>306425</v>
      </c>
      <c r="K2511" s="101">
        <v>233314</v>
      </c>
      <c r="L2511" s="101">
        <v>332297</v>
      </c>
      <c r="M2511" s="10"/>
      <c r="N2511" s="10"/>
      <c r="O2511"/>
      <c r="P2511"/>
    </row>
    <row r="2512" spans="1:16" s="146" customFormat="1" ht="18" x14ac:dyDescent="0.25">
      <c r="A2512" s="519"/>
      <c r="B2512" s="499" t="s">
        <v>123</v>
      </c>
      <c r="C2512" s="502" t="s">
        <v>1388</v>
      </c>
      <c r="D2512" s="1602" t="s">
        <v>141</v>
      </c>
      <c r="E2512" s="1603"/>
      <c r="F2512" s="1603"/>
      <c r="G2512" s="1603"/>
      <c r="H2512" s="100" t="s">
        <v>142</v>
      </c>
      <c r="I2512" s="101">
        <v>214025</v>
      </c>
      <c r="J2512" s="102">
        <v>306425</v>
      </c>
      <c r="K2512" s="101"/>
      <c r="L2512" s="101">
        <v>332384</v>
      </c>
      <c r="M2512" s="10"/>
      <c r="N2512" s="10"/>
      <c r="O2512"/>
      <c r="P2512"/>
    </row>
    <row r="2513" spans="1:16" s="146" customFormat="1" ht="18" x14ac:dyDescent="0.25">
      <c r="A2513" s="519"/>
      <c r="B2513" s="499" t="s">
        <v>123</v>
      </c>
      <c r="C2513" s="502" t="s">
        <v>1388</v>
      </c>
      <c r="D2513" s="1602" t="s">
        <v>143</v>
      </c>
      <c r="E2513" s="1603"/>
      <c r="F2513" s="1603"/>
      <c r="G2513" s="1603"/>
      <c r="H2513" s="100" t="s">
        <v>144</v>
      </c>
      <c r="I2513" s="101">
        <v>90000</v>
      </c>
      <c r="J2513" s="102">
        <v>120000</v>
      </c>
      <c r="K2513" s="101"/>
      <c r="L2513" s="101">
        <v>120000</v>
      </c>
      <c r="M2513" s="10"/>
      <c r="N2513" s="10"/>
      <c r="O2513"/>
      <c r="P2513"/>
    </row>
    <row r="2514" spans="1:16" s="146" customFormat="1" ht="18" x14ac:dyDescent="0.25">
      <c r="A2514" s="519"/>
      <c r="B2514" s="499" t="s">
        <v>123</v>
      </c>
      <c r="C2514" s="502" t="s">
        <v>1388</v>
      </c>
      <c r="D2514" s="1602" t="s">
        <v>145</v>
      </c>
      <c r="E2514" s="1603"/>
      <c r="F2514" s="1603"/>
      <c r="G2514" s="1603"/>
      <c r="H2514" s="100" t="s">
        <v>146</v>
      </c>
      <c r="I2514" s="101">
        <v>90000</v>
      </c>
      <c r="J2514" s="102">
        <v>120000</v>
      </c>
      <c r="K2514" s="101"/>
      <c r="L2514" s="101">
        <v>120000</v>
      </c>
      <c r="M2514" s="10"/>
      <c r="N2514" s="10"/>
      <c r="O2514"/>
      <c r="P2514"/>
    </row>
    <row r="2515" spans="1:16" s="146" customFormat="1" ht="18" x14ac:dyDescent="0.25">
      <c r="A2515" s="519"/>
      <c r="B2515" s="499" t="s">
        <v>123</v>
      </c>
      <c r="C2515" s="502" t="s">
        <v>1388</v>
      </c>
      <c r="D2515" s="513" t="s">
        <v>149</v>
      </c>
      <c r="E2515" s="499"/>
      <c r="F2515" s="499"/>
      <c r="G2515" s="491"/>
      <c r="H2515" s="100" t="s">
        <v>150</v>
      </c>
      <c r="I2515" s="101">
        <v>232312.5</v>
      </c>
      <c r="J2515" s="102">
        <v>0</v>
      </c>
      <c r="K2515" s="101"/>
      <c r="L2515" s="101"/>
      <c r="M2515" s="10"/>
      <c r="N2515" s="10"/>
      <c r="O2515"/>
      <c r="P2515"/>
    </row>
    <row r="2516" spans="1:16" s="146" customFormat="1" ht="18" x14ac:dyDescent="0.25">
      <c r="A2516" s="519"/>
      <c r="B2516" s="499" t="s">
        <v>123</v>
      </c>
      <c r="C2516" s="502" t="s">
        <v>1388</v>
      </c>
      <c r="D2516" s="1602" t="s">
        <v>151</v>
      </c>
      <c r="E2516" s="1603"/>
      <c r="F2516" s="1603"/>
      <c r="G2516" s="1603"/>
      <c r="H2516" s="100" t="s">
        <v>148</v>
      </c>
      <c r="I2516" s="101">
        <v>180000</v>
      </c>
      <c r="J2516" s="102"/>
      <c r="K2516" s="101"/>
      <c r="L2516" s="101"/>
      <c r="M2516" s="10"/>
      <c r="N2516" s="10"/>
      <c r="O2516"/>
      <c r="P2516"/>
    </row>
    <row r="2517" spans="1:16" s="146" customFormat="1" ht="18" x14ac:dyDescent="0.25">
      <c r="A2517" s="519"/>
      <c r="B2517" s="499" t="s">
        <v>123</v>
      </c>
      <c r="C2517" s="502" t="s">
        <v>1388</v>
      </c>
      <c r="D2517" s="513" t="s">
        <v>231</v>
      </c>
      <c r="E2517" s="499"/>
      <c r="F2517" s="499"/>
      <c r="G2517" s="491"/>
      <c r="H2517" s="100" t="s">
        <v>232</v>
      </c>
      <c r="I2517" s="101"/>
      <c r="J2517" s="102">
        <v>10000</v>
      </c>
      <c r="K2517" s="101"/>
      <c r="L2517" s="101">
        <v>5000</v>
      </c>
      <c r="M2517" s="10"/>
      <c r="N2517" s="10"/>
      <c r="O2517"/>
      <c r="P2517"/>
    </row>
    <row r="2518" spans="1:16" s="146" customFormat="1" ht="18" x14ac:dyDescent="0.25">
      <c r="A2518" s="519"/>
      <c r="B2518" s="499" t="s">
        <v>123</v>
      </c>
      <c r="C2518" s="502" t="s">
        <v>1388</v>
      </c>
      <c r="D2518" s="536" t="s">
        <v>147</v>
      </c>
      <c r="E2518" s="499"/>
      <c r="F2518" s="499"/>
      <c r="G2518" s="491"/>
      <c r="H2518" s="100" t="s">
        <v>148</v>
      </c>
      <c r="I2518" s="101"/>
      <c r="J2518" s="102"/>
      <c r="K2518" s="101"/>
      <c r="L2518" s="101">
        <v>72000</v>
      </c>
      <c r="M2518" s="10"/>
      <c r="N2518" s="10"/>
      <c r="O2518"/>
      <c r="P2518"/>
    </row>
    <row r="2519" spans="1:16" s="146" customFormat="1" ht="18" customHeight="1" x14ac:dyDescent="0.25">
      <c r="A2519" s="519"/>
      <c r="B2519" s="499" t="s">
        <v>123</v>
      </c>
      <c r="C2519" s="502" t="s">
        <v>1388</v>
      </c>
      <c r="D2519" s="1611" t="s">
        <v>152</v>
      </c>
      <c r="E2519" s="1611"/>
      <c r="F2519" s="1611"/>
      <c r="G2519" s="1602"/>
      <c r="H2519" s="100"/>
      <c r="I2519" s="101"/>
      <c r="J2519" s="102">
        <v>205766.2</v>
      </c>
      <c r="K2519" s="101"/>
      <c r="L2519" s="101"/>
      <c r="M2519" s="10"/>
      <c r="N2519" s="10"/>
      <c r="O2519"/>
      <c r="P2519"/>
    </row>
    <row r="2520" spans="1:16" s="146" customFormat="1" ht="18" x14ac:dyDescent="0.25">
      <c r="A2520" s="519"/>
      <c r="B2520" s="499" t="s">
        <v>123</v>
      </c>
      <c r="C2520" s="502" t="s">
        <v>1388</v>
      </c>
      <c r="D2520" s="1602" t="s">
        <v>153</v>
      </c>
      <c r="E2520" s="1603"/>
      <c r="F2520" s="1603"/>
      <c r="G2520" s="1603"/>
      <c r="H2520" s="100" t="s">
        <v>154</v>
      </c>
      <c r="I2520" s="101">
        <v>286241.37</v>
      </c>
      <c r="J2520" s="102">
        <v>441311.64</v>
      </c>
      <c r="K2520" s="101">
        <v>184897.96</v>
      </c>
      <c r="L2520" s="101">
        <v>478528.48</v>
      </c>
      <c r="M2520" s="10"/>
      <c r="N2520" s="10"/>
      <c r="O2520"/>
      <c r="P2520"/>
    </row>
    <row r="2521" spans="1:16" s="146" customFormat="1" ht="18" x14ac:dyDescent="0.25">
      <c r="A2521" s="519"/>
      <c r="B2521" s="499" t="s">
        <v>123</v>
      </c>
      <c r="C2521" s="502" t="s">
        <v>1388</v>
      </c>
      <c r="D2521" s="1602" t="s">
        <v>155</v>
      </c>
      <c r="E2521" s="1603"/>
      <c r="F2521" s="1603"/>
      <c r="G2521" s="1603"/>
      <c r="H2521" s="100" t="s">
        <v>156</v>
      </c>
      <c r="I2521" s="101">
        <v>19600</v>
      </c>
      <c r="J2521" s="102">
        <v>28800</v>
      </c>
      <c r="K2521" s="101">
        <v>15005.92</v>
      </c>
      <c r="L2521" s="101">
        <v>28800</v>
      </c>
      <c r="M2521" s="10"/>
      <c r="N2521" s="10"/>
      <c r="O2521"/>
      <c r="P2521"/>
    </row>
    <row r="2522" spans="1:16" s="146" customFormat="1" ht="18" x14ac:dyDescent="0.25">
      <c r="A2522" s="519"/>
      <c r="B2522" s="499" t="s">
        <v>123</v>
      </c>
      <c r="C2522" s="502" t="s">
        <v>1388</v>
      </c>
      <c r="D2522" s="1602" t="s">
        <v>157</v>
      </c>
      <c r="E2522" s="1603"/>
      <c r="F2522" s="1603"/>
      <c r="G2522" s="1603"/>
      <c r="H2522" s="100" t="s">
        <v>158</v>
      </c>
      <c r="I2522" s="101">
        <v>35484.800000000003</v>
      </c>
      <c r="J2522" s="102">
        <v>64357.95</v>
      </c>
      <c r="K2522" s="101">
        <v>23869.67</v>
      </c>
      <c r="L2522" s="101">
        <v>159880.53</v>
      </c>
      <c r="M2522" s="10"/>
      <c r="N2522" s="10"/>
      <c r="O2522"/>
      <c r="P2522"/>
    </row>
    <row r="2523" spans="1:16" s="146" customFormat="1" ht="18" x14ac:dyDescent="0.25">
      <c r="A2523" s="519"/>
      <c r="B2523" s="499" t="s">
        <v>123</v>
      </c>
      <c r="C2523" s="502" t="s">
        <v>1388</v>
      </c>
      <c r="D2523" s="1602" t="s">
        <v>159</v>
      </c>
      <c r="E2523" s="1603"/>
      <c r="F2523" s="1603"/>
      <c r="G2523" s="1603"/>
      <c r="H2523" s="100" t="s">
        <v>160</v>
      </c>
      <c r="I2523" s="105">
        <v>19604.32</v>
      </c>
      <c r="J2523" s="106">
        <v>28800</v>
      </c>
      <c r="K2523" s="105">
        <v>12400</v>
      </c>
      <c r="L2523" s="105">
        <v>28800</v>
      </c>
      <c r="M2523" s="10"/>
      <c r="N2523" s="10"/>
      <c r="O2523"/>
      <c r="P2523"/>
    </row>
    <row r="2524" spans="1:16" s="229" customFormat="1" ht="18" customHeight="1" x14ac:dyDescent="0.25">
      <c r="A2524" s="154"/>
      <c r="B2524" s="499" t="s">
        <v>163</v>
      </c>
      <c r="C2524" s="502" t="s">
        <v>1388</v>
      </c>
      <c r="D2524" s="44" t="s">
        <v>168</v>
      </c>
      <c r="E2524" s="125"/>
      <c r="F2524" s="125"/>
      <c r="G2524" s="134"/>
      <c r="H2524" s="100" t="s">
        <v>169</v>
      </c>
      <c r="I2524" s="101">
        <v>73940</v>
      </c>
      <c r="J2524" s="102">
        <v>92706</v>
      </c>
      <c r="K2524" s="101">
        <v>48916.5</v>
      </c>
      <c r="L2524" s="101">
        <v>96656</v>
      </c>
      <c r="M2524" s="207"/>
      <c r="N2524" s="207"/>
      <c r="O2524" s="212"/>
      <c r="P2524" s="212"/>
    </row>
    <row r="2525" spans="1:16" s="229" customFormat="1" ht="18" customHeight="1" x14ac:dyDescent="0.25">
      <c r="A2525" s="154"/>
      <c r="B2525" s="499" t="s">
        <v>163</v>
      </c>
      <c r="C2525" s="502" t="s">
        <v>1388</v>
      </c>
      <c r="D2525" s="44" t="s">
        <v>172</v>
      </c>
      <c r="E2525" s="125"/>
      <c r="F2525" s="125"/>
      <c r="G2525" s="134"/>
      <c r="H2525" s="100" t="s">
        <v>173</v>
      </c>
      <c r="I2525" s="101">
        <v>781124.36</v>
      </c>
      <c r="J2525" s="102">
        <v>1525050</v>
      </c>
      <c r="K2525" s="101">
        <v>312132.07</v>
      </c>
      <c r="L2525" s="101">
        <v>1503330</v>
      </c>
      <c r="M2525" s="207"/>
      <c r="N2525" s="207"/>
      <c r="O2525" s="212"/>
      <c r="P2525" s="212"/>
    </row>
    <row r="2526" spans="1:16" s="229" customFormat="1" ht="18" customHeight="1" x14ac:dyDescent="0.25">
      <c r="A2526" s="154"/>
      <c r="B2526" s="499" t="s">
        <v>163</v>
      </c>
      <c r="C2526" s="502" t="s">
        <v>1388</v>
      </c>
      <c r="D2526" s="44" t="s">
        <v>170</v>
      </c>
      <c r="E2526" s="125"/>
      <c r="F2526" s="125"/>
      <c r="G2526" s="503"/>
      <c r="H2526" s="100" t="s">
        <v>171</v>
      </c>
      <c r="I2526" s="101"/>
      <c r="J2526" s="102"/>
      <c r="K2526" s="101"/>
      <c r="L2526" s="101">
        <f>1962843+2077629.21-8800</f>
        <v>4031672.21</v>
      </c>
      <c r="M2526" s="207">
        <f>2119431.45+10097.76</f>
        <v>2129529.21</v>
      </c>
      <c r="N2526" s="207"/>
      <c r="O2526" s="212"/>
      <c r="P2526" s="212"/>
    </row>
    <row r="2527" spans="1:16" s="229" customFormat="1" ht="18" customHeight="1" x14ac:dyDescent="0.25">
      <c r="A2527" s="154"/>
      <c r="B2527" s="499" t="s">
        <v>163</v>
      </c>
      <c r="C2527" s="502" t="s">
        <v>1388</v>
      </c>
      <c r="D2527" s="44" t="s">
        <v>1262</v>
      </c>
      <c r="E2527" s="125"/>
      <c r="F2527" s="125"/>
      <c r="G2527" s="134"/>
      <c r="H2527" s="100" t="s">
        <v>171</v>
      </c>
      <c r="I2527" s="101">
        <v>0</v>
      </c>
      <c r="J2527" s="102">
        <v>589392.97</v>
      </c>
      <c r="K2527" s="101"/>
      <c r="L2527" s="101"/>
      <c r="M2527" s="207">
        <f>M2526-51900</f>
        <v>2077629.21</v>
      </c>
      <c r="N2527" s="207"/>
      <c r="O2527" s="212"/>
      <c r="P2527" s="212"/>
    </row>
    <row r="2528" spans="1:16" s="229" customFormat="1" ht="18" customHeight="1" x14ac:dyDescent="0.25">
      <c r="A2528" s="154"/>
      <c r="B2528" s="499" t="s">
        <v>163</v>
      </c>
      <c r="C2528" s="502" t="s">
        <v>1388</v>
      </c>
      <c r="D2528" s="44" t="s">
        <v>1263</v>
      </c>
      <c r="E2528" s="125"/>
      <c r="F2528" s="125"/>
      <c r="G2528" s="134"/>
      <c r="H2528" s="100" t="s">
        <v>171</v>
      </c>
      <c r="I2528" s="101">
        <v>0</v>
      </c>
      <c r="J2528" s="102">
        <v>64000</v>
      </c>
      <c r="K2528" s="101"/>
      <c r="L2528" s="101"/>
      <c r="M2528" s="207"/>
      <c r="N2528" s="207"/>
      <c r="O2528" s="212"/>
      <c r="P2528" s="212"/>
    </row>
    <row r="2529" spans="1:16" s="229" customFormat="1" ht="18" customHeight="1" x14ac:dyDescent="0.25">
      <c r="A2529" s="154"/>
      <c r="B2529" s="499" t="s">
        <v>163</v>
      </c>
      <c r="C2529" s="502" t="s">
        <v>1388</v>
      </c>
      <c r="D2529" s="536" t="s">
        <v>1264</v>
      </c>
      <c r="E2529" s="502"/>
      <c r="F2529" s="502"/>
      <c r="G2529" s="503"/>
      <c r="H2529" s="100" t="s">
        <v>171</v>
      </c>
      <c r="I2529" s="101">
        <v>962500</v>
      </c>
      <c r="J2529" s="102">
        <v>995100</v>
      </c>
      <c r="K2529" s="101"/>
      <c r="L2529" s="101"/>
      <c r="M2529" s="207"/>
      <c r="N2529" s="207"/>
      <c r="O2529" s="212"/>
      <c r="P2529" s="212"/>
    </row>
    <row r="2530" spans="1:16" s="229" customFormat="1" ht="18" customHeight="1" x14ac:dyDescent="0.25">
      <c r="A2530" s="154"/>
      <c r="B2530" s="499" t="s">
        <v>163</v>
      </c>
      <c r="C2530" s="502" t="s">
        <v>1388</v>
      </c>
      <c r="D2530" s="44" t="s">
        <v>174</v>
      </c>
      <c r="E2530" s="125"/>
      <c r="F2530" s="125"/>
      <c r="G2530" s="134"/>
      <c r="H2530" s="100" t="s">
        <v>171</v>
      </c>
      <c r="I2530" s="101">
        <v>819442</v>
      </c>
      <c r="J2530" s="102">
        <v>330364</v>
      </c>
      <c r="K2530" s="101"/>
      <c r="L2530" s="101"/>
      <c r="M2530" s="207"/>
      <c r="N2530" s="207"/>
      <c r="O2530" s="212"/>
      <c r="P2530" s="212"/>
    </row>
    <row r="2531" spans="1:16" s="229" customFormat="1" ht="18" customHeight="1" x14ac:dyDescent="0.25">
      <c r="A2531" s="154"/>
      <c r="B2531" s="499" t="s">
        <v>163</v>
      </c>
      <c r="C2531" s="502" t="s">
        <v>1388</v>
      </c>
      <c r="D2531" s="44" t="s">
        <v>384</v>
      </c>
      <c r="E2531" s="125"/>
      <c r="F2531" s="125"/>
      <c r="G2531" s="134"/>
      <c r="H2531" s="100" t="s">
        <v>385</v>
      </c>
      <c r="I2531" s="101">
        <v>1246510.8</v>
      </c>
      <c r="J2531" s="102">
        <v>1500000</v>
      </c>
      <c r="K2531" s="101">
        <v>700334.34</v>
      </c>
      <c r="L2531" s="101">
        <v>1500000</v>
      </c>
      <c r="M2531" s="207"/>
      <c r="N2531" s="207"/>
      <c r="O2531" s="212"/>
      <c r="P2531" s="212"/>
    </row>
    <row r="2532" spans="1:16" s="229" customFormat="1" ht="18" customHeight="1" x14ac:dyDescent="0.25">
      <c r="A2532" s="154"/>
      <c r="B2532" s="499" t="s">
        <v>163</v>
      </c>
      <c r="C2532" s="502" t="s">
        <v>1388</v>
      </c>
      <c r="D2532" s="44" t="s">
        <v>178</v>
      </c>
      <c r="E2532" s="125"/>
      <c r="F2532" s="125"/>
      <c r="G2532" s="134"/>
      <c r="H2532" s="100"/>
      <c r="I2532" s="101"/>
      <c r="J2532" s="102"/>
      <c r="K2532" s="101"/>
      <c r="L2532" s="101">
        <v>30000</v>
      </c>
      <c r="M2532" s="207"/>
      <c r="N2532" s="207"/>
      <c r="O2532" s="212"/>
      <c r="P2532" s="212"/>
    </row>
    <row r="2533" spans="1:16" s="229" customFormat="1" ht="18" customHeight="1" x14ac:dyDescent="0.25">
      <c r="A2533" s="154"/>
      <c r="B2533" s="499" t="s">
        <v>163</v>
      </c>
      <c r="C2533" s="502" t="s">
        <v>1388</v>
      </c>
      <c r="D2533" s="44" t="s">
        <v>1265</v>
      </c>
      <c r="E2533" s="125"/>
      <c r="F2533" s="125"/>
      <c r="G2533" s="134"/>
      <c r="H2533" s="100" t="s">
        <v>179</v>
      </c>
      <c r="I2533" s="101">
        <v>24192</v>
      </c>
      <c r="J2533" s="102">
        <v>30000</v>
      </c>
      <c r="K2533" s="101">
        <v>14112</v>
      </c>
      <c r="L2533" s="101"/>
      <c r="M2533" s="207"/>
      <c r="N2533" s="207"/>
      <c r="O2533" s="212"/>
      <c r="P2533" s="212"/>
    </row>
    <row r="2534" spans="1:16" s="229" customFormat="1" ht="18" customHeight="1" x14ac:dyDescent="0.25">
      <c r="A2534" s="154"/>
      <c r="B2534" s="499" t="s">
        <v>163</v>
      </c>
      <c r="C2534" s="502" t="s">
        <v>1388</v>
      </c>
      <c r="D2534" s="44" t="s">
        <v>1266</v>
      </c>
      <c r="E2534" s="125"/>
      <c r="F2534" s="125"/>
      <c r="G2534" s="134"/>
      <c r="H2534" s="100" t="s">
        <v>308</v>
      </c>
      <c r="I2534" s="101">
        <v>337991</v>
      </c>
      <c r="J2534" s="102">
        <v>2000000</v>
      </c>
      <c r="K2534" s="101">
        <v>231060</v>
      </c>
      <c r="L2534" s="101">
        <v>1000000</v>
      </c>
      <c r="M2534" s="207"/>
      <c r="N2534" s="207"/>
      <c r="O2534" s="212"/>
      <c r="P2534" s="212"/>
    </row>
    <row r="2535" spans="1:16" s="229" customFormat="1" ht="18" customHeight="1" x14ac:dyDescent="0.25">
      <c r="A2535" s="154"/>
      <c r="B2535" s="499" t="s">
        <v>163</v>
      </c>
      <c r="C2535" s="502" t="s">
        <v>1388</v>
      </c>
      <c r="D2535" s="44" t="s">
        <v>186</v>
      </c>
      <c r="E2535" s="125"/>
      <c r="F2535" s="125"/>
      <c r="G2535" s="125"/>
      <c r="H2535" s="100" t="s">
        <v>187</v>
      </c>
      <c r="I2535" s="101">
        <v>84240</v>
      </c>
      <c r="J2535" s="102">
        <v>100000</v>
      </c>
      <c r="K2535" s="101"/>
      <c r="L2535" s="101">
        <v>100000</v>
      </c>
      <c r="M2535" s="207"/>
      <c r="N2535" s="207"/>
      <c r="O2535" s="212"/>
      <c r="P2535" s="212"/>
    </row>
    <row r="2536" spans="1:16" s="229" customFormat="1" ht="18" customHeight="1" x14ac:dyDescent="0.25">
      <c r="A2536" s="154"/>
      <c r="B2536" s="499" t="s">
        <v>163</v>
      </c>
      <c r="C2536" s="502" t="s">
        <v>1388</v>
      </c>
      <c r="D2536" s="44" t="s">
        <v>1267</v>
      </c>
      <c r="E2536" s="125"/>
      <c r="F2536" s="125"/>
      <c r="G2536" s="134"/>
      <c r="H2536" s="100" t="s">
        <v>356</v>
      </c>
      <c r="I2536" s="101">
        <v>0</v>
      </c>
      <c r="J2536" s="102">
        <v>185000</v>
      </c>
      <c r="K2536" s="101"/>
      <c r="L2536" s="101">
        <v>100000</v>
      </c>
      <c r="M2536" s="207"/>
      <c r="N2536" s="207"/>
      <c r="O2536" s="212"/>
      <c r="P2536" s="212"/>
    </row>
    <row r="2537" spans="1:16" s="229" customFormat="1" ht="18" customHeight="1" x14ac:dyDescent="0.25">
      <c r="A2537" s="154"/>
      <c r="B2537" s="499" t="s">
        <v>163</v>
      </c>
      <c r="C2537" s="502" t="s">
        <v>1388</v>
      </c>
      <c r="D2537" s="44" t="s">
        <v>1268</v>
      </c>
      <c r="E2537" s="125"/>
      <c r="F2537" s="502"/>
      <c r="G2537" s="503"/>
      <c r="H2537" s="100" t="s">
        <v>189</v>
      </c>
      <c r="I2537" s="101"/>
      <c r="J2537" s="102">
        <v>234000</v>
      </c>
      <c r="K2537" s="101"/>
      <c r="L2537" s="101">
        <v>200000</v>
      </c>
      <c r="M2537" s="207"/>
      <c r="N2537" s="207"/>
      <c r="O2537" s="212"/>
      <c r="P2537" s="212"/>
    </row>
    <row r="2538" spans="1:16" s="229" customFormat="1" ht="18" customHeight="1" x14ac:dyDescent="0.25">
      <c r="A2538" s="154"/>
      <c r="B2538" s="499" t="s">
        <v>163</v>
      </c>
      <c r="C2538" s="502" t="s">
        <v>1388</v>
      </c>
      <c r="D2538" s="44" t="s">
        <v>198</v>
      </c>
      <c r="E2538" s="125"/>
      <c r="F2538" s="125"/>
      <c r="G2538" s="134"/>
      <c r="H2538" s="100" t="s">
        <v>199</v>
      </c>
      <c r="I2538" s="105">
        <v>1302470.25</v>
      </c>
      <c r="J2538" s="106">
        <v>1607030</v>
      </c>
      <c r="K2538" s="105">
        <v>587500.54</v>
      </c>
      <c r="L2538" s="105">
        <v>1768634.16</v>
      </c>
      <c r="M2538" s="207"/>
      <c r="N2538" s="207"/>
      <c r="O2538" s="212"/>
      <c r="P2538" s="212"/>
    </row>
    <row r="2539" spans="1:16" s="146" customFormat="1" ht="18" customHeight="1" x14ac:dyDescent="0.25">
      <c r="A2539" s="495"/>
      <c r="B2539" s="499" t="s">
        <v>201</v>
      </c>
      <c r="C2539" s="502" t="s">
        <v>1388</v>
      </c>
      <c r="D2539" s="536" t="s">
        <v>203</v>
      </c>
      <c r="E2539" s="499"/>
      <c r="F2539" s="499"/>
      <c r="G2539" s="499"/>
      <c r="H2539" s="376"/>
      <c r="I2539" s="101"/>
      <c r="J2539" s="102"/>
      <c r="K2539" s="101"/>
      <c r="L2539" s="101">
        <v>75000</v>
      </c>
      <c r="M2539" s="10"/>
      <c r="N2539" s="10"/>
      <c r="O2539"/>
      <c r="P2539"/>
    </row>
    <row r="2540" spans="1:16" s="313" customFormat="1" ht="47.25" customHeight="1" x14ac:dyDescent="0.25">
      <c r="A2540" s="332"/>
      <c r="B2540" s="499" t="s">
        <v>201</v>
      </c>
      <c r="C2540" s="502" t="s">
        <v>1388</v>
      </c>
      <c r="D2540" s="1622" t="s">
        <v>1269</v>
      </c>
      <c r="E2540" s="1622"/>
      <c r="F2540" s="505"/>
      <c r="G2540" s="505"/>
      <c r="H2540" s="238"/>
      <c r="I2540" s="101"/>
      <c r="J2540" s="102"/>
      <c r="K2540" s="101"/>
      <c r="L2540" s="101">
        <v>160000</v>
      </c>
      <c r="M2540" s="193"/>
      <c r="N2540" s="193"/>
      <c r="O2540" s="179"/>
      <c r="P2540" s="179"/>
    </row>
    <row r="2541" spans="1:16" s="313" customFormat="1" ht="18" customHeight="1" x14ac:dyDescent="0.25">
      <c r="A2541" s="332"/>
      <c r="B2541" s="499" t="s">
        <v>201</v>
      </c>
      <c r="C2541" s="502" t="s">
        <v>1388</v>
      </c>
      <c r="D2541" s="528" t="s">
        <v>1270</v>
      </c>
      <c r="E2541" s="505"/>
      <c r="F2541" s="505"/>
      <c r="G2541" s="505"/>
      <c r="H2541" s="238"/>
      <c r="I2541" s="101"/>
      <c r="J2541" s="102"/>
      <c r="K2541" s="101"/>
      <c r="L2541" s="101">
        <v>35000</v>
      </c>
      <c r="M2541" s="193"/>
      <c r="N2541" s="193"/>
      <c r="O2541" s="179"/>
      <c r="P2541" s="179"/>
    </row>
    <row r="2542" spans="1:16" s="313" customFormat="1" ht="18" customHeight="1" x14ac:dyDescent="0.25">
      <c r="A2542" s="332"/>
      <c r="B2542" s="499" t="s">
        <v>201</v>
      </c>
      <c r="C2542" s="502" t="s">
        <v>1388</v>
      </c>
      <c r="D2542" s="528" t="s">
        <v>1271</v>
      </c>
      <c r="E2542" s="505"/>
      <c r="F2542" s="505"/>
      <c r="G2542" s="505"/>
      <c r="H2542" s="238"/>
      <c r="I2542" s="101"/>
      <c r="J2542" s="102"/>
      <c r="K2542" s="101"/>
      <c r="L2542" s="101">
        <v>14000</v>
      </c>
      <c r="M2542" s="193"/>
      <c r="N2542" s="193"/>
      <c r="O2542" s="179"/>
      <c r="P2542" s="179"/>
    </row>
    <row r="2543" spans="1:16" s="313" customFormat="1" ht="18" customHeight="1" x14ac:dyDescent="0.25">
      <c r="A2543" s="332"/>
      <c r="B2543" s="499" t="s">
        <v>201</v>
      </c>
      <c r="C2543" s="502" t="s">
        <v>1388</v>
      </c>
      <c r="D2543" s="528" t="s">
        <v>1272</v>
      </c>
      <c r="E2543" s="505"/>
      <c r="F2543" s="505"/>
      <c r="G2543" s="505"/>
      <c r="H2543" s="238"/>
      <c r="I2543" s="101"/>
      <c r="J2543" s="102"/>
      <c r="K2543" s="101"/>
      <c r="L2543" s="101">
        <v>75000</v>
      </c>
      <c r="M2543" s="193"/>
      <c r="N2543" s="193"/>
      <c r="O2543" s="179"/>
      <c r="P2543" s="179"/>
    </row>
    <row r="2544" spans="1:16" s="313" customFormat="1" ht="63.75" customHeight="1" x14ac:dyDescent="0.25">
      <c r="A2544" s="332"/>
      <c r="B2544" s="499" t="s">
        <v>201</v>
      </c>
      <c r="C2544" s="502" t="s">
        <v>1388</v>
      </c>
      <c r="D2544" s="1622" t="s">
        <v>1273</v>
      </c>
      <c r="E2544" s="1622"/>
      <c r="F2544" s="505"/>
      <c r="G2544" s="505"/>
      <c r="H2544" s="238"/>
      <c r="I2544" s="101"/>
      <c r="J2544" s="102"/>
      <c r="K2544" s="101"/>
      <c r="L2544" s="101">
        <v>26000</v>
      </c>
      <c r="M2544" s="193"/>
      <c r="N2544" s="193"/>
      <c r="O2544" s="179"/>
      <c r="P2544" s="179"/>
    </row>
    <row r="2545" spans="1:16" s="146" customFormat="1" ht="18" customHeight="1" x14ac:dyDescent="0.25">
      <c r="A2545" s="495"/>
      <c r="B2545" s="499" t="s">
        <v>201</v>
      </c>
      <c r="C2545" s="502" t="s">
        <v>1388</v>
      </c>
      <c r="D2545" s="536" t="s">
        <v>1274</v>
      </c>
      <c r="E2545" s="499"/>
      <c r="F2545" s="499"/>
      <c r="G2545" s="499"/>
      <c r="H2545" s="376"/>
      <c r="I2545" s="101">
        <v>0</v>
      </c>
      <c r="J2545" s="102">
        <v>70000</v>
      </c>
      <c r="K2545" s="101"/>
      <c r="L2545" s="101"/>
      <c r="M2545" s="10"/>
      <c r="N2545" s="10"/>
      <c r="O2545"/>
      <c r="P2545"/>
    </row>
    <row r="2546" spans="1:16" s="146" customFormat="1" ht="18" customHeight="1" x14ac:dyDescent="0.25">
      <c r="A2546" s="495"/>
      <c r="B2546" s="499" t="s">
        <v>201</v>
      </c>
      <c r="C2546" s="502" t="s">
        <v>1388</v>
      </c>
      <c r="D2546" s="536" t="s">
        <v>1275</v>
      </c>
      <c r="E2546" s="496"/>
      <c r="F2546" s="496"/>
      <c r="G2546" s="496"/>
      <c r="H2546" s="376"/>
      <c r="I2546" s="101">
        <v>0</v>
      </c>
      <c r="J2546" s="102">
        <v>20000</v>
      </c>
      <c r="K2546" s="101"/>
      <c r="L2546" s="101"/>
      <c r="M2546" s="10"/>
      <c r="N2546" s="10"/>
      <c r="O2546"/>
      <c r="P2546"/>
    </row>
    <row r="2547" spans="1:16" s="146" customFormat="1" ht="18" customHeight="1" x14ac:dyDescent="0.25">
      <c r="A2547" s="495"/>
      <c r="B2547" s="499" t="s">
        <v>201</v>
      </c>
      <c r="C2547" s="502" t="s">
        <v>1388</v>
      </c>
      <c r="D2547" s="536" t="s">
        <v>1276</v>
      </c>
      <c r="E2547" s="496"/>
      <c r="F2547" s="496"/>
      <c r="G2547" s="496"/>
      <c r="H2547" s="376"/>
      <c r="I2547" s="101">
        <v>0</v>
      </c>
      <c r="J2547" s="102">
        <v>70000</v>
      </c>
      <c r="K2547" s="101"/>
      <c r="L2547" s="101"/>
      <c r="M2547" s="10"/>
      <c r="N2547" s="10"/>
      <c r="O2547"/>
      <c r="P2547"/>
    </row>
    <row r="2548" spans="1:16" s="146" customFormat="1" ht="39.75" customHeight="1" x14ac:dyDescent="0.25">
      <c r="A2548" s="495"/>
      <c r="B2548" s="499" t="s">
        <v>201</v>
      </c>
      <c r="C2548" s="502" t="s">
        <v>1388</v>
      </c>
      <c r="D2548" s="1611" t="s">
        <v>1277</v>
      </c>
      <c r="E2548" s="1611"/>
      <c r="F2548" s="496"/>
      <c r="G2548" s="496"/>
      <c r="H2548" s="376"/>
      <c r="I2548" s="101">
        <v>0</v>
      </c>
      <c r="J2548" s="102">
        <v>120000</v>
      </c>
      <c r="K2548" s="101"/>
      <c r="L2548" s="101"/>
      <c r="M2548" s="10"/>
      <c r="N2548" s="10"/>
      <c r="O2548"/>
      <c r="P2548"/>
    </row>
    <row r="2549" spans="1:16" s="146" customFormat="1" ht="18" customHeight="1" x14ac:dyDescent="0.25">
      <c r="A2549" s="495"/>
      <c r="B2549" s="499" t="s">
        <v>201</v>
      </c>
      <c r="C2549" s="502" t="s">
        <v>1388</v>
      </c>
      <c r="D2549" s="536" t="s">
        <v>1278</v>
      </c>
      <c r="E2549" s="496"/>
      <c r="F2549" s="496"/>
      <c r="G2549" s="496"/>
      <c r="H2549" s="376"/>
      <c r="I2549" s="101">
        <v>0</v>
      </c>
      <c r="J2549" s="102">
        <v>12000</v>
      </c>
      <c r="K2549" s="101"/>
      <c r="L2549" s="101"/>
      <c r="M2549" s="10"/>
      <c r="N2549" s="10"/>
      <c r="O2549"/>
      <c r="P2549"/>
    </row>
    <row r="2550" spans="1:16" s="313" customFormat="1" ht="36.75" customHeight="1" x14ac:dyDescent="0.25">
      <c r="A2550" s="332"/>
      <c r="B2550" s="499" t="s">
        <v>201</v>
      </c>
      <c r="C2550" s="502" t="s">
        <v>1388</v>
      </c>
      <c r="D2550" s="1622" t="s">
        <v>1279</v>
      </c>
      <c r="E2550" s="1622"/>
      <c r="F2550" s="524"/>
      <c r="G2550" s="524"/>
      <c r="H2550" s="238"/>
      <c r="I2550" s="101">
        <v>0</v>
      </c>
      <c r="J2550" s="102">
        <v>100000</v>
      </c>
      <c r="K2550" s="101"/>
      <c r="L2550" s="101"/>
      <c r="M2550" s="193"/>
      <c r="N2550" s="193"/>
      <c r="O2550" s="179"/>
      <c r="P2550" s="179"/>
    </row>
    <row r="2551" spans="1:16" s="146" customFormat="1" ht="36.75" customHeight="1" x14ac:dyDescent="0.25">
      <c r="A2551" s="495"/>
      <c r="B2551" s="499" t="s">
        <v>201</v>
      </c>
      <c r="C2551" s="502" t="s">
        <v>1388</v>
      </c>
      <c r="D2551" s="1623" t="s">
        <v>1280</v>
      </c>
      <c r="E2551" s="1623"/>
      <c r="F2551" s="455"/>
      <c r="G2551" s="496"/>
      <c r="H2551" s="376"/>
      <c r="I2551" s="101">
        <v>49500</v>
      </c>
      <c r="J2551" s="102"/>
      <c r="K2551" s="101"/>
      <c r="L2551" s="101"/>
      <c r="M2551" s="10"/>
      <c r="N2551" s="10"/>
      <c r="O2551"/>
      <c r="P2551"/>
    </row>
    <row r="2552" spans="1:16" s="146" customFormat="1" ht="18" customHeight="1" x14ac:dyDescent="0.25">
      <c r="A2552" s="495"/>
      <c r="B2552" s="499" t="s">
        <v>201</v>
      </c>
      <c r="C2552" s="502" t="s">
        <v>1388</v>
      </c>
      <c r="D2552" s="38" t="s">
        <v>1281</v>
      </c>
      <c r="E2552" s="199"/>
      <c r="F2552" s="455"/>
      <c r="G2552" s="496"/>
      <c r="H2552" s="376"/>
      <c r="I2552" s="101">
        <v>14800</v>
      </c>
      <c r="J2552" s="102"/>
      <c r="K2552" s="101"/>
      <c r="L2552" s="101"/>
      <c r="M2552" s="10"/>
      <c r="N2552" s="10"/>
      <c r="O2552"/>
      <c r="P2552"/>
    </row>
    <row r="2553" spans="1:16" s="146" customFormat="1" ht="18" customHeight="1" x14ac:dyDescent="0.25">
      <c r="A2553" s="495"/>
      <c r="B2553" s="499" t="s">
        <v>201</v>
      </c>
      <c r="C2553" s="502" t="s">
        <v>1388</v>
      </c>
      <c r="D2553" s="38" t="s">
        <v>1282</v>
      </c>
      <c r="E2553" s="199"/>
      <c r="F2553" s="455"/>
      <c r="G2553" s="496"/>
      <c r="H2553" s="376"/>
      <c r="I2553" s="101">
        <v>14850</v>
      </c>
      <c r="J2553" s="102"/>
      <c r="K2553" s="101"/>
      <c r="L2553" s="105"/>
      <c r="M2553" s="10"/>
      <c r="N2553" s="10"/>
      <c r="O2553"/>
      <c r="P2553"/>
    </row>
    <row r="2554" spans="1:16" s="146" customFormat="1" ht="18" x14ac:dyDescent="0.25">
      <c r="A2554" s="519"/>
      <c r="B2554" s="499" t="s">
        <v>123</v>
      </c>
      <c r="C2554" s="502" t="s">
        <v>1388</v>
      </c>
      <c r="D2554" s="1602" t="s">
        <v>124</v>
      </c>
      <c r="E2554" s="1603"/>
      <c r="F2554" s="1603"/>
      <c r="G2554" s="1603"/>
      <c r="H2554" s="100" t="s">
        <v>125</v>
      </c>
      <c r="I2554" s="101">
        <v>1068489.1399999999</v>
      </c>
      <c r="J2554" s="102">
        <v>1192644</v>
      </c>
      <c r="K2554" s="101">
        <v>594210.67000000004</v>
      </c>
      <c r="L2554" s="101">
        <v>1296300</v>
      </c>
      <c r="M2554" s="10"/>
      <c r="N2554" s="10"/>
      <c r="O2554"/>
      <c r="P2554"/>
    </row>
    <row r="2555" spans="1:16" s="146" customFormat="1" ht="18" x14ac:dyDescent="0.25">
      <c r="A2555" s="519"/>
      <c r="B2555" s="499" t="s">
        <v>123</v>
      </c>
      <c r="C2555" s="502" t="s">
        <v>1388</v>
      </c>
      <c r="D2555" s="1602" t="s">
        <v>126</v>
      </c>
      <c r="E2555" s="1603"/>
      <c r="F2555" s="1603"/>
      <c r="G2555" s="1603"/>
      <c r="H2555" s="100" t="s">
        <v>127</v>
      </c>
      <c r="I2555" s="101">
        <v>444155.57</v>
      </c>
      <c r="J2555" s="102">
        <v>499920</v>
      </c>
      <c r="K2555" s="101">
        <v>201978.22</v>
      </c>
      <c r="L2555" s="101">
        <v>542400</v>
      </c>
      <c r="M2555" s="10"/>
      <c r="N2555" s="10"/>
      <c r="O2555"/>
      <c r="P2555"/>
    </row>
    <row r="2556" spans="1:16" s="146" customFormat="1" ht="18" x14ac:dyDescent="0.25">
      <c r="A2556" s="519"/>
      <c r="B2556" s="499" t="s">
        <v>123</v>
      </c>
      <c r="C2556" s="502" t="s">
        <v>1388</v>
      </c>
      <c r="D2556" s="1614" t="s">
        <v>128</v>
      </c>
      <c r="E2556" s="1615"/>
      <c r="F2556" s="492"/>
      <c r="G2556" s="492"/>
      <c r="H2556" s="100" t="s">
        <v>125</v>
      </c>
      <c r="I2556" s="101"/>
      <c r="J2556" s="102"/>
      <c r="K2556" s="101"/>
      <c r="L2556" s="101">
        <v>6453.63</v>
      </c>
      <c r="M2556" s="10"/>
      <c r="N2556" s="10"/>
      <c r="O2556"/>
      <c r="P2556"/>
    </row>
    <row r="2557" spans="1:16" s="146" customFormat="1" ht="18" customHeight="1" x14ac:dyDescent="0.25">
      <c r="A2557" s="519"/>
      <c r="B2557" s="499" t="s">
        <v>123</v>
      </c>
      <c r="C2557" s="502" t="s">
        <v>1388</v>
      </c>
      <c r="D2557" s="1602" t="s">
        <v>129</v>
      </c>
      <c r="E2557" s="1603"/>
      <c r="F2557" s="1603"/>
      <c r="G2557" s="1603"/>
      <c r="H2557" s="103" t="s">
        <v>130</v>
      </c>
      <c r="I2557" s="101">
        <v>213181.73</v>
      </c>
      <c r="J2557" s="102">
        <v>288000</v>
      </c>
      <c r="K2557" s="101">
        <v>126272.71</v>
      </c>
      <c r="L2557" s="101">
        <v>288000</v>
      </c>
      <c r="M2557" s="10"/>
      <c r="N2557" s="10"/>
      <c r="O2557"/>
      <c r="P2557"/>
    </row>
    <row r="2558" spans="1:16" s="146" customFormat="1" ht="18" x14ac:dyDescent="0.25">
      <c r="A2558" s="519"/>
      <c r="B2558" s="499" t="s">
        <v>123</v>
      </c>
      <c r="C2558" s="502" t="s">
        <v>1388</v>
      </c>
      <c r="D2558" s="1602" t="s">
        <v>135</v>
      </c>
      <c r="E2558" s="1603"/>
      <c r="F2558" s="1603"/>
      <c r="G2558" s="1603"/>
      <c r="H2558" s="100" t="s">
        <v>136</v>
      </c>
      <c r="I2558" s="101">
        <v>209605.68</v>
      </c>
      <c r="J2558" s="102">
        <v>289431.96000000002</v>
      </c>
      <c r="K2558" s="101">
        <v>95244.65</v>
      </c>
      <c r="L2558" s="101">
        <v>486384.24</v>
      </c>
      <c r="M2558" s="10"/>
      <c r="N2558" s="10"/>
      <c r="O2558"/>
      <c r="P2558"/>
    </row>
    <row r="2559" spans="1:16" s="146" customFormat="1" ht="18" x14ac:dyDescent="0.25">
      <c r="A2559" s="519"/>
      <c r="B2559" s="499" t="s">
        <v>123</v>
      </c>
      <c r="C2559" s="502" t="s">
        <v>1388</v>
      </c>
      <c r="D2559" s="1602" t="s">
        <v>137</v>
      </c>
      <c r="E2559" s="1603"/>
      <c r="F2559" s="1603"/>
      <c r="G2559" s="1603"/>
      <c r="H2559" s="100" t="s">
        <v>138</v>
      </c>
      <c r="I2559" s="101">
        <v>42000</v>
      </c>
      <c r="J2559" s="102">
        <v>72000</v>
      </c>
      <c r="K2559" s="101">
        <v>60000</v>
      </c>
      <c r="L2559" s="101">
        <v>72000</v>
      </c>
      <c r="M2559" s="10"/>
      <c r="N2559" s="10"/>
      <c r="O2559"/>
      <c r="P2559"/>
    </row>
    <row r="2560" spans="1:16" s="146" customFormat="1" ht="18" customHeight="1" x14ac:dyDescent="0.25">
      <c r="A2560" s="519"/>
      <c r="B2560" s="499" t="s">
        <v>123</v>
      </c>
      <c r="C2560" s="502" t="s">
        <v>1388</v>
      </c>
      <c r="D2560" s="1602" t="s">
        <v>139</v>
      </c>
      <c r="E2560" s="1603"/>
      <c r="F2560" s="1603"/>
      <c r="G2560" s="1603"/>
      <c r="H2560" s="100" t="s">
        <v>140</v>
      </c>
      <c r="I2560" s="101">
        <v>120217</v>
      </c>
      <c r="J2560" s="102">
        <v>141047</v>
      </c>
      <c r="K2560" s="101">
        <v>112418</v>
      </c>
      <c r="L2560" s="101">
        <v>153894</v>
      </c>
      <c r="M2560" s="10"/>
      <c r="N2560" s="10"/>
      <c r="O2560"/>
      <c r="P2560"/>
    </row>
    <row r="2561" spans="1:16" ht="18" x14ac:dyDescent="0.25">
      <c r="A2561" s="519"/>
      <c r="B2561" s="499" t="s">
        <v>123</v>
      </c>
      <c r="C2561" s="502" t="s">
        <v>1388</v>
      </c>
      <c r="D2561" s="1602" t="s">
        <v>141</v>
      </c>
      <c r="E2561" s="1603"/>
      <c r="F2561" s="1603"/>
      <c r="G2561" s="1603"/>
      <c r="H2561" s="100" t="s">
        <v>142</v>
      </c>
      <c r="I2561" s="101">
        <v>120217</v>
      </c>
      <c r="J2561" s="102">
        <v>141047</v>
      </c>
      <c r="K2561" s="101"/>
      <c r="L2561" s="101">
        <v>153894</v>
      </c>
    </row>
    <row r="2562" spans="1:16" ht="18" x14ac:dyDescent="0.25">
      <c r="A2562" s="519"/>
      <c r="B2562" s="499" t="s">
        <v>123</v>
      </c>
      <c r="C2562" s="502" t="s">
        <v>1388</v>
      </c>
      <c r="D2562" s="1602" t="s">
        <v>143</v>
      </c>
      <c r="E2562" s="1603"/>
      <c r="F2562" s="1603"/>
      <c r="G2562" s="1603"/>
      <c r="H2562" s="100" t="s">
        <v>144</v>
      </c>
      <c r="I2562" s="101">
        <v>50000</v>
      </c>
      <c r="J2562" s="102">
        <v>60000</v>
      </c>
      <c r="K2562" s="101"/>
      <c r="L2562" s="101">
        <v>60000</v>
      </c>
    </row>
    <row r="2563" spans="1:16" ht="18" x14ac:dyDescent="0.25">
      <c r="A2563" s="519"/>
      <c r="B2563" s="499" t="s">
        <v>123</v>
      </c>
      <c r="C2563" s="502" t="s">
        <v>1388</v>
      </c>
      <c r="D2563" s="1602" t="s">
        <v>145</v>
      </c>
      <c r="E2563" s="1603"/>
      <c r="F2563" s="1603"/>
      <c r="G2563" s="1603"/>
      <c r="H2563" s="100" t="s">
        <v>146</v>
      </c>
      <c r="I2563" s="101">
        <v>50000</v>
      </c>
      <c r="J2563" s="102">
        <v>60000</v>
      </c>
      <c r="K2563" s="101"/>
      <c r="L2563" s="101">
        <v>60000</v>
      </c>
    </row>
    <row r="2564" spans="1:16" ht="18" x14ac:dyDescent="0.25">
      <c r="A2564" s="519"/>
      <c r="B2564" s="499" t="s">
        <v>123</v>
      </c>
      <c r="C2564" s="502" t="s">
        <v>1388</v>
      </c>
      <c r="D2564" s="513" t="s">
        <v>231</v>
      </c>
      <c r="E2564" s="499"/>
      <c r="F2564" s="499"/>
      <c r="G2564" s="499"/>
      <c r="H2564" s="100" t="s">
        <v>232</v>
      </c>
      <c r="I2564" s="101">
        <v>0</v>
      </c>
      <c r="J2564" s="102">
        <v>0</v>
      </c>
      <c r="K2564" s="101"/>
      <c r="L2564" s="101">
        <v>5000</v>
      </c>
    </row>
    <row r="2565" spans="1:16" ht="18" x14ac:dyDescent="0.25">
      <c r="A2565" s="519"/>
      <c r="B2565" s="499" t="s">
        <v>123</v>
      </c>
      <c r="C2565" s="502" t="s">
        <v>1388</v>
      </c>
      <c r="D2565" s="536" t="s">
        <v>147</v>
      </c>
      <c r="E2565" s="499"/>
      <c r="F2565" s="499"/>
      <c r="G2565" s="499"/>
      <c r="H2565" s="100" t="s">
        <v>148</v>
      </c>
      <c r="I2565" s="101"/>
      <c r="J2565" s="102"/>
      <c r="K2565" s="101"/>
      <c r="L2565" s="101">
        <v>36000</v>
      </c>
    </row>
    <row r="2566" spans="1:16" s="146" customFormat="1" ht="18" x14ac:dyDescent="0.25">
      <c r="A2566" s="519"/>
      <c r="B2566" s="499" t="s">
        <v>123</v>
      </c>
      <c r="C2566" s="502" t="s">
        <v>1388</v>
      </c>
      <c r="D2566" s="1611" t="s">
        <v>210</v>
      </c>
      <c r="E2566" s="1611"/>
      <c r="F2566" s="1611"/>
      <c r="G2566" s="491"/>
      <c r="H2566" s="100" t="s">
        <v>464</v>
      </c>
      <c r="I2566" s="101">
        <v>36400</v>
      </c>
      <c r="J2566" s="102">
        <v>54000</v>
      </c>
      <c r="K2566" s="101">
        <v>5850</v>
      </c>
      <c r="L2566" s="101">
        <v>54000</v>
      </c>
      <c r="M2566" s="10"/>
      <c r="N2566" s="10"/>
      <c r="O2566"/>
      <c r="P2566"/>
    </row>
    <row r="2567" spans="1:16" s="146" customFormat="1" ht="18" x14ac:dyDescent="0.25">
      <c r="A2567" s="519"/>
      <c r="B2567" s="499" t="s">
        <v>123</v>
      </c>
      <c r="C2567" s="502" t="s">
        <v>1388</v>
      </c>
      <c r="D2567" s="1611" t="s">
        <v>211</v>
      </c>
      <c r="E2567" s="1611"/>
      <c r="F2567" s="499"/>
      <c r="G2567" s="491"/>
      <c r="H2567" s="100" t="s">
        <v>212</v>
      </c>
      <c r="I2567" s="101">
        <v>5195.84</v>
      </c>
      <c r="J2567" s="102">
        <v>5400</v>
      </c>
      <c r="K2567" s="101">
        <v>866.02</v>
      </c>
      <c r="L2567" s="101">
        <v>5400</v>
      </c>
      <c r="M2567" s="10"/>
      <c r="N2567" s="10"/>
      <c r="O2567"/>
      <c r="P2567"/>
    </row>
    <row r="2568" spans="1:16" s="146" customFormat="1" ht="18" x14ac:dyDescent="0.25">
      <c r="A2568" s="519"/>
      <c r="B2568" s="499" t="s">
        <v>123</v>
      </c>
      <c r="C2568" s="502" t="s">
        <v>1388</v>
      </c>
      <c r="D2568" s="513" t="s">
        <v>149</v>
      </c>
      <c r="E2568" s="499"/>
      <c r="F2568" s="499"/>
      <c r="G2568" s="491"/>
      <c r="H2568" s="100" t="s">
        <v>150</v>
      </c>
      <c r="I2568" s="101">
        <v>273885</v>
      </c>
      <c r="J2568" s="102">
        <v>128862</v>
      </c>
      <c r="K2568" s="101">
        <v>22450</v>
      </c>
      <c r="L2568" s="101">
        <v>140918.82</v>
      </c>
      <c r="M2568" s="10"/>
      <c r="N2568" s="10"/>
      <c r="O2568"/>
      <c r="P2568"/>
    </row>
    <row r="2569" spans="1:16" s="146" customFormat="1" ht="18" x14ac:dyDescent="0.25">
      <c r="A2569" s="519"/>
      <c r="B2569" s="499" t="s">
        <v>123</v>
      </c>
      <c r="C2569" s="502" t="s">
        <v>1388</v>
      </c>
      <c r="D2569" s="1611" t="s">
        <v>1284</v>
      </c>
      <c r="E2569" s="1611"/>
      <c r="F2569" s="1611"/>
      <c r="G2569" s="491"/>
      <c r="H2569" s="100" t="s">
        <v>136</v>
      </c>
      <c r="I2569" s="101">
        <v>0</v>
      </c>
      <c r="J2569" s="102">
        <v>137324.85</v>
      </c>
      <c r="K2569" s="101"/>
      <c r="L2569" s="101">
        <v>154854.26</v>
      </c>
      <c r="M2569" s="10"/>
      <c r="N2569" s="10"/>
      <c r="O2569"/>
      <c r="P2569"/>
    </row>
    <row r="2570" spans="1:16" s="146" customFormat="1" ht="18" x14ac:dyDescent="0.25">
      <c r="A2570" s="519"/>
      <c r="B2570" s="499" t="s">
        <v>123</v>
      </c>
      <c r="C2570" s="502" t="s">
        <v>1388</v>
      </c>
      <c r="D2570" s="1602" t="s">
        <v>151</v>
      </c>
      <c r="E2570" s="1603"/>
      <c r="F2570" s="1603"/>
      <c r="G2570" s="1603"/>
      <c r="H2570" s="100" t="s">
        <v>148</v>
      </c>
      <c r="I2570" s="101">
        <v>100000</v>
      </c>
      <c r="J2570" s="102"/>
      <c r="K2570" s="101"/>
      <c r="L2570" s="101"/>
      <c r="M2570" s="10"/>
      <c r="N2570" s="10"/>
      <c r="O2570"/>
      <c r="P2570"/>
    </row>
    <row r="2571" spans="1:16" ht="18" customHeight="1" x14ac:dyDescent="0.25">
      <c r="A2571" s="519"/>
      <c r="B2571" s="499" t="s">
        <v>123</v>
      </c>
      <c r="C2571" s="502" t="s">
        <v>1388</v>
      </c>
      <c r="D2571" s="1611" t="s">
        <v>152</v>
      </c>
      <c r="E2571" s="1611"/>
      <c r="F2571" s="1611"/>
      <c r="G2571" s="1602"/>
      <c r="H2571" s="100"/>
      <c r="I2571" s="101">
        <v>0</v>
      </c>
      <c r="J2571" s="102">
        <v>109325.55</v>
      </c>
      <c r="K2571" s="101"/>
      <c r="L2571" s="101"/>
    </row>
    <row r="2572" spans="1:16" ht="18" x14ac:dyDescent="0.25">
      <c r="A2572" s="519"/>
      <c r="B2572" s="499" t="s">
        <v>123</v>
      </c>
      <c r="C2572" s="502" t="s">
        <v>1388</v>
      </c>
      <c r="D2572" s="1602" t="s">
        <v>153</v>
      </c>
      <c r="E2572" s="1603"/>
      <c r="F2572" s="1603"/>
      <c r="G2572" s="1603"/>
      <c r="H2572" s="100" t="s">
        <v>154</v>
      </c>
      <c r="I2572" s="101">
        <v>156975.67000000001</v>
      </c>
      <c r="J2572" s="102">
        <v>203107.68</v>
      </c>
      <c r="K2572" s="101">
        <v>96713</v>
      </c>
      <c r="L2572" s="101">
        <v>221418.44</v>
      </c>
    </row>
    <row r="2573" spans="1:16" ht="18" x14ac:dyDescent="0.25">
      <c r="A2573" s="519"/>
      <c r="B2573" s="499" t="s">
        <v>123</v>
      </c>
      <c r="C2573" s="502" t="s">
        <v>1388</v>
      </c>
      <c r="D2573" s="1602" t="s">
        <v>155</v>
      </c>
      <c r="E2573" s="1603"/>
      <c r="F2573" s="1603"/>
      <c r="G2573" s="1603"/>
      <c r="H2573" s="100" t="s">
        <v>156</v>
      </c>
      <c r="I2573" s="101">
        <v>10600</v>
      </c>
      <c r="J2573" s="102">
        <v>14400</v>
      </c>
      <c r="K2573" s="101">
        <v>6600</v>
      </c>
      <c r="L2573" s="101">
        <v>14400</v>
      </c>
    </row>
    <row r="2574" spans="1:16" ht="18" x14ac:dyDescent="0.25">
      <c r="A2574" s="519"/>
      <c r="B2574" s="499" t="s">
        <v>123</v>
      </c>
      <c r="C2574" s="502" t="s">
        <v>1388</v>
      </c>
      <c r="D2574" s="1602" t="s">
        <v>157</v>
      </c>
      <c r="E2574" s="1603"/>
      <c r="F2574" s="1603"/>
      <c r="G2574" s="1603"/>
      <c r="H2574" s="100" t="s">
        <v>158</v>
      </c>
      <c r="I2574" s="101">
        <v>19528.5</v>
      </c>
      <c r="J2574" s="102">
        <v>29619.81</v>
      </c>
      <c r="K2574" s="101">
        <v>12391.59</v>
      </c>
      <c r="L2574" s="101">
        <v>73926.149999999994</v>
      </c>
    </row>
    <row r="2575" spans="1:16" ht="18" x14ac:dyDescent="0.25">
      <c r="A2575" s="519"/>
      <c r="B2575" s="499" t="s">
        <v>123</v>
      </c>
      <c r="C2575" s="502" t="s">
        <v>1388</v>
      </c>
      <c r="D2575" s="1602" t="s">
        <v>159</v>
      </c>
      <c r="E2575" s="1603"/>
      <c r="F2575" s="1603"/>
      <c r="G2575" s="1603"/>
      <c r="H2575" s="100" t="s">
        <v>160</v>
      </c>
      <c r="I2575" s="101">
        <v>10603.24</v>
      </c>
      <c r="J2575" s="102">
        <v>14400</v>
      </c>
      <c r="K2575" s="101">
        <v>6600</v>
      </c>
      <c r="L2575" s="105">
        <v>14400</v>
      </c>
    </row>
    <row r="2576" spans="1:16" s="212" customFormat="1" ht="18" customHeight="1" x14ac:dyDescent="0.25">
      <c r="A2576" s="154"/>
      <c r="B2576" s="499" t="s">
        <v>163</v>
      </c>
      <c r="C2576" s="502" t="s">
        <v>1388</v>
      </c>
      <c r="D2576" s="44" t="s">
        <v>164</v>
      </c>
      <c r="E2576" s="125"/>
      <c r="F2576" s="125"/>
      <c r="G2576" s="134"/>
      <c r="H2576" s="100" t="s">
        <v>165</v>
      </c>
      <c r="I2576" s="101">
        <v>1950</v>
      </c>
      <c r="J2576" s="102">
        <v>30000</v>
      </c>
      <c r="K2576" s="101"/>
      <c r="L2576" s="101">
        <v>30000</v>
      </c>
      <c r="M2576" s="207"/>
      <c r="N2576" s="207"/>
    </row>
    <row r="2577" spans="1:14" s="212" customFormat="1" ht="18" customHeight="1" x14ac:dyDescent="0.25">
      <c r="A2577" s="154"/>
      <c r="B2577" s="499" t="s">
        <v>163</v>
      </c>
      <c r="C2577" s="502" t="s">
        <v>1388</v>
      </c>
      <c r="D2577" s="44" t="s">
        <v>384</v>
      </c>
      <c r="E2577" s="125"/>
      <c r="F2577" s="125"/>
      <c r="G2577" s="134"/>
      <c r="H2577" s="100" t="s">
        <v>1285</v>
      </c>
      <c r="I2577" s="101">
        <v>65429.38</v>
      </c>
      <c r="J2577" s="102">
        <v>50000</v>
      </c>
      <c r="K2577" s="101">
        <v>24794.44</v>
      </c>
      <c r="L2577" s="101">
        <v>50000</v>
      </c>
      <c r="M2577" s="207"/>
      <c r="N2577" s="207"/>
    </row>
    <row r="2578" spans="1:14" s="212" customFormat="1" ht="18" customHeight="1" x14ac:dyDescent="0.25">
      <c r="A2578" s="154"/>
      <c r="B2578" s="499" t="s">
        <v>163</v>
      </c>
      <c r="C2578" s="502" t="s">
        <v>1388</v>
      </c>
      <c r="D2578" s="44" t="s">
        <v>168</v>
      </c>
      <c r="E2578" s="125"/>
      <c r="F2578" s="125"/>
      <c r="G2578" s="134"/>
      <c r="H2578" s="100" t="s">
        <v>169</v>
      </c>
      <c r="I2578" s="101">
        <v>41492</v>
      </c>
      <c r="J2578" s="102">
        <v>55000.5</v>
      </c>
      <c r="K2578" s="101">
        <v>32996</v>
      </c>
      <c r="L2578" s="101">
        <v>55000</v>
      </c>
      <c r="M2578" s="207"/>
      <c r="N2578" s="207"/>
    </row>
    <row r="2579" spans="1:14" s="212" customFormat="1" ht="18" customHeight="1" x14ac:dyDescent="0.25">
      <c r="A2579" s="154"/>
      <c r="B2579" s="499" t="s">
        <v>163</v>
      </c>
      <c r="C2579" s="502" t="s">
        <v>1388</v>
      </c>
      <c r="D2579" s="44" t="s">
        <v>172</v>
      </c>
      <c r="E2579" s="125"/>
      <c r="F2579" s="125"/>
      <c r="G2579" s="134"/>
      <c r="H2579" s="100" t="s">
        <v>173</v>
      </c>
      <c r="I2579" s="101">
        <v>62762.55</v>
      </c>
      <c r="J2579" s="102">
        <v>280010</v>
      </c>
      <c r="K2579" s="101">
        <v>76160.5</v>
      </c>
      <c r="L2579" s="101">
        <v>280010</v>
      </c>
      <c r="M2579" s="207"/>
      <c r="N2579" s="207"/>
    </row>
    <row r="2580" spans="1:14" s="212" customFormat="1" ht="18" customHeight="1" x14ac:dyDescent="0.25">
      <c r="A2580" s="154"/>
      <c r="B2580" s="499" t="s">
        <v>163</v>
      </c>
      <c r="C2580" s="502" t="s">
        <v>1388</v>
      </c>
      <c r="D2580" s="44" t="s">
        <v>174</v>
      </c>
      <c r="E2580" s="125"/>
      <c r="F2580" s="125"/>
      <c r="G2580" s="134"/>
      <c r="H2580" s="100" t="s">
        <v>171</v>
      </c>
      <c r="I2580" s="101">
        <v>19062</v>
      </c>
      <c r="J2580" s="102">
        <v>100001</v>
      </c>
      <c r="K2580" s="101"/>
      <c r="L2580" s="101"/>
      <c r="M2580" s="207"/>
      <c r="N2580" s="207"/>
    </row>
    <row r="2581" spans="1:14" s="212" customFormat="1" ht="18" customHeight="1" x14ac:dyDescent="0.25">
      <c r="A2581" s="154"/>
      <c r="B2581" s="499" t="s">
        <v>163</v>
      </c>
      <c r="C2581" s="502" t="s">
        <v>1388</v>
      </c>
      <c r="D2581" s="44" t="s">
        <v>213</v>
      </c>
      <c r="E2581" s="125"/>
      <c r="F2581" s="125"/>
      <c r="G2581" s="503"/>
      <c r="H2581" s="100" t="s">
        <v>171</v>
      </c>
      <c r="I2581" s="101"/>
      <c r="J2581" s="102"/>
      <c r="K2581" s="101"/>
      <c r="L2581" s="101">
        <f>200100+300000</f>
        <v>500100</v>
      </c>
      <c r="M2581" s="207"/>
      <c r="N2581" s="207"/>
    </row>
    <row r="2582" spans="1:14" s="212" customFormat="1" ht="18" customHeight="1" x14ac:dyDescent="0.25">
      <c r="A2582" s="154"/>
      <c r="B2582" s="499" t="s">
        <v>163</v>
      </c>
      <c r="C2582" s="502" t="s">
        <v>1388</v>
      </c>
      <c r="D2582" s="44" t="s">
        <v>1286</v>
      </c>
      <c r="E2582" s="125"/>
      <c r="F2582" s="125"/>
      <c r="G2582" s="503"/>
      <c r="H2582" s="100" t="s">
        <v>171</v>
      </c>
      <c r="I2582" s="101">
        <v>28270</v>
      </c>
      <c r="J2582" s="102">
        <v>100100</v>
      </c>
      <c r="K2582" s="101"/>
      <c r="L2582" s="101"/>
      <c r="M2582" s="207"/>
      <c r="N2582" s="207"/>
    </row>
    <row r="2583" spans="1:14" s="212" customFormat="1" ht="18" customHeight="1" x14ac:dyDescent="0.25">
      <c r="A2583" s="154"/>
      <c r="B2583" s="499" t="s">
        <v>163</v>
      </c>
      <c r="C2583" s="502" t="s">
        <v>1388</v>
      </c>
      <c r="D2583" s="44" t="s">
        <v>182</v>
      </c>
      <c r="E2583" s="125"/>
      <c r="F2583" s="125"/>
      <c r="G2583" s="134"/>
      <c r="H2583" s="100" t="s">
        <v>183</v>
      </c>
      <c r="I2583" s="101"/>
      <c r="J2583" s="102">
        <v>42000</v>
      </c>
      <c r="K2583" s="101"/>
      <c r="L2583" s="101">
        <v>42000</v>
      </c>
      <c r="M2583" s="207"/>
      <c r="N2583" s="207"/>
    </row>
    <row r="2584" spans="1:14" s="212" customFormat="1" ht="18" customHeight="1" x14ac:dyDescent="0.25">
      <c r="A2584" s="154"/>
      <c r="B2584" s="499" t="s">
        <v>163</v>
      </c>
      <c r="C2584" s="502" t="s">
        <v>1388</v>
      </c>
      <c r="D2584" s="44" t="s">
        <v>1287</v>
      </c>
      <c r="E2584" s="125"/>
      <c r="F2584" s="125"/>
      <c r="G2584" s="134"/>
      <c r="H2584" s="100" t="s">
        <v>308</v>
      </c>
      <c r="I2584" s="101">
        <v>0</v>
      </c>
      <c r="J2584" s="102">
        <v>150000</v>
      </c>
      <c r="K2584" s="101"/>
      <c r="L2584" s="101">
        <v>800000</v>
      </c>
      <c r="M2584" s="207"/>
      <c r="N2584" s="207"/>
    </row>
    <row r="2585" spans="1:14" s="212" customFormat="1" ht="18" customHeight="1" x14ac:dyDescent="0.25">
      <c r="A2585" s="154"/>
      <c r="B2585" s="499" t="s">
        <v>163</v>
      </c>
      <c r="C2585" s="502" t="s">
        <v>1388</v>
      </c>
      <c r="D2585" s="44" t="s">
        <v>1288</v>
      </c>
      <c r="E2585" s="125"/>
      <c r="F2585" s="125"/>
      <c r="G2585" s="134"/>
      <c r="H2585" s="100" t="s">
        <v>187</v>
      </c>
      <c r="I2585" s="101">
        <v>0</v>
      </c>
      <c r="J2585" s="102">
        <v>80000</v>
      </c>
      <c r="K2585" s="101"/>
      <c r="L2585" s="101">
        <v>90000</v>
      </c>
      <c r="M2585" s="207"/>
      <c r="N2585" s="207"/>
    </row>
    <row r="2586" spans="1:14" s="212" customFormat="1" ht="18" customHeight="1" x14ac:dyDescent="0.25">
      <c r="A2586" s="154"/>
      <c r="B2586" s="499" t="s">
        <v>163</v>
      </c>
      <c r="C2586" s="502" t="s">
        <v>1388</v>
      </c>
      <c r="D2586" s="44" t="s">
        <v>1268</v>
      </c>
      <c r="E2586" s="125"/>
      <c r="F2586" s="125"/>
      <c r="G2586" s="134"/>
      <c r="H2586" s="100" t="s">
        <v>189</v>
      </c>
      <c r="I2586" s="101">
        <v>0</v>
      </c>
      <c r="J2586" s="102">
        <v>40000</v>
      </c>
      <c r="K2586" s="101"/>
      <c r="L2586" s="101">
        <v>40000</v>
      </c>
      <c r="M2586" s="207"/>
      <c r="N2586" s="207"/>
    </row>
    <row r="2587" spans="1:14" s="212" customFormat="1" ht="18" customHeight="1" x14ac:dyDescent="0.25">
      <c r="A2587" s="154"/>
      <c r="B2587" s="499" t="s">
        <v>163</v>
      </c>
      <c r="C2587" s="502" t="s">
        <v>1388</v>
      </c>
      <c r="D2587" s="44" t="s">
        <v>198</v>
      </c>
      <c r="E2587" s="125"/>
      <c r="F2587" s="125"/>
      <c r="G2587" s="134"/>
      <c r="H2587" s="100" t="s">
        <v>199</v>
      </c>
      <c r="I2587" s="101">
        <v>0</v>
      </c>
      <c r="J2587" s="102"/>
      <c r="K2587" s="101"/>
      <c r="L2587" s="105">
        <v>442040.64</v>
      </c>
      <c r="M2587" s="207"/>
      <c r="N2587" s="207"/>
    </row>
    <row r="2588" spans="1:14" s="191" customFormat="1" ht="18" customHeight="1" x14ac:dyDescent="0.25">
      <c r="A2588" s="519"/>
      <c r="B2588" s="499" t="s">
        <v>201</v>
      </c>
      <c r="C2588" s="502" t="s">
        <v>1388</v>
      </c>
      <c r="D2588" s="536" t="s">
        <v>1289</v>
      </c>
      <c r="E2588" s="499"/>
      <c r="F2588" s="499"/>
      <c r="G2588" s="491"/>
      <c r="H2588" s="97"/>
      <c r="I2588" s="101"/>
      <c r="J2588" s="102"/>
      <c r="K2588" s="101"/>
      <c r="L2588" s="250">
        <v>28000</v>
      </c>
      <c r="M2588" s="10"/>
      <c r="N2588" s="10"/>
    </row>
    <row r="2589" spans="1:14" s="191" customFormat="1" ht="18" customHeight="1" x14ac:dyDescent="0.25">
      <c r="A2589" s="519"/>
      <c r="B2589" s="499" t="s">
        <v>201</v>
      </c>
      <c r="C2589" s="502" t="s">
        <v>1388</v>
      </c>
      <c r="D2589" s="536" t="s">
        <v>1290</v>
      </c>
      <c r="E2589" s="499"/>
      <c r="F2589" s="499"/>
      <c r="G2589" s="491"/>
      <c r="H2589" s="97"/>
      <c r="I2589" s="101"/>
      <c r="J2589" s="102"/>
      <c r="K2589" s="101"/>
      <c r="L2589" s="250">
        <v>23900</v>
      </c>
      <c r="M2589" s="10"/>
      <c r="N2589" s="10"/>
    </row>
    <row r="2590" spans="1:14" s="208" customFormat="1" ht="18" x14ac:dyDescent="0.25">
      <c r="A2590" s="154"/>
      <c r="B2590" s="499" t="s">
        <v>201</v>
      </c>
      <c r="C2590" s="502" t="s">
        <v>1388</v>
      </c>
      <c r="D2590" s="536" t="s">
        <v>1291</v>
      </c>
      <c r="E2590" s="502"/>
      <c r="F2590" s="502"/>
      <c r="G2590" s="503"/>
      <c r="H2590" s="97"/>
      <c r="I2590" s="101">
        <v>0</v>
      </c>
      <c r="J2590" s="102">
        <v>20000</v>
      </c>
      <c r="K2590" s="101"/>
      <c r="L2590" s="250"/>
      <c r="M2590" s="207"/>
      <c r="N2590" s="207"/>
    </row>
    <row r="2591" spans="1:14" s="208" customFormat="1" ht="18" x14ac:dyDescent="0.25">
      <c r="A2591" s="154"/>
      <c r="B2591" s="499" t="s">
        <v>201</v>
      </c>
      <c r="C2591" s="502" t="s">
        <v>1388</v>
      </c>
      <c r="D2591" s="536" t="s">
        <v>1292</v>
      </c>
      <c r="E2591" s="502"/>
      <c r="F2591" s="502"/>
      <c r="G2591" s="503"/>
      <c r="H2591" s="97"/>
      <c r="I2591" s="101">
        <v>0</v>
      </c>
      <c r="J2591" s="102">
        <v>30000</v>
      </c>
      <c r="K2591" s="101"/>
      <c r="L2591" s="250"/>
      <c r="M2591" s="207"/>
      <c r="N2591" s="207"/>
    </row>
    <row r="2592" spans="1:14" s="208" customFormat="1" ht="18" x14ac:dyDescent="0.25">
      <c r="A2592" s="154"/>
      <c r="B2592" s="499" t="s">
        <v>201</v>
      </c>
      <c r="C2592" s="502" t="s">
        <v>1388</v>
      </c>
      <c r="D2592" s="536" t="s">
        <v>1293</v>
      </c>
      <c r="E2592" s="502"/>
      <c r="F2592" s="502"/>
      <c r="G2592" s="503"/>
      <c r="H2592" s="97"/>
      <c r="I2592" s="101">
        <v>0</v>
      </c>
      <c r="J2592" s="102">
        <v>20000</v>
      </c>
      <c r="K2592" s="101"/>
      <c r="L2592" s="250"/>
      <c r="M2592" s="207"/>
      <c r="N2592" s="207"/>
    </row>
    <row r="2593" spans="1:16" s="208" customFormat="1" ht="18" x14ac:dyDescent="0.25">
      <c r="A2593" s="154"/>
      <c r="B2593" s="499" t="s">
        <v>201</v>
      </c>
      <c r="C2593" s="502" t="s">
        <v>1388</v>
      </c>
      <c r="D2593" s="536" t="s">
        <v>1294</v>
      </c>
      <c r="E2593" s="502"/>
      <c r="F2593" s="502"/>
      <c r="G2593" s="503"/>
      <c r="H2593" s="97"/>
      <c r="I2593" s="101">
        <v>0</v>
      </c>
      <c r="J2593" s="102">
        <v>30000</v>
      </c>
      <c r="K2593" s="101"/>
      <c r="L2593" s="250"/>
      <c r="M2593" s="207"/>
      <c r="N2593" s="207"/>
    </row>
    <row r="2594" spans="1:16" s="208" customFormat="1" ht="18" x14ac:dyDescent="0.25">
      <c r="A2594" s="154"/>
      <c r="B2594" s="499" t="s">
        <v>201</v>
      </c>
      <c r="C2594" s="502" t="s">
        <v>1388</v>
      </c>
      <c r="D2594" s="536" t="s">
        <v>1295</v>
      </c>
      <c r="E2594" s="502"/>
      <c r="F2594" s="502"/>
      <c r="G2594" s="503"/>
      <c r="H2594" s="97"/>
      <c r="I2594" s="101">
        <v>0</v>
      </c>
      <c r="J2594" s="102">
        <v>40000</v>
      </c>
      <c r="K2594" s="101"/>
      <c r="L2594" s="250"/>
      <c r="M2594" s="207"/>
      <c r="N2594" s="207"/>
    </row>
    <row r="2595" spans="1:16" s="208" customFormat="1" ht="18" x14ac:dyDescent="0.25">
      <c r="A2595" s="154"/>
      <c r="B2595" s="499" t="s">
        <v>201</v>
      </c>
      <c r="C2595" s="502" t="s">
        <v>1388</v>
      </c>
      <c r="D2595" s="536" t="s">
        <v>1296</v>
      </c>
      <c r="E2595" s="502"/>
      <c r="F2595" s="502"/>
      <c r="G2595" s="503"/>
      <c r="H2595" s="97"/>
      <c r="I2595" s="101">
        <v>0</v>
      </c>
      <c r="J2595" s="102">
        <v>20000</v>
      </c>
      <c r="K2595" s="101"/>
      <c r="L2595" s="250">
        <v>26000</v>
      </c>
      <c r="M2595" s="207"/>
      <c r="N2595" s="207"/>
    </row>
    <row r="2596" spans="1:16" ht="18" x14ac:dyDescent="0.25">
      <c r="A2596" s="459"/>
      <c r="B2596" s="499" t="s">
        <v>201</v>
      </c>
      <c r="C2596" s="502" t="s">
        <v>1388</v>
      </c>
      <c r="D2596" s="38" t="s">
        <v>1297</v>
      </c>
      <c r="E2596" s="235"/>
      <c r="F2596" s="235"/>
      <c r="G2596" s="236"/>
      <c r="H2596" s="97"/>
      <c r="I2596" s="101">
        <v>89500</v>
      </c>
      <c r="J2596" s="102">
        <v>0</v>
      </c>
      <c r="K2596" s="101"/>
      <c r="L2596" s="105"/>
    </row>
    <row r="2597" spans="1:16" s="146" customFormat="1" ht="18" x14ac:dyDescent="0.25">
      <c r="A2597" s="519"/>
      <c r="B2597" s="499" t="s">
        <v>123</v>
      </c>
      <c r="C2597" s="502" t="s">
        <v>1388</v>
      </c>
      <c r="D2597" s="1602" t="s">
        <v>124</v>
      </c>
      <c r="E2597" s="1603"/>
      <c r="F2597" s="1603"/>
      <c r="G2597" s="1603"/>
      <c r="H2597" s="100" t="s">
        <v>125</v>
      </c>
      <c r="I2597" s="101">
        <v>2300526</v>
      </c>
      <c r="J2597" s="102">
        <v>2887656</v>
      </c>
      <c r="K2597" s="112">
        <v>1409227.54</v>
      </c>
      <c r="L2597" s="101">
        <v>3160164</v>
      </c>
      <c r="M2597" s="10"/>
      <c r="N2597" s="10"/>
      <c r="O2597"/>
      <c r="P2597"/>
    </row>
    <row r="2598" spans="1:16" s="146" customFormat="1" ht="18" x14ac:dyDescent="0.25">
      <c r="A2598" s="519"/>
      <c r="B2598" s="499" t="s">
        <v>123</v>
      </c>
      <c r="C2598" s="502" t="s">
        <v>1388</v>
      </c>
      <c r="D2598" s="1602" t="s">
        <v>128</v>
      </c>
      <c r="E2598" s="1603"/>
      <c r="F2598" s="1603"/>
      <c r="G2598" s="1603"/>
      <c r="H2598" s="100" t="s">
        <v>125</v>
      </c>
      <c r="I2598" s="101"/>
      <c r="J2598" s="102">
        <v>5832</v>
      </c>
      <c r="K2598" s="101"/>
      <c r="L2598" s="101">
        <v>6038.72</v>
      </c>
      <c r="M2598" s="10"/>
      <c r="N2598" s="10"/>
      <c r="O2598"/>
      <c r="P2598"/>
    </row>
    <row r="2599" spans="1:16" s="146" customFormat="1" ht="18" x14ac:dyDescent="0.25">
      <c r="A2599" s="519"/>
      <c r="B2599" s="499" t="s">
        <v>123</v>
      </c>
      <c r="C2599" s="502" t="s">
        <v>1388</v>
      </c>
      <c r="D2599" s="1602" t="s">
        <v>129</v>
      </c>
      <c r="E2599" s="1603"/>
      <c r="F2599" s="1603"/>
      <c r="G2599" s="1603"/>
      <c r="H2599" s="103" t="s">
        <v>130</v>
      </c>
      <c r="I2599" s="101">
        <v>335000</v>
      </c>
      <c r="J2599" s="102">
        <v>432000</v>
      </c>
      <c r="K2599" s="101">
        <v>195909.09</v>
      </c>
      <c r="L2599" s="101">
        <v>432000</v>
      </c>
      <c r="M2599" s="10"/>
      <c r="N2599" s="10"/>
      <c r="O2599"/>
      <c r="P2599"/>
    </row>
    <row r="2600" spans="1:16" s="146" customFormat="1" ht="18" x14ac:dyDescent="0.25">
      <c r="A2600" s="519"/>
      <c r="B2600" s="499" t="s">
        <v>123</v>
      </c>
      <c r="C2600" s="502" t="s">
        <v>1388</v>
      </c>
      <c r="D2600" s="1602" t="s">
        <v>135</v>
      </c>
      <c r="E2600" s="1603"/>
      <c r="F2600" s="1603"/>
      <c r="G2600" s="1603"/>
      <c r="H2600" s="100" t="s">
        <v>136</v>
      </c>
      <c r="I2600" s="101">
        <v>405422.89</v>
      </c>
      <c r="J2600" s="102">
        <v>527266.36</v>
      </c>
      <c r="K2600" s="101">
        <v>204511.31</v>
      </c>
      <c r="L2600" s="102">
        <v>552447.27</v>
      </c>
      <c r="M2600" s="10"/>
      <c r="N2600" s="10"/>
      <c r="O2600"/>
      <c r="P2600"/>
    </row>
    <row r="2601" spans="1:16" s="146" customFormat="1" ht="18" x14ac:dyDescent="0.25">
      <c r="A2601" s="519"/>
      <c r="B2601" s="499" t="s">
        <v>123</v>
      </c>
      <c r="C2601" s="502" t="s">
        <v>1388</v>
      </c>
      <c r="D2601" s="1602" t="s">
        <v>137</v>
      </c>
      <c r="E2601" s="1603"/>
      <c r="F2601" s="1603"/>
      <c r="G2601" s="1603"/>
      <c r="H2601" s="100" t="s">
        <v>138</v>
      </c>
      <c r="I2601" s="101">
        <v>84000</v>
      </c>
      <c r="J2601" s="102">
        <v>108000</v>
      </c>
      <c r="K2601" s="101">
        <v>84000</v>
      </c>
      <c r="L2601" s="101">
        <v>108000</v>
      </c>
      <c r="M2601" s="10"/>
      <c r="N2601" s="10"/>
      <c r="O2601"/>
      <c r="P2601"/>
    </row>
    <row r="2602" spans="1:16" s="146" customFormat="1" ht="18" customHeight="1" x14ac:dyDescent="0.25">
      <c r="A2602" s="519"/>
      <c r="B2602" s="499" t="s">
        <v>123</v>
      </c>
      <c r="C2602" s="502" t="s">
        <v>1388</v>
      </c>
      <c r="D2602" s="1602" t="s">
        <v>139</v>
      </c>
      <c r="E2602" s="1603"/>
      <c r="F2602" s="1603"/>
      <c r="G2602" s="1603"/>
      <c r="H2602" s="100" t="s">
        <v>140</v>
      </c>
      <c r="I2602" s="101">
        <v>192228</v>
      </c>
      <c r="J2602" s="102">
        <v>240175</v>
      </c>
      <c r="K2602" s="101">
        <v>201336</v>
      </c>
      <c r="L2602" s="101">
        <v>263980</v>
      </c>
      <c r="M2602" s="10"/>
      <c r="N2602" s="10"/>
      <c r="O2602"/>
      <c r="P2602"/>
    </row>
    <row r="2603" spans="1:16" s="146" customFormat="1" ht="18" x14ac:dyDescent="0.25">
      <c r="A2603" s="519"/>
      <c r="B2603" s="499" t="s">
        <v>123</v>
      </c>
      <c r="C2603" s="502" t="s">
        <v>1388</v>
      </c>
      <c r="D2603" s="1602" t="s">
        <v>141</v>
      </c>
      <c r="E2603" s="1603"/>
      <c r="F2603" s="1603"/>
      <c r="G2603" s="1603"/>
      <c r="H2603" s="100" t="s">
        <v>142</v>
      </c>
      <c r="I2603" s="101">
        <v>179065</v>
      </c>
      <c r="J2603" s="102">
        <v>241071</v>
      </c>
      <c r="K2603" s="101"/>
      <c r="L2603" s="101">
        <v>263980</v>
      </c>
      <c r="M2603" s="10"/>
      <c r="N2603" s="10"/>
      <c r="O2603"/>
      <c r="P2603"/>
    </row>
    <row r="2604" spans="1:16" s="146" customFormat="1" ht="18" x14ac:dyDescent="0.25">
      <c r="A2604" s="519"/>
      <c r="B2604" s="499" t="s">
        <v>123</v>
      </c>
      <c r="C2604" s="502" t="s">
        <v>1388</v>
      </c>
      <c r="D2604" s="1602" t="s">
        <v>143</v>
      </c>
      <c r="E2604" s="1603"/>
      <c r="F2604" s="1603"/>
      <c r="G2604" s="1603"/>
      <c r="H2604" s="100" t="s">
        <v>144</v>
      </c>
      <c r="I2604" s="101">
        <v>65000</v>
      </c>
      <c r="J2604" s="102">
        <v>90000</v>
      </c>
      <c r="K2604" s="101"/>
      <c r="L2604" s="101">
        <v>90000</v>
      </c>
      <c r="M2604" s="10"/>
      <c r="N2604" s="10"/>
      <c r="O2604"/>
      <c r="P2604"/>
    </row>
    <row r="2605" spans="1:16" s="146" customFormat="1" ht="18" x14ac:dyDescent="0.25">
      <c r="A2605" s="519"/>
      <c r="B2605" s="499" t="s">
        <v>123</v>
      </c>
      <c r="C2605" s="502" t="s">
        <v>1388</v>
      </c>
      <c r="D2605" s="1602" t="s">
        <v>145</v>
      </c>
      <c r="E2605" s="1603"/>
      <c r="F2605" s="1603"/>
      <c r="G2605" s="1603"/>
      <c r="H2605" s="100" t="s">
        <v>146</v>
      </c>
      <c r="I2605" s="101">
        <v>70000</v>
      </c>
      <c r="J2605" s="102">
        <v>90000</v>
      </c>
      <c r="K2605" s="101"/>
      <c r="L2605" s="101">
        <v>90000</v>
      </c>
      <c r="M2605" s="10"/>
      <c r="N2605" s="10"/>
      <c r="O2605"/>
      <c r="P2605"/>
    </row>
    <row r="2606" spans="1:16" s="146" customFormat="1" ht="18" x14ac:dyDescent="0.25">
      <c r="A2606" s="519"/>
      <c r="B2606" s="499" t="s">
        <v>123</v>
      </c>
      <c r="C2606" s="502" t="s">
        <v>1388</v>
      </c>
      <c r="D2606" s="537" t="s">
        <v>147</v>
      </c>
      <c r="E2606" s="492"/>
      <c r="F2606" s="492"/>
      <c r="G2606" s="492"/>
      <c r="H2606" s="100" t="s">
        <v>148</v>
      </c>
      <c r="I2606" s="101"/>
      <c r="J2606" s="102"/>
      <c r="K2606" s="101"/>
      <c r="L2606" s="101">
        <v>54000</v>
      </c>
      <c r="M2606" s="10"/>
      <c r="N2606" s="10"/>
      <c r="O2606"/>
      <c r="P2606"/>
    </row>
    <row r="2607" spans="1:16" s="146" customFormat="1" ht="18" x14ac:dyDescent="0.25">
      <c r="A2607" s="519"/>
      <c r="B2607" s="499" t="s">
        <v>123</v>
      </c>
      <c r="C2607" s="502" t="s">
        <v>1388</v>
      </c>
      <c r="D2607" s="1602" t="s">
        <v>151</v>
      </c>
      <c r="E2607" s="1603"/>
      <c r="F2607" s="1603"/>
      <c r="G2607" s="1603"/>
      <c r="H2607" s="100" t="s">
        <v>148</v>
      </c>
      <c r="I2607" s="101">
        <v>140000</v>
      </c>
      <c r="J2607" s="102">
        <v>0</v>
      </c>
      <c r="K2607" s="101"/>
      <c r="L2607" s="101"/>
      <c r="M2607" s="10"/>
      <c r="N2607" s="10"/>
      <c r="O2607"/>
      <c r="P2607"/>
    </row>
    <row r="2608" spans="1:16" s="146" customFormat="1" ht="18" x14ac:dyDescent="0.25">
      <c r="A2608" s="519"/>
      <c r="B2608" s="499" t="s">
        <v>123</v>
      </c>
      <c r="C2608" s="502" t="s">
        <v>1388</v>
      </c>
      <c r="D2608" s="513" t="s">
        <v>149</v>
      </c>
      <c r="E2608" s="499"/>
      <c r="F2608" s="499"/>
      <c r="G2608" s="491"/>
      <c r="H2608" s="100" t="s">
        <v>150</v>
      </c>
      <c r="I2608" s="101">
        <v>136800</v>
      </c>
      <c r="J2608" s="102">
        <v>0</v>
      </c>
      <c r="K2608" s="101"/>
      <c r="L2608" s="101"/>
      <c r="M2608" s="10"/>
      <c r="N2608" s="10"/>
      <c r="O2608"/>
      <c r="P2608"/>
    </row>
    <row r="2609" spans="1:16" s="146" customFormat="1" ht="18" x14ac:dyDescent="0.25">
      <c r="A2609" s="519"/>
      <c r="B2609" s="499" t="s">
        <v>123</v>
      </c>
      <c r="C2609" s="502" t="s">
        <v>1388</v>
      </c>
      <c r="D2609" s="513" t="s">
        <v>231</v>
      </c>
      <c r="E2609" s="499"/>
      <c r="F2609" s="499"/>
      <c r="G2609" s="491"/>
      <c r="H2609" s="100" t="s">
        <v>232</v>
      </c>
      <c r="I2609" s="101">
        <v>5000</v>
      </c>
      <c r="J2609" s="102">
        <v>15000</v>
      </c>
      <c r="K2609" s="101"/>
      <c r="L2609" s="101"/>
      <c r="M2609" s="10"/>
      <c r="N2609" s="10"/>
      <c r="O2609"/>
      <c r="P2609"/>
    </row>
    <row r="2610" spans="1:16" s="146" customFormat="1" ht="15" customHeight="1" x14ac:dyDescent="0.25">
      <c r="A2610" s="519"/>
      <c r="B2610" s="499" t="s">
        <v>123</v>
      </c>
      <c r="C2610" s="502" t="s">
        <v>1388</v>
      </c>
      <c r="D2610" s="1611" t="s">
        <v>152</v>
      </c>
      <c r="E2610" s="1611"/>
      <c r="F2610" s="1611"/>
      <c r="G2610" s="1602"/>
      <c r="H2610" s="100"/>
      <c r="I2610" s="101">
        <v>0</v>
      </c>
      <c r="J2610" s="102">
        <v>172588.2</v>
      </c>
      <c r="K2610" s="101"/>
      <c r="L2610" s="101"/>
      <c r="M2610" s="10"/>
      <c r="N2610" s="10"/>
      <c r="O2610"/>
      <c r="P2610"/>
    </row>
    <row r="2611" spans="1:16" s="146" customFormat="1" ht="18" x14ac:dyDescent="0.25">
      <c r="A2611" s="519"/>
      <c r="B2611" s="499" t="s">
        <v>123</v>
      </c>
      <c r="C2611" s="502" t="s">
        <v>1388</v>
      </c>
      <c r="D2611" s="1602" t="s">
        <v>153</v>
      </c>
      <c r="E2611" s="1603"/>
      <c r="F2611" s="1603"/>
      <c r="G2611" s="1603"/>
      <c r="H2611" s="100" t="s">
        <v>154</v>
      </c>
      <c r="I2611" s="101">
        <v>276063.12</v>
      </c>
      <c r="J2611" s="102">
        <v>347218.56</v>
      </c>
      <c r="K2611" s="101">
        <v>169104.26</v>
      </c>
      <c r="L2611" s="101">
        <v>379944.33</v>
      </c>
      <c r="M2611" s="10"/>
      <c r="N2611" s="10"/>
      <c r="O2611"/>
      <c r="P2611"/>
    </row>
    <row r="2612" spans="1:16" s="146" customFormat="1" ht="18" x14ac:dyDescent="0.25">
      <c r="A2612" s="519"/>
      <c r="B2612" s="499" t="s">
        <v>123</v>
      </c>
      <c r="C2612" s="502" t="s">
        <v>1388</v>
      </c>
      <c r="D2612" s="1602" t="s">
        <v>155</v>
      </c>
      <c r="E2612" s="1603"/>
      <c r="F2612" s="1603"/>
      <c r="G2612" s="1603"/>
      <c r="H2612" s="100" t="s">
        <v>156</v>
      </c>
      <c r="I2612" s="101">
        <v>16800</v>
      </c>
      <c r="J2612" s="102">
        <v>21600</v>
      </c>
      <c r="K2612" s="101">
        <v>9800</v>
      </c>
      <c r="L2612" s="101">
        <v>21600</v>
      </c>
      <c r="M2612" s="10"/>
      <c r="N2612" s="10"/>
      <c r="O2612"/>
      <c r="P2612"/>
    </row>
    <row r="2613" spans="1:16" s="146" customFormat="1" ht="18" x14ac:dyDescent="0.25">
      <c r="A2613" s="519"/>
      <c r="B2613" s="499" t="s">
        <v>123</v>
      </c>
      <c r="C2613" s="502" t="s">
        <v>1388</v>
      </c>
      <c r="D2613" s="1602" t="s">
        <v>157</v>
      </c>
      <c r="E2613" s="1603"/>
      <c r="F2613" s="1603"/>
      <c r="G2613" s="1603"/>
      <c r="H2613" s="100" t="s">
        <v>158</v>
      </c>
      <c r="I2613" s="101">
        <v>34607.74</v>
      </c>
      <c r="J2613" s="102">
        <v>50639.61</v>
      </c>
      <c r="K2613" s="101">
        <v>21148.86</v>
      </c>
      <c r="L2613" s="101">
        <v>126949.55</v>
      </c>
      <c r="M2613" s="10"/>
      <c r="N2613" s="10"/>
      <c r="O2613"/>
      <c r="P2613"/>
    </row>
    <row r="2614" spans="1:16" s="146" customFormat="1" ht="18" x14ac:dyDescent="0.25">
      <c r="A2614" s="519"/>
      <c r="B2614" s="499" t="s">
        <v>123</v>
      </c>
      <c r="C2614" s="502" t="s">
        <v>1388</v>
      </c>
      <c r="D2614" s="1602" t="s">
        <v>159</v>
      </c>
      <c r="E2614" s="1603"/>
      <c r="F2614" s="1603"/>
      <c r="G2614" s="1603"/>
      <c r="H2614" s="100" t="s">
        <v>160</v>
      </c>
      <c r="I2614" s="105">
        <v>16800</v>
      </c>
      <c r="J2614" s="106">
        <v>21600</v>
      </c>
      <c r="K2614" s="105">
        <v>9800</v>
      </c>
      <c r="L2614" s="105">
        <v>21600</v>
      </c>
      <c r="M2614" s="10"/>
      <c r="N2614" s="10"/>
      <c r="O2614"/>
      <c r="P2614"/>
    </row>
    <row r="2615" spans="1:16" s="229" customFormat="1" ht="18" customHeight="1" x14ac:dyDescent="0.25">
      <c r="A2615" s="154"/>
      <c r="B2615" s="499" t="s">
        <v>163</v>
      </c>
      <c r="C2615" s="502" t="s">
        <v>1388</v>
      </c>
      <c r="D2615" s="44" t="s">
        <v>164</v>
      </c>
      <c r="E2615" s="125"/>
      <c r="F2615" s="125"/>
      <c r="G2615" s="134"/>
      <c r="H2615" s="100" t="s">
        <v>165</v>
      </c>
      <c r="I2615" s="101">
        <v>7260</v>
      </c>
      <c r="J2615" s="102">
        <v>30000</v>
      </c>
      <c r="K2615" s="101"/>
      <c r="L2615" s="101">
        <v>30000</v>
      </c>
      <c r="M2615" s="207"/>
      <c r="N2615" s="207"/>
      <c r="O2615" s="212"/>
      <c r="P2615" s="212"/>
    </row>
    <row r="2616" spans="1:16" s="229" customFormat="1" ht="18" customHeight="1" x14ac:dyDescent="0.25">
      <c r="A2616" s="154"/>
      <c r="B2616" s="499" t="s">
        <v>163</v>
      </c>
      <c r="C2616" s="502" t="s">
        <v>1388</v>
      </c>
      <c r="D2616" s="44" t="s">
        <v>168</v>
      </c>
      <c r="E2616" s="125"/>
      <c r="F2616" s="125"/>
      <c r="G2616" s="134"/>
      <c r="H2616" s="100" t="s">
        <v>169</v>
      </c>
      <c r="I2616" s="101">
        <v>184687</v>
      </c>
      <c r="J2616" s="102">
        <v>226890</v>
      </c>
      <c r="K2616" s="101">
        <v>103305</v>
      </c>
      <c r="L2616" s="101">
        <v>91953</v>
      </c>
      <c r="M2616" s="207"/>
      <c r="N2616" s="207"/>
      <c r="O2616" s="212"/>
      <c r="P2616" s="212"/>
    </row>
    <row r="2617" spans="1:16" s="229" customFormat="1" ht="18" customHeight="1" x14ac:dyDescent="0.25">
      <c r="A2617" s="154"/>
      <c r="B2617" s="499" t="s">
        <v>163</v>
      </c>
      <c r="C2617" s="502" t="s">
        <v>1388</v>
      </c>
      <c r="D2617" s="44" t="s">
        <v>1299</v>
      </c>
      <c r="E2617" s="125"/>
      <c r="F2617" s="125"/>
      <c r="G2617" s="503"/>
      <c r="H2617" s="100" t="s">
        <v>427</v>
      </c>
      <c r="I2617" s="101">
        <v>640450</v>
      </c>
      <c r="J2617" s="102">
        <v>850500</v>
      </c>
      <c r="K2617" s="101"/>
      <c r="L2617" s="101">
        <v>1342000</v>
      </c>
      <c r="M2617" s="207"/>
      <c r="N2617" s="207"/>
      <c r="O2617" s="212"/>
      <c r="P2617" s="212"/>
    </row>
    <row r="2618" spans="1:16" s="229" customFormat="1" ht="18" customHeight="1" x14ac:dyDescent="0.25">
      <c r="A2618" s="154"/>
      <c r="B2618" s="499" t="s">
        <v>163</v>
      </c>
      <c r="C2618" s="502" t="s">
        <v>1388</v>
      </c>
      <c r="D2618" s="44" t="s">
        <v>172</v>
      </c>
      <c r="E2618" s="125"/>
      <c r="F2618" s="125"/>
      <c r="G2618" s="134"/>
      <c r="H2618" s="100" t="s">
        <v>173</v>
      </c>
      <c r="I2618" s="101">
        <v>8662.25</v>
      </c>
      <c r="J2618" s="102">
        <v>20000</v>
      </c>
      <c r="K2618" s="101">
        <v>5685.05</v>
      </c>
      <c r="L2618" s="101">
        <v>20000</v>
      </c>
      <c r="M2618" s="207"/>
      <c r="N2618" s="207"/>
      <c r="O2618" s="212"/>
      <c r="P2618" s="212"/>
    </row>
    <row r="2619" spans="1:16" s="229" customFormat="1" ht="18" x14ac:dyDescent="0.25">
      <c r="A2619" s="154"/>
      <c r="B2619" s="499" t="s">
        <v>163</v>
      </c>
      <c r="C2619" s="502" t="s">
        <v>1388</v>
      </c>
      <c r="D2619" s="44" t="s">
        <v>174</v>
      </c>
      <c r="E2619" s="125"/>
      <c r="F2619" s="125"/>
      <c r="G2619" s="134"/>
      <c r="H2619" s="100" t="s">
        <v>171</v>
      </c>
      <c r="I2619" s="101">
        <v>17434.5</v>
      </c>
      <c r="J2619" s="102">
        <v>69404</v>
      </c>
      <c r="K2619" s="101"/>
      <c r="L2619" s="101"/>
      <c r="M2619" s="207"/>
      <c r="N2619" s="207"/>
      <c r="O2619" s="212"/>
      <c r="P2619" s="212"/>
    </row>
    <row r="2620" spans="1:16" s="229" customFormat="1" ht="18" customHeight="1" x14ac:dyDescent="0.25">
      <c r="A2620" s="154"/>
      <c r="B2620" s="499" t="s">
        <v>163</v>
      </c>
      <c r="C2620" s="502" t="s">
        <v>1388</v>
      </c>
      <c r="D2620" s="536" t="s">
        <v>170</v>
      </c>
      <c r="E2620" s="502"/>
      <c r="F2620" s="502"/>
      <c r="G2620" s="503"/>
      <c r="H2620" s="100" t="s">
        <v>171</v>
      </c>
      <c r="I2620" s="101"/>
      <c r="J2620" s="102"/>
      <c r="K2620" s="101"/>
      <c r="L2620" s="101">
        <f>103264+500000</f>
        <v>603264</v>
      </c>
      <c r="M2620" s="207"/>
      <c r="N2620" s="207"/>
      <c r="O2620" s="212"/>
      <c r="P2620" s="212"/>
    </row>
    <row r="2621" spans="1:16" s="229" customFormat="1" ht="18" customHeight="1" x14ac:dyDescent="0.25">
      <c r="A2621" s="154"/>
      <c r="B2621" s="499" t="s">
        <v>163</v>
      </c>
      <c r="C2621" s="502" t="s">
        <v>1388</v>
      </c>
      <c r="D2621" s="44" t="s">
        <v>182</v>
      </c>
      <c r="E2621" s="125"/>
      <c r="F2621" s="125"/>
      <c r="G2621" s="134"/>
      <c r="H2621" s="100" t="s">
        <v>183</v>
      </c>
      <c r="I2621" s="101">
        <v>0</v>
      </c>
      <c r="J2621" s="102">
        <v>42000</v>
      </c>
      <c r="K2621" s="101"/>
      <c r="L2621" s="101">
        <v>42000</v>
      </c>
      <c r="M2621" s="207"/>
      <c r="N2621" s="207"/>
      <c r="O2621" s="212"/>
      <c r="P2621" s="212"/>
    </row>
    <row r="2622" spans="1:16" s="229" customFormat="1" ht="18" customHeight="1" x14ac:dyDescent="0.25">
      <c r="A2622" s="154"/>
      <c r="B2622" s="499" t="s">
        <v>163</v>
      </c>
      <c r="C2622" s="502" t="s">
        <v>1388</v>
      </c>
      <c r="D2622" s="44" t="s">
        <v>1300</v>
      </c>
      <c r="E2622" s="125"/>
      <c r="F2622" s="125"/>
      <c r="G2622" s="134"/>
      <c r="H2622" s="100" t="s">
        <v>187</v>
      </c>
      <c r="I2622" s="101">
        <v>0</v>
      </c>
      <c r="J2622" s="102">
        <v>20000</v>
      </c>
      <c r="K2622" s="101"/>
      <c r="L2622" s="101">
        <v>20000</v>
      </c>
      <c r="M2622" s="207"/>
      <c r="N2622" s="207"/>
      <c r="O2622" s="212"/>
      <c r="P2622" s="212"/>
    </row>
    <row r="2623" spans="1:16" s="146" customFormat="1" ht="18" x14ac:dyDescent="0.25">
      <c r="A2623" s="459"/>
      <c r="B2623" s="235" t="s">
        <v>201</v>
      </c>
      <c r="C2623" s="502" t="s">
        <v>1388</v>
      </c>
      <c r="D2623" s="38" t="s">
        <v>1301</v>
      </c>
      <c r="E2623" s="235"/>
      <c r="F2623" s="235"/>
      <c r="G2623" s="235"/>
      <c r="H2623" s="394" t="s">
        <v>1302</v>
      </c>
      <c r="I2623" s="101">
        <v>0</v>
      </c>
      <c r="J2623" s="102">
        <v>0</v>
      </c>
      <c r="K2623" s="101"/>
      <c r="L2623" s="101">
        <v>30600</v>
      </c>
      <c r="M2623" s="10"/>
      <c r="N2623" s="10"/>
      <c r="O2623"/>
      <c r="P2623"/>
    </row>
    <row r="2624" spans="1:16" s="146" customFormat="1" ht="18" x14ac:dyDescent="0.25">
      <c r="A2624" s="459"/>
      <c r="B2624" s="235" t="s">
        <v>201</v>
      </c>
      <c r="C2624" s="502" t="s">
        <v>1388</v>
      </c>
      <c r="D2624" s="38" t="s">
        <v>1303</v>
      </c>
      <c r="E2624" s="235"/>
      <c r="F2624" s="235"/>
      <c r="G2624" s="235"/>
      <c r="H2624" s="394"/>
      <c r="I2624" s="101"/>
      <c r="J2624" s="102">
        <v>160000</v>
      </c>
      <c r="K2624" s="101">
        <v>0</v>
      </c>
      <c r="L2624" s="101"/>
      <c r="M2624" s="10"/>
      <c r="N2624" s="10"/>
      <c r="O2624"/>
      <c r="P2624"/>
    </row>
    <row r="2625" spans="1:16" s="146" customFormat="1" ht="18" x14ac:dyDescent="0.25">
      <c r="A2625" s="459"/>
      <c r="B2625" s="235" t="s">
        <v>201</v>
      </c>
      <c r="C2625" s="502" t="s">
        <v>1388</v>
      </c>
      <c r="D2625" s="38" t="s">
        <v>1304</v>
      </c>
      <c r="E2625" s="235"/>
      <c r="F2625" s="235"/>
      <c r="G2625" s="235"/>
      <c r="H2625" s="394"/>
      <c r="I2625" s="101"/>
      <c r="J2625" s="102">
        <v>33000</v>
      </c>
      <c r="K2625" s="101">
        <v>0</v>
      </c>
      <c r="L2625" s="101"/>
      <c r="M2625" s="10"/>
      <c r="N2625" s="10"/>
      <c r="O2625"/>
      <c r="P2625"/>
    </row>
    <row r="2626" spans="1:16" ht="18" x14ac:dyDescent="0.25">
      <c r="A2626" s="459"/>
      <c r="B2626" s="235" t="s">
        <v>201</v>
      </c>
      <c r="C2626" s="502" t="s">
        <v>1388</v>
      </c>
      <c r="D2626" s="38" t="s">
        <v>204</v>
      </c>
      <c r="E2626" s="235"/>
      <c r="F2626" s="235"/>
      <c r="G2626" s="235"/>
      <c r="H2626" s="394"/>
      <c r="I2626" s="101">
        <v>0</v>
      </c>
      <c r="J2626" s="102">
        <v>80000</v>
      </c>
      <c r="K2626" s="101">
        <v>0</v>
      </c>
      <c r="L2626" s="101">
        <v>80000</v>
      </c>
    </row>
    <row r="2627" spans="1:16" ht="18" x14ac:dyDescent="0.25">
      <c r="A2627" s="459"/>
      <c r="B2627" s="235" t="s">
        <v>201</v>
      </c>
      <c r="C2627" s="502" t="s">
        <v>1388</v>
      </c>
      <c r="D2627" s="38" t="s">
        <v>1305</v>
      </c>
      <c r="E2627" s="235"/>
      <c r="F2627" s="235"/>
      <c r="G2627" s="235"/>
      <c r="H2627" s="394"/>
      <c r="I2627" s="105">
        <v>15000</v>
      </c>
      <c r="J2627" s="106"/>
      <c r="K2627" s="105"/>
      <c r="L2627" s="105"/>
    </row>
    <row r="2628" spans="1:16" s="146" customFormat="1" x14ac:dyDescent="0.25">
      <c r="A2628" s="8"/>
      <c r="B2628" s="8"/>
      <c r="C2628" s="8"/>
      <c r="D2628" s="9"/>
      <c r="E2628" s="8"/>
      <c r="F2628" s="8"/>
      <c r="G2628" s="8"/>
      <c r="H2628" s="8"/>
      <c r="I2628" s="481"/>
      <c r="J2628" s="482" t="s">
        <v>1319</v>
      </c>
      <c r="K2628" s="483"/>
      <c r="L2628" s="480" t="e">
        <f>SUM(#REF!)</f>
        <v>#REF!</v>
      </c>
      <c r="M2628" s="10"/>
      <c r="N2628" s="10">
        <v>750428822.36000001</v>
      </c>
      <c r="O2628"/>
      <c r="P2628"/>
    </row>
    <row r="2629" spans="1:16" s="146" customFormat="1" x14ac:dyDescent="0.25">
      <c r="A2629" s="8"/>
      <c r="B2629" s="8"/>
      <c r="C2629" s="8"/>
      <c r="D2629" s="9"/>
      <c r="E2629" s="8"/>
      <c r="F2629" s="8"/>
      <c r="G2629" s="8"/>
      <c r="H2629" s="8"/>
      <c r="I2629" s="4"/>
      <c r="J2629" s="177"/>
      <c r="K2629" s="265"/>
      <c r="L2629" s="4"/>
      <c r="M2629" s="10"/>
      <c r="N2629" s="10"/>
      <c r="O2629"/>
      <c r="P2629"/>
    </row>
    <row r="2630" spans="1:16" s="146" customFormat="1" x14ac:dyDescent="0.25">
      <c r="A2630" s="8"/>
      <c r="B2630" s="8"/>
      <c r="C2630" s="8"/>
      <c r="D2630" s="9"/>
      <c r="E2630" s="8"/>
      <c r="F2630" s="8"/>
      <c r="G2630" s="8"/>
      <c r="H2630" s="8"/>
      <c r="I2630" s="4"/>
      <c r="J2630" s="177"/>
      <c r="K2630" s="265"/>
      <c r="L2630" s="4"/>
      <c r="M2630" s="10"/>
      <c r="N2630" s="10"/>
      <c r="O2630"/>
      <c r="P2630"/>
    </row>
    <row r="2631" spans="1:16" s="146" customFormat="1" x14ac:dyDescent="0.25">
      <c r="A2631" s="8"/>
      <c r="B2631" s="8"/>
      <c r="C2631" s="8"/>
      <c r="D2631" s="9"/>
      <c r="E2631" s="8"/>
      <c r="F2631" s="8"/>
      <c r="G2631" s="8"/>
      <c r="H2631" s="8"/>
      <c r="I2631" s="4"/>
      <c r="J2631" s="177"/>
      <c r="K2631" s="265"/>
      <c r="L2631" s="4"/>
      <c r="M2631" s="10"/>
      <c r="N2631" s="10"/>
      <c r="O2631"/>
      <c r="P2631"/>
    </row>
    <row r="2632" spans="1:16" s="146" customFormat="1" x14ac:dyDescent="0.25">
      <c r="A2632" s="8"/>
      <c r="B2632" s="8"/>
      <c r="C2632" s="8"/>
      <c r="D2632" s="9"/>
      <c r="E2632" s="8"/>
      <c r="F2632" s="8"/>
      <c r="G2632" s="8"/>
      <c r="H2632" s="8"/>
      <c r="I2632" s="4"/>
      <c r="J2632" s="177"/>
      <c r="K2632" s="265"/>
      <c r="L2632" s="4"/>
      <c r="M2632" s="10"/>
      <c r="N2632" s="10"/>
      <c r="O2632"/>
      <c r="P2632"/>
    </row>
    <row r="2633" spans="1:16" s="146" customFormat="1" x14ac:dyDescent="0.25">
      <c r="A2633" s="8"/>
      <c r="B2633" s="8"/>
      <c r="C2633" s="8"/>
      <c r="D2633" s="9"/>
      <c r="E2633" s="8"/>
      <c r="F2633" s="8"/>
      <c r="G2633" s="8"/>
      <c r="H2633" s="8"/>
      <c r="I2633" s="4"/>
      <c r="J2633" s="5"/>
      <c r="K2633" s="265"/>
      <c r="L2633" s="4"/>
      <c r="M2633" s="10"/>
      <c r="N2633" s="10"/>
      <c r="O2633"/>
      <c r="P2633"/>
    </row>
  </sheetData>
  <mergeCells count="1001">
    <mergeCell ref="A3:L3"/>
    <mergeCell ref="A4:L4"/>
    <mergeCell ref="A6:G10"/>
    <mergeCell ref="H6:H10"/>
    <mergeCell ref="I6:I10"/>
    <mergeCell ref="J6:J10"/>
    <mergeCell ref="L6:L10"/>
    <mergeCell ref="D147:G147"/>
    <mergeCell ref="D148:G148"/>
    <mergeCell ref="H69:H73"/>
    <mergeCell ref="I69:I73"/>
    <mergeCell ref="J69:J73"/>
    <mergeCell ref="L69:L73"/>
    <mergeCell ref="D75:G75"/>
    <mergeCell ref="E49:G49"/>
    <mergeCell ref="E51:G51"/>
    <mergeCell ref="E52:G52"/>
    <mergeCell ref="E55:G55"/>
    <mergeCell ref="D155:G155"/>
    <mergeCell ref="D156:G156"/>
    <mergeCell ref="D157:G157"/>
    <mergeCell ref="D158:G158"/>
    <mergeCell ref="D161:G161"/>
    <mergeCell ref="D162:G162"/>
    <mergeCell ref="D149:G149"/>
    <mergeCell ref="D150:G150"/>
    <mergeCell ref="D151:G151"/>
    <mergeCell ref="D152:G152"/>
    <mergeCell ref="D153:G153"/>
    <mergeCell ref="D154:G154"/>
    <mergeCell ref="D196:G196"/>
    <mergeCell ref="D197:G197"/>
    <mergeCell ref="E57:G57"/>
    <mergeCell ref="A69:G73"/>
    <mergeCell ref="A11:G11"/>
    <mergeCell ref="D12:G12"/>
    <mergeCell ref="D13:G13"/>
    <mergeCell ref="D14:G14"/>
    <mergeCell ref="A15:G15"/>
    <mergeCell ref="A16:G16"/>
    <mergeCell ref="D193:G193"/>
    <mergeCell ref="D194:G194"/>
    <mergeCell ref="D195:G195"/>
    <mergeCell ref="D187:G187"/>
    <mergeCell ref="D238:G238"/>
    <mergeCell ref="D163:G163"/>
    <mergeCell ref="D164:G164"/>
    <mergeCell ref="D165:G165"/>
    <mergeCell ref="D239:G239"/>
    <mergeCell ref="D241:G241"/>
    <mergeCell ref="D242:G242"/>
    <mergeCell ref="D243:G243"/>
    <mergeCell ref="D244:G244"/>
    <mergeCell ref="D231:G231"/>
    <mergeCell ref="D233:G233"/>
    <mergeCell ref="D234:G234"/>
    <mergeCell ref="D235:G235"/>
    <mergeCell ref="D237:G237"/>
    <mergeCell ref="D227:G227"/>
    <mergeCell ref="D228:G228"/>
    <mergeCell ref="D205:G205"/>
    <mergeCell ref="D207:G207"/>
    <mergeCell ref="D208:G208"/>
    <mergeCell ref="D209:G209"/>
    <mergeCell ref="D210:G210"/>
    <mergeCell ref="D211:G211"/>
    <mergeCell ref="D229:G229"/>
    <mergeCell ref="D166:G166"/>
    <mergeCell ref="D198:G198"/>
    <mergeCell ref="D199:G199"/>
    <mergeCell ref="D200:G200"/>
    <mergeCell ref="D201:G201"/>
    <mergeCell ref="D271:G271"/>
    <mergeCell ref="D272:G272"/>
    <mergeCell ref="D273:G273"/>
    <mergeCell ref="D274:G274"/>
    <mergeCell ref="D275:G275"/>
    <mergeCell ref="D276:G276"/>
    <mergeCell ref="D262:G262"/>
    <mergeCell ref="D263:G263"/>
    <mergeCell ref="D264:G264"/>
    <mergeCell ref="D265:G265"/>
    <mergeCell ref="D266:G266"/>
    <mergeCell ref="D267:G267"/>
    <mergeCell ref="D258:G258"/>
    <mergeCell ref="D259:G259"/>
    <mergeCell ref="D260:E260"/>
    <mergeCell ref="D261:G261"/>
    <mergeCell ref="D245:G245"/>
    <mergeCell ref="D310:G310"/>
    <mergeCell ref="D311:G311"/>
    <mergeCell ref="D312:G312"/>
    <mergeCell ref="D313:G313"/>
    <mergeCell ref="D302:G302"/>
    <mergeCell ref="D303:G303"/>
    <mergeCell ref="D304:G304"/>
    <mergeCell ref="D307:G307"/>
    <mergeCell ref="D308:G308"/>
    <mergeCell ref="D309:G309"/>
    <mergeCell ref="D295:G295"/>
    <mergeCell ref="D296:G296"/>
    <mergeCell ref="D297:G297"/>
    <mergeCell ref="D298:G298"/>
    <mergeCell ref="D300:G300"/>
    <mergeCell ref="D301:G301"/>
    <mergeCell ref="D292:G292"/>
    <mergeCell ref="D293:G293"/>
    <mergeCell ref="D354:E354"/>
    <mergeCell ref="D358:G358"/>
    <mergeCell ref="D336:G336"/>
    <mergeCell ref="D337:G337"/>
    <mergeCell ref="D338:G338"/>
    <mergeCell ref="D339:G339"/>
    <mergeCell ref="D340:G340"/>
    <mergeCell ref="D341:G341"/>
    <mergeCell ref="D329:G329"/>
    <mergeCell ref="D330:G330"/>
    <mergeCell ref="D331:G331"/>
    <mergeCell ref="D332:G332"/>
    <mergeCell ref="D333:G333"/>
    <mergeCell ref="E335:G335"/>
    <mergeCell ref="D325:G325"/>
    <mergeCell ref="D326:E326"/>
    <mergeCell ref="D327:G327"/>
    <mergeCell ref="D328:G328"/>
    <mergeCell ref="D373:G373"/>
    <mergeCell ref="D374:G374"/>
    <mergeCell ref="D375:G375"/>
    <mergeCell ref="D376:G376"/>
    <mergeCell ref="D377:G377"/>
    <mergeCell ref="D365:G365"/>
    <mergeCell ref="D366:G366"/>
    <mergeCell ref="D367:G367"/>
    <mergeCell ref="D368:G368"/>
    <mergeCell ref="E370:G370"/>
    <mergeCell ref="D371:G371"/>
    <mergeCell ref="D360:G360"/>
    <mergeCell ref="D361:G361"/>
    <mergeCell ref="D362:G362"/>
    <mergeCell ref="D363:G363"/>
    <mergeCell ref="D364:G364"/>
    <mergeCell ref="D359:G359"/>
    <mergeCell ref="D429:E429"/>
    <mergeCell ref="D430:E430"/>
    <mergeCell ref="D431:E431"/>
    <mergeCell ref="D417:G417"/>
    <mergeCell ref="D418:G418"/>
    <mergeCell ref="D419:G419"/>
    <mergeCell ref="D420:G420"/>
    <mergeCell ref="D421:G421"/>
    <mergeCell ref="D409:G409"/>
    <mergeCell ref="D410:G410"/>
    <mergeCell ref="D411:G411"/>
    <mergeCell ref="D412:G412"/>
    <mergeCell ref="D413:G413"/>
    <mergeCell ref="D416:G416"/>
    <mergeCell ref="D405:G405"/>
    <mergeCell ref="D406:E406"/>
    <mergeCell ref="D407:G407"/>
    <mergeCell ref="D463:G463"/>
    <mergeCell ref="D449:G449"/>
    <mergeCell ref="D450:G450"/>
    <mergeCell ref="D451:G451"/>
    <mergeCell ref="D452:G452"/>
    <mergeCell ref="D442:G442"/>
    <mergeCell ref="D443:G443"/>
    <mergeCell ref="D444:G444"/>
    <mergeCell ref="D445:G445"/>
    <mergeCell ref="D446:G446"/>
    <mergeCell ref="D448:G448"/>
    <mergeCell ref="D439:G439"/>
    <mergeCell ref="D440:G440"/>
    <mergeCell ref="D441:G441"/>
    <mergeCell ref="D435:G435"/>
    <mergeCell ref="D436:G436"/>
    <mergeCell ref="D437:G437"/>
    <mergeCell ref="D489:G489"/>
    <mergeCell ref="D490:G490"/>
    <mergeCell ref="D491:E491"/>
    <mergeCell ref="D480:G480"/>
    <mergeCell ref="E474:G474"/>
    <mergeCell ref="D475:G475"/>
    <mergeCell ref="D476:G476"/>
    <mergeCell ref="D477:G477"/>
    <mergeCell ref="D478:G478"/>
    <mergeCell ref="D479:G479"/>
    <mergeCell ref="D467:G467"/>
    <mergeCell ref="D468:G468"/>
    <mergeCell ref="D469:G469"/>
    <mergeCell ref="D470:G470"/>
    <mergeCell ref="D471:G471"/>
    <mergeCell ref="D472:G472"/>
    <mergeCell ref="D464:G464"/>
    <mergeCell ref="D465:G465"/>
    <mergeCell ref="D466:G466"/>
    <mergeCell ref="D529:G529"/>
    <mergeCell ref="D530:G530"/>
    <mergeCell ref="D527:G527"/>
    <mergeCell ref="D505:G505"/>
    <mergeCell ref="D506:G506"/>
    <mergeCell ref="D507:G507"/>
    <mergeCell ref="D498:G498"/>
    <mergeCell ref="D499:G499"/>
    <mergeCell ref="E501:G501"/>
    <mergeCell ref="D502:G502"/>
    <mergeCell ref="D503:G503"/>
    <mergeCell ref="D504:G504"/>
    <mergeCell ref="D492:G492"/>
    <mergeCell ref="D493:G493"/>
    <mergeCell ref="D494:G494"/>
    <mergeCell ref="D495:G495"/>
    <mergeCell ref="D496:G496"/>
    <mergeCell ref="D497:G497"/>
    <mergeCell ref="D572:G572"/>
    <mergeCell ref="D544:G544"/>
    <mergeCell ref="D545:G545"/>
    <mergeCell ref="D546:G546"/>
    <mergeCell ref="D547:G547"/>
    <mergeCell ref="D548:G548"/>
    <mergeCell ref="D537:G537"/>
    <mergeCell ref="D538:G538"/>
    <mergeCell ref="D539:G539"/>
    <mergeCell ref="D540:G540"/>
    <mergeCell ref="E542:G542"/>
    <mergeCell ref="D543:G543"/>
    <mergeCell ref="D531:G531"/>
    <mergeCell ref="D532:G532"/>
    <mergeCell ref="D533:G533"/>
    <mergeCell ref="D534:G534"/>
    <mergeCell ref="D535:G535"/>
    <mergeCell ref="D536:G536"/>
    <mergeCell ref="D588:G588"/>
    <mergeCell ref="D589:G589"/>
    <mergeCell ref="D590:G590"/>
    <mergeCell ref="D591:G591"/>
    <mergeCell ref="D592:G592"/>
    <mergeCell ref="D593:G593"/>
    <mergeCell ref="D579:G579"/>
    <mergeCell ref="D580:G580"/>
    <mergeCell ref="D581:G581"/>
    <mergeCell ref="D582:G582"/>
    <mergeCell ref="D583:G583"/>
    <mergeCell ref="D587:G587"/>
    <mergeCell ref="D573:G573"/>
    <mergeCell ref="D574:G574"/>
    <mergeCell ref="D575:G575"/>
    <mergeCell ref="D576:G576"/>
    <mergeCell ref="D577:G577"/>
    <mergeCell ref="D578:G578"/>
    <mergeCell ref="D641:G641"/>
    <mergeCell ref="D624:G624"/>
    <mergeCell ref="D625:G625"/>
    <mergeCell ref="D626:G626"/>
    <mergeCell ref="D627:G627"/>
    <mergeCell ref="D617:G617"/>
    <mergeCell ref="D618:G618"/>
    <mergeCell ref="D619:G619"/>
    <mergeCell ref="E621:G621"/>
    <mergeCell ref="D622:G622"/>
    <mergeCell ref="D623:G623"/>
    <mergeCell ref="D613:G613"/>
    <mergeCell ref="D614:G614"/>
    <mergeCell ref="D615:G615"/>
    <mergeCell ref="D616:G616"/>
    <mergeCell ref="D612:G612"/>
    <mergeCell ref="D601:E601"/>
    <mergeCell ref="D666:G666"/>
    <mergeCell ref="D667:G667"/>
    <mergeCell ref="D668:G668"/>
    <mergeCell ref="D654:G654"/>
    <mergeCell ref="D655:G655"/>
    <mergeCell ref="D656:G656"/>
    <mergeCell ref="D648:G648"/>
    <mergeCell ref="D649:G649"/>
    <mergeCell ref="D650:G650"/>
    <mergeCell ref="D651:E651"/>
    <mergeCell ref="D652:G652"/>
    <mergeCell ref="D653:G653"/>
    <mergeCell ref="D642:G642"/>
    <mergeCell ref="D643:G643"/>
    <mergeCell ref="D644:G644"/>
    <mergeCell ref="D645:G645"/>
    <mergeCell ref="D646:G646"/>
    <mergeCell ref="D647:G647"/>
    <mergeCell ref="D688:G688"/>
    <mergeCell ref="D689:G689"/>
    <mergeCell ref="D690:G690"/>
    <mergeCell ref="D691:G691"/>
    <mergeCell ref="D692:G692"/>
    <mergeCell ref="D693:G693"/>
    <mergeCell ref="D686:G686"/>
    <mergeCell ref="D687:G687"/>
    <mergeCell ref="D676:G676"/>
    <mergeCell ref="D677:G677"/>
    <mergeCell ref="D678:G678"/>
    <mergeCell ref="D679:G679"/>
    <mergeCell ref="D680:G680"/>
    <mergeCell ref="D669:G669"/>
    <mergeCell ref="D670:G670"/>
    <mergeCell ref="D671:G671"/>
    <mergeCell ref="D672:G672"/>
    <mergeCell ref="D673:G673"/>
    <mergeCell ref="D674:G674"/>
    <mergeCell ref="D731:G731"/>
    <mergeCell ref="D732:G732"/>
    <mergeCell ref="D733:G733"/>
    <mergeCell ref="D734:G734"/>
    <mergeCell ref="D735:G735"/>
    <mergeCell ref="D736:G736"/>
    <mergeCell ref="D725:G725"/>
    <mergeCell ref="D726:G726"/>
    <mergeCell ref="D727:G727"/>
    <mergeCell ref="D728:G728"/>
    <mergeCell ref="D729:G729"/>
    <mergeCell ref="D730:G730"/>
    <mergeCell ref="D703:G703"/>
    <mergeCell ref="D704:G704"/>
    <mergeCell ref="D705:G705"/>
    <mergeCell ref="D706:G706"/>
    <mergeCell ref="D694:G694"/>
    <mergeCell ref="D695:G695"/>
    <mergeCell ref="D696:G696"/>
    <mergeCell ref="D697:G697"/>
    <mergeCell ref="E699:G699"/>
    <mergeCell ref="D702:G702"/>
    <mergeCell ref="D770:G770"/>
    <mergeCell ref="D771:G771"/>
    <mergeCell ref="D772:G772"/>
    <mergeCell ref="D773:G773"/>
    <mergeCell ref="D774:G774"/>
    <mergeCell ref="D775:G775"/>
    <mergeCell ref="D769:G769"/>
    <mergeCell ref="D767:G767"/>
    <mergeCell ref="D768:E768"/>
    <mergeCell ref="D744:G744"/>
    <mergeCell ref="D766:E766"/>
    <mergeCell ref="E738:G738"/>
    <mergeCell ref="D739:G739"/>
    <mergeCell ref="D740:G740"/>
    <mergeCell ref="D741:G741"/>
    <mergeCell ref="D742:G742"/>
    <mergeCell ref="D743:G743"/>
    <mergeCell ref="D806:G806"/>
    <mergeCell ref="D807:G807"/>
    <mergeCell ref="D808:G808"/>
    <mergeCell ref="D809:G809"/>
    <mergeCell ref="D810:G810"/>
    <mergeCell ref="D811:G811"/>
    <mergeCell ref="D805:G805"/>
    <mergeCell ref="D803:G803"/>
    <mergeCell ref="D784:G784"/>
    <mergeCell ref="D785:G785"/>
    <mergeCell ref="D786:G786"/>
    <mergeCell ref="D787:G787"/>
    <mergeCell ref="D788:G788"/>
    <mergeCell ref="D789:G789"/>
    <mergeCell ref="D776:G776"/>
    <mergeCell ref="D777:G777"/>
    <mergeCell ref="D778:G778"/>
    <mergeCell ref="D779:G779"/>
    <mergeCell ref="D780:G780"/>
    <mergeCell ref="E783:G783"/>
    <mergeCell ref="D851:G851"/>
    <mergeCell ref="D852:G852"/>
    <mergeCell ref="D853:G853"/>
    <mergeCell ref="D854:G854"/>
    <mergeCell ref="D855:G855"/>
    <mergeCell ref="D856:G856"/>
    <mergeCell ref="D850:G850"/>
    <mergeCell ref="D849:G849"/>
    <mergeCell ref="D820:G820"/>
    <mergeCell ref="D821:G821"/>
    <mergeCell ref="D822:G822"/>
    <mergeCell ref="D823:G823"/>
    <mergeCell ref="D824:G824"/>
    <mergeCell ref="D812:G812"/>
    <mergeCell ref="D813:G813"/>
    <mergeCell ref="D814:G814"/>
    <mergeCell ref="D815:G815"/>
    <mergeCell ref="D818:G818"/>
    <mergeCell ref="D819:G819"/>
    <mergeCell ref="D909:G909"/>
    <mergeCell ref="D913:G913"/>
    <mergeCell ref="D914:G914"/>
    <mergeCell ref="D915:G915"/>
    <mergeCell ref="D870:G870"/>
    <mergeCell ref="D864:G864"/>
    <mergeCell ref="D865:G865"/>
    <mergeCell ref="D866:G866"/>
    <mergeCell ref="D867:G867"/>
    <mergeCell ref="D868:G868"/>
    <mergeCell ref="D869:G869"/>
    <mergeCell ref="D857:G857"/>
    <mergeCell ref="D858:G858"/>
    <mergeCell ref="D859:G859"/>
    <mergeCell ref="D860:G860"/>
    <mergeCell ref="D861:G861"/>
    <mergeCell ref="D862:G862"/>
    <mergeCell ref="D933:G933"/>
    <mergeCell ref="D934:G934"/>
    <mergeCell ref="D930:G930"/>
    <mergeCell ref="D931:G931"/>
    <mergeCell ref="D932:G932"/>
    <mergeCell ref="D923:E923"/>
    <mergeCell ref="D924:E924"/>
    <mergeCell ref="D925:E925"/>
    <mergeCell ref="D926:E926"/>
    <mergeCell ref="D927:E927"/>
    <mergeCell ref="D928:E928"/>
    <mergeCell ref="D916:G916"/>
    <mergeCell ref="D918:G918"/>
    <mergeCell ref="D919:G919"/>
    <mergeCell ref="D920:G920"/>
    <mergeCell ref="D921:G921"/>
    <mergeCell ref="D922:E922"/>
    <mergeCell ref="D974:G974"/>
    <mergeCell ref="D973:G973"/>
    <mergeCell ref="D948:G948"/>
    <mergeCell ref="D949:G949"/>
    <mergeCell ref="D950:G950"/>
    <mergeCell ref="D951:G951"/>
    <mergeCell ref="D952:G952"/>
    <mergeCell ref="D941:G941"/>
    <mergeCell ref="D942:G942"/>
    <mergeCell ref="D943:G943"/>
    <mergeCell ref="D944:G944"/>
    <mergeCell ref="D946:G946"/>
    <mergeCell ref="D947:G947"/>
    <mergeCell ref="D935:G935"/>
    <mergeCell ref="D936:G936"/>
    <mergeCell ref="D937:G937"/>
    <mergeCell ref="D938:G938"/>
    <mergeCell ref="D939:G939"/>
    <mergeCell ref="D940:G940"/>
    <mergeCell ref="D1007:G1007"/>
    <mergeCell ref="D1008:G1008"/>
    <mergeCell ref="D1009:G1009"/>
    <mergeCell ref="D989:G989"/>
    <mergeCell ref="D990:G990"/>
    <mergeCell ref="D991:G991"/>
    <mergeCell ref="D992:G992"/>
    <mergeCell ref="D993:G993"/>
    <mergeCell ref="D982:G982"/>
    <mergeCell ref="D983:G983"/>
    <mergeCell ref="D984:G984"/>
    <mergeCell ref="D985:G985"/>
    <mergeCell ref="D987:G987"/>
    <mergeCell ref="D988:G988"/>
    <mergeCell ref="D975:G975"/>
    <mergeCell ref="D976:G976"/>
    <mergeCell ref="D977:G977"/>
    <mergeCell ref="D978:G978"/>
    <mergeCell ref="D980:G980"/>
    <mergeCell ref="D981:G981"/>
    <mergeCell ref="D1027:G1027"/>
    <mergeCell ref="D1028:G1028"/>
    <mergeCell ref="D1029:G1029"/>
    <mergeCell ref="D1030:G1030"/>
    <mergeCell ref="D1031:G1031"/>
    <mergeCell ref="D1032:G1032"/>
    <mergeCell ref="D1023:G1023"/>
    <mergeCell ref="D1024:G1024"/>
    <mergeCell ref="D1025:G1025"/>
    <mergeCell ref="D1026:G1026"/>
    <mergeCell ref="D1022:G1022"/>
    <mergeCell ref="D1010:E1010"/>
    <mergeCell ref="D1013:E1013"/>
    <mergeCell ref="D1014:E1014"/>
    <mergeCell ref="D1019:G1019"/>
    <mergeCell ref="D1020:G1020"/>
    <mergeCell ref="D1021:G1021"/>
    <mergeCell ref="D1062:G1062"/>
    <mergeCell ref="D1063:G1063"/>
    <mergeCell ref="D1064:G1064"/>
    <mergeCell ref="D1065:G1065"/>
    <mergeCell ref="D1066:G1066"/>
    <mergeCell ref="D1067:G1067"/>
    <mergeCell ref="D1061:G1061"/>
    <mergeCell ref="D1058:G1058"/>
    <mergeCell ref="D1059:G1059"/>
    <mergeCell ref="D1060:G1060"/>
    <mergeCell ref="D1041:G1041"/>
    <mergeCell ref="D1035:G1035"/>
    <mergeCell ref="D1036:G1036"/>
    <mergeCell ref="D1037:G1037"/>
    <mergeCell ref="D1038:G1038"/>
    <mergeCell ref="D1039:G1039"/>
    <mergeCell ref="D1040:G1040"/>
    <mergeCell ref="D1120:G1120"/>
    <mergeCell ref="D1121:G1121"/>
    <mergeCell ref="D1123:G1123"/>
    <mergeCell ref="D1124:G1124"/>
    <mergeCell ref="D1129:G1129"/>
    <mergeCell ref="D1130:G1130"/>
    <mergeCell ref="D1119:G1119"/>
    <mergeCell ref="D1082:G1082"/>
    <mergeCell ref="D1083:G1083"/>
    <mergeCell ref="D1084:G1084"/>
    <mergeCell ref="D1075:G1075"/>
    <mergeCell ref="D1076:G1076"/>
    <mergeCell ref="D1077:G1077"/>
    <mergeCell ref="D1078:G1078"/>
    <mergeCell ref="D1080:G1080"/>
    <mergeCell ref="D1081:G1081"/>
    <mergeCell ref="D1068:G1068"/>
    <mergeCell ref="D1069:G1069"/>
    <mergeCell ref="D1070:G1070"/>
    <mergeCell ref="D1071:G1071"/>
    <mergeCell ref="D1072:G1072"/>
    <mergeCell ref="D1073:G1073"/>
    <mergeCell ref="D1148:G1148"/>
    <mergeCell ref="D1149:G1149"/>
    <mergeCell ref="D1150:G1150"/>
    <mergeCell ref="D1151:G1151"/>
    <mergeCell ref="D1152:G1152"/>
    <mergeCell ref="D1153:G1153"/>
    <mergeCell ref="D1142:G1142"/>
    <mergeCell ref="D1143:G1143"/>
    <mergeCell ref="D1144:G1144"/>
    <mergeCell ref="D1145:G1145"/>
    <mergeCell ref="D1146:G1146"/>
    <mergeCell ref="D1147:G1147"/>
    <mergeCell ref="D1141:G1141"/>
    <mergeCell ref="D1131:G1131"/>
    <mergeCell ref="D1133:G1133"/>
    <mergeCell ref="D1139:E1139"/>
    <mergeCell ref="D1140:G1140"/>
    <mergeCell ref="D1186:G1186"/>
    <mergeCell ref="D1187:G1187"/>
    <mergeCell ref="D1188:G1188"/>
    <mergeCell ref="D1189:G1189"/>
    <mergeCell ref="D1190:G1190"/>
    <mergeCell ref="D1191:G1191"/>
    <mergeCell ref="D1183:G1183"/>
    <mergeCell ref="D1184:G1184"/>
    <mergeCell ref="D1185:G1185"/>
    <mergeCell ref="D1181:G1181"/>
    <mergeCell ref="D1182:G1182"/>
    <mergeCell ref="D1177:G1177"/>
    <mergeCell ref="D1178:G1178"/>
    <mergeCell ref="D1179:E1179"/>
    <mergeCell ref="D1180:G1180"/>
    <mergeCell ref="D1162:G1162"/>
    <mergeCell ref="D1155:G1155"/>
    <mergeCell ref="D1157:G1157"/>
    <mergeCell ref="D1158:G1158"/>
    <mergeCell ref="D1159:G1159"/>
    <mergeCell ref="D1160:G1160"/>
    <mergeCell ref="D1161:G1161"/>
    <mergeCell ref="D1242:G1242"/>
    <mergeCell ref="D1243:G1243"/>
    <mergeCell ref="D1244:G1244"/>
    <mergeCell ref="D1245:G1245"/>
    <mergeCell ref="D1246:G1246"/>
    <mergeCell ref="D1247:G1247"/>
    <mergeCell ref="D1236:G1236"/>
    <mergeCell ref="D1237:G1237"/>
    <mergeCell ref="D1238:G1238"/>
    <mergeCell ref="D1239:E1239"/>
    <mergeCell ref="D1240:G1240"/>
    <mergeCell ref="D1241:G1241"/>
    <mergeCell ref="D1200:G1200"/>
    <mergeCell ref="D1201:G1201"/>
    <mergeCell ref="D1202:G1202"/>
    <mergeCell ref="D1203:G1203"/>
    <mergeCell ref="D1192:G1192"/>
    <mergeCell ref="D1193:G1193"/>
    <mergeCell ref="D1194:G1194"/>
    <mergeCell ref="D1195:G1195"/>
    <mergeCell ref="D1198:G1198"/>
    <mergeCell ref="D1199:G1199"/>
    <mergeCell ref="D1259:G1259"/>
    <mergeCell ref="D1260:G1260"/>
    <mergeCell ref="D1261:G1261"/>
    <mergeCell ref="D1262:G1262"/>
    <mergeCell ref="D1263:G1263"/>
    <mergeCell ref="D1266:G1266"/>
    <mergeCell ref="D1253:G1253"/>
    <mergeCell ref="D1254:G1254"/>
    <mergeCell ref="D1255:G1255"/>
    <mergeCell ref="D1256:G1256"/>
    <mergeCell ref="D1257:G1257"/>
    <mergeCell ref="D1258:G1258"/>
    <mergeCell ref="D1252:G1252"/>
    <mergeCell ref="D1248:G1248"/>
    <mergeCell ref="D1249:G1249"/>
    <mergeCell ref="D1250:G1250"/>
    <mergeCell ref="D1251:G1251"/>
    <mergeCell ref="D1290:G1290"/>
    <mergeCell ref="D1291:G1291"/>
    <mergeCell ref="D1292:G1292"/>
    <mergeCell ref="D1293:G1293"/>
    <mergeCell ref="D1294:G1294"/>
    <mergeCell ref="D1295:G1295"/>
    <mergeCell ref="D1285:G1285"/>
    <mergeCell ref="D1286:G1286"/>
    <mergeCell ref="D1287:G1287"/>
    <mergeCell ref="D1288:G1288"/>
    <mergeCell ref="D1289:G1289"/>
    <mergeCell ref="D1284:G1284"/>
    <mergeCell ref="D1267:G1267"/>
    <mergeCell ref="D1268:G1268"/>
    <mergeCell ref="D1269:G1269"/>
    <mergeCell ref="D1270:G1270"/>
    <mergeCell ref="D1271:G1271"/>
    <mergeCell ref="D1332:G1332"/>
    <mergeCell ref="D1333:G1333"/>
    <mergeCell ref="D1334:G1334"/>
    <mergeCell ref="D1335:G1335"/>
    <mergeCell ref="D1336:G1336"/>
    <mergeCell ref="D1337:G1337"/>
    <mergeCell ref="D1329:G1329"/>
    <mergeCell ref="D1330:G1330"/>
    <mergeCell ref="D1331:G1331"/>
    <mergeCell ref="D1326:G1326"/>
    <mergeCell ref="D1327:G1327"/>
    <mergeCell ref="D1304:G1304"/>
    <mergeCell ref="D1305:G1305"/>
    <mergeCell ref="D1296:G1296"/>
    <mergeCell ref="D1297:G1297"/>
    <mergeCell ref="D1300:G1300"/>
    <mergeCell ref="D1301:G1301"/>
    <mergeCell ref="D1302:G1302"/>
    <mergeCell ref="D1303:G1303"/>
    <mergeCell ref="D1366:G1366"/>
    <mergeCell ref="D1367:G1367"/>
    <mergeCell ref="A1374:L1374"/>
    <mergeCell ref="A1375:L1375"/>
    <mergeCell ref="A1377:G1377"/>
    <mergeCell ref="D1362:G1362"/>
    <mergeCell ref="D1363:G1363"/>
    <mergeCell ref="D1365:G1365"/>
    <mergeCell ref="D1346:G1346"/>
    <mergeCell ref="D1347:G1347"/>
    <mergeCell ref="D1348:G1348"/>
    <mergeCell ref="D1338:G1338"/>
    <mergeCell ref="D1339:G1339"/>
    <mergeCell ref="D1340:G1340"/>
    <mergeCell ref="D1343:G1343"/>
    <mergeCell ref="D1344:G1344"/>
    <mergeCell ref="D1345:G1345"/>
    <mergeCell ref="D1413:E1413"/>
    <mergeCell ref="A1420:L1420"/>
    <mergeCell ref="A1421:L1421"/>
    <mergeCell ref="A1423:G1423"/>
    <mergeCell ref="D1425:G1425"/>
    <mergeCell ref="A1428:E1429"/>
    <mergeCell ref="D1393:E1393"/>
    <mergeCell ref="D1404:E1404"/>
    <mergeCell ref="D1405:E1405"/>
    <mergeCell ref="D1408:E1408"/>
    <mergeCell ref="D1410:E1410"/>
    <mergeCell ref="D1411:E1411"/>
    <mergeCell ref="D1382:E1382"/>
    <mergeCell ref="D1384:E1384"/>
    <mergeCell ref="D1387:E1387"/>
    <mergeCell ref="D1389:E1389"/>
    <mergeCell ref="D1390:E1390"/>
    <mergeCell ref="D1392:E1392"/>
    <mergeCell ref="A1484:G1484"/>
    <mergeCell ref="A1485:G1485"/>
    <mergeCell ref="D1487:G1487"/>
    <mergeCell ref="D1488:G1488"/>
    <mergeCell ref="D1490:G1490"/>
    <mergeCell ref="D1491:G1491"/>
    <mergeCell ref="D1459:E1459"/>
    <mergeCell ref="D1462:E1462"/>
    <mergeCell ref="D1464:E1464"/>
    <mergeCell ref="D1468:E1468"/>
    <mergeCell ref="A1481:L1481"/>
    <mergeCell ref="A1482:L1482"/>
    <mergeCell ref="D1432:E1432"/>
    <mergeCell ref="D1443:G1443"/>
    <mergeCell ref="D1448:G1448"/>
    <mergeCell ref="D1451:G1451"/>
    <mergeCell ref="D1457:E1457"/>
    <mergeCell ref="D1458:E1458"/>
    <mergeCell ref="D1505:E1505"/>
    <mergeCell ref="D1506:E1506"/>
    <mergeCell ref="D1507:E1507"/>
    <mergeCell ref="D1508:E1508"/>
    <mergeCell ref="D1509:E1509"/>
    <mergeCell ref="D1510:E1510"/>
    <mergeCell ref="D1499:E1499"/>
    <mergeCell ref="D1500:E1500"/>
    <mergeCell ref="D1501:E1501"/>
    <mergeCell ref="D1502:E1502"/>
    <mergeCell ref="D1503:E1503"/>
    <mergeCell ref="D1504:E1504"/>
    <mergeCell ref="D1493:E1493"/>
    <mergeCell ref="D1494:E1494"/>
    <mergeCell ref="D1495:E1495"/>
    <mergeCell ref="D1496:E1496"/>
    <mergeCell ref="D1497:E1497"/>
    <mergeCell ref="D1498:E1498"/>
    <mergeCell ref="D1527:G1527"/>
    <mergeCell ref="A1535:L1535"/>
    <mergeCell ref="A1536:L1536"/>
    <mergeCell ref="A1538:G1538"/>
    <mergeCell ref="D1539:G1539"/>
    <mergeCell ref="D1540:E1540"/>
    <mergeCell ref="D1517:G1517"/>
    <mergeCell ref="D1518:E1518"/>
    <mergeCell ref="D1519:G1519"/>
    <mergeCell ref="D1523:G1523"/>
    <mergeCell ref="D1525:G1525"/>
    <mergeCell ref="D1526:G1526"/>
    <mergeCell ref="D1511:E1511"/>
    <mergeCell ref="D1512:E1512"/>
    <mergeCell ref="D1513:E1513"/>
    <mergeCell ref="D1514:E1514"/>
    <mergeCell ref="D1515:E1515"/>
    <mergeCell ref="D1516:G1516"/>
    <mergeCell ref="D1558:E1558"/>
    <mergeCell ref="D1559:E1559"/>
    <mergeCell ref="D1560:E1560"/>
    <mergeCell ref="D1561:E1561"/>
    <mergeCell ref="D1562:E1562"/>
    <mergeCell ref="D1563:G1563"/>
    <mergeCell ref="D1547:E1547"/>
    <mergeCell ref="D1549:E1549"/>
    <mergeCell ref="D1550:E1550"/>
    <mergeCell ref="D1553:E1553"/>
    <mergeCell ref="D1556:E1556"/>
    <mergeCell ref="D1557:E1557"/>
    <mergeCell ref="D1541:E1541"/>
    <mergeCell ref="D1542:E1542"/>
    <mergeCell ref="D1543:E1543"/>
    <mergeCell ref="D1544:E1544"/>
    <mergeCell ref="D1545:E1545"/>
    <mergeCell ref="D1546:E1546"/>
    <mergeCell ref="D1589:G1589"/>
    <mergeCell ref="D1590:G1590"/>
    <mergeCell ref="D1591:E1591"/>
    <mergeCell ref="D1592:G1592"/>
    <mergeCell ref="D1593:G1593"/>
    <mergeCell ref="D1594:E1594"/>
    <mergeCell ref="D1571:G1571"/>
    <mergeCell ref="D1572:G1572"/>
    <mergeCell ref="D1573:G1573"/>
    <mergeCell ref="A1585:L1585"/>
    <mergeCell ref="A1586:L1586"/>
    <mergeCell ref="A1588:G1588"/>
    <mergeCell ref="D1564:G1564"/>
    <mergeCell ref="D1566:G1566"/>
    <mergeCell ref="D1567:E1567"/>
    <mergeCell ref="D1568:E1568"/>
    <mergeCell ref="D1569:E1569"/>
    <mergeCell ref="D1570:E1570"/>
    <mergeCell ref="D1607:G1607"/>
    <mergeCell ref="D1608:G1608"/>
    <mergeCell ref="D1611:E1611"/>
    <mergeCell ref="D1613:G1613"/>
    <mergeCell ref="D1619:E1619"/>
    <mergeCell ref="D1620:E1620"/>
    <mergeCell ref="D1601:E1601"/>
    <mergeCell ref="D1602:E1602"/>
    <mergeCell ref="D1603:E1603"/>
    <mergeCell ref="D1604:E1604"/>
    <mergeCell ref="D1605:G1605"/>
    <mergeCell ref="D1606:G1606"/>
    <mergeCell ref="D1595:E1595"/>
    <mergeCell ref="D1596:E1596"/>
    <mergeCell ref="D1597:E1597"/>
    <mergeCell ref="D1598:E1598"/>
    <mergeCell ref="D1599:E1599"/>
    <mergeCell ref="D1600:E1600"/>
    <mergeCell ref="D1656:G1656"/>
    <mergeCell ref="A1698:L1698"/>
    <mergeCell ref="A1699:L1699"/>
    <mergeCell ref="A1701:G1701"/>
    <mergeCell ref="A1702:G1702"/>
    <mergeCell ref="D1703:G1703"/>
    <mergeCell ref="A1640:L1640"/>
    <mergeCell ref="A1642:G1642"/>
    <mergeCell ref="D1645:G1645"/>
    <mergeCell ref="D1646:G1646"/>
    <mergeCell ref="D1647:E1647"/>
    <mergeCell ref="D1652:G1652"/>
    <mergeCell ref="D1622:G1622"/>
    <mergeCell ref="D1629:E1629"/>
    <mergeCell ref="D1630:E1630"/>
    <mergeCell ref="D1631:F1631"/>
    <mergeCell ref="D1634:G1634"/>
    <mergeCell ref="A1639:L1639"/>
    <mergeCell ref="D1749:G1749"/>
    <mergeCell ref="D1752:G1752"/>
    <mergeCell ref="D1753:G1753"/>
    <mergeCell ref="A1766:L1766"/>
    <mergeCell ref="A1767:L1767"/>
    <mergeCell ref="A1769:G1769"/>
    <mergeCell ref="D1737:F1737"/>
    <mergeCell ref="D1741:G1741"/>
    <mergeCell ref="D1742:G1742"/>
    <mergeCell ref="D1744:G1744"/>
    <mergeCell ref="D1746:E1746"/>
    <mergeCell ref="D1747:G1747"/>
    <mergeCell ref="D1704:F1704"/>
    <mergeCell ref="D1705:F1705"/>
    <mergeCell ref="D1718:H1718"/>
    <mergeCell ref="D1724:F1724"/>
    <mergeCell ref="D1725:F1725"/>
    <mergeCell ref="D1726:F1726"/>
    <mergeCell ref="D1838:G1838"/>
    <mergeCell ref="D1848:E1848"/>
    <mergeCell ref="D1853:G1853"/>
    <mergeCell ref="D1854:G1854"/>
    <mergeCell ref="D1869:G1869"/>
    <mergeCell ref="D1870:G1870"/>
    <mergeCell ref="D1824:F1824"/>
    <mergeCell ref="D1825:F1825"/>
    <mergeCell ref="A1833:L1833"/>
    <mergeCell ref="A1834:L1834"/>
    <mergeCell ref="A1836:G1836"/>
    <mergeCell ref="D1837:G1837"/>
    <mergeCell ref="D1770:F1770"/>
    <mergeCell ref="D1773:E1773"/>
    <mergeCell ref="D1781:G1781"/>
    <mergeCell ref="D1782:G1782"/>
    <mergeCell ref="D1801:G1801"/>
    <mergeCell ref="D1802:G1802"/>
    <mergeCell ref="D1925:G1925"/>
    <mergeCell ref="D1930:G1930"/>
    <mergeCell ref="D1931:E1931"/>
    <mergeCell ref="D1932:E1932"/>
    <mergeCell ref="D1939:E1939"/>
    <mergeCell ref="D1945:G1945"/>
    <mergeCell ref="D1904:G1904"/>
    <mergeCell ref="D1907:G1907"/>
    <mergeCell ref="D1910:G1910"/>
    <mergeCell ref="D1911:G1911"/>
    <mergeCell ref="D1917:E1917"/>
    <mergeCell ref="D1924:F1924"/>
    <mergeCell ref="D1876:G1876"/>
    <mergeCell ref="D1877:G1877"/>
    <mergeCell ref="D1889:G1889"/>
    <mergeCell ref="A1900:L1900"/>
    <mergeCell ref="A1901:L1901"/>
    <mergeCell ref="A1903:G1903"/>
    <mergeCell ref="D2061:G2061"/>
    <mergeCell ref="D2071:F2071"/>
    <mergeCell ref="D2072:F2072"/>
    <mergeCell ref="D2073:F2073"/>
    <mergeCell ref="D2075:E2075"/>
    <mergeCell ref="D2076:E2076"/>
    <mergeCell ref="D2009:E2009"/>
    <mergeCell ref="D2010:E2010"/>
    <mergeCell ref="A2027:L2027"/>
    <mergeCell ref="A2028:L2028"/>
    <mergeCell ref="A2030:G2030"/>
    <mergeCell ref="D2032:G2032"/>
    <mergeCell ref="D1946:G1946"/>
    <mergeCell ref="A1963:L1963"/>
    <mergeCell ref="A1964:L1964"/>
    <mergeCell ref="A1966:G1966"/>
    <mergeCell ref="D1967:G1967"/>
    <mergeCell ref="D1974:G1974"/>
    <mergeCell ref="D2133:E2133"/>
    <mergeCell ref="A2140:L2140"/>
    <mergeCell ref="A2141:L2141"/>
    <mergeCell ref="A2143:G2143"/>
    <mergeCell ref="D2145:E2145"/>
    <mergeCell ref="D2146:E2146"/>
    <mergeCell ref="D2119:G2119"/>
    <mergeCell ref="D2120:G2120"/>
    <mergeCell ref="D2123:G2123"/>
    <mergeCell ref="D2130:E2130"/>
    <mergeCell ref="D2131:E2131"/>
    <mergeCell ref="D2132:E2132"/>
    <mergeCell ref="D2077:E2077"/>
    <mergeCell ref="D2078:E2078"/>
    <mergeCell ref="A2083:L2083"/>
    <mergeCell ref="A2084:L2084"/>
    <mergeCell ref="A2086:G2086"/>
    <mergeCell ref="D2109:E2109"/>
    <mergeCell ref="A2198:L2198"/>
    <mergeCell ref="A2200:G2200"/>
    <mergeCell ref="D2202:G2202"/>
    <mergeCell ref="D2207:E2207"/>
    <mergeCell ref="D2208:E2208"/>
    <mergeCell ref="D2212:G2212"/>
    <mergeCell ref="D2177:G2177"/>
    <mergeCell ref="D2178:E2178"/>
    <mergeCell ref="D2185:G2185"/>
    <mergeCell ref="D2186:F2186"/>
    <mergeCell ref="D2187:E2187"/>
    <mergeCell ref="A2197:L2197"/>
    <mergeCell ref="D2148:E2148"/>
    <mergeCell ref="D2149:E2149"/>
    <mergeCell ref="D2167:E2167"/>
    <mergeCell ref="D2169:F2169"/>
    <mergeCell ref="D2170:E2170"/>
    <mergeCell ref="D2171:G2171"/>
    <mergeCell ref="D2272:E2272"/>
    <mergeCell ref="D2288:E2288"/>
    <mergeCell ref="D2294:E2294"/>
    <mergeCell ref="D2295:G2295"/>
    <mergeCell ref="D2310:E2310"/>
    <mergeCell ref="D2312:G2312"/>
    <mergeCell ref="D2231:E2231"/>
    <mergeCell ref="D2249:E2249"/>
    <mergeCell ref="D2250:E2250"/>
    <mergeCell ref="A2264:L2264"/>
    <mergeCell ref="A2265:L2265"/>
    <mergeCell ref="A2267:G2267"/>
    <mergeCell ref="D2213:G2213"/>
    <mergeCell ref="D2215:E2215"/>
    <mergeCell ref="D2221:E2221"/>
    <mergeCell ref="D2225:E2225"/>
    <mergeCell ref="D2228:E2228"/>
    <mergeCell ref="D2230:E2230"/>
    <mergeCell ref="D2356:E2356"/>
    <mergeCell ref="D2357:E2357"/>
    <mergeCell ref="D2359:E2359"/>
    <mergeCell ref="D2367:E2367"/>
    <mergeCell ref="D2368:E2368"/>
    <mergeCell ref="A2383:L2383"/>
    <mergeCell ref="D2340:E2340"/>
    <mergeCell ref="D2342:E2342"/>
    <mergeCell ref="D2343:E2343"/>
    <mergeCell ref="D2353:E2353"/>
    <mergeCell ref="D2354:F2354"/>
    <mergeCell ref="D2355:E2355"/>
    <mergeCell ref="D2319:E2319"/>
    <mergeCell ref="A2326:L2326"/>
    <mergeCell ref="A2327:L2327"/>
    <mergeCell ref="A2329:G2329"/>
    <mergeCell ref="D2336:E2336"/>
    <mergeCell ref="D2338:E2338"/>
    <mergeCell ref="D2505:G2505"/>
    <mergeCell ref="A2445:L2445"/>
    <mergeCell ref="A2447:G2447"/>
    <mergeCell ref="D2449:E2449"/>
    <mergeCell ref="D2450:E2450"/>
    <mergeCell ref="D2454:G2454"/>
    <mergeCell ref="D2456:G2456"/>
    <mergeCell ref="D2429:E2429"/>
    <mergeCell ref="D2434:E2434"/>
    <mergeCell ref="D2435:E2435"/>
    <mergeCell ref="D2437:E2437"/>
    <mergeCell ref="D2439:E2439"/>
    <mergeCell ref="A2444:L2444"/>
    <mergeCell ref="A2384:L2384"/>
    <mergeCell ref="A2386:G2386"/>
    <mergeCell ref="D2389:E2389"/>
    <mergeCell ref="D2391:E2391"/>
    <mergeCell ref="D2396:E2396"/>
    <mergeCell ref="D2423:E2423"/>
    <mergeCell ref="D2550:E2550"/>
    <mergeCell ref="D2551:E2551"/>
    <mergeCell ref="D2540:E2540"/>
    <mergeCell ref="D2544:E2544"/>
    <mergeCell ref="D2548:E2548"/>
    <mergeCell ref="D2522:G2522"/>
    <mergeCell ref="D2523:G2523"/>
    <mergeCell ref="D2513:G2513"/>
    <mergeCell ref="D2514:G2514"/>
    <mergeCell ref="D2516:G2516"/>
    <mergeCell ref="D2519:G2519"/>
    <mergeCell ref="D2520:G2520"/>
    <mergeCell ref="D2521:G2521"/>
    <mergeCell ref="D2506:G2506"/>
    <mergeCell ref="D2508:G2508"/>
    <mergeCell ref="D2509:G2509"/>
    <mergeCell ref="D2510:G2510"/>
    <mergeCell ref="D2511:G2511"/>
    <mergeCell ref="D2512:G2512"/>
    <mergeCell ref="D2567:E2567"/>
    <mergeCell ref="D2569:F2569"/>
    <mergeCell ref="D2570:G2570"/>
    <mergeCell ref="D2571:G2571"/>
    <mergeCell ref="D2572:G2572"/>
    <mergeCell ref="D2573:G2573"/>
    <mergeCell ref="D2559:G2559"/>
    <mergeCell ref="D2560:G2560"/>
    <mergeCell ref="D2561:G2561"/>
    <mergeCell ref="D2562:G2562"/>
    <mergeCell ref="D2563:G2563"/>
    <mergeCell ref="D2566:F2566"/>
    <mergeCell ref="D2554:G2554"/>
    <mergeCell ref="D2555:G2555"/>
    <mergeCell ref="D2556:E2556"/>
    <mergeCell ref="D2557:G2557"/>
    <mergeCell ref="D2558:G2558"/>
    <mergeCell ref="D2613:G2613"/>
    <mergeCell ref="D2614:G2614"/>
    <mergeCell ref="D2604:G2604"/>
    <mergeCell ref="D2605:G2605"/>
    <mergeCell ref="D2607:G2607"/>
    <mergeCell ref="D2610:G2610"/>
    <mergeCell ref="D2611:G2611"/>
    <mergeCell ref="D2612:G2612"/>
    <mergeCell ref="D2598:G2598"/>
    <mergeCell ref="D2599:G2599"/>
    <mergeCell ref="D2600:G2600"/>
    <mergeCell ref="D2601:G2601"/>
    <mergeCell ref="D2602:G2602"/>
    <mergeCell ref="D2603:G2603"/>
    <mergeCell ref="D2597:G2597"/>
    <mergeCell ref="D2574:G2574"/>
    <mergeCell ref="D2575:G2575"/>
  </mergeCells>
  <pageMargins left="0.43307086614173229" right="0.15748031496062992" top="0.70866141732283472" bottom="1.5748031496062993" header="0.31496062992125984" footer="0.31496062992125984"/>
  <pageSetup paperSize="5" scale="70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04"/>
  <sheetViews>
    <sheetView view="pageBreakPreview" topLeftCell="A1016" zoomScale="120" zoomScaleNormal="100" zoomScaleSheetLayoutView="120" workbookViewId="0">
      <selection activeCell="D874" sqref="D874"/>
    </sheetView>
  </sheetViews>
  <sheetFormatPr defaultRowHeight="15.75" x14ac:dyDescent="0.25"/>
  <cols>
    <col min="1" max="1" width="6.140625" style="8" customWidth="1"/>
    <col min="2" max="2" width="8.7109375" style="8" customWidth="1"/>
    <col min="3" max="3" width="7.85546875" style="8" customWidth="1"/>
    <col min="4" max="4" width="18.7109375" style="9" customWidth="1"/>
    <col min="5" max="5" width="45.5703125" style="8" customWidth="1"/>
    <col min="6" max="6" width="16" style="8" customWidth="1"/>
    <col min="7" max="7" width="16.7109375" style="4" customWidth="1"/>
    <col min="8" max="8" width="17.140625" style="5" customWidth="1"/>
    <col min="9" max="9" width="16.85546875" style="4" customWidth="1"/>
    <col min="10" max="10" width="18.28515625" style="4" customWidth="1"/>
    <col min="11" max="11" width="16.5703125" style="10" customWidth="1"/>
    <col min="12" max="12" width="19.85546875" style="10" customWidth="1"/>
  </cols>
  <sheetData>
    <row r="1" spans="1:14" ht="18" x14ac:dyDescent="0.25">
      <c r="A1" s="268" t="s">
        <v>575</v>
      </c>
      <c r="B1" s="606"/>
      <c r="C1" s="606"/>
      <c r="D1" s="36" t="s">
        <v>576</v>
      </c>
      <c r="E1" s="75"/>
      <c r="F1" s="253"/>
      <c r="G1" s="101"/>
      <c r="H1" s="102"/>
      <c r="I1" s="250"/>
      <c r="J1" s="250"/>
    </row>
    <row r="2" spans="1:14" ht="18" x14ac:dyDescent="0.25">
      <c r="A2" s="251"/>
      <c r="B2" s="75"/>
      <c r="C2" s="75"/>
      <c r="D2" s="36" t="s">
        <v>577</v>
      </c>
      <c r="E2" s="75"/>
      <c r="F2" s="253"/>
      <c r="G2" s="101"/>
      <c r="H2" s="102"/>
      <c r="I2" s="250"/>
      <c r="J2" s="101"/>
    </row>
    <row r="3" spans="1:14" s="146" customFormat="1" ht="18" x14ac:dyDescent="0.25">
      <c r="A3" s="270"/>
      <c r="B3" s="557"/>
      <c r="C3" s="557"/>
      <c r="D3" s="38" t="s">
        <v>578</v>
      </c>
      <c r="E3" s="271"/>
      <c r="F3" s="273"/>
      <c r="G3" s="101">
        <v>13415388.58</v>
      </c>
      <c r="H3" s="233">
        <v>32978691.050000001</v>
      </c>
      <c r="I3" s="250">
        <v>594614.53</v>
      </c>
      <c r="J3" s="101"/>
      <c r="K3" s="10"/>
      <c r="L3" s="10"/>
      <c r="M3"/>
      <c r="N3"/>
    </row>
    <row r="4" spans="1:14" s="146" customFormat="1" ht="18" x14ac:dyDescent="0.25">
      <c r="A4" s="270"/>
      <c r="B4" s="557"/>
      <c r="C4" s="557"/>
      <c r="D4" s="36" t="s">
        <v>579</v>
      </c>
      <c r="E4" s="271"/>
      <c r="F4" s="273"/>
      <c r="G4" s="101"/>
      <c r="H4" s="233"/>
      <c r="I4" s="250"/>
      <c r="J4" s="101"/>
      <c r="K4" s="10"/>
      <c r="L4" s="10"/>
      <c r="M4"/>
      <c r="N4"/>
    </row>
    <row r="5" spans="1:14" s="146" customFormat="1" ht="36.75" customHeight="1" x14ac:dyDescent="0.25">
      <c r="A5" s="270"/>
      <c r="B5" s="557"/>
      <c r="C5" s="557"/>
      <c r="D5" s="1617" t="s">
        <v>580</v>
      </c>
      <c r="E5" s="1617"/>
      <c r="F5" s="273"/>
      <c r="G5" s="101"/>
      <c r="H5" s="233"/>
      <c r="I5" s="250"/>
      <c r="J5" s="101">
        <v>500000</v>
      </c>
      <c r="K5" s="10"/>
      <c r="L5" s="10"/>
      <c r="M5"/>
      <c r="N5"/>
    </row>
    <row r="6" spans="1:14" s="146" customFormat="1" ht="18" x14ac:dyDescent="0.25">
      <c r="A6" s="270"/>
      <c r="B6" s="557"/>
      <c r="C6" s="557"/>
      <c r="D6" s="38" t="s">
        <v>581</v>
      </c>
      <c r="E6" s="271"/>
      <c r="F6" s="273"/>
      <c r="G6" s="101"/>
      <c r="H6" s="233"/>
      <c r="I6" s="250"/>
      <c r="J6" s="101">
        <v>1000000</v>
      </c>
      <c r="K6" s="10"/>
      <c r="L6" s="10"/>
      <c r="M6"/>
      <c r="N6"/>
    </row>
    <row r="7" spans="1:14" s="146" customFormat="1" ht="35.25" customHeight="1" x14ac:dyDescent="0.25">
      <c r="A7" s="270"/>
      <c r="B7" s="557"/>
      <c r="C7" s="557"/>
      <c r="D7" s="1617" t="s">
        <v>582</v>
      </c>
      <c r="E7" s="1617"/>
      <c r="F7" s="273"/>
      <c r="G7" s="101"/>
      <c r="H7" s="233"/>
      <c r="I7" s="250"/>
      <c r="J7" s="101">
        <v>2000000</v>
      </c>
      <c r="K7" s="10"/>
      <c r="L7" s="10"/>
      <c r="M7"/>
      <c r="N7"/>
    </row>
    <row r="8" spans="1:14" s="282" customFormat="1" ht="16.5" customHeight="1" x14ac:dyDescent="0.25">
      <c r="A8" s="274"/>
      <c r="B8" s="607"/>
      <c r="C8" s="607"/>
      <c r="D8" s="275" t="s">
        <v>583</v>
      </c>
      <c r="F8" s="277"/>
      <c r="G8" s="119"/>
      <c r="H8" s="278"/>
      <c r="I8" s="279"/>
      <c r="J8" s="119">
        <f>SUM(J5:J7)</f>
        <v>3500000</v>
      </c>
      <c r="K8" s="280"/>
      <c r="L8" s="280"/>
      <c r="M8" s="281"/>
      <c r="N8" s="281"/>
    </row>
    <row r="9" spans="1:14" s="146" customFormat="1" ht="18" x14ac:dyDescent="0.25">
      <c r="A9" s="270"/>
      <c r="B9" s="557"/>
      <c r="C9" s="557"/>
      <c r="D9" s="36" t="s">
        <v>584</v>
      </c>
      <c r="E9" s="271"/>
      <c r="F9" s="273"/>
      <c r="G9" s="101"/>
      <c r="H9" s="233"/>
      <c r="I9" s="250"/>
      <c r="J9" s="101"/>
      <c r="K9" s="10"/>
      <c r="L9" s="10"/>
      <c r="M9"/>
      <c r="N9"/>
    </row>
    <row r="10" spans="1:14" s="146" customFormat="1" ht="57" customHeight="1" x14ac:dyDescent="0.25">
      <c r="A10" s="270"/>
      <c r="B10" s="557"/>
      <c r="C10" s="557"/>
      <c r="D10" s="1628" t="s">
        <v>585</v>
      </c>
      <c r="E10" s="1628"/>
      <c r="F10" s="273"/>
      <c r="G10" s="101"/>
      <c r="H10" s="233"/>
      <c r="I10" s="250"/>
      <c r="J10" s="101">
        <v>1300000</v>
      </c>
      <c r="K10" s="10"/>
      <c r="L10" s="10"/>
      <c r="M10"/>
      <c r="N10"/>
    </row>
    <row r="11" spans="1:14" s="146" customFormat="1" ht="15.75" customHeight="1" x14ac:dyDescent="0.25">
      <c r="A11" s="270"/>
      <c r="B11" s="557"/>
      <c r="C11" s="557"/>
      <c r="D11" s="516" t="s">
        <v>586</v>
      </c>
      <c r="E11" s="534"/>
      <c r="F11" s="273"/>
      <c r="G11" s="101"/>
      <c r="H11" s="233"/>
      <c r="I11" s="250"/>
      <c r="J11" s="101">
        <v>50000</v>
      </c>
      <c r="K11" s="10"/>
      <c r="L11" s="10"/>
      <c r="M11"/>
      <c r="N11"/>
    </row>
    <row r="12" spans="1:14" s="146" customFormat="1" ht="35.25" customHeight="1" x14ac:dyDescent="0.25">
      <c r="A12" s="270"/>
      <c r="B12" s="557"/>
      <c r="C12" s="557"/>
      <c r="D12" s="1617" t="s">
        <v>587</v>
      </c>
      <c r="E12" s="1617"/>
      <c r="F12" s="273"/>
      <c r="G12" s="101"/>
      <c r="H12" s="233"/>
      <c r="I12" s="250"/>
      <c r="J12" s="101">
        <v>100000</v>
      </c>
      <c r="K12" s="10"/>
      <c r="L12" s="10"/>
      <c r="M12"/>
      <c r="N12"/>
    </row>
    <row r="13" spans="1:14" s="146" customFormat="1" ht="108.75" customHeight="1" x14ac:dyDescent="0.25">
      <c r="A13" s="270"/>
      <c r="B13" s="557"/>
      <c r="C13" s="557"/>
      <c r="D13" s="1628" t="s">
        <v>588</v>
      </c>
      <c r="E13" s="1628"/>
      <c r="F13" s="273"/>
      <c r="G13" s="101"/>
      <c r="H13" s="233"/>
      <c r="I13" s="250"/>
      <c r="J13" s="101">
        <v>100000</v>
      </c>
      <c r="K13" s="10"/>
      <c r="L13" s="10"/>
      <c r="M13"/>
      <c r="N13"/>
    </row>
    <row r="14" spans="1:14" s="146" customFormat="1" ht="18" x14ac:dyDescent="0.25">
      <c r="A14" s="270"/>
      <c r="B14" s="557"/>
      <c r="C14" s="557"/>
      <c r="D14" s="38" t="s">
        <v>589</v>
      </c>
      <c r="E14" s="271"/>
      <c r="F14" s="273"/>
      <c r="G14" s="101"/>
      <c r="H14" s="233"/>
      <c r="I14" s="250"/>
      <c r="J14" s="101">
        <v>450000</v>
      </c>
      <c r="K14" s="10"/>
      <c r="L14" s="10"/>
      <c r="M14"/>
      <c r="N14"/>
    </row>
    <row r="15" spans="1:14" s="146" customFormat="1" ht="37.5" customHeight="1" x14ac:dyDescent="0.25">
      <c r="A15" s="270"/>
      <c r="B15" s="557"/>
      <c r="C15" s="557"/>
      <c r="D15" s="1628" t="s">
        <v>590</v>
      </c>
      <c r="E15" s="1628"/>
      <c r="F15" s="273"/>
      <c r="G15" s="101"/>
      <c r="H15" s="233"/>
      <c r="I15" s="250"/>
      <c r="J15" s="101">
        <v>2000000</v>
      </c>
      <c r="K15" s="10"/>
      <c r="L15" s="10"/>
      <c r="M15"/>
      <c r="N15"/>
    </row>
    <row r="16" spans="1:14" s="146" customFormat="1" ht="74.25" customHeight="1" x14ac:dyDescent="0.25">
      <c r="A16" s="270"/>
      <c r="B16" s="557"/>
      <c r="C16" s="557"/>
      <c r="D16" s="1628" t="s">
        <v>591</v>
      </c>
      <c r="E16" s="1628"/>
      <c r="F16" s="273"/>
      <c r="G16" s="101"/>
      <c r="H16" s="233"/>
      <c r="I16" s="250"/>
      <c r="J16" s="101">
        <v>600000</v>
      </c>
      <c r="K16" s="10"/>
      <c r="L16" s="10"/>
      <c r="M16"/>
      <c r="N16"/>
    </row>
    <row r="17" spans="1:14" s="146" customFormat="1" ht="17.45" customHeight="1" x14ac:dyDescent="0.25">
      <c r="A17" s="270"/>
      <c r="B17" s="557"/>
      <c r="C17" s="557"/>
      <c r="D17" s="38" t="s">
        <v>592</v>
      </c>
      <c r="E17" s="271"/>
      <c r="F17" s="273"/>
      <c r="G17" s="101"/>
      <c r="H17" s="233"/>
      <c r="I17" s="250"/>
      <c r="J17" s="101">
        <v>155000</v>
      </c>
      <c r="K17" s="10"/>
      <c r="L17" s="10"/>
      <c r="M17"/>
      <c r="N17"/>
    </row>
    <row r="18" spans="1:14" s="146" customFormat="1" ht="17.45" customHeight="1" x14ac:dyDescent="0.25">
      <c r="A18" s="270"/>
      <c r="B18" s="557"/>
      <c r="C18" s="557"/>
      <c r="D18" s="38" t="s">
        <v>241</v>
      </c>
      <c r="E18" s="271"/>
      <c r="F18" s="273"/>
      <c r="G18" s="101"/>
      <c r="H18" s="233"/>
      <c r="I18" s="250"/>
      <c r="J18" s="101">
        <v>45000</v>
      </c>
      <c r="K18" s="10"/>
      <c r="L18" s="10"/>
      <c r="M18"/>
      <c r="N18"/>
    </row>
    <row r="19" spans="1:14" s="146" customFormat="1" ht="17.45" customHeight="1" x14ac:dyDescent="0.25">
      <c r="A19" s="270"/>
      <c r="B19" s="557"/>
      <c r="C19" s="557"/>
      <c r="D19" s="38" t="s">
        <v>593</v>
      </c>
      <c r="E19" s="271"/>
      <c r="F19" s="273"/>
      <c r="G19" s="101"/>
      <c r="H19" s="233"/>
      <c r="I19" s="250"/>
      <c r="J19" s="101">
        <v>100000</v>
      </c>
      <c r="K19" s="10"/>
      <c r="L19" s="10"/>
      <c r="M19"/>
      <c r="N19"/>
    </row>
    <row r="20" spans="1:14" s="146" customFormat="1" ht="17.45" customHeight="1" x14ac:dyDescent="0.25">
      <c r="A20" s="270"/>
      <c r="B20" s="557"/>
      <c r="C20" s="557"/>
      <c r="D20" s="38" t="s">
        <v>594</v>
      </c>
      <c r="E20" s="271"/>
      <c r="F20" s="273"/>
      <c r="G20" s="101"/>
      <c r="H20" s="233"/>
      <c r="I20" s="250"/>
      <c r="J20" s="101">
        <v>2000000</v>
      </c>
      <c r="K20" s="10"/>
      <c r="L20" s="10"/>
      <c r="M20"/>
      <c r="N20"/>
    </row>
    <row r="21" spans="1:14" s="146" customFormat="1" ht="17.45" customHeight="1" x14ac:dyDescent="0.25">
      <c r="A21" s="270"/>
      <c r="B21" s="557"/>
      <c r="C21" s="557"/>
      <c r="D21" s="38" t="s">
        <v>595</v>
      </c>
      <c r="E21" s="271"/>
      <c r="F21" s="273"/>
      <c r="G21" s="101"/>
      <c r="H21" s="233"/>
      <c r="I21" s="250"/>
      <c r="J21" s="101">
        <v>3000000</v>
      </c>
      <c r="K21" s="10"/>
      <c r="L21" s="10"/>
      <c r="M21"/>
      <c r="N21"/>
    </row>
    <row r="22" spans="1:14" s="146" customFormat="1" ht="17.45" customHeight="1" x14ac:dyDescent="0.25">
      <c r="A22" s="270"/>
      <c r="B22" s="557"/>
      <c r="C22" s="557"/>
      <c r="D22" s="38" t="s">
        <v>596</v>
      </c>
      <c r="E22" s="271"/>
      <c r="F22" s="273"/>
      <c r="G22" s="101"/>
      <c r="H22" s="233"/>
      <c r="I22" s="250"/>
      <c r="J22" s="101">
        <v>2000000</v>
      </c>
      <c r="K22" s="10"/>
      <c r="L22" s="10"/>
      <c r="M22"/>
      <c r="N22"/>
    </row>
    <row r="23" spans="1:14" s="282" customFormat="1" ht="17.45" customHeight="1" x14ac:dyDescent="0.25">
      <c r="A23" s="274"/>
      <c r="B23" s="607"/>
      <c r="C23" s="607"/>
      <c r="D23" s="275" t="s">
        <v>583</v>
      </c>
      <c r="F23" s="277"/>
      <c r="G23" s="119"/>
      <c r="H23" s="278"/>
      <c r="I23" s="279"/>
      <c r="J23" s="119">
        <f>SUM(J10:J22)</f>
        <v>11900000</v>
      </c>
      <c r="K23" s="280"/>
      <c r="L23" s="280"/>
      <c r="M23" s="281"/>
      <c r="N23" s="281"/>
    </row>
    <row r="24" spans="1:14" s="282" customFormat="1" ht="17.45" customHeight="1" x14ac:dyDescent="0.25">
      <c r="A24" s="274"/>
      <c r="B24" s="607"/>
      <c r="C24" s="607"/>
      <c r="D24" s="275"/>
      <c r="F24" s="277"/>
      <c r="G24" s="155"/>
      <c r="H24" s="247"/>
      <c r="I24" s="370"/>
      <c r="J24" s="155"/>
      <c r="K24" s="280"/>
      <c r="L24" s="280"/>
      <c r="M24" s="281"/>
      <c r="N24" s="281"/>
    </row>
    <row r="25" spans="1:14" s="146" customFormat="1" ht="18" x14ac:dyDescent="0.25">
      <c r="A25" s="270"/>
      <c r="B25" s="557"/>
      <c r="C25" s="557"/>
      <c r="D25" s="36" t="s">
        <v>597</v>
      </c>
      <c r="E25" s="271"/>
      <c r="F25" s="273"/>
      <c r="G25" s="101"/>
      <c r="H25" s="233"/>
      <c r="I25" s="250"/>
      <c r="J25" s="101"/>
      <c r="K25" s="10"/>
      <c r="L25" s="10"/>
      <c r="M25"/>
      <c r="N25"/>
    </row>
    <row r="26" spans="1:14" s="146" customFormat="1" ht="18" x14ac:dyDescent="0.25">
      <c r="A26" s="270"/>
      <c r="B26" s="557"/>
      <c r="C26" s="557"/>
      <c r="D26" s="516" t="s">
        <v>598</v>
      </c>
      <c r="E26" s="283"/>
      <c r="F26" s="273"/>
      <c r="G26" s="101"/>
      <c r="H26" s="233"/>
      <c r="I26" s="250"/>
      <c r="J26" s="101">
        <v>12815451.880000001</v>
      </c>
      <c r="K26" s="10"/>
      <c r="L26" s="10"/>
      <c r="M26"/>
      <c r="N26"/>
    </row>
    <row r="27" spans="1:14" s="146" customFormat="1" ht="54" customHeight="1" x14ac:dyDescent="0.25">
      <c r="A27" s="270"/>
      <c r="B27" s="557"/>
      <c r="C27" s="557"/>
      <c r="D27" s="1617" t="s">
        <v>599</v>
      </c>
      <c r="E27" s="1617"/>
      <c r="F27" s="273"/>
      <c r="G27" s="101"/>
      <c r="H27" s="233"/>
      <c r="I27" s="250"/>
      <c r="J27" s="101">
        <v>1000000</v>
      </c>
      <c r="K27" s="10"/>
      <c r="L27" s="10"/>
      <c r="M27"/>
      <c r="N27"/>
    </row>
    <row r="28" spans="1:14" s="146" customFormat="1" ht="54.75" customHeight="1" x14ac:dyDescent="0.25">
      <c r="A28" s="270"/>
      <c r="B28" s="557"/>
      <c r="C28" s="557"/>
      <c r="D28" s="1617" t="s">
        <v>600</v>
      </c>
      <c r="E28" s="1617"/>
      <c r="F28" s="273"/>
      <c r="G28" s="101"/>
      <c r="H28" s="233"/>
      <c r="I28" s="250"/>
      <c r="J28" s="101">
        <v>600000</v>
      </c>
      <c r="K28" s="10"/>
      <c r="L28" s="10"/>
      <c r="M28"/>
      <c r="N28"/>
    </row>
    <row r="29" spans="1:14" s="146" customFormat="1" ht="18" x14ac:dyDescent="0.25">
      <c r="A29" s="270"/>
      <c r="B29" s="557"/>
      <c r="C29" s="557"/>
      <c r="D29" s="516" t="s">
        <v>601</v>
      </c>
      <c r="E29" s="283"/>
      <c r="F29" s="273"/>
      <c r="G29" s="101"/>
      <c r="H29" s="233"/>
      <c r="I29" s="250"/>
      <c r="J29" s="101">
        <v>200000</v>
      </c>
      <c r="K29" s="10"/>
      <c r="L29" s="10"/>
      <c r="M29"/>
      <c r="N29"/>
    </row>
    <row r="30" spans="1:14" s="146" customFormat="1" ht="18" x14ac:dyDescent="0.25">
      <c r="A30" s="270"/>
      <c r="B30" s="557"/>
      <c r="C30" s="557"/>
      <c r="D30" s="516" t="s">
        <v>602</v>
      </c>
      <c r="E30" s="283"/>
      <c r="F30" s="273"/>
      <c r="G30" s="101"/>
      <c r="H30" s="233"/>
      <c r="I30" s="250"/>
      <c r="J30" s="101">
        <v>1000000</v>
      </c>
      <c r="K30" s="10"/>
      <c r="L30" s="10"/>
      <c r="M30"/>
      <c r="N30"/>
    </row>
    <row r="31" spans="1:14" s="146" customFormat="1" ht="36.75" customHeight="1" x14ac:dyDescent="0.25">
      <c r="A31" s="270"/>
      <c r="B31" s="557"/>
      <c r="C31" s="557"/>
      <c r="D31" s="1617" t="s">
        <v>603</v>
      </c>
      <c r="E31" s="1617"/>
      <c r="F31" s="273"/>
      <c r="G31" s="101"/>
      <c r="H31" s="233"/>
      <c r="I31" s="250"/>
      <c r="J31" s="101">
        <v>6000000</v>
      </c>
      <c r="K31" s="10"/>
      <c r="L31" s="10"/>
      <c r="M31"/>
      <c r="N31"/>
    </row>
    <row r="32" spans="1:14" s="146" customFormat="1" ht="18" x14ac:dyDescent="0.25">
      <c r="A32" s="270"/>
      <c r="B32" s="557"/>
      <c r="C32" s="557"/>
      <c r="D32" s="516" t="s">
        <v>604</v>
      </c>
      <c r="E32" s="283"/>
      <c r="F32" s="273"/>
      <c r="G32" s="101"/>
      <c r="H32" s="233"/>
      <c r="I32" s="250"/>
      <c r="J32" s="101">
        <v>1000000</v>
      </c>
      <c r="K32" s="10"/>
      <c r="L32" s="10"/>
      <c r="M32"/>
      <c r="N32"/>
    </row>
    <row r="33" spans="1:14" s="146" customFormat="1" ht="39" customHeight="1" x14ac:dyDescent="0.25">
      <c r="A33" s="270"/>
      <c r="B33" s="557"/>
      <c r="C33" s="557"/>
      <c r="D33" s="1628" t="s">
        <v>605</v>
      </c>
      <c r="E33" s="1628"/>
      <c r="F33" s="273"/>
      <c r="G33" s="101"/>
      <c r="H33" s="233"/>
      <c r="I33" s="250"/>
      <c r="J33" s="101">
        <v>1500000</v>
      </c>
      <c r="K33" s="10"/>
      <c r="L33" s="10"/>
      <c r="M33"/>
      <c r="N33"/>
    </row>
    <row r="34" spans="1:14" s="146" customFormat="1" ht="36.75" customHeight="1" x14ac:dyDescent="0.25">
      <c r="A34" s="270"/>
      <c r="B34" s="557"/>
      <c r="C34" s="557"/>
      <c r="D34" s="1628" t="s">
        <v>606</v>
      </c>
      <c r="E34" s="1628"/>
      <c r="F34" s="273"/>
      <c r="G34" s="101"/>
      <c r="H34" s="233"/>
      <c r="I34" s="250"/>
      <c r="J34" s="101">
        <v>1500000</v>
      </c>
      <c r="K34" s="10"/>
      <c r="L34" s="10"/>
      <c r="M34"/>
      <c r="N34"/>
    </row>
    <row r="35" spans="1:14" s="146" customFormat="1" ht="18" x14ac:dyDescent="0.25">
      <c r="A35" s="270"/>
      <c r="B35" s="557"/>
      <c r="C35" s="557"/>
      <c r="D35" s="516" t="s">
        <v>607</v>
      </c>
      <c r="E35" s="283"/>
      <c r="F35" s="273"/>
      <c r="G35" s="101"/>
      <c r="H35" s="233"/>
      <c r="I35" s="250"/>
      <c r="J35" s="101">
        <v>1000000</v>
      </c>
      <c r="K35" s="10"/>
      <c r="L35" s="10"/>
      <c r="M35"/>
      <c r="N35"/>
    </row>
    <row r="36" spans="1:14" s="146" customFormat="1" ht="37.5" customHeight="1" x14ac:dyDescent="0.25">
      <c r="A36" s="270"/>
      <c r="B36" s="557"/>
      <c r="C36" s="557"/>
      <c r="D36" s="1628" t="s">
        <v>608</v>
      </c>
      <c r="E36" s="1628"/>
      <c r="F36" s="273"/>
      <c r="G36" s="101"/>
      <c r="H36" s="233"/>
      <c r="I36" s="250"/>
      <c r="J36" s="101">
        <v>702721.05</v>
      </c>
      <c r="K36" s="10"/>
      <c r="L36" s="10"/>
      <c r="M36"/>
      <c r="N36"/>
    </row>
    <row r="37" spans="1:14" s="282" customFormat="1" ht="18" x14ac:dyDescent="0.25">
      <c r="A37" s="274"/>
      <c r="B37" s="607"/>
      <c r="C37" s="607"/>
      <c r="D37" s="275" t="s">
        <v>583</v>
      </c>
      <c r="F37" s="277"/>
      <c r="G37" s="119"/>
      <c r="H37" s="278"/>
      <c r="I37" s="279"/>
      <c r="J37" s="119">
        <f>SUM(J26:J36)</f>
        <v>27318172.930000003</v>
      </c>
      <c r="K37" s="280"/>
      <c r="L37" s="280"/>
      <c r="M37" s="281"/>
      <c r="N37" s="281"/>
    </row>
    <row r="38" spans="1:14" s="282" customFormat="1" ht="18.75" thickBot="1" x14ac:dyDescent="0.3">
      <c r="A38" s="274"/>
      <c r="B38" s="607"/>
      <c r="C38" s="607"/>
      <c r="D38" s="275" t="s">
        <v>609</v>
      </c>
      <c r="F38" s="277"/>
      <c r="G38" s="259"/>
      <c r="H38" s="284"/>
      <c r="I38" s="285"/>
      <c r="J38" s="259">
        <f>J37+J23+J8</f>
        <v>42718172.930000007</v>
      </c>
      <c r="K38" s="280"/>
      <c r="L38" s="280"/>
      <c r="M38" s="281"/>
      <c r="N38" s="281"/>
    </row>
    <row r="39" spans="1:14" s="146" customFormat="1" ht="18" x14ac:dyDescent="0.25">
      <c r="A39" s="286"/>
      <c r="B39" s="286"/>
      <c r="C39" s="286"/>
      <c r="D39" s="287"/>
      <c r="E39" s="288"/>
      <c r="F39" s="288"/>
      <c r="G39" s="289"/>
      <c r="H39" s="290"/>
      <c r="I39" s="289"/>
      <c r="J39" s="289"/>
      <c r="K39" s="10"/>
      <c r="L39" s="10"/>
      <c r="M39"/>
      <c r="N39"/>
    </row>
    <row r="40" spans="1:14" s="146" customFormat="1" ht="18" x14ac:dyDescent="0.25">
      <c r="A40" s="557"/>
      <c r="B40" s="557"/>
      <c r="C40" s="557"/>
      <c r="D40" s="38"/>
      <c r="E40" s="271"/>
      <c r="F40" s="271"/>
      <c r="G40" s="141"/>
      <c r="H40" s="122"/>
      <c r="I40" s="141"/>
      <c r="J40" s="141"/>
      <c r="K40" s="10"/>
      <c r="L40" s="10"/>
      <c r="M40"/>
      <c r="N40"/>
    </row>
    <row r="41" spans="1:14" ht="18" customHeight="1" x14ac:dyDescent="0.25">
      <c r="A41" s="8" t="s">
        <v>112</v>
      </c>
    </row>
    <row r="42" spans="1:14" ht="18" customHeight="1" x14ac:dyDescent="0.25">
      <c r="A42" s="8" t="s">
        <v>610</v>
      </c>
    </row>
    <row r="43" spans="1:14" ht="18" customHeight="1" x14ac:dyDescent="0.25">
      <c r="A43" s="1636" t="s">
        <v>113</v>
      </c>
      <c r="B43" s="1636"/>
      <c r="C43" s="1636"/>
      <c r="D43" s="1636"/>
      <c r="E43" s="1636"/>
      <c r="F43" s="1636"/>
      <c r="G43" s="1636"/>
      <c r="H43" s="1636"/>
      <c r="I43" s="1636"/>
      <c r="J43" s="1636"/>
    </row>
    <row r="44" spans="1:14" s="7" customFormat="1" ht="18" customHeight="1" x14ac:dyDescent="0.25">
      <c r="A44" s="1624" t="s">
        <v>114</v>
      </c>
      <c r="B44" s="1624"/>
      <c r="C44" s="1624"/>
      <c r="D44" s="1624"/>
      <c r="E44" s="1624"/>
      <c r="F44" s="1624"/>
      <c r="G44" s="1624"/>
      <c r="H44" s="1624"/>
      <c r="I44" s="1624"/>
      <c r="J44" s="1624"/>
      <c r="K44" s="6"/>
      <c r="L44" s="6"/>
    </row>
    <row r="45" spans="1:14" ht="16.5" thickBot="1" x14ac:dyDescent="0.3">
      <c r="A45" s="256"/>
      <c r="B45" s="256"/>
      <c r="C45" s="256"/>
      <c r="D45" s="255"/>
      <c r="E45" s="256"/>
      <c r="F45" s="256"/>
      <c r="G45" s="266"/>
      <c r="H45" s="267"/>
      <c r="I45" s="266"/>
      <c r="J45" s="266"/>
    </row>
    <row r="46" spans="1:14" ht="47.25" customHeight="1" thickBot="1" x14ac:dyDescent="0.3">
      <c r="A46" s="1655" t="s">
        <v>115</v>
      </c>
      <c r="B46" s="1655"/>
      <c r="C46" s="1655"/>
      <c r="D46" s="1655"/>
      <c r="E46" s="1655"/>
      <c r="F46" s="501" t="s">
        <v>116</v>
      </c>
      <c r="G46" s="130" t="s">
        <v>117</v>
      </c>
      <c r="H46" s="130" t="s">
        <v>118</v>
      </c>
      <c r="I46" s="130" t="s">
        <v>119</v>
      </c>
      <c r="J46" s="130" t="s">
        <v>120</v>
      </c>
    </row>
    <row r="47" spans="1:14" ht="18.75" thickBot="1" x14ac:dyDescent="0.3">
      <c r="A47" s="270"/>
      <c r="B47" s="557"/>
      <c r="C47" s="557"/>
      <c r="D47" s="38" t="s">
        <v>611</v>
      </c>
      <c r="E47" s="75"/>
      <c r="F47" s="253"/>
      <c r="G47" s="219">
        <v>215000</v>
      </c>
      <c r="H47" s="291">
        <v>215000</v>
      </c>
      <c r="I47" s="257"/>
      <c r="J47" s="219">
        <v>215000</v>
      </c>
    </row>
    <row r="48" spans="1:14" s="146" customFormat="1" ht="18.75" thickBot="1" x14ac:dyDescent="0.3">
      <c r="A48" s="254"/>
      <c r="B48" s="271"/>
      <c r="C48" s="271"/>
      <c r="D48" s="1673" t="s">
        <v>612</v>
      </c>
      <c r="E48" s="1673"/>
      <c r="F48" s="292"/>
      <c r="G48" s="293">
        <f>SUM(G3:G47)</f>
        <v>13630388.58</v>
      </c>
      <c r="H48" s="293">
        <f>SUM(H3:H47)</f>
        <v>33193691.050000001</v>
      </c>
      <c r="I48" s="293">
        <f>SUM(I3:I47)</f>
        <v>594614.53</v>
      </c>
      <c r="J48" s="293">
        <f>J47+J38</f>
        <v>42933172.930000007</v>
      </c>
      <c r="K48" s="10"/>
      <c r="L48" s="10"/>
      <c r="M48"/>
      <c r="N48"/>
    </row>
    <row r="49" spans="1:14" s="146" customFormat="1" ht="18" x14ac:dyDescent="0.25">
      <c r="A49" s="254"/>
      <c r="B49" s="271"/>
      <c r="C49" s="271"/>
      <c r="D49" s="36"/>
      <c r="E49" s="271"/>
      <c r="F49" s="273"/>
      <c r="G49" s="101"/>
      <c r="H49" s="102"/>
      <c r="I49" s="250"/>
      <c r="J49" s="250"/>
      <c r="K49" s="10"/>
      <c r="L49" s="10"/>
      <c r="M49"/>
      <c r="N49"/>
    </row>
    <row r="50" spans="1:14" s="146" customFormat="1" ht="18" x14ac:dyDescent="0.25">
      <c r="A50" s="254"/>
      <c r="B50" s="271"/>
      <c r="C50" s="271"/>
      <c r="D50" s="36"/>
      <c r="E50" s="271"/>
      <c r="F50" s="273"/>
      <c r="G50" s="101"/>
      <c r="H50" s="102"/>
      <c r="I50" s="250"/>
      <c r="J50" s="250"/>
      <c r="K50" s="10"/>
      <c r="L50" s="10"/>
      <c r="M50"/>
      <c r="N50"/>
    </row>
    <row r="51" spans="1:14" ht="18" customHeight="1" x14ac:dyDescent="0.25">
      <c r="A51" s="1667" t="s">
        <v>613</v>
      </c>
      <c r="B51" s="1620"/>
      <c r="C51" s="1620"/>
      <c r="D51" s="1620"/>
      <c r="E51" s="1620"/>
      <c r="F51" s="237"/>
      <c r="G51" s="238"/>
      <c r="H51" s="294"/>
      <c r="I51" s="238"/>
      <c r="J51" s="238"/>
    </row>
    <row r="52" spans="1:14" s="146" customFormat="1" x14ac:dyDescent="0.25">
      <c r="A52" s="1667"/>
      <c r="B52" s="1620"/>
      <c r="C52" s="1620"/>
      <c r="D52" s="1620"/>
      <c r="E52" s="1620"/>
      <c r="F52" s="100"/>
      <c r="G52" s="101"/>
      <c r="H52" s="102"/>
      <c r="I52" s="101"/>
      <c r="J52" s="101"/>
      <c r="K52" s="10"/>
      <c r="L52" s="10"/>
      <c r="M52"/>
      <c r="N52"/>
    </row>
    <row r="53" spans="1:14" s="146" customFormat="1" ht="18" x14ac:dyDescent="0.25">
      <c r="A53" s="296" t="s">
        <v>614</v>
      </c>
      <c r="B53" s="198"/>
      <c r="C53" s="198"/>
      <c r="D53" s="38"/>
      <c r="E53" s="199"/>
      <c r="F53" s="100"/>
      <c r="G53" s="101"/>
      <c r="H53" s="102"/>
      <c r="I53" s="101"/>
      <c r="J53" s="101"/>
      <c r="K53" s="10"/>
      <c r="L53" s="10"/>
      <c r="M53"/>
      <c r="N53"/>
    </row>
    <row r="54" spans="1:14" s="146" customFormat="1" ht="18" x14ac:dyDescent="0.25">
      <c r="A54" s="296"/>
      <c r="B54" s="198"/>
      <c r="C54" s="198"/>
      <c r="D54" s="38" t="s">
        <v>615</v>
      </c>
      <c r="E54" s="199"/>
      <c r="F54" s="100"/>
      <c r="G54" s="101"/>
      <c r="H54" s="102"/>
      <c r="I54" s="101"/>
      <c r="J54" s="101">
        <v>20000000</v>
      </c>
      <c r="K54" s="10"/>
      <c r="L54" s="10"/>
      <c r="M54"/>
      <c r="N54"/>
    </row>
    <row r="55" spans="1:14" s="146" customFormat="1" ht="36.75" customHeight="1" x14ac:dyDescent="0.25">
      <c r="A55" s="296"/>
      <c r="B55" s="198"/>
      <c r="C55" s="198"/>
      <c r="D55" s="1617" t="s">
        <v>616</v>
      </c>
      <c r="E55" s="1617"/>
      <c r="F55" s="100"/>
      <c r="G55" s="101"/>
      <c r="H55" s="102"/>
      <c r="I55" s="101"/>
      <c r="J55" s="101">
        <v>10000000</v>
      </c>
      <c r="K55" s="10"/>
      <c r="L55" s="10"/>
      <c r="M55"/>
      <c r="N55"/>
    </row>
    <row r="56" spans="1:14" s="146" customFormat="1" ht="18" x14ac:dyDescent="0.25">
      <c r="A56" s="296"/>
      <c r="B56" s="198"/>
      <c r="C56" s="198"/>
      <c r="D56" s="38" t="s">
        <v>615</v>
      </c>
      <c r="E56" s="199"/>
      <c r="F56" s="100"/>
      <c r="G56" s="105"/>
      <c r="H56" s="106">
        <v>20000000</v>
      </c>
      <c r="I56" s="105">
        <v>0</v>
      </c>
      <c r="J56" s="105"/>
      <c r="K56" s="10"/>
      <c r="L56" s="10"/>
      <c r="M56"/>
      <c r="N56"/>
    </row>
    <row r="57" spans="1:14" s="146" customFormat="1" ht="18" x14ac:dyDescent="0.25">
      <c r="A57" s="298"/>
      <c r="B57" s="199"/>
      <c r="C57" s="199"/>
      <c r="D57" s="518" t="s">
        <v>200</v>
      </c>
      <c r="F57" s="301"/>
      <c r="G57" s="150">
        <f>SUM(G56:G56)</f>
        <v>0</v>
      </c>
      <c r="H57" s="150">
        <f>SUM(H56:H56)</f>
        <v>20000000</v>
      </c>
      <c r="I57" s="150">
        <f>SUM(I56:I56)</f>
        <v>0</v>
      </c>
      <c r="J57" s="150">
        <f>SUM(J54:J56)</f>
        <v>30000000</v>
      </c>
      <c r="K57" s="10"/>
      <c r="L57" s="10"/>
      <c r="M57"/>
      <c r="N57"/>
    </row>
    <row r="58" spans="1:14" s="146" customFormat="1" ht="18" x14ac:dyDescent="0.25">
      <c r="A58" s="298"/>
      <c r="B58" s="199"/>
      <c r="C58" s="199"/>
      <c r="D58" s="38"/>
      <c r="E58" s="518"/>
      <c r="F58" s="301"/>
      <c r="G58" s="156"/>
      <c r="H58" s="156"/>
      <c r="I58" s="156"/>
      <c r="J58" s="156"/>
      <c r="K58" s="10"/>
      <c r="L58" s="10"/>
      <c r="M58"/>
      <c r="N58"/>
    </row>
    <row r="59" spans="1:14" s="146" customFormat="1" ht="18" x14ac:dyDescent="0.25">
      <c r="A59" s="296" t="s">
        <v>617</v>
      </c>
      <c r="B59" s="198"/>
      <c r="C59" s="198"/>
      <c r="D59" s="38"/>
      <c r="E59" s="199"/>
      <c r="F59" s="100"/>
      <c r="G59" s="101"/>
      <c r="H59" s="102"/>
      <c r="I59" s="101"/>
      <c r="J59" s="101"/>
      <c r="K59" s="10"/>
      <c r="L59" s="10"/>
      <c r="M59"/>
      <c r="N59"/>
    </row>
    <row r="60" spans="1:14" ht="17.25" customHeight="1" x14ac:dyDescent="0.25">
      <c r="A60" s="296"/>
      <c r="B60" s="198"/>
      <c r="C60" s="198"/>
      <c r="D60" s="38" t="s">
        <v>618</v>
      </c>
      <c r="E60" s="199"/>
      <c r="F60" s="100"/>
      <c r="G60" s="101">
        <v>0</v>
      </c>
      <c r="H60" s="102">
        <v>28182064.199999999</v>
      </c>
      <c r="I60" s="101">
        <v>0</v>
      </c>
      <c r="J60" s="101">
        <v>40261034.799999997</v>
      </c>
    </row>
    <row r="61" spans="1:14" ht="18" x14ac:dyDescent="0.25">
      <c r="A61" s="296"/>
      <c r="B61" s="198"/>
      <c r="C61" s="198"/>
      <c r="D61" s="38" t="s">
        <v>619</v>
      </c>
      <c r="E61" s="199"/>
      <c r="F61" s="100"/>
      <c r="G61" s="101">
        <v>0</v>
      </c>
      <c r="H61" s="102">
        <v>2500000</v>
      </c>
      <c r="I61" s="101">
        <v>0</v>
      </c>
      <c r="J61" s="101">
        <v>500000</v>
      </c>
    </row>
    <row r="62" spans="1:14" ht="18" x14ac:dyDescent="0.25">
      <c r="A62" s="296"/>
      <c r="B62" s="198"/>
      <c r="C62" s="198"/>
      <c r="D62" s="38" t="s">
        <v>620</v>
      </c>
      <c r="E62" s="199"/>
      <c r="F62" s="100"/>
      <c r="G62" s="101"/>
      <c r="H62" s="102"/>
      <c r="I62" s="101"/>
      <c r="J62" s="101">
        <v>20000000</v>
      </c>
    </row>
    <row r="63" spans="1:14" ht="18" x14ac:dyDescent="0.25">
      <c r="A63" s="296"/>
      <c r="B63" s="198"/>
      <c r="C63" s="198"/>
      <c r="D63" s="38" t="s">
        <v>621</v>
      </c>
      <c r="E63" s="199"/>
      <c r="F63" s="100"/>
      <c r="G63" s="101"/>
      <c r="H63" s="102"/>
      <c r="I63" s="101"/>
      <c r="J63" s="101">
        <v>2000000</v>
      </c>
    </row>
    <row r="64" spans="1:14" ht="18" x14ac:dyDescent="0.25">
      <c r="A64" s="296"/>
      <c r="B64" s="198"/>
      <c r="C64" s="198"/>
      <c r="D64" s="38" t="s">
        <v>622</v>
      </c>
      <c r="E64" s="199"/>
      <c r="F64" s="100"/>
      <c r="G64" s="101">
        <v>0</v>
      </c>
      <c r="H64" s="102">
        <v>2000000</v>
      </c>
      <c r="I64" s="101">
        <v>0</v>
      </c>
      <c r="J64" s="101"/>
    </row>
    <row r="65" spans="1:14" ht="18" x14ac:dyDescent="0.25">
      <c r="A65" s="296"/>
      <c r="B65" s="198"/>
      <c r="C65" s="198"/>
      <c r="D65" s="38" t="s">
        <v>623</v>
      </c>
      <c r="E65" s="199"/>
      <c r="F65" s="100"/>
      <c r="G65" s="101">
        <v>0</v>
      </c>
      <c r="H65" s="102">
        <v>5000000</v>
      </c>
      <c r="I65" s="101">
        <v>0</v>
      </c>
      <c r="J65" s="101">
        <v>5000000</v>
      </c>
    </row>
    <row r="66" spans="1:14" ht="19.5" customHeight="1" x14ac:dyDescent="0.25">
      <c r="A66" s="302"/>
      <c r="B66" s="608"/>
      <c r="C66" s="608"/>
      <c r="D66" s="1634" t="s">
        <v>624</v>
      </c>
      <c r="E66" s="1634"/>
      <c r="F66" s="100"/>
      <c r="G66" s="101"/>
      <c r="H66" s="102"/>
      <c r="I66" s="101"/>
      <c r="J66" s="101">
        <v>2000000</v>
      </c>
    </row>
    <row r="67" spans="1:14" ht="18" x14ac:dyDescent="0.25">
      <c r="A67" s="296"/>
      <c r="B67" s="198"/>
      <c r="C67" s="198"/>
      <c r="D67" s="38" t="s">
        <v>625</v>
      </c>
      <c r="E67" s="199"/>
      <c r="F67" s="100"/>
      <c r="G67" s="101">
        <v>0</v>
      </c>
      <c r="H67" s="102">
        <v>5000000</v>
      </c>
      <c r="I67" s="101">
        <v>0</v>
      </c>
      <c r="J67" s="101">
        <v>5000000</v>
      </c>
    </row>
    <row r="68" spans="1:14" ht="18" x14ac:dyDescent="0.25">
      <c r="A68" s="296"/>
      <c r="B68" s="198"/>
      <c r="C68" s="198"/>
      <c r="D68" s="38" t="s">
        <v>626</v>
      </c>
      <c r="E68" s="199"/>
      <c r="F68" s="100"/>
      <c r="G68" s="101"/>
      <c r="H68" s="102"/>
      <c r="I68" s="101"/>
      <c r="J68" s="101"/>
    </row>
    <row r="69" spans="1:14" ht="18" x14ac:dyDescent="0.25">
      <c r="A69" s="296"/>
      <c r="B69" s="198"/>
      <c r="C69" s="198"/>
      <c r="D69" s="38" t="s">
        <v>627</v>
      </c>
      <c r="E69" s="199"/>
      <c r="F69" s="100"/>
      <c r="G69" s="101"/>
      <c r="H69" s="102"/>
      <c r="I69" s="101"/>
      <c r="J69" s="101">
        <v>5000000</v>
      </c>
    </row>
    <row r="70" spans="1:14" ht="18" x14ac:dyDescent="0.25">
      <c r="A70" s="296"/>
      <c r="B70" s="198"/>
      <c r="C70" s="198"/>
      <c r="D70" s="38" t="s">
        <v>628</v>
      </c>
      <c r="E70" s="199"/>
      <c r="F70" s="100"/>
      <c r="G70" s="101"/>
      <c r="H70" s="102"/>
      <c r="I70" s="101"/>
      <c r="J70" s="101">
        <v>3000000</v>
      </c>
    </row>
    <row r="71" spans="1:14" ht="18" customHeight="1" x14ac:dyDescent="0.25">
      <c r="A71" s="296"/>
      <c r="B71" s="198"/>
      <c r="C71" s="198"/>
      <c r="D71" s="1634" t="s">
        <v>629</v>
      </c>
      <c r="E71" s="1634"/>
      <c r="F71" s="100"/>
      <c r="G71" s="101">
        <v>0</v>
      </c>
      <c r="H71" s="102">
        <v>1500000</v>
      </c>
      <c r="I71" s="101">
        <v>0</v>
      </c>
      <c r="J71" s="101"/>
    </row>
    <row r="72" spans="1:14" ht="18" x14ac:dyDescent="0.25">
      <c r="A72" s="296"/>
      <c r="B72" s="198"/>
      <c r="C72" s="198"/>
      <c r="D72" s="38" t="s">
        <v>630</v>
      </c>
      <c r="E72" s="303"/>
      <c r="F72" s="100"/>
      <c r="G72" s="101">
        <v>0</v>
      </c>
      <c r="H72" s="102">
        <v>2000000</v>
      </c>
      <c r="I72" s="101">
        <v>0</v>
      </c>
      <c r="J72" s="101"/>
    </row>
    <row r="73" spans="1:14" ht="18" x14ac:dyDescent="0.25">
      <c r="A73" s="296"/>
      <c r="B73" s="198"/>
      <c r="C73" s="198"/>
      <c r="D73" s="38" t="s">
        <v>631</v>
      </c>
      <c r="E73" s="303"/>
      <c r="F73" s="100"/>
      <c r="G73" s="101"/>
      <c r="H73" s="102">
        <v>3000000</v>
      </c>
      <c r="I73" s="101">
        <v>0</v>
      </c>
      <c r="J73" s="101"/>
    </row>
    <row r="74" spans="1:14" ht="36.75" customHeight="1" x14ac:dyDescent="0.25">
      <c r="A74" s="302"/>
      <c r="B74" s="608"/>
      <c r="C74" s="608"/>
      <c r="D74" s="1637" t="s">
        <v>632</v>
      </c>
      <c r="E74" s="1637"/>
      <c r="F74" s="100"/>
      <c r="G74" s="101">
        <v>0</v>
      </c>
      <c r="H74" s="102">
        <v>2000000</v>
      </c>
      <c r="I74" s="101">
        <v>0</v>
      </c>
      <c r="J74" s="101"/>
    </row>
    <row r="75" spans="1:14" s="146" customFormat="1" ht="18" x14ac:dyDescent="0.25">
      <c r="A75" s="304"/>
      <c r="B75" s="609"/>
      <c r="C75" s="609"/>
      <c r="D75" s="206" t="s">
        <v>633</v>
      </c>
      <c r="E75" s="199"/>
      <c r="F75" s="100"/>
      <c r="G75" s="105">
        <v>0</v>
      </c>
      <c r="H75" s="106">
        <v>8000000</v>
      </c>
      <c r="I75" s="105">
        <v>7999000</v>
      </c>
      <c r="J75" s="105"/>
      <c r="K75" s="10"/>
      <c r="L75" s="10"/>
      <c r="M75"/>
      <c r="N75"/>
    </row>
    <row r="76" spans="1:14" s="146" customFormat="1" ht="18.75" thickBot="1" x14ac:dyDescent="0.3">
      <c r="A76" s="298"/>
      <c r="B76" s="199"/>
      <c r="C76" s="199"/>
      <c r="D76" s="518" t="s">
        <v>200</v>
      </c>
      <c r="F76" s="308"/>
      <c r="G76" s="119">
        <f>SUM(G60:G75)</f>
        <v>0</v>
      </c>
      <c r="H76" s="150">
        <f>SUM(H60:H75)</f>
        <v>59182064.200000003</v>
      </c>
      <c r="I76" s="150">
        <f>SUM(I60:I75)</f>
        <v>7999000</v>
      </c>
      <c r="J76" s="119">
        <f>SUM(J60:J75)</f>
        <v>82761034.799999997</v>
      </c>
      <c r="K76" s="10"/>
      <c r="L76" s="10"/>
      <c r="M76"/>
      <c r="N76"/>
    </row>
    <row r="77" spans="1:14" s="146" customFormat="1" ht="18" x14ac:dyDescent="0.25">
      <c r="A77" s="298"/>
      <c r="B77" s="199"/>
      <c r="C77" s="199"/>
      <c r="D77" s="38"/>
      <c r="E77" s="305"/>
      <c r="F77" s="100"/>
      <c r="G77" s="155"/>
      <c r="H77" s="156"/>
      <c r="I77" s="155"/>
      <c r="J77" s="155"/>
      <c r="K77" s="10"/>
      <c r="L77" s="10"/>
      <c r="M77"/>
      <c r="N77"/>
    </row>
    <row r="78" spans="1:14" ht="18" x14ac:dyDescent="0.25">
      <c r="A78" s="296" t="s">
        <v>634</v>
      </c>
      <c r="B78" s="198"/>
      <c r="C78" s="198"/>
      <c r="D78" s="36"/>
      <c r="E78" s="198"/>
      <c r="F78" s="100"/>
      <c r="G78" s="101"/>
      <c r="H78" s="102"/>
      <c r="I78" s="101"/>
      <c r="J78" s="101"/>
    </row>
    <row r="79" spans="1:14" ht="18" x14ac:dyDescent="0.25">
      <c r="A79" s="298"/>
      <c r="B79" s="199"/>
      <c r="C79" s="199"/>
      <c r="D79" s="38" t="s">
        <v>635</v>
      </c>
      <c r="E79" s="199"/>
      <c r="F79" s="100"/>
      <c r="G79" s="101"/>
      <c r="H79" s="102"/>
      <c r="I79" s="101"/>
      <c r="J79" s="101"/>
    </row>
    <row r="80" spans="1:14" ht="36.75" customHeight="1" x14ac:dyDescent="0.25">
      <c r="A80" s="298"/>
      <c r="B80" s="199"/>
      <c r="C80" s="199"/>
      <c r="D80" s="1617" t="s">
        <v>636</v>
      </c>
      <c r="E80" s="1617"/>
      <c r="F80" s="100"/>
      <c r="G80" s="101">
        <v>401768.98</v>
      </c>
      <c r="H80" s="102">
        <v>420000</v>
      </c>
      <c r="I80" s="101">
        <v>195005.5</v>
      </c>
      <c r="J80" s="101">
        <v>500000</v>
      </c>
    </row>
    <row r="81" spans="1:14" ht="39" customHeight="1" x14ac:dyDescent="0.25">
      <c r="A81" s="298"/>
      <c r="B81" s="199"/>
      <c r="C81" s="199"/>
      <c r="D81" s="1628" t="s">
        <v>637</v>
      </c>
      <c r="E81" s="1628"/>
      <c r="F81" s="100"/>
      <c r="G81" s="101"/>
      <c r="H81" s="102"/>
      <c r="I81" s="101"/>
      <c r="J81" s="101">
        <v>8000000</v>
      </c>
    </row>
    <row r="82" spans="1:14" ht="18.75" customHeight="1" x14ac:dyDescent="0.25">
      <c r="A82" s="298"/>
      <c r="B82" s="199"/>
      <c r="C82" s="199"/>
      <c r="D82" s="1617" t="s">
        <v>638</v>
      </c>
      <c r="E82" s="1617"/>
      <c r="F82" s="100"/>
      <c r="G82" s="101"/>
      <c r="H82" s="102"/>
      <c r="I82" s="101"/>
      <c r="J82" s="101">
        <v>5000000</v>
      </c>
    </row>
    <row r="83" spans="1:14" ht="18" x14ac:dyDescent="0.25">
      <c r="A83" s="298"/>
      <c r="B83" s="199"/>
      <c r="C83" s="199"/>
      <c r="D83" s="38" t="s">
        <v>639</v>
      </c>
      <c r="E83" s="303"/>
      <c r="F83" s="100"/>
      <c r="G83" s="101">
        <v>7999000</v>
      </c>
      <c r="H83" s="102"/>
      <c r="I83" s="101"/>
      <c r="J83" s="101"/>
    </row>
    <row r="84" spans="1:14" ht="18" x14ac:dyDescent="0.25">
      <c r="A84" s="298"/>
      <c r="B84" s="199"/>
      <c r="C84" s="199"/>
      <c r="D84" s="38" t="s">
        <v>640</v>
      </c>
      <c r="E84" s="303"/>
      <c r="F84" s="100"/>
      <c r="G84" s="101">
        <v>0</v>
      </c>
      <c r="H84" s="102">
        <v>5000000</v>
      </c>
      <c r="I84" s="101"/>
      <c r="J84" s="101"/>
    </row>
    <row r="85" spans="1:14" s="313" customFormat="1" ht="18" customHeight="1" x14ac:dyDescent="0.25">
      <c r="A85" s="173"/>
      <c r="B85" s="505"/>
      <c r="C85" s="505"/>
      <c r="D85" s="1672" t="s">
        <v>641</v>
      </c>
      <c r="E85" s="1672"/>
      <c r="F85" s="312"/>
      <c r="G85" s="102"/>
      <c r="H85" s="102"/>
      <c r="I85" s="102"/>
      <c r="J85" s="102"/>
      <c r="K85" s="193"/>
      <c r="L85" s="193"/>
      <c r="M85" s="179"/>
      <c r="N85" s="179"/>
    </row>
    <row r="86" spans="1:14" s="313" customFormat="1" ht="18" customHeight="1" x14ac:dyDescent="0.25">
      <c r="A86" s="173"/>
      <c r="B86" s="505"/>
      <c r="C86" s="505"/>
      <c r="D86" s="528" t="s">
        <v>642</v>
      </c>
      <c r="E86" s="528"/>
      <c r="F86" s="312"/>
      <c r="G86" s="102"/>
      <c r="H86" s="102"/>
      <c r="I86" s="102"/>
      <c r="J86" s="102">
        <v>20000000</v>
      </c>
      <c r="K86" s="193"/>
      <c r="L86" s="193"/>
      <c r="M86" s="179"/>
      <c r="N86" s="179"/>
    </row>
    <row r="87" spans="1:14" ht="37.5" customHeight="1" x14ac:dyDescent="0.25">
      <c r="A87" s="298"/>
      <c r="B87" s="199"/>
      <c r="C87" s="199"/>
      <c r="D87" s="1637" t="s">
        <v>643</v>
      </c>
      <c r="E87" s="1637"/>
      <c r="F87" s="100"/>
      <c r="G87" s="101"/>
      <c r="H87" s="102">
        <v>10000000</v>
      </c>
      <c r="I87" s="101"/>
      <c r="J87" s="101"/>
    </row>
    <row r="88" spans="1:14" ht="18" x14ac:dyDescent="0.25">
      <c r="A88" s="298"/>
      <c r="B88" s="199"/>
      <c r="C88" s="199"/>
      <c r="D88" s="206" t="s">
        <v>644</v>
      </c>
      <c r="E88" s="303"/>
      <c r="F88" s="100"/>
      <c r="G88" s="101"/>
      <c r="H88" s="102">
        <v>2500000</v>
      </c>
      <c r="I88" s="101"/>
      <c r="J88" s="101"/>
    </row>
    <row r="89" spans="1:14" ht="18" x14ac:dyDescent="0.25">
      <c r="A89" s="298"/>
      <c r="B89" s="199"/>
      <c r="C89" s="199"/>
      <c r="D89" s="206" t="s">
        <v>645</v>
      </c>
      <c r="E89" s="303"/>
      <c r="F89" s="100"/>
      <c r="G89" s="101"/>
      <c r="H89" s="102">
        <v>5000000</v>
      </c>
      <c r="I89" s="101"/>
      <c r="J89" s="101"/>
    </row>
    <row r="90" spans="1:14" ht="18" x14ac:dyDescent="0.25">
      <c r="A90" s="298"/>
      <c r="B90" s="199"/>
      <c r="C90" s="199"/>
      <c r="D90" s="516" t="s">
        <v>646</v>
      </c>
      <c r="E90" s="303"/>
      <c r="F90" s="100"/>
      <c r="G90" s="101"/>
      <c r="H90" s="102">
        <v>3500000</v>
      </c>
      <c r="I90" s="101"/>
      <c r="J90" s="101"/>
    </row>
    <row r="91" spans="1:14" ht="37.5" customHeight="1" x14ac:dyDescent="0.25">
      <c r="A91" s="298"/>
      <c r="B91" s="199"/>
      <c r="C91" s="199"/>
      <c r="D91" s="1637" t="s">
        <v>647</v>
      </c>
      <c r="E91" s="1637"/>
      <c r="F91" s="100"/>
      <c r="G91" s="101"/>
      <c r="H91" s="102">
        <v>1500000</v>
      </c>
      <c r="I91" s="101"/>
      <c r="J91" s="101"/>
    </row>
    <row r="92" spans="1:14" ht="18" x14ac:dyDescent="0.25">
      <c r="A92" s="298"/>
      <c r="B92" s="199"/>
      <c r="C92" s="199"/>
      <c r="D92" s="206" t="s">
        <v>648</v>
      </c>
      <c r="E92" s="303"/>
      <c r="F92" s="100"/>
      <c r="G92" s="105"/>
      <c r="H92" s="106">
        <v>2000000</v>
      </c>
      <c r="I92" s="105"/>
      <c r="J92" s="105">
        <v>2000000</v>
      </c>
    </row>
    <row r="93" spans="1:14" s="146" customFormat="1" ht="18" x14ac:dyDescent="0.25">
      <c r="A93" s="519"/>
      <c r="B93" s="499"/>
      <c r="C93" s="499"/>
      <c r="D93" s="518" t="s">
        <v>200</v>
      </c>
      <c r="E93" s="305"/>
      <c r="F93" s="301"/>
      <c r="G93" s="189">
        <f>SUM(G79:G92)</f>
        <v>8400768.9800000004</v>
      </c>
      <c r="H93" s="156">
        <f>SUM(H79:H92)</f>
        <v>29920000</v>
      </c>
      <c r="I93" s="155">
        <f>SUM(I79:I92)</f>
        <v>195005.5</v>
      </c>
      <c r="J93" s="189">
        <f>SUM(J79:J92)</f>
        <v>35500000</v>
      </c>
      <c r="K93" s="10"/>
      <c r="L93" s="10"/>
      <c r="M93"/>
      <c r="N93"/>
    </row>
    <row r="94" spans="1:14" s="146" customFormat="1" ht="18" x14ac:dyDescent="0.25">
      <c r="A94" s="519"/>
      <c r="B94" s="499"/>
      <c r="C94" s="499"/>
      <c r="D94" s="513"/>
      <c r="E94" s="499"/>
      <c r="F94" s="100"/>
      <c r="G94" s="314"/>
      <c r="H94" s="106"/>
      <c r="I94" s="105"/>
      <c r="J94" s="314"/>
      <c r="K94" s="10"/>
      <c r="L94" s="10"/>
      <c r="M94"/>
      <c r="N94"/>
    </row>
    <row r="95" spans="1:14" s="146" customFormat="1" ht="18" x14ac:dyDescent="0.25">
      <c r="A95" s="107"/>
      <c r="B95" s="610"/>
      <c r="C95" s="610"/>
      <c r="D95" s="558" t="s">
        <v>649</v>
      </c>
      <c r="E95" s="559"/>
      <c r="F95" s="301"/>
      <c r="G95" s="315">
        <f>SUM(G93+G76+G57)</f>
        <v>8400768.9800000004</v>
      </c>
      <c r="H95" s="316">
        <f>SUM(H93+H76+H57)</f>
        <v>109102064.2</v>
      </c>
      <c r="I95" s="150">
        <f>SUM(I93+I76+I57)</f>
        <v>8194005.5</v>
      </c>
      <c r="J95" s="316">
        <f>SUM(J93+J76+J57)</f>
        <v>148261034.80000001</v>
      </c>
      <c r="K95" s="10"/>
      <c r="L95" s="10"/>
      <c r="M95"/>
      <c r="N95"/>
    </row>
    <row r="96" spans="1:14" s="146" customFormat="1" ht="18.75" thickBot="1" x14ac:dyDescent="0.3">
      <c r="A96" s="317"/>
      <c r="B96" s="318"/>
      <c r="C96" s="318"/>
      <c r="D96" s="560" t="s">
        <v>650</v>
      </c>
      <c r="E96" s="561"/>
      <c r="F96" s="320"/>
      <c r="G96" s="321">
        <f>G95+G48</f>
        <v>22031157.560000002</v>
      </c>
      <c r="H96" s="321">
        <f>H95+H48</f>
        <v>142295755.25</v>
      </c>
      <c r="I96" s="321">
        <f>I95+I48</f>
        <v>8788620.0299999993</v>
      </c>
      <c r="J96" s="321">
        <f>J95+J48</f>
        <v>191194207.73000002</v>
      </c>
      <c r="K96" s="10"/>
      <c r="L96" s="10"/>
    </row>
    <row r="97" spans="1:14" s="146" customFormat="1" ht="18" x14ac:dyDescent="0.25">
      <c r="A97" s="499"/>
      <c r="B97" s="499"/>
      <c r="C97" s="499"/>
      <c r="D97" s="513"/>
      <c r="E97" s="496"/>
      <c r="F97" s="322"/>
      <c r="G97" s="323"/>
      <c r="H97" s="127"/>
      <c r="I97" s="126"/>
      <c r="J97" s="126"/>
      <c r="K97" s="10"/>
      <c r="L97" s="10"/>
      <c r="M97"/>
      <c r="N97"/>
    </row>
    <row r="98" spans="1:14" s="146" customFormat="1" ht="18" x14ac:dyDescent="0.25">
      <c r="A98" s="499"/>
      <c r="B98" s="499"/>
      <c r="C98" s="499"/>
      <c r="D98" s="513"/>
      <c r="E98" s="496"/>
      <c r="F98" s="322"/>
      <c r="G98" s="323"/>
      <c r="H98" s="127"/>
      <c r="I98" s="126"/>
      <c r="J98" s="126"/>
      <c r="K98" s="10"/>
      <c r="L98" s="10"/>
      <c r="M98"/>
      <c r="N98"/>
    </row>
    <row r="99" spans="1:14" s="146" customFormat="1" ht="18" x14ac:dyDescent="0.25">
      <c r="A99" s="499"/>
      <c r="B99" s="499"/>
      <c r="C99" s="499"/>
      <c r="D99" s="513"/>
      <c r="E99" s="496"/>
      <c r="F99" s="322"/>
      <c r="G99" s="323"/>
      <c r="H99" s="127"/>
      <c r="I99" s="126"/>
      <c r="J99" s="126"/>
      <c r="K99" s="10"/>
      <c r="L99" s="10"/>
      <c r="M99"/>
      <c r="N99"/>
    </row>
    <row r="100" spans="1:14" s="146" customFormat="1" ht="18" x14ac:dyDescent="0.25">
      <c r="A100" s="499"/>
      <c r="B100" s="499"/>
      <c r="C100" s="499"/>
      <c r="D100" s="513"/>
      <c r="E100" s="496"/>
      <c r="F100" s="322"/>
      <c r="G100" s="323"/>
      <c r="H100" s="127"/>
      <c r="I100" s="126"/>
      <c r="J100" s="126"/>
      <c r="K100" s="10"/>
      <c r="L100" s="10"/>
      <c r="M100"/>
      <c r="N100"/>
    </row>
    <row r="101" spans="1:14" s="146" customFormat="1" ht="18" x14ac:dyDescent="0.25">
      <c r="A101" s="499"/>
      <c r="B101" s="499"/>
      <c r="C101" s="499"/>
      <c r="D101" s="513"/>
      <c r="E101" s="496"/>
      <c r="F101" s="322"/>
      <c r="G101" s="323"/>
      <c r="H101" s="127"/>
      <c r="I101" s="126"/>
      <c r="J101" s="126"/>
      <c r="K101" s="10"/>
      <c r="L101" s="10"/>
      <c r="M101"/>
      <c r="N101"/>
    </row>
    <row r="102" spans="1:14" s="146" customFormat="1" ht="18" customHeight="1" x14ac:dyDescent="0.25">
      <c r="A102" s="9" t="s">
        <v>112</v>
      </c>
      <c r="B102" s="9"/>
      <c r="C102" s="9"/>
      <c r="D102" s="9"/>
      <c r="E102" s="9"/>
      <c r="F102" s="9"/>
      <c r="G102" s="5"/>
      <c r="H102" s="5"/>
      <c r="I102" s="177"/>
      <c r="J102" s="5"/>
      <c r="K102" s="10"/>
      <c r="L102" s="10"/>
    </row>
    <row r="103" spans="1:14" ht="18" customHeight="1" x14ac:dyDescent="0.25">
      <c r="A103" s="8" t="s">
        <v>651</v>
      </c>
      <c r="I103" s="249"/>
    </row>
    <row r="104" spans="1:14" ht="18" customHeight="1" x14ac:dyDescent="0.25">
      <c r="A104" s="1636" t="s">
        <v>113</v>
      </c>
      <c r="B104" s="1636"/>
      <c r="C104" s="1636"/>
      <c r="D104" s="1636"/>
      <c r="E104" s="1636"/>
      <c r="F104" s="1636"/>
      <c r="G104" s="1636"/>
      <c r="H104" s="1636"/>
      <c r="I104" s="1636"/>
      <c r="J104" s="1636"/>
    </row>
    <row r="105" spans="1:14" s="7" customFormat="1" ht="18" customHeight="1" x14ac:dyDescent="0.25">
      <c r="A105" s="1624" t="s">
        <v>114</v>
      </c>
      <c r="B105" s="1624"/>
      <c r="C105" s="1624"/>
      <c r="D105" s="1624"/>
      <c r="E105" s="1624"/>
      <c r="F105" s="1624"/>
      <c r="G105" s="1624"/>
      <c r="H105" s="1624"/>
      <c r="I105" s="1624"/>
      <c r="J105" s="1624"/>
      <c r="K105" s="6"/>
      <c r="L105" s="6"/>
    </row>
    <row r="106" spans="1:14" ht="16.5" thickBot="1" x14ac:dyDescent="0.3">
      <c r="G106" s="265"/>
    </row>
    <row r="107" spans="1:14" s="146" customFormat="1" ht="64.5" customHeight="1" thickBot="1" x14ac:dyDescent="0.3">
      <c r="A107" s="1655" t="s">
        <v>115</v>
      </c>
      <c r="B107" s="1655"/>
      <c r="C107" s="1655"/>
      <c r="D107" s="1655"/>
      <c r="E107" s="1655"/>
      <c r="F107" s="501" t="s">
        <v>116</v>
      </c>
      <c r="G107" s="130" t="s">
        <v>117</v>
      </c>
      <c r="H107" s="130" t="s">
        <v>118</v>
      </c>
      <c r="I107" s="130" t="s">
        <v>119</v>
      </c>
      <c r="J107" s="130" t="s">
        <v>120</v>
      </c>
      <c r="K107" s="10"/>
      <c r="L107" s="10"/>
      <c r="M107"/>
      <c r="N107"/>
    </row>
    <row r="108" spans="1:14" s="146" customFormat="1" ht="18" x14ac:dyDescent="0.25">
      <c r="A108" s="1670" t="s">
        <v>652</v>
      </c>
      <c r="B108" s="1670"/>
      <c r="C108" s="1670"/>
      <c r="D108" s="1670"/>
      <c r="E108" s="1670"/>
      <c r="F108" s="324"/>
      <c r="G108" s="325"/>
      <c r="H108" s="326"/>
      <c r="I108" s="325"/>
      <c r="J108" s="325"/>
      <c r="K108" s="10"/>
      <c r="L108" s="10"/>
      <c r="M108"/>
      <c r="N108"/>
    </row>
    <row r="109" spans="1:14" s="146" customFormat="1" ht="18" customHeight="1" x14ac:dyDescent="0.25">
      <c r="A109" s="327" t="s">
        <v>653</v>
      </c>
      <c r="B109" s="369"/>
      <c r="C109" s="369"/>
      <c r="E109" s="542"/>
      <c r="F109" s="328"/>
      <c r="G109" s="329"/>
      <c r="H109" s="329"/>
      <c r="I109" s="329"/>
      <c r="J109" s="329"/>
      <c r="K109" s="10"/>
      <c r="L109" s="10"/>
    </row>
    <row r="110" spans="1:14" s="146" customFormat="1" ht="18" x14ac:dyDescent="0.25">
      <c r="A110" s="495"/>
      <c r="B110" s="496"/>
      <c r="C110" s="496"/>
      <c r="D110" s="1620" t="s">
        <v>654</v>
      </c>
      <c r="E110" s="1620"/>
      <c r="F110" s="97"/>
      <c r="G110" s="98"/>
      <c r="H110" s="99"/>
      <c r="I110" s="98"/>
      <c r="J110" s="98"/>
      <c r="K110" s="10"/>
      <c r="L110" s="10"/>
      <c r="M110"/>
      <c r="N110"/>
    </row>
    <row r="111" spans="1:14" s="146" customFormat="1" ht="18" x14ac:dyDescent="0.25">
      <c r="A111" s="495"/>
      <c r="B111" s="496"/>
      <c r="C111" s="496"/>
      <c r="D111" s="1618" t="s">
        <v>655</v>
      </c>
      <c r="E111" s="1619"/>
      <c r="F111" s="168"/>
      <c r="G111" s="330">
        <v>2129500</v>
      </c>
      <c r="H111" s="102">
        <v>5500000</v>
      </c>
      <c r="I111" s="330">
        <v>869900</v>
      </c>
      <c r="J111" s="330">
        <v>4000000</v>
      </c>
      <c r="K111" s="10"/>
      <c r="L111" s="10">
        <f>14000000-5000000</f>
        <v>9000000</v>
      </c>
      <c r="M111"/>
      <c r="N111"/>
    </row>
    <row r="112" spans="1:14" s="146" customFormat="1" ht="18" x14ac:dyDescent="0.25">
      <c r="A112" s="495"/>
      <c r="B112" s="496"/>
      <c r="C112" s="496"/>
      <c r="D112" s="536" t="s">
        <v>656</v>
      </c>
      <c r="E112" s="513"/>
      <c r="F112" s="168"/>
      <c r="G112" s="330"/>
      <c r="H112" s="102"/>
      <c r="I112" s="330"/>
      <c r="J112" s="330">
        <v>1000000</v>
      </c>
      <c r="K112" s="10"/>
      <c r="L112" s="10"/>
      <c r="M112"/>
      <c r="N112"/>
    </row>
    <row r="113" spans="1:14" s="146" customFormat="1" ht="18" x14ac:dyDescent="0.25">
      <c r="A113" s="495"/>
      <c r="B113" s="496"/>
      <c r="C113" s="496"/>
      <c r="D113" s="1574" t="s">
        <v>657</v>
      </c>
      <c r="E113" s="1574"/>
      <c r="F113" s="168"/>
      <c r="G113" s="330">
        <v>1464548</v>
      </c>
      <c r="H113" s="102">
        <v>2700000</v>
      </c>
      <c r="I113" s="330">
        <v>903180</v>
      </c>
      <c r="J113" s="330">
        <v>3000000</v>
      </c>
      <c r="K113" s="10"/>
      <c r="L113" s="10"/>
      <c r="M113"/>
      <c r="N113"/>
    </row>
    <row r="114" spans="1:14" s="146" customFormat="1" ht="18" x14ac:dyDescent="0.25">
      <c r="A114" s="495"/>
      <c r="B114" s="496"/>
      <c r="C114" s="496"/>
      <c r="D114" s="1574" t="s">
        <v>658</v>
      </c>
      <c r="E114" s="1574"/>
      <c r="F114" s="168"/>
      <c r="G114" s="102">
        <v>0</v>
      </c>
      <c r="H114" s="102">
        <v>40000</v>
      </c>
      <c r="I114" s="330"/>
      <c r="J114" s="330"/>
      <c r="K114" s="10"/>
      <c r="L114" s="10"/>
      <c r="M114"/>
      <c r="N114"/>
    </row>
    <row r="115" spans="1:14" s="146" customFormat="1" ht="18" x14ac:dyDescent="0.25">
      <c r="A115" s="495"/>
      <c r="B115" s="496"/>
      <c r="C115" s="496"/>
      <c r="D115" s="536" t="s">
        <v>659</v>
      </c>
      <c r="E115" s="499"/>
      <c r="F115" s="97"/>
      <c r="G115" s="101"/>
      <c r="H115" s="102">
        <v>1000000</v>
      </c>
      <c r="I115" s="331"/>
      <c r="J115" s="331">
        <v>1000000</v>
      </c>
      <c r="K115" s="10"/>
      <c r="L115" s="10"/>
      <c r="M115"/>
      <c r="N115"/>
    </row>
    <row r="116" spans="1:14" s="313" customFormat="1" ht="55.5" customHeight="1" x14ac:dyDescent="0.25">
      <c r="A116" s="332"/>
      <c r="B116" s="524"/>
      <c r="C116" s="524"/>
      <c r="D116" s="1669" t="s">
        <v>660</v>
      </c>
      <c r="E116" s="1669"/>
      <c r="F116" s="333"/>
      <c r="G116" s="101"/>
      <c r="H116" s="102"/>
      <c r="I116" s="331"/>
      <c r="J116" s="331"/>
      <c r="K116" s="193"/>
      <c r="L116" s="193"/>
      <c r="M116" s="179"/>
      <c r="N116" s="179"/>
    </row>
    <row r="117" spans="1:14" s="313" customFormat="1" ht="22.5" customHeight="1" x14ac:dyDescent="0.25">
      <c r="A117" s="332"/>
      <c r="B117" s="524"/>
      <c r="C117" s="524"/>
      <c r="D117" s="1622" t="s">
        <v>661</v>
      </c>
      <c r="E117" s="1622"/>
      <c r="F117" s="333"/>
      <c r="G117" s="101"/>
      <c r="H117" s="102"/>
      <c r="I117" s="331"/>
      <c r="J117" s="331"/>
      <c r="K117" s="193"/>
      <c r="L117" s="193"/>
      <c r="M117" s="179"/>
      <c r="N117" s="179"/>
    </row>
    <row r="118" spans="1:14" s="313" customFormat="1" ht="22.5" customHeight="1" x14ac:dyDescent="0.25">
      <c r="A118" s="332"/>
      <c r="B118" s="524"/>
      <c r="C118" s="524"/>
      <c r="D118" s="1622" t="s">
        <v>662</v>
      </c>
      <c r="E118" s="1622"/>
      <c r="F118" s="333"/>
      <c r="G118" s="101"/>
      <c r="H118" s="102"/>
      <c r="I118" s="331"/>
      <c r="J118" s="331">
        <v>20000</v>
      </c>
      <c r="K118" s="193"/>
      <c r="L118" s="193"/>
      <c r="M118" s="179"/>
      <c r="N118" s="179"/>
    </row>
    <row r="119" spans="1:14" s="313" customFormat="1" ht="22.5" customHeight="1" x14ac:dyDescent="0.25">
      <c r="A119" s="332"/>
      <c r="B119" s="524"/>
      <c r="C119" s="524"/>
      <c r="D119" s="1622" t="s">
        <v>663</v>
      </c>
      <c r="E119" s="1622"/>
      <c r="F119" s="333"/>
      <c r="G119" s="101"/>
      <c r="H119" s="102"/>
      <c r="I119" s="331"/>
      <c r="J119" s="331">
        <v>20000</v>
      </c>
      <c r="K119" s="193"/>
      <c r="L119" s="193"/>
      <c r="M119" s="179"/>
      <c r="N119" s="179"/>
    </row>
    <row r="120" spans="1:14" s="313" customFormat="1" ht="22.5" customHeight="1" x14ac:dyDescent="0.25">
      <c r="A120" s="332"/>
      <c r="B120" s="524"/>
      <c r="C120" s="524"/>
      <c r="D120" s="1622" t="s">
        <v>664</v>
      </c>
      <c r="E120" s="1622"/>
      <c r="F120" s="333"/>
      <c r="G120" s="101"/>
      <c r="H120" s="102"/>
      <c r="I120" s="331"/>
      <c r="J120" s="331">
        <v>250000</v>
      </c>
      <c r="K120" s="193"/>
      <c r="L120" s="193"/>
      <c r="M120" s="179"/>
      <c r="N120" s="179"/>
    </row>
    <row r="121" spans="1:14" s="313" customFormat="1" ht="37.5" customHeight="1" x14ac:dyDescent="0.25">
      <c r="A121" s="332"/>
      <c r="B121" s="524"/>
      <c r="C121" s="524"/>
      <c r="D121" s="1622" t="s">
        <v>665</v>
      </c>
      <c r="E121" s="1622"/>
      <c r="F121" s="333"/>
      <c r="G121" s="101"/>
      <c r="H121" s="102"/>
      <c r="I121" s="331"/>
      <c r="J121" s="331">
        <v>50000</v>
      </c>
      <c r="K121" s="193"/>
      <c r="L121" s="193"/>
      <c r="M121" s="179"/>
      <c r="N121" s="179"/>
    </row>
    <row r="122" spans="1:14" s="313" customFormat="1" ht="37.5" customHeight="1" x14ac:dyDescent="0.25">
      <c r="A122" s="332"/>
      <c r="B122" s="524"/>
      <c r="C122" s="524"/>
      <c r="D122" s="1622" t="s">
        <v>666</v>
      </c>
      <c r="E122" s="1622"/>
      <c r="F122" s="333"/>
      <c r="G122" s="101"/>
      <c r="H122" s="102"/>
      <c r="I122" s="331"/>
      <c r="J122" s="330">
        <v>300000</v>
      </c>
      <c r="K122" s="193"/>
      <c r="L122" s="193"/>
      <c r="M122" s="179"/>
      <c r="N122" s="179"/>
    </row>
    <row r="123" spans="1:14" s="313" customFormat="1" ht="37.5" customHeight="1" x14ac:dyDescent="0.25">
      <c r="A123" s="332"/>
      <c r="B123" s="524"/>
      <c r="C123" s="524"/>
      <c r="D123" s="1622" t="s">
        <v>667</v>
      </c>
      <c r="E123" s="1622"/>
      <c r="F123" s="333"/>
      <c r="G123" s="101"/>
      <c r="H123" s="102"/>
      <c r="I123" s="331"/>
      <c r="J123" s="331">
        <v>25000</v>
      </c>
      <c r="K123" s="193"/>
      <c r="L123" s="193"/>
      <c r="M123" s="179"/>
      <c r="N123" s="179"/>
    </row>
    <row r="124" spans="1:14" s="313" customFormat="1" ht="18.75" customHeight="1" x14ac:dyDescent="0.25">
      <c r="A124" s="332"/>
      <c r="B124" s="524"/>
      <c r="C124" s="524"/>
      <c r="D124" s="1622" t="s">
        <v>668</v>
      </c>
      <c r="E124" s="1622"/>
      <c r="F124" s="333"/>
      <c r="G124" s="101"/>
      <c r="H124" s="102"/>
      <c r="I124" s="331"/>
      <c r="J124" s="331">
        <v>20000</v>
      </c>
      <c r="K124" s="193"/>
      <c r="L124" s="193"/>
      <c r="M124" s="179"/>
      <c r="N124" s="179"/>
    </row>
    <row r="125" spans="1:14" s="313" customFormat="1" ht="34.5" customHeight="1" x14ac:dyDescent="0.25">
      <c r="A125" s="332"/>
      <c r="B125" s="524"/>
      <c r="C125" s="524"/>
      <c r="D125" s="1622" t="s">
        <v>669</v>
      </c>
      <c r="E125" s="1622"/>
      <c r="F125" s="333"/>
      <c r="G125" s="101"/>
      <c r="H125" s="102"/>
      <c r="I125" s="331"/>
      <c r="J125" s="331">
        <v>20000</v>
      </c>
      <c r="K125" s="193"/>
      <c r="L125" s="193"/>
      <c r="M125" s="179"/>
      <c r="N125" s="179"/>
    </row>
    <row r="126" spans="1:14" s="313" customFormat="1" ht="20.25" customHeight="1" x14ac:dyDescent="0.25">
      <c r="A126" s="332"/>
      <c r="B126" s="524"/>
      <c r="C126" s="524"/>
      <c r="D126" s="1622" t="s">
        <v>670</v>
      </c>
      <c r="E126" s="1622"/>
      <c r="F126" s="333"/>
      <c r="G126" s="101"/>
      <c r="H126" s="102"/>
      <c r="I126" s="331"/>
      <c r="J126" s="331"/>
      <c r="K126" s="193"/>
      <c r="L126" s="193"/>
      <c r="M126" s="179"/>
      <c r="N126" s="179"/>
    </row>
    <row r="127" spans="1:14" s="313" customFormat="1" ht="20.25" customHeight="1" x14ac:dyDescent="0.25">
      <c r="A127" s="332"/>
      <c r="B127" s="524"/>
      <c r="C127" s="524"/>
      <c r="D127" s="1622" t="s">
        <v>671</v>
      </c>
      <c r="E127" s="1622"/>
      <c r="F127" s="333"/>
      <c r="G127" s="101"/>
      <c r="H127" s="102"/>
      <c r="I127" s="331"/>
      <c r="J127" s="331">
        <v>30000</v>
      </c>
      <c r="K127" s="193"/>
      <c r="L127" s="193"/>
      <c r="M127" s="179"/>
      <c r="N127" s="179"/>
    </row>
    <row r="128" spans="1:14" s="313" customFormat="1" ht="20.25" customHeight="1" x14ac:dyDescent="0.25">
      <c r="A128" s="332"/>
      <c r="B128" s="524"/>
      <c r="C128" s="524"/>
      <c r="D128" s="1622" t="s">
        <v>672</v>
      </c>
      <c r="E128" s="1622"/>
      <c r="F128" s="333"/>
      <c r="G128" s="101"/>
      <c r="H128" s="102"/>
      <c r="I128" s="331"/>
      <c r="J128" s="331">
        <v>42000</v>
      </c>
      <c r="K128" s="193"/>
      <c r="L128" s="193"/>
      <c r="M128" s="179"/>
      <c r="N128" s="179"/>
    </row>
    <row r="129" spans="1:14" s="313" customFormat="1" ht="20.25" customHeight="1" x14ac:dyDescent="0.25">
      <c r="A129" s="332"/>
      <c r="B129" s="524"/>
      <c r="C129" s="524"/>
      <c r="D129" s="1622" t="s">
        <v>673</v>
      </c>
      <c r="E129" s="1622"/>
      <c r="F129" s="333"/>
      <c r="G129" s="101"/>
      <c r="H129" s="102"/>
      <c r="I129" s="331"/>
      <c r="J129" s="331"/>
      <c r="K129" s="193"/>
      <c r="L129" s="193"/>
      <c r="M129" s="179"/>
      <c r="N129" s="179"/>
    </row>
    <row r="130" spans="1:14" s="313" customFormat="1" ht="20.25" customHeight="1" x14ac:dyDescent="0.25">
      <c r="A130" s="332"/>
      <c r="B130" s="524"/>
      <c r="C130" s="524"/>
      <c r="D130" s="1622" t="s">
        <v>674</v>
      </c>
      <c r="E130" s="1622"/>
      <c r="F130" s="333"/>
      <c r="G130" s="101"/>
      <c r="H130" s="102"/>
      <c r="I130" s="331"/>
      <c r="J130" s="331">
        <v>50000</v>
      </c>
      <c r="K130" s="193"/>
      <c r="L130" s="193"/>
      <c r="M130" s="179"/>
      <c r="N130" s="179"/>
    </row>
    <row r="131" spans="1:14" s="313" customFormat="1" ht="20.25" customHeight="1" x14ac:dyDescent="0.25">
      <c r="A131" s="332"/>
      <c r="B131" s="524"/>
      <c r="C131" s="524"/>
      <c r="D131" s="1622" t="s">
        <v>675</v>
      </c>
      <c r="E131" s="1622"/>
      <c r="F131" s="333"/>
      <c r="G131" s="101"/>
      <c r="H131" s="102"/>
      <c r="I131" s="331"/>
      <c r="J131" s="331">
        <v>20000</v>
      </c>
      <c r="K131" s="193"/>
      <c r="L131" s="193"/>
      <c r="M131" s="179"/>
      <c r="N131" s="179"/>
    </row>
    <row r="132" spans="1:14" s="313" customFormat="1" ht="20.25" customHeight="1" x14ac:dyDescent="0.25">
      <c r="A132" s="332"/>
      <c r="B132" s="524"/>
      <c r="C132" s="524"/>
      <c r="D132" s="1622" t="s">
        <v>676</v>
      </c>
      <c r="E132" s="1622"/>
      <c r="F132" s="333"/>
      <c r="G132" s="101"/>
      <c r="H132" s="102"/>
      <c r="I132" s="331"/>
      <c r="J132" s="331">
        <v>100000</v>
      </c>
      <c r="K132" s="193"/>
      <c r="L132" s="193"/>
      <c r="M132" s="179"/>
      <c r="N132" s="179"/>
    </row>
    <row r="133" spans="1:14" s="313" customFormat="1" ht="37.5" customHeight="1" x14ac:dyDescent="0.25">
      <c r="A133" s="332"/>
      <c r="B133" s="524"/>
      <c r="C133" s="524"/>
      <c r="D133" s="1669" t="s">
        <v>677</v>
      </c>
      <c r="E133" s="1669"/>
      <c r="F133" s="333"/>
      <c r="G133" s="101"/>
      <c r="H133" s="102"/>
      <c r="I133" s="331"/>
      <c r="J133" s="331"/>
      <c r="K133" s="193"/>
      <c r="L133" s="193"/>
      <c r="M133" s="179"/>
      <c r="N133" s="179"/>
    </row>
    <row r="134" spans="1:14" s="313" customFormat="1" ht="20.25" customHeight="1" x14ac:dyDescent="0.25">
      <c r="A134" s="332"/>
      <c r="B134" s="524"/>
      <c r="C134" s="524"/>
      <c r="D134" s="1622" t="s">
        <v>678</v>
      </c>
      <c r="E134" s="1622"/>
      <c r="F134" s="333"/>
      <c r="G134" s="101"/>
      <c r="H134" s="102"/>
      <c r="I134" s="331"/>
      <c r="J134" s="331">
        <v>60000</v>
      </c>
      <c r="K134" s="193"/>
      <c r="L134" s="193"/>
      <c r="M134" s="179"/>
      <c r="N134" s="179"/>
    </row>
    <row r="135" spans="1:14" s="313" customFormat="1" ht="20.25" customHeight="1" x14ac:dyDescent="0.25">
      <c r="A135" s="332"/>
      <c r="B135" s="524"/>
      <c r="C135" s="524"/>
      <c r="D135" s="1622" t="s">
        <v>679</v>
      </c>
      <c r="E135" s="1622"/>
      <c r="F135" s="333"/>
      <c r="G135" s="101"/>
      <c r="H135" s="102"/>
      <c r="I135" s="331"/>
      <c r="J135" s="331">
        <v>30000</v>
      </c>
      <c r="K135" s="193"/>
      <c r="L135" s="193"/>
      <c r="M135" s="179"/>
      <c r="N135" s="179"/>
    </row>
    <row r="136" spans="1:14" s="313" customFormat="1" ht="20.25" customHeight="1" x14ac:dyDescent="0.25">
      <c r="A136" s="332"/>
      <c r="B136" s="524"/>
      <c r="C136" s="524"/>
      <c r="D136" s="1622" t="s">
        <v>680</v>
      </c>
      <c r="E136" s="1622"/>
      <c r="F136" s="333"/>
      <c r="G136" s="101"/>
      <c r="H136" s="102"/>
      <c r="I136" s="331"/>
      <c r="J136" s="331">
        <v>40000</v>
      </c>
      <c r="K136" s="193"/>
      <c r="L136" s="193"/>
      <c r="M136" s="179"/>
      <c r="N136" s="179"/>
    </row>
    <row r="137" spans="1:14" s="313" customFormat="1" ht="20.25" customHeight="1" x14ac:dyDescent="0.25">
      <c r="A137" s="332"/>
      <c r="B137" s="524"/>
      <c r="C137" s="524"/>
      <c r="D137" s="1622" t="s">
        <v>681</v>
      </c>
      <c r="E137" s="1622"/>
      <c r="F137" s="333"/>
      <c r="G137" s="101"/>
      <c r="H137" s="102"/>
      <c r="I137" s="331"/>
      <c r="J137" s="331">
        <v>30000</v>
      </c>
      <c r="K137" s="193"/>
      <c r="L137" s="193"/>
      <c r="M137" s="179"/>
      <c r="N137" s="179"/>
    </row>
    <row r="138" spans="1:14" s="313" customFormat="1" ht="36" customHeight="1" x14ac:dyDescent="0.25">
      <c r="A138" s="332"/>
      <c r="B138" s="524"/>
      <c r="C138" s="524"/>
      <c r="D138" s="1622" t="s">
        <v>682</v>
      </c>
      <c r="E138" s="1622"/>
      <c r="F138" s="333"/>
      <c r="G138" s="101"/>
      <c r="H138" s="102"/>
      <c r="I138" s="331"/>
      <c r="J138" s="331">
        <v>30000</v>
      </c>
      <c r="K138" s="193"/>
      <c r="L138" s="193"/>
      <c r="M138" s="179"/>
      <c r="N138" s="179"/>
    </row>
    <row r="139" spans="1:14" ht="18" x14ac:dyDescent="0.25">
      <c r="A139" s="495"/>
      <c r="B139" s="496"/>
      <c r="C139" s="496"/>
      <c r="D139" s="1611" t="s">
        <v>683</v>
      </c>
      <c r="E139" s="1611"/>
      <c r="F139" s="97"/>
      <c r="G139" s="101">
        <v>0</v>
      </c>
      <c r="H139" s="102">
        <v>434000</v>
      </c>
      <c r="I139" s="331"/>
      <c r="J139" s="331"/>
    </row>
    <row r="140" spans="1:14" ht="18" x14ac:dyDescent="0.25">
      <c r="A140" s="495"/>
      <c r="B140" s="496"/>
      <c r="C140" s="496"/>
      <c r="D140" s="1611" t="s">
        <v>684</v>
      </c>
      <c r="E140" s="1611"/>
      <c r="F140" s="97"/>
      <c r="G140" s="101">
        <v>0</v>
      </c>
      <c r="H140" s="102">
        <v>25000</v>
      </c>
      <c r="I140" s="331"/>
      <c r="J140" s="331">
        <v>25000</v>
      </c>
    </row>
    <row r="141" spans="1:14" s="179" customFormat="1" ht="20.25" customHeight="1" x14ac:dyDescent="0.25">
      <c r="A141" s="332"/>
      <c r="B141" s="524"/>
      <c r="C141" s="524"/>
      <c r="D141" s="1622" t="s">
        <v>685</v>
      </c>
      <c r="E141" s="1622"/>
      <c r="F141" s="333"/>
      <c r="G141" s="101"/>
      <c r="H141" s="102"/>
      <c r="I141" s="331"/>
      <c r="J141" s="331">
        <v>40000</v>
      </c>
      <c r="K141" s="193"/>
      <c r="L141" s="193"/>
    </row>
    <row r="142" spans="1:14" ht="18" x14ac:dyDescent="0.25">
      <c r="A142" s="495"/>
      <c r="B142" s="496"/>
      <c r="C142" s="496"/>
      <c r="D142" s="1611" t="s">
        <v>686</v>
      </c>
      <c r="E142" s="1611"/>
      <c r="F142" s="97"/>
      <c r="G142" s="334">
        <v>11956800</v>
      </c>
      <c r="H142" s="102">
        <v>25200000</v>
      </c>
      <c r="I142" s="331"/>
      <c r="J142" s="334">
        <v>25200000</v>
      </c>
    </row>
    <row r="143" spans="1:14" ht="18" x14ac:dyDescent="0.25">
      <c r="A143" s="495"/>
      <c r="B143" s="496"/>
      <c r="C143" s="496"/>
      <c r="D143" s="536" t="s">
        <v>687</v>
      </c>
      <c r="E143" s="499"/>
      <c r="F143" s="97"/>
      <c r="G143" s="334">
        <v>1000000</v>
      </c>
      <c r="H143" s="102">
        <v>0</v>
      </c>
      <c r="I143" s="331"/>
      <c r="J143" s="331"/>
    </row>
    <row r="144" spans="1:14" ht="18" x14ac:dyDescent="0.25">
      <c r="A144" s="495"/>
      <c r="B144" s="496"/>
      <c r="C144" s="496"/>
      <c r="D144" s="536" t="s">
        <v>688</v>
      </c>
      <c r="E144" s="499"/>
      <c r="F144" s="97"/>
      <c r="G144" s="334"/>
      <c r="H144" s="102">
        <v>2000000</v>
      </c>
      <c r="I144" s="331">
        <v>1000000</v>
      </c>
      <c r="J144" s="331">
        <v>2000000</v>
      </c>
    </row>
    <row r="145" spans="1:12" ht="18" x14ac:dyDescent="0.25">
      <c r="A145" s="495"/>
      <c r="B145" s="496"/>
      <c r="C145" s="496"/>
      <c r="D145" s="536" t="s">
        <v>689</v>
      </c>
      <c r="E145" s="499"/>
      <c r="F145" s="97"/>
      <c r="G145" s="335"/>
      <c r="H145" s="106">
        <v>300000</v>
      </c>
      <c r="I145" s="336"/>
      <c r="J145" s="336"/>
    </row>
    <row r="146" spans="1:12" ht="18" x14ac:dyDescent="0.25">
      <c r="A146" s="495"/>
      <c r="B146" s="496"/>
      <c r="C146" s="496"/>
      <c r="D146" s="1620" t="s">
        <v>161</v>
      </c>
      <c r="E146" s="1620"/>
      <c r="F146" s="97"/>
      <c r="G146" s="562">
        <f>SUM(G111:G145)</f>
        <v>16550848</v>
      </c>
      <c r="H146" s="563">
        <f>SUM(H111:H145)</f>
        <v>37199000</v>
      </c>
      <c r="I146" s="564">
        <f>SUM(I111:I145)</f>
        <v>2773080</v>
      </c>
      <c r="J146" s="564">
        <f>SUM(J111:J145)</f>
        <v>37402000</v>
      </c>
    </row>
    <row r="147" spans="1:12" ht="18" x14ac:dyDescent="0.25">
      <c r="A147" s="495"/>
      <c r="B147" s="496"/>
      <c r="C147" s="496"/>
      <c r="D147" s="496"/>
      <c r="E147" s="496"/>
      <c r="F147" s="97"/>
      <c r="G147" s="565"/>
      <c r="H147" s="566"/>
      <c r="I147" s="567"/>
      <c r="J147" s="567"/>
    </row>
    <row r="148" spans="1:12" ht="18" x14ac:dyDescent="0.25">
      <c r="A148" s="495"/>
      <c r="B148" s="496"/>
      <c r="C148" s="496"/>
      <c r="D148" s="1620" t="s">
        <v>691</v>
      </c>
      <c r="E148" s="1620"/>
      <c r="F148" s="97"/>
      <c r="G148" s="98"/>
      <c r="H148" s="99"/>
      <c r="I148" s="98"/>
      <c r="J148" s="98"/>
    </row>
    <row r="149" spans="1:12" s="191" customFormat="1" ht="59.25" customHeight="1" x14ac:dyDescent="0.25">
      <c r="A149" s="519"/>
      <c r="B149" s="499"/>
      <c r="C149" s="499"/>
      <c r="D149" s="1602" t="s">
        <v>692</v>
      </c>
      <c r="E149" s="1603"/>
      <c r="F149" s="97"/>
      <c r="G149" s="341"/>
      <c r="H149" s="342">
        <v>1800000</v>
      </c>
      <c r="I149" s="341"/>
      <c r="J149" s="343">
        <v>0</v>
      </c>
      <c r="K149" s="10"/>
      <c r="L149" s="10"/>
    </row>
    <row r="150" spans="1:12" ht="18" x14ac:dyDescent="0.25">
      <c r="A150" s="519"/>
      <c r="B150" s="499"/>
      <c r="C150" s="499"/>
      <c r="D150" s="1620" t="s">
        <v>161</v>
      </c>
      <c r="E150" s="1620"/>
      <c r="F150" s="568"/>
      <c r="G150" s="569">
        <f>SUM(G149:G149)</f>
        <v>0</v>
      </c>
      <c r="H150" s="569">
        <f>SUM(H149:H149)</f>
        <v>1800000</v>
      </c>
      <c r="I150" s="569">
        <f>SUM(I149:I149)</f>
        <v>0</v>
      </c>
      <c r="J150" s="569">
        <f>SUM(J149:J149)</f>
        <v>0</v>
      </c>
    </row>
    <row r="151" spans="1:12" ht="18.75" thickBot="1" x14ac:dyDescent="0.3">
      <c r="A151" s="497"/>
      <c r="B151" s="498"/>
      <c r="C151" s="498"/>
      <c r="D151" s="346"/>
      <c r="E151" s="523"/>
      <c r="F151" s="216"/>
      <c r="G151" s="570"/>
      <c r="H151" s="571"/>
      <c r="I151" s="570"/>
      <c r="J151" s="570"/>
    </row>
    <row r="152" spans="1:12" ht="18" x14ac:dyDescent="0.25">
      <c r="A152" s="496"/>
      <c r="B152" s="496"/>
      <c r="C152" s="496"/>
      <c r="D152" s="337"/>
      <c r="E152" s="520"/>
      <c r="F152" s="125"/>
      <c r="G152" s="338"/>
      <c r="H152" s="339"/>
      <c r="I152" s="338"/>
      <c r="J152" s="338"/>
    </row>
    <row r="153" spans="1:12" ht="18" x14ac:dyDescent="0.25">
      <c r="A153" s="496"/>
      <c r="B153" s="496"/>
      <c r="C153" s="496"/>
      <c r="D153" s="337"/>
      <c r="E153" s="520"/>
      <c r="F153" s="125"/>
      <c r="G153" s="338"/>
      <c r="H153" s="339"/>
      <c r="I153" s="338"/>
      <c r="J153" s="338"/>
    </row>
    <row r="154" spans="1:12" ht="18" x14ac:dyDescent="0.25">
      <c r="A154" s="496"/>
      <c r="B154" s="496"/>
      <c r="C154" s="496"/>
      <c r="D154" s="337"/>
      <c r="E154" s="520"/>
      <c r="F154" s="125"/>
      <c r="G154" s="338"/>
      <c r="H154" s="339"/>
      <c r="I154" s="338"/>
      <c r="J154" s="338"/>
    </row>
    <row r="155" spans="1:12" ht="18" x14ac:dyDescent="0.25">
      <c r="A155" s="496"/>
      <c r="B155" s="496"/>
      <c r="C155" s="496"/>
      <c r="D155" s="337"/>
      <c r="E155" s="520"/>
      <c r="F155" s="125"/>
      <c r="G155" s="338"/>
      <c r="H155" s="339"/>
      <c r="I155" s="338"/>
      <c r="J155" s="338"/>
    </row>
    <row r="156" spans="1:12" ht="18" customHeight="1" x14ac:dyDescent="0.25">
      <c r="A156" s="8" t="s">
        <v>112</v>
      </c>
    </row>
    <row r="157" spans="1:12" ht="18" customHeight="1" x14ac:dyDescent="0.25">
      <c r="A157" s="8" t="s">
        <v>690</v>
      </c>
    </row>
    <row r="158" spans="1:12" ht="18" customHeight="1" x14ac:dyDescent="0.25">
      <c r="A158" s="1636" t="s">
        <v>113</v>
      </c>
      <c r="B158" s="1636"/>
      <c r="C158" s="1636"/>
      <c r="D158" s="1636"/>
      <c r="E158" s="1636"/>
      <c r="F158" s="1636"/>
      <c r="G158" s="1636"/>
      <c r="H158" s="1636"/>
      <c r="I158" s="1636"/>
      <c r="J158" s="1636"/>
    </row>
    <row r="159" spans="1:12" s="7" customFormat="1" ht="18" customHeight="1" x14ac:dyDescent="0.25">
      <c r="A159" s="1624" t="s">
        <v>114</v>
      </c>
      <c r="B159" s="1624"/>
      <c r="C159" s="1624"/>
      <c r="D159" s="1624"/>
      <c r="E159" s="1624"/>
      <c r="F159" s="1624"/>
      <c r="G159" s="1624"/>
      <c r="H159" s="1624"/>
      <c r="I159" s="1624"/>
      <c r="J159" s="1624"/>
      <c r="K159" s="6"/>
      <c r="L159" s="6"/>
    </row>
    <row r="160" spans="1:12" s="7" customFormat="1" ht="18" customHeight="1" thickBot="1" x14ac:dyDescent="0.3">
      <c r="A160" s="500"/>
      <c r="B160" s="500"/>
      <c r="C160" s="500"/>
      <c r="D160" s="159"/>
      <c r="E160" s="500"/>
      <c r="F160" s="500"/>
      <c r="G160" s="500"/>
      <c r="H160" s="500"/>
      <c r="I160" s="196"/>
      <c r="J160" s="500"/>
      <c r="K160" s="6"/>
      <c r="L160" s="6"/>
    </row>
    <row r="161" spans="1:14" s="146" customFormat="1" ht="63.75" customHeight="1" thickBot="1" x14ac:dyDescent="0.3">
      <c r="A161" s="1625" t="s">
        <v>115</v>
      </c>
      <c r="B161" s="1626"/>
      <c r="C161" s="1626"/>
      <c r="D161" s="1626"/>
      <c r="E161" s="1626"/>
      <c r="F161" s="501" t="s">
        <v>116</v>
      </c>
      <c r="G161" s="130" t="s">
        <v>117</v>
      </c>
      <c r="H161" s="130" t="s">
        <v>118</v>
      </c>
      <c r="I161" s="130" t="s">
        <v>119</v>
      </c>
      <c r="J161" s="130" t="s">
        <v>120</v>
      </c>
      <c r="K161" s="10"/>
      <c r="L161" s="10"/>
      <c r="M161"/>
      <c r="N161"/>
    </row>
    <row r="162" spans="1:14" ht="18" x14ac:dyDescent="0.25">
      <c r="A162" s="519"/>
      <c r="B162" s="499"/>
      <c r="C162" s="499"/>
      <c r="D162" s="1620" t="s">
        <v>693</v>
      </c>
      <c r="E162" s="1620"/>
      <c r="F162" s="131"/>
      <c r="G162" s="155"/>
      <c r="H162" s="156"/>
      <c r="I162" s="155"/>
      <c r="J162" s="155"/>
    </row>
    <row r="163" spans="1:14" s="344" customFormat="1" ht="35.25" customHeight="1" x14ac:dyDescent="0.25">
      <c r="A163" s="173"/>
      <c r="B163" s="505"/>
      <c r="C163" s="505"/>
      <c r="D163" s="1622" t="s">
        <v>694</v>
      </c>
      <c r="E163" s="1622"/>
      <c r="F163" s="176"/>
      <c r="G163" s="101"/>
      <c r="H163" s="102"/>
      <c r="I163" s="101"/>
      <c r="J163" s="101">
        <v>150000</v>
      </c>
      <c r="K163" s="193"/>
      <c r="L163" s="193"/>
    </row>
    <row r="164" spans="1:14" s="344" customFormat="1" ht="18" x14ac:dyDescent="0.25">
      <c r="A164" s="173"/>
      <c r="B164" s="505"/>
      <c r="C164" s="505"/>
      <c r="D164" s="1622" t="s">
        <v>695</v>
      </c>
      <c r="E164" s="1622"/>
      <c r="F164" s="176"/>
      <c r="G164" s="101"/>
      <c r="H164" s="102"/>
      <c r="I164" s="101"/>
      <c r="J164" s="101">
        <v>150000</v>
      </c>
      <c r="K164" s="193"/>
      <c r="L164" s="193"/>
    </row>
    <row r="165" spans="1:14" s="344" customFormat="1" ht="18" x14ac:dyDescent="0.25">
      <c r="A165" s="173"/>
      <c r="B165" s="505"/>
      <c r="C165" s="505"/>
      <c r="D165" s="1622" t="s">
        <v>696</v>
      </c>
      <c r="E165" s="1622"/>
      <c r="F165" s="176"/>
      <c r="G165" s="101"/>
      <c r="H165" s="102"/>
      <c r="I165" s="101"/>
      <c r="J165" s="101">
        <v>250000</v>
      </c>
      <c r="K165" s="193"/>
      <c r="L165" s="193"/>
    </row>
    <row r="166" spans="1:14" s="344" customFormat="1" ht="18" x14ac:dyDescent="0.25">
      <c r="A166" s="173"/>
      <c r="B166" s="505"/>
      <c r="C166" s="505"/>
      <c r="D166" s="1622" t="s">
        <v>697</v>
      </c>
      <c r="E166" s="1622"/>
      <c r="F166" s="176"/>
      <c r="G166" s="101"/>
      <c r="H166" s="102"/>
      <c r="I166" s="101"/>
      <c r="J166" s="101">
        <v>200000</v>
      </c>
      <c r="K166" s="193"/>
      <c r="L166" s="193"/>
    </row>
    <row r="167" spans="1:14" s="344" customFormat="1" ht="35.25" customHeight="1" x14ac:dyDescent="0.25">
      <c r="A167" s="173"/>
      <c r="B167" s="505"/>
      <c r="C167" s="505"/>
      <c r="D167" s="1622" t="s">
        <v>698</v>
      </c>
      <c r="E167" s="1622"/>
      <c r="F167" s="176"/>
      <c r="G167" s="101"/>
      <c r="H167" s="102"/>
      <c r="I167" s="101"/>
      <c r="J167" s="101">
        <v>100000</v>
      </c>
      <c r="K167" s="193"/>
      <c r="L167" s="193"/>
    </row>
    <row r="168" spans="1:14" s="344" customFormat="1" ht="36" customHeight="1" x14ac:dyDescent="0.25">
      <c r="A168" s="173"/>
      <c r="B168" s="505"/>
      <c r="C168" s="505"/>
      <c r="D168" s="1622" t="s">
        <v>699</v>
      </c>
      <c r="E168" s="1622"/>
      <c r="F168" s="176"/>
      <c r="G168" s="101"/>
      <c r="H168" s="102"/>
      <c r="I168" s="101"/>
      <c r="J168" s="101">
        <v>210000</v>
      </c>
      <c r="K168" s="193"/>
      <c r="L168" s="193"/>
    </row>
    <row r="169" spans="1:14" s="344" customFormat="1" ht="37.5" customHeight="1" x14ac:dyDescent="0.25">
      <c r="A169" s="173"/>
      <c r="B169" s="505"/>
      <c r="C169" s="505"/>
      <c r="D169" s="1622" t="s">
        <v>700</v>
      </c>
      <c r="E169" s="1622"/>
      <c r="F169" s="176"/>
      <c r="G169" s="101"/>
      <c r="H169" s="102"/>
      <c r="I169" s="101"/>
      <c r="J169" s="101">
        <v>110000</v>
      </c>
      <c r="K169" s="193"/>
      <c r="L169" s="193"/>
    </row>
    <row r="170" spans="1:14" s="208" customFormat="1" ht="36" customHeight="1" x14ac:dyDescent="0.25">
      <c r="A170" s="154"/>
      <c r="B170" s="502"/>
      <c r="C170" s="502"/>
      <c r="D170" s="1611" t="s">
        <v>701</v>
      </c>
      <c r="E170" s="1611"/>
      <c r="F170" s="131"/>
      <c r="G170" s="101"/>
      <c r="H170" s="102">
        <v>60000</v>
      </c>
      <c r="I170" s="101"/>
      <c r="J170" s="101"/>
      <c r="K170" s="207"/>
      <c r="L170" s="207"/>
    </row>
    <row r="171" spans="1:14" s="208" customFormat="1" ht="18" x14ac:dyDescent="0.25">
      <c r="A171" s="154"/>
      <c r="B171" s="502"/>
      <c r="C171" s="502"/>
      <c r="D171" s="536" t="s">
        <v>702</v>
      </c>
      <c r="E171" s="499"/>
      <c r="F171" s="131"/>
      <c r="G171" s="101"/>
      <c r="H171" s="102">
        <v>50000</v>
      </c>
      <c r="I171" s="101">
        <v>3349</v>
      </c>
      <c r="J171" s="101"/>
      <c r="K171" s="207"/>
      <c r="L171" s="207"/>
    </row>
    <row r="172" spans="1:14" s="208" customFormat="1" ht="36.75" customHeight="1" x14ac:dyDescent="0.25">
      <c r="A172" s="154"/>
      <c r="B172" s="502"/>
      <c r="C172" s="502"/>
      <c r="D172" s="1611" t="s">
        <v>703</v>
      </c>
      <c r="E172" s="1611"/>
      <c r="F172" s="131"/>
      <c r="G172" s="101"/>
      <c r="H172" s="102">
        <v>65000</v>
      </c>
      <c r="I172" s="101">
        <v>5459</v>
      </c>
      <c r="J172" s="101"/>
      <c r="K172" s="207"/>
      <c r="L172" s="207"/>
    </row>
    <row r="173" spans="1:14" s="208" customFormat="1" ht="38.25" customHeight="1" x14ac:dyDescent="0.25">
      <c r="A173" s="154"/>
      <c r="B173" s="502"/>
      <c r="C173" s="502"/>
      <c r="D173" s="1611" t="s">
        <v>704</v>
      </c>
      <c r="E173" s="1611"/>
      <c r="F173" s="131"/>
      <c r="G173" s="101"/>
      <c r="H173" s="102">
        <v>140000</v>
      </c>
      <c r="I173" s="101">
        <v>22488</v>
      </c>
      <c r="J173" s="101"/>
      <c r="K173" s="207"/>
      <c r="L173" s="207"/>
    </row>
    <row r="174" spans="1:14" s="208" customFormat="1" ht="18" x14ac:dyDescent="0.25">
      <c r="A174" s="154"/>
      <c r="B174" s="502"/>
      <c r="C174" s="502"/>
      <c r="D174" s="536" t="s">
        <v>705</v>
      </c>
      <c r="E174" s="499"/>
      <c r="F174" s="131"/>
      <c r="G174" s="101"/>
      <c r="H174" s="102">
        <v>35000</v>
      </c>
      <c r="I174" s="101"/>
      <c r="J174" s="101"/>
      <c r="K174" s="207"/>
      <c r="L174" s="207"/>
    </row>
    <row r="175" spans="1:14" s="208" customFormat="1" ht="18" x14ac:dyDescent="0.25">
      <c r="A175" s="154"/>
      <c r="B175" s="502"/>
      <c r="C175" s="502"/>
      <c r="D175" s="536" t="s">
        <v>706</v>
      </c>
      <c r="E175" s="499"/>
      <c r="F175" s="131"/>
      <c r="G175" s="101"/>
      <c r="H175" s="102">
        <v>150000</v>
      </c>
      <c r="I175" s="101"/>
      <c r="J175" s="101"/>
      <c r="K175" s="207"/>
      <c r="L175" s="207"/>
    </row>
    <row r="176" spans="1:14" s="208" customFormat="1" ht="35.25" customHeight="1" x14ac:dyDescent="0.25">
      <c r="A176" s="154"/>
      <c r="B176" s="502"/>
      <c r="C176" s="502"/>
      <c r="D176" s="1611" t="s">
        <v>707</v>
      </c>
      <c r="E176" s="1611"/>
      <c r="F176" s="131"/>
      <c r="G176" s="101"/>
      <c r="H176" s="102">
        <v>160000</v>
      </c>
      <c r="I176" s="101">
        <v>5757</v>
      </c>
      <c r="J176" s="101"/>
      <c r="K176" s="207"/>
      <c r="L176" s="207"/>
    </row>
    <row r="177" spans="1:14" s="208" customFormat="1" ht="18" x14ac:dyDescent="0.25">
      <c r="A177" s="154"/>
      <c r="B177" s="502"/>
      <c r="C177" s="502"/>
      <c r="D177" s="536" t="s">
        <v>708</v>
      </c>
      <c r="E177" s="499"/>
      <c r="F177" s="131"/>
      <c r="G177" s="101"/>
      <c r="H177" s="102">
        <v>190000</v>
      </c>
      <c r="I177" s="101"/>
      <c r="J177" s="101"/>
      <c r="K177" s="207"/>
      <c r="L177" s="207"/>
    </row>
    <row r="178" spans="1:14" s="208" customFormat="1" ht="18" x14ac:dyDescent="0.25">
      <c r="A178" s="154"/>
      <c r="B178" s="502"/>
      <c r="C178" s="502"/>
      <c r="D178" s="536" t="s">
        <v>709</v>
      </c>
      <c r="E178" s="499"/>
      <c r="F178" s="131"/>
      <c r="G178" s="101"/>
      <c r="H178" s="102">
        <v>55000</v>
      </c>
      <c r="I178" s="101"/>
      <c r="J178" s="101"/>
      <c r="K178" s="207"/>
      <c r="L178" s="207"/>
    </row>
    <row r="179" spans="1:14" s="208" customFormat="1" ht="36.75" customHeight="1" x14ac:dyDescent="0.25">
      <c r="A179" s="154"/>
      <c r="B179" s="502"/>
      <c r="C179" s="502"/>
      <c r="D179" s="1611" t="s">
        <v>710</v>
      </c>
      <c r="E179" s="1611"/>
      <c r="F179" s="131"/>
      <c r="G179" s="101"/>
      <c r="H179" s="102">
        <v>40000</v>
      </c>
      <c r="I179" s="101"/>
      <c r="J179" s="101"/>
      <c r="K179" s="207"/>
      <c r="L179" s="207"/>
    </row>
    <row r="180" spans="1:14" s="208" customFormat="1" ht="39.75" customHeight="1" x14ac:dyDescent="0.25">
      <c r="A180" s="154"/>
      <c r="B180" s="502"/>
      <c r="C180" s="502"/>
      <c r="D180" s="1611" t="s">
        <v>711</v>
      </c>
      <c r="E180" s="1611"/>
      <c r="F180" s="131"/>
      <c r="G180" s="101"/>
      <c r="H180" s="102">
        <v>70000</v>
      </c>
      <c r="I180" s="101"/>
      <c r="J180" s="101"/>
      <c r="K180" s="207"/>
      <c r="L180" s="207"/>
    </row>
    <row r="181" spans="1:14" s="208" customFormat="1" ht="20.25" customHeight="1" x14ac:dyDescent="0.25">
      <c r="A181" s="154"/>
      <c r="B181" s="502"/>
      <c r="C181" s="502"/>
      <c r="D181" s="1622" t="s">
        <v>712</v>
      </c>
      <c r="E181" s="1622"/>
      <c r="F181" s="131"/>
      <c r="G181" s="101"/>
      <c r="H181" s="102">
        <v>85000</v>
      </c>
      <c r="I181" s="101"/>
      <c r="J181" s="101"/>
      <c r="K181" s="207"/>
      <c r="L181" s="207"/>
    </row>
    <row r="182" spans="1:14" s="208" customFormat="1" ht="36" customHeight="1" x14ac:dyDescent="0.25">
      <c r="A182" s="154"/>
      <c r="B182" s="502"/>
      <c r="C182" s="502"/>
      <c r="D182" s="1611" t="s">
        <v>713</v>
      </c>
      <c r="E182" s="1611"/>
      <c r="F182" s="131"/>
      <c r="G182" s="101"/>
      <c r="H182" s="102">
        <v>90000</v>
      </c>
      <c r="I182" s="101">
        <v>25651</v>
      </c>
      <c r="J182" s="101"/>
      <c r="K182" s="207"/>
      <c r="L182" s="207"/>
    </row>
    <row r="183" spans="1:14" s="208" customFormat="1" ht="36.75" customHeight="1" x14ac:dyDescent="0.25">
      <c r="A183" s="154"/>
      <c r="B183" s="502"/>
      <c r="C183" s="502"/>
      <c r="D183" s="1611" t="s">
        <v>714</v>
      </c>
      <c r="E183" s="1611"/>
      <c r="F183" s="131"/>
      <c r="G183" s="101"/>
      <c r="H183" s="102">
        <v>70000</v>
      </c>
      <c r="I183" s="101"/>
      <c r="J183" s="101"/>
      <c r="K183" s="207"/>
      <c r="L183" s="207"/>
    </row>
    <row r="184" spans="1:14" s="208" customFormat="1" ht="33.75" customHeight="1" x14ac:dyDescent="0.25">
      <c r="A184" s="154"/>
      <c r="B184" s="502"/>
      <c r="C184" s="502"/>
      <c r="D184" s="1622" t="s">
        <v>715</v>
      </c>
      <c r="E184" s="1622"/>
      <c r="F184" s="131"/>
      <c r="G184" s="101"/>
      <c r="H184" s="102">
        <v>110000</v>
      </c>
      <c r="I184" s="101"/>
      <c r="J184" s="101"/>
      <c r="K184" s="207"/>
      <c r="L184" s="207"/>
    </row>
    <row r="185" spans="1:14" s="208" customFormat="1" ht="36.75" customHeight="1" x14ac:dyDescent="0.25">
      <c r="A185" s="154"/>
      <c r="B185" s="502"/>
      <c r="C185" s="502"/>
      <c r="D185" s="1611" t="s">
        <v>716</v>
      </c>
      <c r="E185" s="1611"/>
      <c r="F185" s="131"/>
      <c r="G185" s="101"/>
      <c r="H185" s="102">
        <v>220000</v>
      </c>
      <c r="I185" s="101"/>
      <c r="J185" s="101"/>
      <c r="K185" s="207"/>
      <c r="L185" s="207"/>
    </row>
    <row r="186" spans="1:14" ht="18" x14ac:dyDescent="0.25">
      <c r="A186" s="519"/>
      <c r="B186" s="499"/>
      <c r="C186" s="499"/>
      <c r="D186" s="1611" t="s">
        <v>717</v>
      </c>
      <c r="E186" s="1611"/>
      <c r="F186" s="131"/>
      <c r="G186" s="336">
        <v>8680</v>
      </c>
      <c r="H186" s="345"/>
      <c r="I186" s="336"/>
      <c r="J186" s="336"/>
    </row>
    <row r="187" spans="1:14" s="146" customFormat="1" ht="18" x14ac:dyDescent="0.25">
      <c r="A187" s="519"/>
      <c r="B187" s="499"/>
      <c r="C187" s="499"/>
      <c r="D187" s="1620" t="s">
        <v>161</v>
      </c>
      <c r="E187" s="1620"/>
      <c r="F187" s="131"/>
      <c r="G187" s="155">
        <f>SUM(G186:G186)</f>
        <v>8680</v>
      </c>
      <c r="H187" s="156">
        <f>SUM(H170:H186)</f>
        <v>1590000</v>
      </c>
      <c r="I187" s="156">
        <f>SUM(I170:I186)</f>
        <v>62704</v>
      </c>
      <c r="J187" s="155">
        <f>SUM(J162:J186)</f>
        <v>1170000</v>
      </c>
      <c r="K187" s="10"/>
      <c r="L187" s="10"/>
      <c r="M187"/>
      <c r="N187"/>
    </row>
    <row r="188" spans="1:14" s="146" customFormat="1" ht="18" x14ac:dyDescent="0.25">
      <c r="A188" s="519"/>
      <c r="B188" s="499"/>
      <c r="C188" s="499"/>
      <c r="D188" s="496"/>
      <c r="E188" s="496"/>
      <c r="F188" s="131"/>
      <c r="G188" s="155"/>
      <c r="H188" s="156"/>
      <c r="I188" s="156"/>
      <c r="J188" s="155"/>
      <c r="K188" s="10"/>
      <c r="L188" s="10"/>
      <c r="M188"/>
      <c r="N188"/>
    </row>
    <row r="189" spans="1:14" s="146" customFormat="1" ht="16.5" customHeight="1" x14ac:dyDescent="0.25">
      <c r="A189" s="519"/>
      <c r="B189" s="499"/>
      <c r="C189" s="499"/>
      <c r="D189" s="1621" t="s">
        <v>719</v>
      </c>
      <c r="E189" s="1666"/>
      <c r="F189" s="131"/>
      <c r="G189" s="101"/>
      <c r="H189" s="102"/>
      <c r="I189" s="101"/>
      <c r="J189" s="101"/>
      <c r="K189" s="10"/>
      <c r="L189" s="10"/>
      <c r="M189"/>
      <c r="N189"/>
    </row>
    <row r="190" spans="1:14" s="347" customFormat="1" ht="16.5" customHeight="1" x14ac:dyDescent="0.25">
      <c r="A190" s="173"/>
      <c r="B190" s="505"/>
      <c r="C190" s="505"/>
      <c r="D190" s="1622" t="s">
        <v>720</v>
      </c>
      <c r="E190" s="1648"/>
      <c r="F190" s="176"/>
      <c r="G190" s="101"/>
      <c r="H190" s="102"/>
      <c r="I190" s="101"/>
      <c r="J190" s="101">
        <v>2500000</v>
      </c>
      <c r="K190" s="193"/>
      <c r="L190" s="193"/>
      <c r="M190" s="344"/>
      <c r="N190" s="344"/>
    </row>
    <row r="191" spans="1:14" s="347" customFormat="1" ht="36" customHeight="1" x14ac:dyDescent="0.25">
      <c r="A191" s="173"/>
      <c r="B191" s="505"/>
      <c r="C191" s="505"/>
      <c r="D191" s="1622" t="s">
        <v>721</v>
      </c>
      <c r="E191" s="1648"/>
      <c r="F191" s="176"/>
      <c r="G191" s="101"/>
      <c r="H191" s="102"/>
      <c r="I191" s="101"/>
      <c r="J191" s="101">
        <v>500000</v>
      </c>
      <c r="K191" s="193"/>
      <c r="L191" s="193"/>
      <c r="M191" s="344"/>
      <c r="N191" s="344"/>
    </row>
    <row r="192" spans="1:14" s="347" customFormat="1" ht="36" customHeight="1" x14ac:dyDescent="0.25">
      <c r="A192" s="173"/>
      <c r="B192" s="505"/>
      <c r="C192" s="505"/>
      <c r="D192" s="1622" t="s">
        <v>722</v>
      </c>
      <c r="E192" s="1648"/>
      <c r="F192" s="176"/>
      <c r="G192" s="101"/>
      <c r="H192" s="102"/>
      <c r="I192" s="101"/>
      <c r="J192" s="101">
        <v>1000000</v>
      </c>
      <c r="K192" s="193"/>
      <c r="L192" s="193"/>
      <c r="M192" s="344"/>
      <c r="N192" s="344"/>
    </row>
    <row r="193" spans="1:14" s="347" customFormat="1" ht="36" customHeight="1" x14ac:dyDescent="0.25">
      <c r="A193" s="173"/>
      <c r="B193" s="505"/>
      <c r="C193" s="505"/>
      <c r="D193" s="1622" t="s">
        <v>723</v>
      </c>
      <c r="E193" s="1648"/>
      <c r="F193" s="176"/>
      <c r="G193" s="101"/>
      <c r="H193" s="102"/>
      <c r="I193" s="101"/>
      <c r="J193" s="101">
        <v>200000</v>
      </c>
      <c r="K193" s="193"/>
      <c r="L193" s="193"/>
      <c r="M193" s="344"/>
      <c r="N193" s="344"/>
    </row>
    <row r="194" spans="1:14" s="146" customFormat="1" ht="18" x14ac:dyDescent="0.25">
      <c r="A194" s="519"/>
      <c r="B194" s="499"/>
      <c r="C194" s="499"/>
      <c r="D194" s="1602" t="s">
        <v>724</v>
      </c>
      <c r="E194" s="1603"/>
      <c r="F194" s="131"/>
      <c r="G194" s="101"/>
      <c r="H194" s="102">
        <v>1000000</v>
      </c>
      <c r="I194" s="101"/>
      <c r="J194" s="101"/>
      <c r="K194" s="10"/>
      <c r="L194" s="10"/>
      <c r="M194"/>
      <c r="N194"/>
    </row>
    <row r="195" spans="1:14" s="146" customFormat="1" ht="18" x14ac:dyDescent="0.25">
      <c r="A195" s="519"/>
      <c r="B195" s="499"/>
      <c r="C195" s="499"/>
      <c r="D195" s="1602" t="s">
        <v>725</v>
      </c>
      <c r="E195" s="1603"/>
      <c r="F195" s="131"/>
      <c r="G195" s="105"/>
      <c r="H195" s="106">
        <v>100000</v>
      </c>
      <c r="I195" s="105"/>
      <c r="J195" s="105"/>
      <c r="K195" s="10"/>
      <c r="L195" s="10"/>
      <c r="M195"/>
      <c r="N195"/>
    </row>
    <row r="196" spans="1:14" s="146" customFormat="1" ht="18" x14ac:dyDescent="0.25">
      <c r="A196" s="519"/>
      <c r="B196" s="499"/>
      <c r="C196" s="499"/>
      <c r="D196" s="1620" t="s">
        <v>161</v>
      </c>
      <c r="E196" s="1620"/>
      <c r="F196" s="131"/>
      <c r="G196" s="155"/>
      <c r="H196" s="156">
        <f>SUM(H194:H195)</f>
        <v>1100000</v>
      </c>
      <c r="I196" s="155">
        <f>SUM(I194:I195)</f>
        <v>0</v>
      </c>
      <c r="J196" s="155">
        <f>SUM(J190:J195)</f>
        <v>4200000</v>
      </c>
      <c r="K196" s="10"/>
      <c r="L196" s="10"/>
      <c r="M196"/>
      <c r="N196"/>
    </row>
    <row r="197" spans="1:14" s="146" customFormat="1" ht="18" x14ac:dyDescent="0.25">
      <c r="A197" s="519"/>
      <c r="B197" s="499"/>
      <c r="C197" s="499"/>
      <c r="D197" s="496"/>
      <c r="E197" s="496"/>
      <c r="F197" s="131"/>
      <c r="G197" s="155"/>
      <c r="H197" s="156"/>
      <c r="I197" s="155"/>
      <c r="J197" s="155"/>
      <c r="K197" s="10"/>
      <c r="L197" s="10"/>
      <c r="M197"/>
      <c r="N197"/>
    </row>
    <row r="198" spans="1:14" s="146" customFormat="1" ht="18.75" thickBot="1" x14ac:dyDescent="0.3">
      <c r="A198" s="187"/>
      <c r="B198" s="413"/>
      <c r="C198" s="413"/>
      <c r="D198" s="346"/>
      <c r="E198" s="523"/>
      <c r="F198" s="218"/>
      <c r="G198" s="182"/>
      <c r="H198" s="183"/>
      <c r="I198" s="182"/>
      <c r="J198" s="182"/>
      <c r="K198" s="10"/>
      <c r="L198" s="10"/>
      <c r="M198"/>
      <c r="N198"/>
    </row>
    <row r="199" spans="1:14" s="146" customFormat="1" ht="18" x14ac:dyDescent="0.25">
      <c r="A199" s="499"/>
      <c r="B199" s="499"/>
      <c r="C199" s="499"/>
      <c r="D199" s="337"/>
      <c r="E199" s="520"/>
      <c r="F199" s="221"/>
      <c r="G199" s="126"/>
      <c r="H199" s="127"/>
      <c r="I199" s="126"/>
      <c r="J199" s="126"/>
      <c r="K199" s="10"/>
      <c r="L199" s="10"/>
      <c r="M199"/>
      <c r="N199"/>
    </row>
    <row r="200" spans="1:14" s="146" customFormat="1" ht="18" x14ac:dyDescent="0.25">
      <c r="A200" s="499"/>
      <c r="B200" s="499"/>
      <c r="C200" s="499"/>
      <c r="D200" s="337"/>
      <c r="E200" s="520"/>
      <c r="F200" s="221"/>
      <c r="G200" s="126"/>
      <c r="H200" s="127"/>
      <c r="I200" s="126"/>
      <c r="J200" s="126"/>
      <c r="K200" s="10"/>
      <c r="L200" s="10"/>
      <c r="M200"/>
      <c r="N200"/>
    </row>
    <row r="201" spans="1:14" s="146" customFormat="1" ht="18" x14ac:dyDescent="0.25">
      <c r="A201" s="499"/>
      <c r="B201" s="499"/>
      <c r="C201" s="499"/>
      <c r="D201" s="337"/>
      <c r="E201" s="520"/>
      <c r="F201" s="221"/>
      <c r="G201" s="126"/>
      <c r="H201" s="127"/>
      <c r="I201" s="126"/>
      <c r="J201" s="126"/>
      <c r="K201" s="10"/>
      <c r="L201" s="10"/>
      <c r="M201"/>
      <c r="N201"/>
    </row>
    <row r="202" spans="1:14" s="146" customFormat="1" ht="18" x14ac:dyDescent="0.25">
      <c r="A202" s="499"/>
      <c r="B202" s="499"/>
      <c r="C202" s="499"/>
      <c r="D202" s="337"/>
      <c r="E202" s="520"/>
      <c r="F202" s="221"/>
      <c r="G202" s="126"/>
      <c r="H202" s="127"/>
      <c r="I202" s="126"/>
      <c r="J202" s="126"/>
      <c r="K202" s="10"/>
      <c r="L202" s="10"/>
      <c r="M202"/>
      <c r="N202"/>
    </row>
    <row r="203" spans="1:14" s="146" customFormat="1" ht="18" x14ac:dyDescent="0.25">
      <c r="A203" s="499"/>
      <c r="B203" s="499"/>
      <c r="C203" s="499"/>
      <c r="D203" s="337"/>
      <c r="E203" s="520"/>
      <c r="F203" s="221"/>
      <c r="G203" s="126"/>
      <c r="H203" s="127"/>
      <c r="I203" s="126"/>
      <c r="J203" s="126"/>
      <c r="K203" s="10"/>
      <c r="L203" s="10"/>
      <c r="M203"/>
      <c r="N203"/>
    </row>
    <row r="204" spans="1:14" s="146" customFormat="1" ht="18" x14ac:dyDescent="0.25">
      <c r="A204" s="499"/>
      <c r="B204" s="499"/>
      <c r="C204" s="499"/>
      <c r="D204" s="337"/>
      <c r="E204" s="520"/>
      <c r="F204" s="221"/>
      <c r="G204" s="126"/>
      <c r="H204" s="127"/>
      <c r="I204" s="126"/>
      <c r="J204" s="126"/>
      <c r="K204" s="10"/>
      <c r="L204" s="10"/>
      <c r="M204"/>
      <c r="N204"/>
    </row>
    <row r="205" spans="1:14" s="146" customFormat="1" ht="18" x14ac:dyDescent="0.25">
      <c r="A205" s="499"/>
      <c r="B205" s="499"/>
      <c r="C205" s="499"/>
      <c r="D205" s="337"/>
      <c r="E205" s="520"/>
      <c r="F205" s="221"/>
      <c r="G205" s="126"/>
      <c r="H205" s="127"/>
      <c r="I205" s="126"/>
      <c r="J205" s="126"/>
      <c r="K205" s="10"/>
      <c r="L205" s="10"/>
      <c r="M205"/>
      <c r="N205"/>
    </row>
    <row r="206" spans="1:14" ht="18" customHeight="1" x14ac:dyDescent="0.25">
      <c r="A206" s="8" t="s">
        <v>112</v>
      </c>
    </row>
    <row r="207" spans="1:14" ht="18" customHeight="1" x14ac:dyDescent="0.25">
      <c r="A207" s="8" t="s">
        <v>718</v>
      </c>
    </row>
    <row r="208" spans="1:14" ht="18" customHeight="1" x14ac:dyDescent="0.25">
      <c r="A208" s="1636" t="s">
        <v>113</v>
      </c>
      <c r="B208" s="1636"/>
      <c r="C208" s="1636"/>
      <c r="D208" s="1636"/>
      <c r="E208" s="1636"/>
      <c r="F208" s="1636"/>
      <c r="G208" s="1636"/>
      <c r="H208" s="1636"/>
      <c r="I208" s="1636"/>
      <c r="J208" s="1636"/>
    </row>
    <row r="209" spans="1:14" s="7" customFormat="1" ht="18" customHeight="1" x14ac:dyDescent="0.25">
      <c r="A209" s="1624" t="s">
        <v>114</v>
      </c>
      <c r="B209" s="1624"/>
      <c r="C209" s="1624"/>
      <c r="D209" s="1624"/>
      <c r="E209" s="1624"/>
      <c r="F209" s="1624"/>
      <c r="G209" s="1624"/>
      <c r="H209" s="1624"/>
      <c r="I209" s="1624"/>
      <c r="J209" s="1624"/>
      <c r="K209" s="6"/>
      <c r="L209" s="6"/>
    </row>
    <row r="210" spans="1:14" s="7" customFormat="1" ht="18" customHeight="1" thickBot="1" x14ac:dyDescent="0.3">
      <c r="A210" s="500"/>
      <c r="B210" s="500"/>
      <c r="C210" s="500"/>
      <c r="D210" s="159"/>
      <c r="E210" s="500"/>
      <c r="F210" s="500"/>
      <c r="G210" s="500"/>
      <c r="H210" s="500"/>
      <c r="I210" s="196"/>
      <c r="J210" s="500"/>
      <c r="K210" s="6"/>
      <c r="L210" s="6"/>
    </row>
    <row r="211" spans="1:14" s="146" customFormat="1" ht="61.5" customHeight="1" thickBot="1" x14ac:dyDescent="0.3">
      <c r="A211" s="1625" t="s">
        <v>115</v>
      </c>
      <c r="B211" s="1626"/>
      <c r="C211" s="1626"/>
      <c r="D211" s="1626"/>
      <c r="E211" s="1626"/>
      <c r="F211" s="501" t="s">
        <v>116</v>
      </c>
      <c r="G211" s="130" t="s">
        <v>117</v>
      </c>
      <c r="H211" s="130" t="s">
        <v>118</v>
      </c>
      <c r="I211" s="130" t="s">
        <v>119</v>
      </c>
      <c r="J211" s="130" t="s">
        <v>120</v>
      </c>
      <c r="K211" s="10"/>
      <c r="L211" s="10"/>
      <c r="M211"/>
      <c r="N211"/>
    </row>
    <row r="212" spans="1:14" s="146" customFormat="1" ht="16.5" customHeight="1" x14ac:dyDescent="0.25">
      <c r="A212" s="519"/>
      <c r="B212" s="499"/>
      <c r="C212" s="499"/>
      <c r="D212" s="1621" t="s">
        <v>726</v>
      </c>
      <c r="E212" s="1666"/>
      <c r="F212" s="131"/>
      <c r="G212" s="101"/>
      <c r="H212" s="102"/>
      <c r="I212" s="101"/>
      <c r="J212" s="101"/>
      <c r="K212" s="10"/>
      <c r="L212" s="10"/>
      <c r="M212"/>
      <c r="N212"/>
    </row>
    <row r="213" spans="1:14" s="146" customFormat="1" ht="18" x14ac:dyDescent="0.25">
      <c r="A213" s="519"/>
      <c r="B213" s="499"/>
      <c r="C213" s="499"/>
      <c r="D213" s="1648" t="s">
        <v>727</v>
      </c>
      <c r="E213" s="1649"/>
      <c r="F213" s="131"/>
      <c r="G213" s="101">
        <v>68775</v>
      </c>
      <c r="H213" s="102">
        <v>150000</v>
      </c>
      <c r="I213" s="101">
        <v>49700</v>
      </c>
      <c r="J213" s="101">
        <v>150000</v>
      </c>
      <c r="K213" s="10"/>
      <c r="L213" s="10"/>
      <c r="M213"/>
      <c r="N213"/>
    </row>
    <row r="214" spans="1:14" s="146" customFormat="1" ht="40.5" customHeight="1" x14ac:dyDescent="0.25">
      <c r="A214" s="519"/>
      <c r="B214" s="499"/>
      <c r="C214" s="499"/>
      <c r="D214" s="1622" t="s">
        <v>728</v>
      </c>
      <c r="E214" s="1648"/>
      <c r="F214" s="131"/>
      <c r="G214" s="101"/>
      <c r="H214" s="102"/>
      <c r="I214" s="101"/>
      <c r="J214" s="101">
        <v>250000</v>
      </c>
      <c r="K214" s="10"/>
      <c r="L214" s="10"/>
      <c r="M214"/>
      <c r="N214"/>
    </row>
    <row r="215" spans="1:14" s="146" customFormat="1" ht="18" x14ac:dyDescent="0.25">
      <c r="A215" s="519"/>
      <c r="B215" s="499"/>
      <c r="C215" s="499"/>
      <c r="D215" s="1602" t="s">
        <v>729</v>
      </c>
      <c r="E215" s="1603"/>
      <c r="F215" s="131"/>
      <c r="G215" s="101"/>
      <c r="H215" s="102">
        <v>250000</v>
      </c>
      <c r="I215" s="101"/>
      <c r="J215" s="101"/>
      <c r="K215" s="10"/>
      <c r="L215" s="10"/>
      <c r="M215"/>
      <c r="N215"/>
    </row>
    <row r="216" spans="1:14" s="146" customFormat="1" ht="18" x14ac:dyDescent="0.25">
      <c r="A216" s="519"/>
      <c r="B216" s="499"/>
      <c r="C216" s="499"/>
      <c r="D216" s="1602" t="s">
        <v>730</v>
      </c>
      <c r="E216" s="1603"/>
      <c r="F216" s="131"/>
      <c r="G216" s="101">
        <v>395629</v>
      </c>
      <c r="H216" s="102">
        <v>5926150.5999999996</v>
      </c>
      <c r="I216" s="101"/>
      <c r="J216" s="101"/>
      <c r="K216" s="10"/>
      <c r="L216" s="10"/>
      <c r="M216"/>
      <c r="N216"/>
    </row>
    <row r="217" spans="1:14" s="313" customFormat="1" ht="18" x14ac:dyDescent="0.25">
      <c r="A217" s="173"/>
      <c r="B217" s="505"/>
      <c r="C217" s="505"/>
      <c r="D217" s="1622" t="s">
        <v>731</v>
      </c>
      <c r="E217" s="1648"/>
      <c r="F217" s="176"/>
      <c r="G217" s="101"/>
      <c r="H217" s="102"/>
      <c r="I217" s="101"/>
      <c r="J217" s="101">
        <v>12890</v>
      </c>
      <c r="K217" s="193"/>
      <c r="L217" s="193"/>
      <c r="M217" s="179"/>
      <c r="N217" s="179"/>
    </row>
    <row r="218" spans="1:14" s="313" customFormat="1" ht="36" customHeight="1" x14ac:dyDescent="0.25">
      <c r="A218" s="173"/>
      <c r="B218" s="505"/>
      <c r="C218" s="505"/>
      <c r="D218" s="1622" t="s">
        <v>732</v>
      </c>
      <c r="E218" s="1648"/>
      <c r="F218" s="176"/>
      <c r="G218" s="101"/>
      <c r="H218" s="102"/>
      <c r="I218" s="101"/>
      <c r="J218" s="101">
        <v>433357</v>
      </c>
      <c r="K218" s="193"/>
      <c r="L218" s="193"/>
      <c r="M218" s="179"/>
      <c r="N218" s="179"/>
    </row>
    <row r="219" spans="1:14" s="313" customFormat="1" ht="18" x14ac:dyDescent="0.25">
      <c r="A219" s="173"/>
      <c r="B219" s="505"/>
      <c r="C219" s="505"/>
      <c r="D219" s="1622" t="s">
        <v>733</v>
      </c>
      <c r="E219" s="1648"/>
      <c r="F219" s="176"/>
      <c r="G219" s="101"/>
      <c r="H219" s="102"/>
      <c r="I219" s="101"/>
      <c r="J219" s="101">
        <v>186400</v>
      </c>
      <c r="K219" s="193"/>
      <c r="L219" s="193"/>
      <c r="M219" s="179"/>
      <c r="N219" s="179"/>
    </row>
    <row r="220" spans="1:14" s="313" customFormat="1" ht="18" x14ac:dyDescent="0.25">
      <c r="A220" s="173"/>
      <c r="B220" s="505"/>
      <c r="C220" s="505"/>
      <c r="D220" s="1622" t="s">
        <v>734</v>
      </c>
      <c r="E220" s="1648"/>
      <c r="F220" s="176"/>
      <c r="G220" s="101"/>
      <c r="H220" s="102"/>
      <c r="I220" s="101"/>
      <c r="J220" s="101">
        <v>3000000</v>
      </c>
      <c r="K220" s="193"/>
      <c r="L220" s="193"/>
      <c r="M220" s="179"/>
      <c r="N220" s="179"/>
    </row>
    <row r="221" spans="1:14" s="313" customFormat="1" ht="18" x14ac:dyDescent="0.25">
      <c r="A221" s="173"/>
      <c r="B221" s="505"/>
      <c r="C221" s="505"/>
      <c r="D221" s="1622" t="s">
        <v>735</v>
      </c>
      <c r="E221" s="1648"/>
      <c r="F221" s="176"/>
      <c r="G221" s="101"/>
      <c r="H221" s="102"/>
      <c r="I221" s="101"/>
      <c r="J221" s="101">
        <v>5000000</v>
      </c>
      <c r="K221" s="193"/>
      <c r="L221" s="193"/>
      <c r="M221" s="179"/>
      <c r="N221" s="179"/>
    </row>
    <row r="222" spans="1:14" s="313" customFormat="1" ht="18" x14ac:dyDescent="0.25">
      <c r="A222" s="173"/>
      <c r="B222" s="505"/>
      <c r="C222" s="505"/>
      <c r="D222" s="1622" t="s">
        <v>736</v>
      </c>
      <c r="E222" s="1648"/>
      <c r="F222" s="176"/>
      <c r="G222" s="101"/>
      <c r="H222" s="102"/>
      <c r="I222" s="101"/>
      <c r="J222" s="101">
        <v>700000</v>
      </c>
      <c r="K222" s="193"/>
      <c r="L222" s="193"/>
      <c r="M222" s="179"/>
      <c r="N222" s="179"/>
    </row>
    <row r="223" spans="1:14" s="313" customFormat="1" ht="18" x14ac:dyDescent="0.25">
      <c r="A223" s="173"/>
      <c r="B223" s="505"/>
      <c r="C223" s="505"/>
      <c r="D223" s="1622" t="s">
        <v>737</v>
      </c>
      <c r="E223" s="1648"/>
      <c r="F223" s="176"/>
      <c r="G223" s="101"/>
      <c r="H223" s="102"/>
      <c r="I223" s="101"/>
      <c r="J223" s="101">
        <v>600000</v>
      </c>
      <c r="K223" s="193"/>
      <c r="L223" s="193"/>
      <c r="M223" s="179"/>
      <c r="N223" s="179"/>
    </row>
    <row r="224" spans="1:14" s="313" customFormat="1" ht="36.75" customHeight="1" x14ac:dyDescent="0.25">
      <c r="A224" s="173"/>
      <c r="B224" s="505"/>
      <c r="C224" s="505"/>
      <c r="D224" s="1622" t="s">
        <v>738</v>
      </c>
      <c r="E224" s="1648"/>
      <c r="F224" s="176"/>
      <c r="G224" s="101"/>
      <c r="H224" s="102"/>
      <c r="I224" s="101"/>
      <c r="J224" s="101">
        <v>73000</v>
      </c>
      <c r="K224" s="193"/>
      <c r="L224" s="193"/>
      <c r="M224" s="179"/>
      <c r="N224" s="179"/>
    </row>
    <row r="225" spans="1:14" s="313" customFormat="1" ht="36.75" customHeight="1" x14ac:dyDescent="0.25">
      <c r="A225" s="173"/>
      <c r="B225" s="505"/>
      <c r="C225" s="505"/>
      <c r="D225" s="1622" t="s">
        <v>739</v>
      </c>
      <c r="E225" s="1648"/>
      <c r="F225" s="176"/>
      <c r="G225" s="101"/>
      <c r="H225" s="102"/>
      <c r="I225" s="101"/>
      <c r="J225" s="101">
        <v>6500000</v>
      </c>
      <c r="K225" s="193"/>
      <c r="L225" s="193"/>
      <c r="M225" s="179"/>
      <c r="N225" s="179"/>
    </row>
    <row r="226" spans="1:14" s="313" customFormat="1" ht="36.75" customHeight="1" x14ac:dyDescent="0.25">
      <c r="A226" s="173"/>
      <c r="B226" s="505"/>
      <c r="C226" s="505"/>
      <c r="D226" s="1622" t="s">
        <v>740</v>
      </c>
      <c r="E226" s="1648"/>
      <c r="F226" s="176"/>
      <c r="G226" s="101"/>
      <c r="H226" s="102"/>
      <c r="I226" s="101"/>
      <c r="J226" s="101">
        <v>500000</v>
      </c>
      <c r="K226" s="193"/>
      <c r="L226" s="193"/>
      <c r="M226" s="179"/>
      <c r="N226" s="179"/>
    </row>
    <row r="227" spans="1:14" s="313" customFormat="1" ht="18.75" customHeight="1" x14ac:dyDescent="0.25">
      <c r="A227" s="173"/>
      <c r="B227" s="505"/>
      <c r="C227" s="505"/>
      <c r="D227" s="1622" t="s">
        <v>741</v>
      </c>
      <c r="E227" s="1648"/>
      <c r="F227" s="176"/>
      <c r="G227" s="101"/>
      <c r="H227" s="102"/>
      <c r="I227" s="101"/>
      <c r="J227" s="101">
        <v>240000</v>
      </c>
      <c r="K227" s="193"/>
      <c r="L227" s="193"/>
      <c r="M227" s="179"/>
      <c r="N227" s="179"/>
    </row>
    <row r="228" spans="1:14" s="146" customFormat="1" ht="18" x14ac:dyDescent="0.25">
      <c r="A228" s="519"/>
      <c r="B228" s="499"/>
      <c r="C228" s="499"/>
      <c r="D228" s="1602" t="s">
        <v>742</v>
      </c>
      <c r="E228" s="1603"/>
      <c r="F228" s="131"/>
      <c r="G228" s="101"/>
      <c r="H228" s="102">
        <v>563250</v>
      </c>
      <c r="I228" s="101"/>
      <c r="J228" s="101"/>
      <c r="K228" s="10"/>
      <c r="L228" s="10"/>
      <c r="M228"/>
      <c r="N228"/>
    </row>
    <row r="229" spans="1:14" s="146" customFormat="1" ht="18" x14ac:dyDescent="0.25">
      <c r="A229" s="519"/>
      <c r="B229" s="499"/>
      <c r="C229" s="499"/>
      <c r="D229" s="1602" t="s">
        <v>743</v>
      </c>
      <c r="E229" s="1603"/>
      <c r="F229" s="131"/>
      <c r="G229" s="101"/>
      <c r="H229" s="102">
        <v>240000</v>
      </c>
      <c r="I229" s="101"/>
      <c r="J229" s="105"/>
      <c r="K229" s="10"/>
      <c r="L229" s="10"/>
      <c r="M229"/>
      <c r="N229"/>
    </row>
    <row r="230" spans="1:14" ht="18" x14ac:dyDescent="0.25">
      <c r="A230" s="519"/>
      <c r="B230" s="499"/>
      <c r="C230" s="499"/>
      <c r="D230" s="1620" t="s">
        <v>161</v>
      </c>
      <c r="E230" s="1620"/>
      <c r="F230" s="131"/>
      <c r="G230" s="119">
        <f>SUM(G213:G229)</f>
        <v>464404</v>
      </c>
      <c r="H230" s="150">
        <f>SUM(H213:H229)</f>
        <v>7129400.5999999996</v>
      </c>
      <c r="I230" s="119">
        <f>SUM(I213:I229)</f>
        <v>49700</v>
      </c>
      <c r="J230" s="119">
        <f>SUM(J213:J229)</f>
        <v>17645647</v>
      </c>
    </row>
    <row r="231" spans="1:14" s="146" customFormat="1" ht="18.75" thickBot="1" x14ac:dyDescent="0.3">
      <c r="A231" s="527"/>
      <c r="B231" s="513"/>
      <c r="C231" s="513"/>
      <c r="D231" s="1661" t="s">
        <v>744</v>
      </c>
      <c r="E231" s="1662"/>
      <c r="F231" s="348"/>
      <c r="G231" s="158">
        <f>G230+G187+G150+G146+G196</f>
        <v>17023932</v>
      </c>
      <c r="H231" s="158">
        <f>H230+H187+H150+H146+H196</f>
        <v>48818400.600000001</v>
      </c>
      <c r="I231" s="158">
        <f>I230+I187+I150+I146+I196</f>
        <v>2885484</v>
      </c>
      <c r="J231" s="158">
        <f>J230+J187+J150+J146+J196</f>
        <v>60417647</v>
      </c>
      <c r="K231" s="10"/>
      <c r="L231" s="10"/>
    </row>
    <row r="232" spans="1:14" ht="13.5" customHeight="1" x14ac:dyDescent="0.25">
      <c r="A232" s="519"/>
      <c r="B232" s="499"/>
      <c r="C232" s="499"/>
      <c r="D232" s="496"/>
      <c r="E232" s="496"/>
      <c r="F232" s="125"/>
      <c r="G232" s="155"/>
      <c r="H232" s="155"/>
      <c r="I232" s="155"/>
      <c r="J232" s="155"/>
    </row>
    <row r="233" spans="1:14" s="146" customFormat="1" ht="18" x14ac:dyDescent="0.25">
      <c r="A233" s="254"/>
      <c r="B233" s="271"/>
      <c r="C233" s="271"/>
      <c r="D233" s="349" t="s">
        <v>745</v>
      </c>
      <c r="E233" s="41"/>
      <c r="F233" s="273"/>
      <c r="G233" s="101"/>
      <c r="H233" s="102"/>
      <c r="I233" s="250"/>
      <c r="J233" s="250"/>
      <c r="K233" s="10"/>
      <c r="L233" s="10"/>
      <c r="M233"/>
      <c r="N233"/>
    </row>
    <row r="234" spans="1:14" s="146" customFormat="1" ht="37.5" customHeight="1" x14ac:dyDescent="0.25">
      <c r="A234" s="254"/>
      <c r="B234" s="271"/>
      <c r="C234" s="271"/>
      <c r="D234" s="1664" t="s">
        <v>746</v>
      </c>
      <c r="E234" s="1664"/>
      <c r="F234" s="273"/>
      <c r="G234" s="101"/>
      <c r="H234" s="233">
        <v>900000</v>
      </c>
      <c r="I234" s="250"/>
      <c r="J234" s="101"/>
      <c r="K234" s="10"/>
      <c r="L234" s="10"/>
      <c r="M234"/>
      <c r="N234"/>
    </row>
    <row r="235" spans="1:14" s="146" customFormat="1" ht="18.75" thickBot="1" x14ac:dyDescent="0.3">
      <c r="A235" s="254"/>
      <c r="B235" s="271"/>
      <c r="C235" s="271"/>
      <c r="D235" s="63" t="s">
        <v>747</v>
      </c>
      <c r="E235" s="41"/>
      <c r="F235" s="273"/>
      <c r="G235" s="331">
        <v>3959288</v>
      </c>
      <c r="H235" s="350">
        <v>20000000</v>
      </c>
      <c r="I235" s="351"/>
      <c r="J235" s="352">
        <v>20000000</v>
      </c>
      <c r="K235" s="10"/>
      <c r="L235" s="10"/>
      <c r="M235"/>
      <c r="N235"/>
    </row>
    <row r="236" spans="1:14" s="146" customFormat="1" ht="18.75" thickBot="1" x14ac:dyDescent="0.3">
      <c r="A236" s="353"/>
      <c r="B236" s="38"/>
      <c r="C236" s="38"/>
      <c r="D236" s="1665" t="s">
        <v>161</v>
      </c>
      <c r="E236" s="1665"/>
      <c r="F236" s="354"/>
      <c r="G236" s="213">
        <f>SUM(G234:G235)</f>
        <v>3959288</v>
      </c>
      <c r="H236" s="213">
        <f>SUM(H234:H235)</f>
        <v>20900000</v>
      </c>
      <c r="I236" s="213">
        <f>SUM(I234:I235)</f>
        <v>0</v>
      </c>
      <c r="J236" s="213">
        <f>SUM(J234:J235)</f>
        <v>20000000</v>
      </c>
      <c r="K236" s="10"/>
      <c r="L236" s="10"/>
    </row>
    <row r="237" spans="1:14" s="146" customFormat="1" ht="13.5" customHeight="1" thickBot="1" x14ac:dyDescent="0.3">
      <c r="A237" s="254"/>
      <c r="B237" s="271"/>
      <c r="C237" s="271"/>
      <c r="D237" s="355"/>
      <c r="E237" s="355"/>
      <c r="F237" s="288"/>
      <c r="G237" s="155"/>
      <c r="H237" s="156"/>
      <c r="I237" s="155"/>
      <c r="J237" s="155"/>
      <c r="K237" s="10"/>
      <c r="L237" s="10"/>
      <c r="M237"/>
      <c r="N237"/>
    </row>
    <row r="238" spans="1:14" s="146" customFormat="1" ht="18" x14ac:dyDescent="0.25">
      <c r="A238" s="254"/>
      <c r="B238" s="271"/>
      <c r="C238" s="271"/>
      <c r="D238" s="36" t="s">
        <v>748</v>
      </c>
      <c r="E238" s="356"/>
      <c r="F238" s="288"/>
      <c r="G238" s="155"/>
      <c r="H238" s="156"/>
      <c r="I238" s="155"/>
      <c r="J238" s="155"/>
      <c r="K238" s="10"/>
      <c r="L238" s="10"/>
      <c r="M238"/>
      <c r="N238"/>
    </row>
    <row r="239" spans="1:14" s="146" customFormat="1" ht="18" x14ac:dyDescent="0.25">
      <c r="A239" s="254"/>
      <c r="B239" s="271"/>
      <c r="C239" s="271"/>
      <c r="D239" s="516" t="s">
        <v>749</v>
      </c>
      <c r="E239" s="356"/>
      <c r="F239" s="271"/>
      <c r="G239" s="101">
        <v>14998600</v>
      </c>
      <c r="H239" s="102"/>
      <c r="I239" s="101"/>
      <c r="J239" s="101"/>
      <c r="K239" s="10"/>
      <c r="L239" s="10"/>
      <c r="M239"/>
      <c r="N239"/>
    </row>
    <row r="240" spans="1:14" s="146" customFormat="1" ht="18" x14ac:dyDescent="0.25">
      <c r="A240" s="254"/>
      <c r="B240" s="271"/>
      <c r="C240" s="271"/>
      <c r="D240" s="516" t="s">
        <v>750</v>
      </c>
      <c r="E240" s="356"/>
      <c r="F240" s="271"/>
      <c r="G240" s="155"/>
      <c r="H240" s="102"/>
      <c r="I240" s="101"/>
      <c r="J240" s="101"/>
      <c r="K240" s="10"/>
      <c r="L240" s="10"/>
      <c r="M240"/>
      <c r="N240"/>
    </row>
    <row r="241" spans="1:14" s="146" customFormat="1" ht="18" x14ac:dyDescent="0.25">
      <c r="A241" s="254"/>
      <c r="B241" s="271"/>
      <c r="C241" s="271"/>
      <c r="D241" s="516" t="s">
        <v>751</v>
      </c>
      <c r="E241" s="356"/>
      <c r="F241" s="271"/>
      <c r="G241" s="101">
        <v>6024185.7999999998</v>
      </c>
      <c r="H241" s="102"/>
      <c r="I241" s="101"/>
      <c r="J241" s="101"/>
      <c r="K241" s="10"/>
      <c r="L241" s="10"/>
      <c r="M241"/>
      <c r="N241"/>
    </row>
    <row r="242" spans="1:14" s="146" customFormat="1" ht="38.25" customHeight="1" x14ac:dyDescent="0.25">
      <c r="A242" s="254"/>
      <c r="B242" s="271"/>
      <c r="C242" s="271"/>
      <c r="D242" s="1617" t="s">
        <v>752</v>
      </c>
      <c r="E242" s="1617"/>
      <c r="F242" s="271"/>
      <c r="G242" s="101">
        <v>4060246</v>
      </c>
      <c r="H242" s="102"/>
      <c r="I242" s="101"/>
      <c r="J242" s="101"/>
      <c r="K242" s="10"/>
      <c r="L242" s="10"/>
      <c r="M242"/>
      <c r="N242"/>
    </row>
    <row r="243" spans="1:14" s="146" customFormat="1" ht="54" customHeight="1" x14ac:dyDescent="0.25">
      <c r="A243" s="254"/>
      <c r="B243" s="271"/>
      <c r="C243" s="271"/>
      <c r="D243" s="1617" t="s">
        <v>753</v>
      </c>
      <c r="E243" s="1617"/>
      <c r="F243" s="271"/>
      <c r="G243" s="101">
        <v>4263663.8499999996</v>
      </c>
      <c r="H243" s="102"/>
      <c r="I243" s="101"/>
      <c r="J243" s="101"/>
      <c r="K243" s="10"/>
      <c r="L243" s="10"/>
      <c r="M243"/>
      <c r="N243"/>
    </row>
    <row r="244" spans="1:14" s="146" customFormat="1" ht="18" customHeight="1" x14ac:dyDescent="0.25">
      <c r="A244" s="254"/>
      <c r="B244" s="271"/>
      <c r="C244" s="271"/>
      <c r="D244" s="516" t="s">
        <v>754</v>
      </c>
      <c r="E244" s="515"/>
      <c r="F244" s="271"/>
      <c r="G244" s="101"/>
      <c r="H244" s="102"/>
      <c r="I244" s="101"/>
      <c r="J244" s="101"/>
      <c r="K244" s="10"/>
      <c r="L244" s="10"/>
      <c r="M244"/>
      <c r="N244"/>
    </row>
    <row r="245" spans="1:14" s="146" customFormat="1" ht="18.75" thickBot="1" x14ac:dyDescent="0.3">
      <c r="A245" s="353"/>
      <c r="B245" s="38"/>
      <c r="C245" s="38"/>
      <c r="D245" s="1608" t="s">
        <v>161</v>
      </c>
      <c r="E245" s="1608"/>
      <c r="F245" s="358"/>
      <c r="G245" s="150">
        <f>SUM(G239:G244)</f>
        <v>29346695.649999999</v>
      </c>
      <c r="H245" s="150">
        <f>SUM(H239:H244)</f>
        <v>0</v>
      </c>
      <c r="I245" s="150">
        <f>SUM(I238:I243)</f>
        <v>0</v>
      </c>
      <c r="J245" s="150">
        <f>SUM(J239:J243)</f>
        <v>0</v>
      </c>
      <c r="K245" s="10"/>
      <c r="L245" s="10"/>
    </row>
    <row r="246" spans="1:14" s="146" customFormat="1" ht="18" x14ac:dyDescent="0.25">
      <c r="A246" s="353"/>
      <c r="B246" s="38"/>
      <c r="C246" s="38"/>
      <c r="D246" s="540"/>
      <c r="E246" s="540"/>
      <c r="F246" s="38"/>
      <c r="G246" s="260"/>
      <c r="H246" s="260"/>
      <c r="I246" s="260"/>
      <c r="J246" s="260"/>
      <c r="K246" s="10"/>
      <c r="L246" s="10"/>
    </row>
    <row r="247" spans="1:14" s="146" customFormat="1" ht="18" x14ac:dyDescent="0.25">
      <c r="A247" s="254"/>
      <c r="B247" s="271"/>
      <c r="C247" s="271"/>
      <c r="D247" s="36" t="s">
        <v>756</v>
      </c>
      <c r="E247" s="356"/>
      <c r="F247" s="271"/>
      <c r="G247" s="155"/>
      <c r="H247" s="156"/>
      <c r="I247" s="155"/>
      <c r="J247" s="155"/>
      <c r="K247" s="10"/>
      <c r="L247" s="10"/>
      <c r="M247"/>
      <c r="N247"/>
    </row>
    <row r="248" spans="1:14" s="146" customFormat="1" ht="18" x14ac:dyDescent="0.25">
      <c r="A248" s="254"/>
      <c r="B248" s="271"/>
      <c r="C248" s="271"/>
      <c r="D248" s="206" t="s">
        <v>757</v>
      </c>
      <c r="E248" s="356"/>
      <c r="F248" s="271"/>
      <c r="G248" s="340">
        <v>1442000</v>
      </c>
      <c r="H248" s="102"/>
      <c r="I248" s="101"/>
      <c r="J248" s="155"/>
      <c r="K248" s="10"/>
      <c r="L248" s="10"/>
      <c r="M248"/>
      <c r="N248"/>
    </row>
    <row r="249" spans="1:14" s="146" customFormat="1" ht="18" x14ac:dyDescent="0.25">
      <c r="A249" s="254"/>
      <c r="B249" s="271"/>
      <c r="C249" s="271"/>
      <c r="D249" s="206" t="s">
        <v>758</v>
      </c>
      <c r="E249" s="356"/>
      <c r="F249" s="271"/>
      <c r="G249" s="340">
        <v>1417830</v>
      </c>
      <c r="H249" s="102"/>
      <c r="I249" s="101"/>
      <c r="J249" s="155"/>
      <c r="K249" s="10"/>
      <c r="L249" s="10"/>
      <c r="M249"/>
      <c r="N249"/>
    </row>
    <row r="250" spans="1:14" s="146" customFormat="1" ht="18" x14ac:dyDescent="0.25">
      <c r="A250" s="254"/>
      <c r="B250" s="271"/>
      <c r="C250" s="271"/>
      <c r="D250" s="206" t="s">
        <v>759</v>
      </c>
      <c r="E250" s="356"/>
      <c r="F250" s="271"/>
      <c r="G250" s="340">
        <v>486000</v>
      </c>
      <c r="H250" s="102"/>
      <c r="I250" s="101"/>
      <c r="J250" s="155"/>
      <c r="K250" s="10"/>
      <c r="L250" s="10"/>
      <c r="M250"/>
      <c r="N250"/>
    </row>
    <row r="251" spans="1:14" s="146" customFormat="1" ht="18" x14ac:dyDescent="0.25">
      <c r="A251" s="254"/>
      <c r="B251" s="271"/>
      <c r="C251" s="271"/>
      <c r="D251" s="206" t="s">
        <v>760</v>
      </c>
      <c r="E251" s="356"/>
      <c r="F251" s="271"/>
      <c r="G251" s="340">
        <v>1474550</v>
      </c>
      <c r="H251" s="102"/>
      <c r="I251" s="101"/>
      <c r="J251" s="155"/>
      <c r="K251" s="10"/>
      <c r="L251" s="10"/>
      <c r="M251"/>
      <c r="N251"/>
    </row>
    <row r="252" spans="1:14" s="146" customFormat="1" ht="38.25" customHeight="1" x14ac:dyDescent="0.25">
      <c r="A252" s="254"/>
      <c r="B252" s="271"/>
      <c r="C252" s="271"/>
      <c r="D252" s="1617" t="s">
        <v>761</v>
      </c>
      <c r="E252" s="1617"/>
      <c r="F252" s="271"/>
      <c r="G252" s="340">
        <v>354111</v>
      </c>
      <c r="H252" s="102"/>
      <c r="I252" s="101"/>
      <c r="J252" s="155"/>
      <c r="K252" s="10"/>
      <c r="L252" s="10"/>
      <c r="M252"/>
      <c r="N252"/>
    </row>
    <row r="253" spans="1:14" s="146" customFormat="1" ht="36.75" customHeight="1" x14ac:dyDescent="0.25">
      <c r="A253" s="254"/>
      <c r="B253" s="271"/>
      <c r="C253" s="271"/>
      <c r="D253" s="1617" t="s">
        <v>762</v>
      </c>
      <c r="E253" s="1617"/>
      <c r="F253" s="271"/>
      <c r="G253" s="359">
        <v>35988860</v>
      </c>
      <c r="H253" s="102"/>
      <c r="I253" s="101"/>
      <c r="J253" s="155"/>
      <c r="K253" s="10"/>
      <c r="L253" s="10"/>
      <c r="M253"/>
      <c r="N253"/>
    </row>
    <row r="254" spans="1:14" s="146" customFormat="1" ht="57.75" customHeight="1" x14ac:dyDescent="0.25">
      <c r="A254" s="254"/>
      <c r="B254" s="271"/>
      <c r="C254" s="271"/>
      <c r="D254" s="1628" t="s">
        <v>763</v>
      </c>
      <c r="E254" s="1628"/>
      <c r="F254" s="271"/>
      <c r="G254" s="340">
        <v>800000</v>
      </c>
      <c r="H254" s="102"/>
      <c r="I254" s="101"/>
      <c r="J254" s="155"/>
      <c r="K254" s="10"/>
      <c r="L254" s="10"/>
      <c r="M254"/>
      <c r="N254"/>
    </row>
    <row r="255" spans="1:14" s="146" customFormat="1" ht="18" x14ac:dyDescent="0.25">
      <c r="A255" s="254"/>
      <c r="B255" s="271"/>
      <c r="C255" s="271"/>
      <c r="D255" s="206" t="s">
        <v>764</v>
      </c>
      <c r="E255" s="356"/>
      <c r="F255" s="271"/>
      <c r="G255" s="340"/>
      <c r="H255" s="102"/>
      <c r="I255" s="101"/>
      <c r="J255" s="155"/>
      <c r="K255" s="10"/>
      <c r="L255" s="10"/>
      <c r="M255"/>
      <c r="N255"/>
    </row>
    <row r="256" spans="1:14" s="146" customFormat="1" ht="18" x14ac:dyDescent="0.25">
      <c r="A256" s="254"/>
      <c r="B256" s="271"/>
      <c r="C256" s="271"/>
      <c r="D256" s="206" t="s">
        <v>765</v>
      </c>
      <c r="E256" s="356"/>
      <c r="F256" s="271"/>
      <c r="G256" s="359">
        <v>16779500</v>
      </c>
      <c r="H256" s="102"/>
      <c r="I256" s="101"/>
      <c r="J256" s="155"/>
      <c r="K256" s="10"/>
      <c r="L256" s="10"/>
      <c r="M256"/>
      <c r="N256"/>
    </row>
    <row r="257" spans="1:14" s="146" customFormat="1" ht="18.75" thickBot="1" x14ac:dyDescent="0.3">
      <c r="A257" s="357"/>
      <c r="B257" s="358"/>
      <c r="C257" s="358"/>
      <c r="D257" s="1660" t="s">
        <v>161</v>
      </c>
      <c r="E257" s="1660"/>
      <c r="F257" s="358"/>
      <c r="G257" s="364">
        <f>SUM(G248:G256)</f>
        <v>58742851</v>
      </c>
      <c r="H257" s="158">
        <f>SUM(H248:H256)</f>
        <v>0</v>
      </c>
      <c r="I257" s="158">
        <f>SUM(I248:I256)</f>
        <v>0</v>
      </c>
      <c r="J257" s="158">
        <f>SUM(J248:J256)</f>
        <v>0</v>
      </c>
      <c r="K257" s="10"/>
      <c r="L257" s="10"/>
    </row>
    <row r="258" spans="1:14" x14ac:dyDescent="0.25">
      <c r="A258" s="33"/>
      <c r="B258" s="33"/>
      <c r="C258" s="33"/>
      <c r="D258" s="128"/>
      <c r="E258" s="33"/>
      <c r="F258" s="75"/>
      <c r="G258" s="141"/>
      <c r="H258" s="122"/>
      <c r="I258" s="141"/>
      <c r="J258" s="141"/>
    </row>
    <row r="259" spans="1:14" x14ac:dyDescent="0.25">
      <c r="A259" s="33"/>
      <c r="B259" s="33"/>
      <c r="C259" s="33"/>
      <c r="D259" s="128"/>
      <c r="E259" s="33"/>
      <c r="F259" s="75"/>
      <c r="G259" s="141"/>
      <c r="H259" s="122"/>
      <c r="I259" s="141"/>
      <c r="J259" s="141"/>
    </row>
    <row r="260" spans="1:14" ht="18" customHeight="1" x14ac:dyDescent="0.25">
      <c r="A260" s="8" t="s">
        <v>112</v>
      </c>
    </row>
    <row r="261" spans="1:14" ht="18" customHeight="1" x14ac:dyDescent="0.25">
      <c r="A261" s="8" t="s">
        <v>755</v>
      </c>
    </row>
    <row r="262" spans="1:14" ht="18" customHeight="1" x14ac:dyDescent="0.25">
      <c r="A262" s="1636" t="s">
        <v>113</v>
      </c>
      <c r="B262" s="1636"/>
      <c r="C262" s="1636"/>
      <c r="D262" s="1636"/>
      <c r="E262" s="1636"/>
      <c r="F262" s="1636"/>
      <c r="G262" s="1636"/>
      <c r="H262" s="1636"/>
      <c r="I262" s="1636"/>
      <c r="J262" s="1636"/>
    </row>
    <row r="263" spans="1:14" s="7" customFormat="1" ht="18" customHeight="1" x14ac:dyDescent="0.25">
      <c r="A263" s="1624" t="s">
        <v>114</v>
      </c>
      <c r="B263" s="1624"/>
      <c r="C263" s="1624"/>
      <c r="D263" s="1624"/>
      <c r="E263" s="1624"/>
      <c r="F263" s="1624"/>
      <c r="G263" s="1624"/>
      <c r="H263" s="1624"/>
      <c r="I263" s="1624"/>
      <c r="J263" s="1624"/>
      <c r="K263" s="6"/>
      <c r="L263" s="6"/>
    </row>
    <row r="264" spans="1:14" s="7" customFormat="1" ht="18" customHeight="1" thickBot="1" x14ac:dyDescent="0.3">
      <c r="A264" s="500"/>
      <c r="B264" s="500"/>
      <c r="C264" s="500"/>
      <c r="D264" s="159"/>
      <c r="E264" s="500"/>
      <c r="F264" s="500"/>
      <c r="G264" s="500"/>
      <c r="H264" s="500"/>
      <c r="I264" s="196"/>
      <c r="J264" s="500"/>
      <c r="K264" s="6"/>
      <c r="L264" s="6"/>
    </row>
    <row r="265" spans="1:14" s="146" customFormat="1" ht="64.5" customHeight="1" thickBot="1" x14ac:dyDescent="0.3">
      <c r="A265" s="1625" t="s">
        <v>115</v>
      </c>
      <c r="B265" s="1626"/>
      <c r="C265" s="1626"/>
      <c r="D265" s="1626"/>
      <c r="E265" s="1626"/>
      <c r="F265" s="501" t="s">
        <v>116</v>
      </c>
      <c r="G265" s="130" t="s">
        <v>117</v>
      </c>
      <c r="H265" s="130" t="s">
        <v>118</v>
      </c>
      <c r="I265" s="130" t="s">
        <v>119</v>
      </c>
      <c r="J265" s="130" t="s">
        <v>120</v>
      </c>
      <c r="K265" s="10"/>
      <c r="L265" s="10"/>
      <c r="M265"/>
      <c r="N265"/>
    </row>
    <row r="266" spans="1:14" s="146" customFormat="1" ht="18" x14ac:dyDescent="0.25">
      <c r="A266" s="254"/>
      <c r="B266" s="271"/>
      <c r="C266" s="271"/>
      <c r="D266" s="36" t="s">
        <v>756</v>
      </c>
      <c r="E266" s="356"/>
      <c r="F266" s="271"/>
      <c r="G266" s="155"/>
      <c r="H266" s="156"/>
      <c r="I266" s="155"/>
      <c r="J266" s="155"/>
      <c r="K266" s="10"/>
      <c r="L266" s="10"/>
      <c r="M266"/>
      <c r="N266"/>
    </row>
    <row r="267" spans="1:14" s="146" customFormat="1" ht="18" x14ac:dyDescent="0.25">
      <c r="A267" s="254"/>
      <c r="B267" s="271"/>
      <c r="C267" s="271"/>
      <c r="D267" s="361" t="s">
        <v>766</v>
      </c>
      <c r="E267" s="362"/>
      <c r="F267" s="271"/>
      <c r="G267" s="101"/>
      <c r="H267" s="102"/>
      <c r="I267" s="101"/>
      <c r="J267" s="101"/>
      <c r="K267" s="10"/>
      <c r="L267" s="10"/>
      <c r="M267"/>
      <c r="N267"/>
    </row>
    <row r="268" spans="1:14" s="146" customFormat="1" ht="39" customHeight="1" x14ac:dyDescent="0.25">
      <c r="A268" s="254"/>
      <c r="B268" s="271"/>
      <c r="C268" s="271"/>
      <c r="D268" s="1628" t="s">
        <v>767</v>
      </c>
      <c r="E268" s="1628"/>
      <c r="F268" s="271"/>
      <c r="G268" s="101">
        <v>3985501</v>
      </c>
      <c r="H268" s="102">
        <v>3000000</v>
      </c>
      <c r="I268" s="101"/>
      <c r="J268" s="101"/>
      <c r="K268" s="10"/>
      <c r="L268" s="10"/>
      <c r="M268"/>
      <c r="N268"/>
    </row>
    <row r="269" spans="1:14" s="146" customFormat="1" ht="65.25" customHeight="1" x14ac:dyDescent="0.25">
      <c r="A269" s="254"/>
      <c r="B269" s="271"/>
      <c r="C269" s="271"/>
      <c r="D269" s="1628" t="s">
        <v>768</v>
      </c>
      <c r="E269" s="1628"/>
      <c r="F269" s="271"/>
      <c r="G269" s="101">
        <v>1045110</v>
      </c>
      <c r="H269" s="102"/>
      <c r="I269" s="101"/>
      <c r="J269" s="101"/>
      <c r="K269" s="10"/>
      <c r="L269" s="10"/>
      <c r="M269"/>
      <c r="N269"/>
    </row>
    <row r="270" spans="1:14" s="146" customFormat="1" ht="45.75" customHeight="1" x14ac:dyDescent="0.25">
      <c r="A270" s="254"/>
      <c r="B270" s="271"/>
      <c r="C270" s="271"/>
      <c r="D270" s="1628" t="s">
        <v>769</v>
      </c>
      <c r="E270" s="1628"/>
      <c r="F270" s="271"/>
      <c r="G270" s="101">
        <v>501895</v>
      </c>
      <c r="H270" s="102"/>
      <c r="I270" s="101"/>
      <c r="J270" s="101"/>
      <c r="K270" s="10"/>
      <c r="L270" s="10"/>
      <c r="M270"/>
      <c r="N270"/>
    </row>
    <row r="271" spans="1:14" s="146" customFormat="1" ht="24.75" customHeight="1" x14ac:dyDescent="0.25">
      <c r="A271" s="254"/>
      <c r="B271" s="271"/>
      <c r="C271" s="271"/>
      <c r="D271" s="516" t="s">
        <v>770</v>
      </c>
      <c r="E271" s="363"/>
      <c r="F271" s="271"/>
      <c r="G271" s="101"/>
      <c r="H271" s="102"/>
      <c r="I271" s="101"/>
      <c r="J271" s="101"/>
      <c r="K271" s="10"/>
      <c r="L271" s="10"/>
      <c r="M271"/>
      <c r="N271"/>
    </row>
    <row r="272" spans="1:14" s="146" customFormat="1" ht="18" x14ac:dyDescent="0.25">
      <c r="A272" s="254"/>
      <c r="B272" s="271"/>
      <c r="C272" s="271"/>
      <c r="D272" s="516" t="s">
        <v>771</v>
      </c>
      <c r="E272" s="363"/>
      <c r="F272" s="271"/>
      <c r="G272" s="101">
        <v>58830</v>
      </c>
      <c r="H272" s="102"/>
      <c r="I272" s="101"/>
      <c r="J272" s="101"/>
      <c r="K272" s="10"/>
      <c r="L272" s="10"/>
      <c r="M272"/>
      <c r="N272"/>
    </row>
    <row r="273" spans="1:14" s="146" customFormat="1" ht="18" x14ac:dyDescent="0.25">
      <c r="A273" s="254"/>
      <c r="B273" s="271"/>
      <c r="C273" s="271"/>
      <c r="D273" s="516" t="s">
        <v>772</v>
      </c>
      <c r="E273" s="363"/>
      <c r="F273" s="271"/>
      <c r="G273" s="101">
        <v>46500</v>
      </c>
      <c r="H273" s="102"/>
      <c r="I273" s="101"/>
      <c r="J273" s="101"/>
      <c r="K273" s="10"/>
      <c r="L273" s="10"/>
      <c r="M273"/>
      <c r="N273"/>
    </row>
    <row r="274" spans="1:14" s="146" customFormat="1" ht="18" x14ac:dyDescent="0.25">
      <c r="A274" s="254"/>
      <c r="B274" s="271"/>
      <c r="C274" s="271"/>
      <c r="D274" s="516" t="s">
        <v>773</v>
      </c>
      <c r="E274" s="363"/>
      <c r="F274" s="271"/>
      <c r="G274" s="101"/>
      <c r="H274" s="102"/>
      <c r="I274" s="101"/>
      <c r="J274" s="101"/>
      <c r="K274" s="10"/>
      <c r="L274" s="10"/>
      <c r="M274"/>
      <c r="N274"/>
    </row>
    <row r="275" spans="1:14" s="146" customFormat="1" ht="53.25" customHeight="1" x14ac:dyDescent="0.25">
      <c r="A275" s="254"/>
      <c r="B275" s="271"/>
      <c r="C275" s="271"/>
      <c r="D275" s="1617" t="s">
        <v>774</v>
      </c>
      <c r="E275" s="1617"/>
      <c r="F275" s="271"/>
      <c r="G275" s="101">
        <v>820096</v>
      </c>
      <c r="H275" s="102"/>
      <c r="I275" s="101"/>
      <c r="J275" s="101"/>
      <c r="K275" s="10"/>
      <c r="L275" s="10"/>
      <c r="M275"/>
      <c r="N275"/>
    </row>
    <row r="276" spans="1:14" s="146" customFormat="1" ht="18" x14ac:dyDescent="0.25">
      <c r="A276" s="254"/>
      <c r="B276" s="271"/>
      <c r="C276" s="271"/>
      <c r="D276" s="516" t="s">
        <v>775</v>
      </c>
      <c r="E276" s="363"/>
      <c r="F276" s="271"/>
      <c r="G276" s="101">
        <v>225000</v>
      </c>
      <c r="H276" s="102"/>
      <c r="I276" s="101"/>
      <c r="J276" s="101"/>
      <c r="K276" s="10"/>
      <c r="L276" s="10"/>
      <c r="M276"/>
      <c r="N276"/>
    </row>
    <row r="277" spans="1:14" s="146" customFormat="1" ht="18" x14ac:dyDescent="0.25">
      <c r="A277" s="254"/>
      <c r="B277" s="271"/>
      <c r="C277" s="271"/>
      <c r="D277" s="516" t="s">
        <v>757</v>
      </c>
      <c r="E277" s="363"/>
      <c r="F277" s="271"/>
      <c r="G277" s="101"/>
      <c r="H277" s="102">
        <v>1500000</v>
      </c>
      <c r="I277" s="101"/>
      <c r="J277" s="101"/>
      <c r="K277" s="10"/>
      <c r="L277" s="10"/>
      <c r="M277"/>
      <c r="N277"/>
    </row>
    <row r="278" spans="1:14" s="146" customFormat="1" ht="18" x14ac:dyDescent="0.25">
      <c r="A278" s="254"/>
      <c r="B278" s="271"/>
      <c r="C278" s="271"/>
      <c r="D278" s="516" t="s">
        <v>776</v>
      </c>
      <c r="E278" s="363"/>
      <c r="F278" s="271"/>
      <c r="G278" s="101"/>
      <c r="H278" s="102">
        <v>3916826</v>
      </c>
      <c r="I278" s="101">
        <v>3912250</v>
      </c>
      <c r="J278" s="101"/>
      <c r="K278" s="10"/>
      <c r="L278" s="10"/>
      <c r="M278"/>
      <c r="N278"/>
    </row>
    <row r="279" spans="1:14" s="146" customFormat="1" ht="18.75" thickBot="1" x14ac:dyDescent="0.3">
      <c r="A279" s="353"/>
      <c r="B279" s="38"/>
      <c r="C279" s="38"/>
      <c r="D279" s="1608" t="s">
        <v>161</v>
      </c>
      <c r="E279" s="1608"/>
      <c r="F279" s="358"/>
      <c r="G279" s="364">
        <f>SUM(G268:G276)</f>
        <v>6682932</v>
      </c>
      <c r="H279" s="158">
        <f>SUM(H268:H278)</f>
        <v>8416826</v>
      </c>
      <c r="I279" s="158">
        <f>SUM(I268:I278)</f>
        <v>3912250</v>
      </c>
      <c r="J279" s="158">
        <f>SUM(J268:J276)</f>
        <v>0</v>
      </c>
      <c r="K279" s="10"/>
      <c r="L279" s="10"/>
    </row>
    <row r="280" spans="1:14" s="146" customFormat="1" ht="18" x14ac:dyDescent="0.25">
      <c r="A280" s="353"/>
      <c r="B280" s="38"/>
      <c r="C280" s="38"/>
      <c r="D280" s="365"/>
      <c r="E280" s="365"/>
      <c r="F280" s="38"/>
      <c r="G280" s="210"/>
      <c r="H280" s="210"/>
      <c r="I280" s="210"/>
      <c r="J280" s="233"/>
      <c r="K280" s="10"/>
      <c r="L280" s="10"/>
    </row>
    <row r="281" spans="1:14" s="146" customFormat="1" ht="18" x14ac:dyDescent="0.25">
      <c r="A281" s="527"/>
      <c r="B281" s="513"/>
      <c r="C281" s="513"/>
      <c r="D281" s="513"/>
      <c r="E281" s="543"/>
      <c r="F281" s="366"/>
      <c r="G281" s="360"/>
      <c r="H281" s="156"/>
      <c r="I281" s="156"/>
      <c r="J281" s="247"/>
      <c r="K281" s="10"/>
      <c r="L281" s="10"/>
    </row>
    <row r="282" spans="1:14" s="146" customFormat="1" ht="18" x14ac:dyDescent="0.25">
      <c r="A282" s="327" t="s">
        <v>777</v>
      </c>
      <c r="B282" s="369"/>
      <c r="C282" s="369"/>
      <c r="D282" s="513"/>
      <c r="E282" s="543"/>
      <c r="F282" s="366"/>
      <c r="G282" s="360"/>
      <c r="H282" s="156"/>
      <c r="I282" s="156"/>
      <c r="J282" s="247"/>
      <c r="K282" s="10"/>
      <c r="L282" s="10"/>
    </row>
    <row r="283" spans="1:14" s="146" customFormat="1" ht="18" x14ac:dyDescent="0.25">
      <c r="A283" s="527"/>
      <c r="B283" s="513"/>
      <c r="C283" s="513"/>
      <c r="D283" s="528" t="s">
        <v>778</v>
      </c>
      <c r="E283" s="528"/>
      <c r="F283" s="366"/>
      <c r="G283" s="367">
        <v>234000</v>
      </c>
      <c r="H283" s="156"/>
      <c r="I283" s="156"/>
      <c r="J283" s="247"/>
      <c r="K283" s="10"/>
      <c r="L283" s="10"/>
    </row>
    <row r="284" spans="1:14" s="146" customFormat="1" ht="18" x14ac:dyDescent="0.25">
      <c r="A284" s="527"/>
      <c r="B284" s="513"/>
      <c r="C284" s="513"/>
      <c r="D284" s="528" t="s">
        <v>779</v>
      </c>
      <c r="E284" s="528"/>
      <c r="F284" s="366"/>
      <c r="G284" s="367">
        <v>6156222.75</v>
      </c>
      <c r="H284" s="156"/>
      <c r="I284" s="156"/>
      <c r="J284" s="247"/>
      <c r="K284" s="10"/>
      <c r="L284" s="10"/>
    </row>
    <row r="285" spans="1:14" s="146" customFormat="1" ht="18" x14ac:dyDescent="0.25">
      <c r="A285" s="527"/>
      <c r="B285" s="513"/>
      <c r="C285" s="513"/>
      <c r="D285" s="528" t="s">
        <v>780</v>
      </c>
      <c r="E285" s="528"/>
      <c r="F285" s="366"/>
      <c r="G285" s="367">
        <v>2477975</v>
      </c>
      <c r="H285" s="156"/>
      <c r="I285" s="156"/>
      <c r="J285" s="247"/>
      <c r="K285" s="10"/>
      <c r="L285" s="10"/>
    </row>
    <row r="286" spans="1:14" s="146" customFormat="1" ht="18" x14ac:dyDescent="0.25">
      <c r="A286" s="527"/>
      <c r="B286" s="513"/>
      <c r="C286" s="513"/>
      <c r="D286" s="528" t="s">
        <v>781</v>
      </c>
      <c r="E286" s="528"/>
      <c r="F286" s="366"/>
      <c r="G286" s="367">
        <v>1049036</v>
      </c>
      <c r="H286" s="156"/>
      <c r="I286" s="156"/>
      <c r="J286" s="247"/>
      <c r="K286" s="10"/>
      <c r="L286" s="10"/>
    </row>
    <row r="287" spans="1:14" s="146" customFormat="1" ht="18" x14ac:dyDescent="0.25">
      <c r="A287" s="527"/>
      <c r="B287" s="513"/>
      <c r="C287" s="513"/>
      <c r="D287" s="528" t="s">
        <v>782</v>
      </c>
      <c r="E287" s="528"/>
      <c r="F287" s="366"/>
      <c r="G287" s="368">
        <v>1870498</v>
      </c>
      <c r="H287" s="110"/>
      <c r="I287" s="110"/>
      <c r="J287" s="572"/>
      <c r="K287" s="10"/>
      <c r="L287" s="10"/>
    </row>
    <row r="288" spans="1:14" s="146" customFormat="1" ht="18" x14ac:dyDescent="0.25">
      <c r="A288" s="527"/>
      <c r="B288" s="513"/>
      <c r="C288" s="513"/>
      <c r="D288" s="369" t="s">
        <v>783</v>
      </c>
      <c r="E288" s="543"/>
      <c r="F288" s="366"/>
      <c r="G288" s="316">
        <f>SUM(G283:G287)</f>
        <v>11787731.75</v>
      </c>
      <c r="H288" s="150"/>
      <c r="I288" s="150"/>
      <c r="J288" s="278"/>
      <c r="K288" s="10"/>
      <c r="L288" s="10"/>
    </row>
    <row r="289" spans="1:14" s="146" customFormat="1" ht="18" x14ac:dyDescent="0.25">
      <c r="A289" s="519"/>
      <c r="B289" s="499"/>
      <c r="C289" s="499"/>
      <c r="D289" s="369"/>
      <c r="E289" s="496"/>
      <c r="F289" s="322"/>
      <c r="G289" s="189"/>
      <c r="H289" s="156"/>
      <c r="I289" s="155"/>
      <c r="J289" s="370"/>
      <c r="K289" s="10"/>
      <c r="L289" s="10"/>
      <c r="M289"/>
      <c r="N289"/>
    </row>
    <row r="290" spans="1:14" ht="18.75" thickBot="1" x14ac:dyDescent="0.3">
      <c r="A290" s="371"/>
      <c r="B290" s="374"/>
      <c r="C290" s="374"/>
      <c r="D290" s="372"/>
      <c r="E290" s="373"/>
      <c r="F290" s="374"/>
      <c r="G290" s="219"/>
      <c r="H290" s="220"/>
      <c r="I290" s="219"/>
      <c r="J290" s="257"/>
    </row>
    <row r="291" spans="1:14" ht="18" x14ac:dyDescent="0.25">
      <c r="A291" s="271"/>
      <c r="B291" s="271"/>
      <c r="C291" s="271"/>
      <c r="D291" s="365"/>
      <c r="E291" s="363"/>
      <c r="F291" s="271"/>
      <c r="G291" s="141"/>
      <c r="H291" s="122"/>
      <c r="I291" s="141"/>
      <c r="J291" s="141"/>
    </row>
    <row r="292" spans="1:14" ht="18" x14ac:dyDescent="0.25">
      <c r="A292" s="271"/>
      <c r="B292" s="271"/>
      <c r="C292" s="271"/>
      <c r="D292" s="365"/>
      <c r="E292" s="363"/>
      <c r="F292" s="271"/>
      <c r="G292" s="141"/>
      <c r="H292" s="122"/>
      <c r="I292" s="141"/>
      <c r="J292" s="141"/>
    </row>
    <row r="293" spans="1:14" ht="18" x14ac:dyDescent="0.25">
      <c r="A293" s="271"/>
      <c r="B293" s="271"/>
      <c r="C293" s="271"/>
      <c r="D293" s="365"/>
      <c r="E293" s="363"/>
      <c r="F293" s="271"/>
      <c r="G293" s="141"/>
      <c r="H293" s="122"/>
      <c r="I293" s="141"/>
      <c r="J293" s="141"/>
    </row>
    <row r="294" spans="1:14" ht="18" x14ac:dyDescent="0.25">
      <c r="A294" s="271"/>
      <c r="B294" s="271"/>
      <c r="C294" s="271"/>
      <c r="D294" s="365"/>
      <c r="E294" s="363"/>
      <c r="F294" s="271"/>
      <c r="G294" s="141"/>
      <c r="H294" s="122"/>
      <c r="I294" s="141"/>
      <c r="J294" s="141"/>
    </row>
    <row r="295" spans="1:14" ht="18" x14ac:dyDescent="0.25">
      <c r="A295" s="271"/>
      <c r="B295" s="271"/>
      <c r="C295" s="271"/>
      <c r="D295" s="365"/>
      <c r="E295" s="363"/>
      <c r="F295" s="271"/>
      <c r="G295" s="141"/>
      <c r="H295" s="122"/>
      <c r="I295" s="141"/>
      <c r="J295" s="141"/>
    </row>
    <row r="296" spans="1:14" ht="18" x14ac:dyDescent="0.25">
      <c r="A296" s="271"/>
      <c r="B296" s="271"/>
      <c r="C296" s="271"/>
      <c r="D296" s="365"/>
      <c r="E296" s="363"/>
      <c r="F296" s="271"/>
      <c r="G296" s="141"/>
      <c r="H296" s="122"/>
      <c r="I296" s="141"/>
      <c r="J296" s="141"/>
    </row>
    <row r="297" spans="1:14" ht="18" x14ac:dyDescent="0.25">
      <c r="A297" s="271"/>
      <c r="B297" s="271"/>
      <c r="C297" s="271"/>
      <c r="D297" s="365"/>
      <c r="E297" s="363"/>
      <c r="F297" s="271"/>
      <c r="G297" s="141"/>
      <c r="H297" s="122"/>
      <c r="I297" s="141"/>
      <c r="J297" s="141"/>
    </row>
    <row r="298" spans="1:14" ht="18" x14ac:dyDescent="0.25">
      <c r="A298" s="271"/>
      <c r="B298" s="271"/>
      <c r="C298" s="271"/>
      <c r="D298" s="365"/>
      <c r="E298" s="363"/>
      <c r="F298" s="271"/>
      <c r="G298" s="141"/>
      <c r="H298" s="122"/>
      <c r="I298" s="141"/>
      <c r="J298" s="141"/>
    </row>
    <row r="299" spans="1:14" ht="18" x14ac:dyDescent="0.25">
      <c r="A299" s="271"/>
      <c r="B299" s="271"/>
      <c r="C299" s="271"/>
      <c r="D299" s="365"/>
      <c r="E299" s="363"/>
      <c r="F299" s="271"/>
      <c r="G299" s="141"/>
      <c r="H299" s="122"/>
      <c r="I299" s="141"/>
      <c r="J299" s="141"/>
    </row>
    <row r="300" spans="1:14" ht="18" x14ac:dyDescent="0.25">
      <c r="A300" s="271"/>
      <c r="B300" s="271"/>
      <c r="C300" s="271"/>
      <c r="D300" s="365"/>
      <c r="E300" s="363"/>
      <c r="F300" s="271"/>
      <c r="G300" s="141"/>
      <c r="H300" s="122"/>
      <c r="I300" s="141"/>
      <c r="J300" s="141"/>
    </row>
    <row r="301" spans="1:14" ht="18" x14ac:dyDescent="0.25">
      <c r="A301" s="271"/>
      <c r="B301" s="271"/>
      <c r="C301" s="271"/>
      <c r="D301" s="365"/>
      <c r="E301" s="363"/>
      <c r="F301" s="271"/>
      <c r="G301" s="141"/>
      <c r="H301" s="122"/>
      <c r="I301" s="141"/>
      <c r="J301" s="141"/>
    </row>
    <row r="302" spans="1:14" ht="18" x14ac:dyDescent="0.25">
      <c r="A302" s="271"/>
      <c r="B302" s="271"/>
      <c r="C302" s="271"/>
      <c r="D302" s="365"/>
      <c r="E302" s="363"/>
      <c r="F302" s="271"/>
      <c r="G302" s="141"/>
      <c r="H302" s="122"/>
      <c r="I302" s="141"/>
      <c r="J302" s="141"/>
    </row>
    <row r="303" spans="1:14" ht="18" x14ac:dyDescent="0.25">
      <c r="A303" s="271"/>
      <c r="B303" s="271"/>
      <c r="C303" s="271"/>
      <c r="D303" s="365"/>
      <c r="E303" s="363"/>
      <c r="F303" s="271"/>
      <c r="G303" s="141"/>
      <c r="H303" s="122"/>
      <c r="I303" s="141"/>
      <c r="J303" s="141"/>
    </row>
    <row r="304" spans="1:14" ht="18" x14ac:dyDescent="0.25">
      <c r="A304" s="271"/>
      <c r="B304" s="271"/>
      <c r="C304" s="271"/>
      <c r="D304" s="365"/>
      <c r="E304" s="363"/>
      <c r="F304" s="271"/>
      <c r="G304" s="141"/>
      <c r="H304" s="122"/>
      <c r="I304" s="141"/>
      <c r="J304" s="141"/>
    </row>
    <row r="305" spans="1:14" s="10" customFormat="1" ht="18" x14ac:dyDescent="0.25">
      <c r="A305" s="271"/>
      <c r="B305" s="271"/>
      <c r="C305" s="271"/>
      <c r="D305" s="365"/>
      <c r="E305" s="363"/>
      <c r="F305" s="271"/>
      <c r="G305" s="141"/>
      <c r="H305" s="122"/>
      <c r="I305" s="141"/>
      <c r="J305" s="141"/>
      <c r="M305"/>
      <c r="N305"/>
    </row>
    <row r="306" spans="1:14" s="10" customFormat="1" ht="18" x14ac:dyDescent="0.25">
      <c r="A306" s="271"/>
      <c r="B306" s="271"/>
      <c r="C306" s="271"/>
      <c r="D306" s="365"/>
      <c r="E306" s="363"/>
      <c r="F306" s="271"/>
      <c r="G306" s="141"/>
      <c r="H306" s="122"/>
      <c r="I306" s="141"/>
      <c r="J306" s="141"/>
      <c r="M306"/>
      <c r="N306"/>
    </row>
    <row r="307" spans="1:14" s="10" customFormat="1" ht="18" x14ac:dyDescent="0.25">
      <c r="A307" s="271"/>
      <c r="B307" s="271"/>
      <c r="C307" s="271"/>
      <c r="D307" s="365"/>
      <c r="E307" s="363"/>
      <c r="F307" s="271"/>
      <c r="G307" s="141"/>
      <c r="H307" s="122"/>
      <c r="I307" s="141"/>
      <c r="J307" s="141"/>
      <c r="M307"/>
      <c r="N307"/>
    </row>
    <row r="308" spans="1:14" s="10" customFormat="1" ht="18" x14ac:dyDescent="0.25">
      <c r="A308" s="271"/>
      <c r="B308" s="271"/>
      <c r="C308" s="271"/>
      <c r="D308" s="365"/>
      <c r="E308" s="363"/>
      <c r="F308" s="271"/>
      <c r="G308" s="141"/>
      <c r="H308" s="122"/>
      <c r="I308" s="141"/>
      <c r="J308" s="141"/>
      <c r="M308"/>
      <c r="N308"/>
    </row>
    <row r="309" spans="1:14" s="10" customFormat="1" ht="18" x14ac:dyDescent="0.25">
      <c r="A309" s="271"/>
      <c r="B309" s="271"/>
      <c r="C309" s="271"/>
      <c r="D309" s="365"/>
      <c r="E309" s="363"/>
      <c r="F309" s="271"/>
      <c r="G309" s="141"/>
      <c r="H309" s="122"/>
      <c r="I309" s="141"/>
      <c r="J309" s="141"/>
      <c r="M309"/>
      <c r="N309"/>
    </row>
    <row r="310" spans="1:14" s="10" customFormat="1" ht="18" x14ac:dyDescent="0.25">
      <c r="A310" s="271"/>
      <c r="B310" s="271"/>
      <c r="C310" s="271"/>
      <c r="D310" s="365"/>
      <c r="E310" s="363"/>
      <c r="F310" s="271"/>
      <c r="G310" s="141"/>
      <c r="H310" s="122"/>
      <c r="I310" s="141"/>
      <c r="J310" s="141"/>
      <c r="M310"/>
      <c r="N310"/>
    </row>
    <row r="311" spans="1:14" s="10" customFormat="1" ht="18" x14ac:dyDescent="0.25">
      <c r="A311" s="271"/>
      <c r="B311" s="271"/>
      <c r="C311" s="271"/>
      <c r="D311" s="365"/>
      <c r="E311" s="363"/>
      <c r="F311" s="271"/>
      <c r="G311" s="141"/>
      <c r="H311" s="122"/>
      <c r="I311" s="141"/>
      <c r="J311" s="141"/>
      <c r="M311"/>
      <c r="N311"/>
    </row>
    <row r="312" spans="1:14" s="10" customFormat="1" ht="18" x14ac:dyDescent="0.25">
      <c r="A312" s="271"/>
      <c r="B312" s="271"/>
      <c r="C312" s="271"/>
      <c r="D312" s="365"/>
      <c r="E312" s="363"/>
      <c r="F312" s="271"/>
      <c r="G312" s="141"/>
      <c r="H312" s="122"/>
      <c r="I312" s="141"/>
      <c r="J312" s="141"/>
      <c r="M312"/>
      <c r="N312"/>
    </row>
    <row r="313" spans="1:14" s="10" customFormat="1" ht="18" x14ac:dyDescent="0.25">
      <c r="A313" s="271"/>
      <c r="B313" s="271"/>
      <c r="C313" s="271"/>
      <c r="D313" s="365"/>
      <c r="E313" s="363"/>
      <c r="F313" s="271"/>
      <c r="G313" s="141"/>
      <c r="H313" s="122"/>
      <c r="I313" s="141"/>
      <c r="J313" s="141"/>
      <c r="M313"/>
      <c r="N313"/>
    </row>
    <row r="314" spans="1:14" s="10" customFormat="1" ht="18" x14ac:dyDescent="0.25">
      <c r="A314" s="271"/>
      <c r="B314" s="271"/>
      <c r="C314" s="271"/>
      <c r="D314" s="365"/>
      <c r="E314" s="363"/>
      <c r="F314" s="271"/>
      <c r="G314" s="141"/>
      <c r="H314" s="122"/>
      <c r="I314" s="141"/>
      <c r="J314" s="141"/>
      <c r="M314"/>
      <c r="N314"/>
    </row>
    <row r="315" spans="1:14" s="10" customFormat="1" ht="18" x14ac:dyDescent="0.25">
      <c r="A315" s="271"/>
      <c r="B315" s="271"/>
      <c r="C315" s="271"/>
      <c r="D315" s="365"/>
      <c r="E315" s="363"/>
      <c r="F315" s="271"/>
      <c r="G315" s="141"/>
      <c r="H315" s="122"/>
      <c r="I315" s="141"/>
      <c r="J315" s="141"/>
      <c r="M315"/>
      <c r="N315"/>
    </row>
    <row r="316" spans="1:14" s="10" customFormat="1" ht="18" x14ac:dyDescent="0.25">
      <c r="A316" s="271"/>
      <c r="B316" s="271"/>
      <c r="C316" s="271"/>
      <c r="D316" s="365"/>
      <c r="E316" s="363"/>
      <c r="F316" s="271"/>
      <c r="G316" s="141"/>
      <c r="H316" s="122"/>
      <c r="I316" s="141"/>
      <c r="J316" s="141"/>
      <c r="M316"/>
      <c r="N316"/>
    </row>
    <row r="317" spans="1:14" s="10" customFormat="1" ht="18" x14ac:dyDescent="0.25">
      <c r="A317" s="271"/>
      <c r="B317" s="271"/>
      <c r="C317" s="271"/>
      <c r="D317" s="365"/>
      <c r="E317" s="363"/>
      <c r="F317" s="271"/>
      <c r="G317" s="141"/>
      <c r="H317" s="122"/>
      <c r="I317" s="141"/>
      <c r="J317" s="141"/>
      <c r="M317"/>
      <c r="N317"/>
    </row>
    <row r="318" spans="1:14" s="10" customFormat="1" ht="18" x14ac:dyDescent="0.25">
      <c r="A318" s="271"/>
      <c r="B318" s="271"/>
      <c r="C318" s="271"/>
      <c r="D318" s="365"/>
      <c r="E318" s="363"/>
      <c r="F318" s="271"/>
      <c r="G318" s="141"/>
      <c r="H318" s="122"/>
      <c r="I318" s="141"/>
      <c r="J318" s="141"/>
      <c r="M318"/>
      <c r="N318"/>
    </row>
    <row r="319" spans="1:14" s="10" customFormat="1" ht="18" customHeight="1" x14ac:dyDescent="0.25">
      <c r="A319" s="8" t="s">
        <v>112</v>
      </c>
      <c r="B319" s="8"/>
      <c r="C319" s="8"/>
      <c r="D319" s="9"/>
      <c r="E319" s="8"/>
      <c r="F319" s="8"/>
      <c r="G319" s="4"/>
      <c r="H319" s="5"/>
      <c r="I319" s="4"/>
      <c r="J319" s="4"/>
      <c r="M319"/>
      <c r="N319"/>
    </row>
    <row r="320" spans="1:14" s="10" customFormat="1" ht="18" customHeight="1" x14ac:dyDescent="0.25">
      <c r="A320" s="8" t="s">
        <v>784</v>
      </c>
      <c r="B320" s="8"/>
      <c r="C320" s="8"/>
      <c r="D320" s="9"/>
      <c r="E320" s="8"/>
      <c r="F320" s="8"/>
      <c r="G320" s="4"/>
      <c r="H320" s="5"/>
      <c r="I320" s="4"/>
      <c r="J320" s="4"/>
      <c r="M320"/>
      <c r="N320"/>
    </row>
    <row r="321" spans="1:14" ht="18" customHeight="1" x14ac:dyDescent="0.25">
      <c r="A321" s="1636" t="s">
        <v>113</v>
      </c>
      <c r="B321" s="1636"/>
      <c r="C321" s="1636"/>
      <c r="D321" s="1636"/>
      <c r="E321" s="1636"/>
      <c r="F321" s="1636"/>
      <c r="G321" s="1636"/>
      <c r="H321" s="1636"/>
      <c r="I321" s="1636"/>
      <c r="J321" s="1636"/>
    </row>
    <row r="322" spans="1:14" s="7" customFormat="1" ht="18" customHeight="1" x14ac:dyDescent="0.25">
      <c r="A322" s="1624" t="s">
        <v>114</v>
      </c>
      <c r="B322" s="1624"/>
      <c r="C322" s="1624"/>
      <c r="D322" s="1624"/>
      <c r="E322" s="1624"/>
      <c r="F322" s="1624"/>
      <c r="G322" s="1624"/>
      <c r="H322" s="1624"/>
      <c r="I322" s="1624"/>
      <c r="J322" s="1624"/>
      <c r="K322" s="6"/>
      <c r="L322" s="6"/>
    </row>
    <row r="323" spans="1:14" ht="18.75" thickBot="1" x14ac:dyDescent="0.3">
      <c r="A323" s="41"/>
      <c r="B323" s="41"/>
      <c r="C323" s="41"/>
      <c r="D323" s="63"/>
      <c r="E323" s="41"/>
      <c r="F323" s="41"/>
    </row>
    <row r="324" spans="1:14" ht="63.75" thickBot="1" x14ac:dyDescent="0.3">
      <c r="A324" s="1655" t="s">
        <v>115</v>
      </c>
      <c r="B324" s="1655"/>
      <c r="C324" s="1655"/>
      <c r="D324" s="1655"/>
      <c r="E324" s="1655"/>
      <c r="F324" s="93" t="s">
        <v>116</v>
      </c>
      <c r="G324" s="130" t="s">
        <v>117</v>
      </c>
      <c r="H324" s="130" t="s">
        <v>118</v>
      </c>
      <c r="I324" s="130" t="s">
        <v>119</v>
      </c>
      <c r="J324" s="130" t="s">
        <v>120</v>
      </c>
    </row>
    <row r="325" spans="1:14" ht="18.75" thickBot="1" x14ac:dyDescent="0.3">
      <c r="A325" s="1656" t="s">
        <v>785</v>
      </c>
      <c r="B325" s="1657"/>
      <c r="C325" s="1657"/>
      <c r="D325" s="1657"/>
      <c r="E325" s="1657"/>
      <c r="F325" s="375"/>
      <c r="G325" s="209"/>
      <c r="H325" s="210"/>
      <c r="I325" s="209"/>
      <c r="J325" s="209"/>
    </row>
    <row r="326" spans="1:14" ht="18" x14ac:dyDescent="0.25">
      <c r="A326" s="495"/>
      <c r="B326" s="496"/>
      <c r="C326" s="496"/>
      <c r="D326" s="1658" t="s">
        <v>786</v>
      </c>
      <c r="E326" s="1658"/>
      <c r="F326" s="376"/>
      <c r="G326" s="101"/>
      <c r="H326" s="102"/>
      <c r="I326" s="101"/>
      <c r="J326" s="101"/>
    </row>
    <row r="327" spans="1:14" ht="15" customHeight="1" x14ac:dyDescent="0.25">
      <c r="A327" s="495"/>
      <c r="B327" s="496"/>
      <c r="C327" s="496"/>
      <c r="D327" s="1620" t="s">
        <v>787</v>
      </c>
      <c r="E327" s="1620"/>
      <c r="F327" s="376"/>
      <c r="G327" s="101"/>
      <c r="H327" s="102"/>
      <c r="I327" s="101"/>
      <c r="J327" s="101"/>
    </row>
    <row r="328" spans="1:14" ht="18" x14ac:dyDescent="0.25">
      <c r="A328" s="495"/>
      <c r="B328" s="496"/>
      <c r="C328" s="496"/>
      <c r="D328" s="1654" t="s">
        <v>788</v>
      </c>
      <c r="E328" s="1654"/>
      <c r="F328" s="376"/>
      <c r="G328" s="101"/>
      <c r="H328" s="102"/>
      <c r="I328" s="101"/>
      <c r="J328" s="101"/>
    </row>
    <row r="329" spans="1:14" s="191" customFormat="1" ht="18" x14ac:dyDescent="0.25">
      <c r="A329" s="495"/>
      <c r="B329" s="496"/>
      <c r="C329" s="496"/>
      <c r="D329" s="38" t="s">
        <v>789</v>
      </c>
      <c r="E329" s="499"/>
      <c r="F329" s="376" t="s">
        <v>165</v>
      </c>
      <c r="G329" s="101">
        <v>43250</v>
      </c>
      <c r="H329" s="102">
        <v>110000</v>
      </c>
      <c r="I329" s="101"/>
      <c r="J329" s="101">
        <v>40000</v>
      </c>
      <c r="K329" s="10"/>
      <c r="L329" s="10"/>
      <c r="M329"/>
      <c r="N329"/>
    </row>
    <row r="330" spans="1:14" ht="18" x14ac:dyDescent="0.25">
      <c r="A330" s="519"/>
      <c r="B330" s="499"/>
      <c r="C330" s="499"/>
      <c r="D330" s="516" t="s">
        <v>790</v>
      </c>
      <c r="E330" s="511"/>
      <c r="F330" s="376" t="s">
        <v>167</v>
      </c>
      <c r="G330" s="101"/>
      <c r="H330" s="102"/>
      <c r="I330" s="101"/>
      <c r="J330" s="101">
        <v>10000</v>
      </c>
      <c r="M330" s="191"/>
      <c r="N330" s="191"/>
    </row>
    <row r="331" spans="1:14" ht="18" x14ac:dyDescent="0.25">
      <c r="A331" s="495"/>
      <c r="B331" s="496"/>
      <c r="C331" s="496"/>
      <c r="D331" s="38" t="s">
        <v>791</v>
      </c>
      <c r="E331" s="499"/>
      <c r="F331" s="376" t="s">
        <v>169</v>
      </c>
      <c r="G331" s="101">
        <v>34264.6</v>
      </c>
      <c r="H331" s="102">
        <v>115060</v>
      </c>
      <c r="I331" s="101">
        <v>21333</v>
      </c>
      <c r="J331" s="101">
        <v>79303.5</v>
      </c>
      <c r="L331" s="10">
        <f>125500</f>
        <v>125500</v>
      </c>
    </row>
    <row r="332" spans="1:14" ht="18" x14ac:dyDescent="0.25">
      <c r="A332" s="495"/>
      <c r="B332" s="496"/>
      <c r="C332" s="496"/>
      <c r="D332" s="38" t="s">
        <v>792</v>
      </c>
      <c r="E332" s="499"/>
      <c r="F332" s="376" t="s">
        <v>171</v>
      </c>
      <c r="G332" s="101"/>
      <c r="H332" s="102"/>
      <c r="I332" s="101"/>
      <c r="J332" s="101">
        <v>43720</v>
      </c>
    </row>
    <row r="333" spans="1:14" ht="18" x14ac:dyDescent="0.25">
      <c r="A333" s="495"/>
      <c r="B333" s="496"/>
      <c r="C333" s="496"/>
      <c r="D333" s="38" t="s">
        <v>793</v>
      </c>
      <c r="E333" s="499"/>
      <c r="F333" s="376" t="s">
        <v>171</v>
      </c>
      <c r="G333" s="101">
        <v>11616</v>
      </c>
      <c r="H333" s="102">
        <v>10440</v>
      </c>
      <c r="I333" s="101"/>
      <c r="J333" s="101"/>
      <c r="L333" s="10">
        <f>7200+3240</f>
        <v>10440</v>
      </c>
    </row>
    <row r="334" spans="1:14" ht="18" x14ac:dyDescent="0.25">
      <c r="A334" s="495"/>
      <c r="B334" s="496"/>
      <c r="C334" s="496"/>
      <c r="D334" s="38" t="s">
        <v>794</v>
      </c>
      <c r="E334" s="499"/>
      <c r="F334" s="376" t="s">
        <v>383</v>
      </c>
      <c r="G334" s="101"/>
      <c r="H334" s="102"/>
      <c r="I334" s="101"/>
      <c r="J334" s="101">
        <v>4680</v>
      </c>
    </row>
    <row r="335" spans="1:14" ht="18" x14ac:dyDescent="0.25">
      <c r="A335" s="495"/>
      <c r="B335" s="496"/>
      <c r="C335" s="496"/>
      <c r="D335" s="38" t="s">
        <v>795</v>
      </c>
      <c r="E335" s="499"/>
      <c r="F335" s="376" t="s">
        <v>177</v>
      </c>
      <c r="G335" s="101">
        <v>2594</v>
      </c>
      <c r="H335" s="102">
        <v>3000</v>
      </c>
      <c r="I335" s="101"/>
      <c r="J335" s="101">
        <v>4546.5</v>
      </c>
    </row>
    <row r="336" spans="1:14" ht="18" x14ac:dyDescent="0.25">
      <c r="A336" s="495"/>
      <c r="B336" s="496"/>
      <c r="C336" s="496"/>
      <c r="D336" s="38" t="s">
        <v>796</v>
      </c>
      <c r="E336" s="499"/>
      <c r="F336" s="376" t="s">
        <v>183</v>
      </c>
      <c r="G336" s="101">
        <v>28804.36</v>
      </c>
      <c r="H336" s="102">
        <v>35000</v>
      </c>
      <c r="I336" s="101">
        <v>17068.45</v>
      </c>
      <c r="J336" s="101">
        <v>30000</v>
      </c>
    </row>
    <row r="337" spans="1:14" ht="18" x14ac:dyDescent="0.25">
      <c r="A337" s="495"/>
      <c r="B337" s="496"/>
      <c r="C337" s="496"/>
      <c r="D337" s="38" t="s">
        <v>797</v>
      </c>
      <c r="E337" s="499"/>
      <c r="F337" s="376" t="s">
        <v>282</v>
      </c>
      <c r="G337" s="101">
        <v>0</v>
      </c>
      <c r="H337" s="102">
        <v>1500</v>
      </c>
      <c r="I337" s="101"/>
      <c r="J337" s="101">
        <v>1750</v>
      </c>
      <c r="L337" s="10" t="e">
        <f>#REF!-L336</f>
        <v>#REF!</v>
      </c>
    </row>
    <row r="338" spans="1:14" ht="18" x14ac:dyDescent="0.25">
      <c r="A338" s="495"/>
      <c r="B338" s="496"/>
      <c r="C338" s="496"/>
      <c r="D338" s="38" t="s">
        <v>798</v>
      </c>
      <c r="E338" s="499"/>
      <c r="F338" s="376" t="s">
        <v>237</v>
      </c>
      <c r="G338" s="101"/>
      <c r="H338" s="102"/>
      <c r="I338" s="101"/>
      <c r="J338" s="105">
        <v>4000</v>
      </c>
    </row>
    <row r="339" spans="1:14" ht="18" x14ac:dyDescent="0.25">
      <c r="A339" s="495"/>
      <c r="B339" s="496"/>
      <c r="C339" s="496"/>
      <c r="D339" s="496" t="s">
        <v>200</v>
      </c>
      <c r="F339" s="376"/>
      <c r="G339" s="150">
        <f>SUM(G329:G338)</f>
        <v>120528.96000000001</v>
      </c>
      <c r="H339" s="150">
        <f>SUM(H329:H338)</f>
        <v>275000</v>
      </c>
      <c r="I339" s="119">
        <f>SUM(I330:I336)</f>
        <v>38401.449999999997</v>
      </c>
      <c r="J339" s="119">
        <f>SUM(J329:J338)</f>
        <v>218000</v>
      </c>
    </row>
    <row r="340" spans="1:14" ht="18" x14ac:dyDescent="0.25">
      <c r="A340" s="495"/>
      <c r="B340" s="496"/>
      <c r="C340" s="496"/>
      <c r="D340" s="38"/>
      <c r="E340" s="496"/>
      <c r="F340" s="377"/>
      <c r="G340" s="155"/>
      <c r="H340" s="156"/>
      <c r="I340" s="155"/>
      <c r="J340" s="155"/>
    </row>
    <row r="341" spans="1:14" ht="18" x14ac:dyDescent="0.25">
      <c r="A341" s="495"/>
      <c r="B341" s="496"/>
      <c r="C341" s="496"/>
      <c r="D341" s="1620" t="s">
        <v>799</v>
      </c>
      <c r="E341" s="1620"/>
      <c r="F341" s="1621"/>
      <c r="G341" s="101"/>
      <c r="H341" s="102"/>
      <c r="I341" s="101"/>
      <c r="J341" s="101"/>
    </row>
    <row r="342" spans="1:14" ht="18" x14ac:dyDescent="0.25">
      <c r="A342" s="495"/>
      <c r="B342" s="496"/>
      <c r="C342" s="496"/>
      <c r="D342" s="38" t="s">
        <v>800</v>
      </c>
      <c r="E342" s="496"/>
      <c r="F342" s="376"/>
      <c r="G342" s="101"/>
      <c r="H342" s="102">
        <v>15000</v>
      </c>
      <c r="I342" s="101"/>
      <c r="J342" s="101"/>
    </row>
    <row r="343" spans="1:14" ht="18" x14ac:dyDescent="0.25">
      <c r="A343" s="495"/>
      <c r="B343" s="496"/>
      <c r="C343" s="496"/>
      <c r="D343" s="38" t="s">
        <v>801</v>
      </c>
      <c r="E343" s="496"/>
      <c r="F343" s="376"/>
      <c r="G343" s="105"/>
      <c r="H343" s="106">
        <v>60000</v>
      </c>
      <c r="I343" s="105"/>
      <c r="J343" s="105">
        <v>30000</v>
      </c>
    </row>
    <row r="344" spans="1:14" ht="18.75" thickBot="1" x14ac:dyDescent="0.3">
      <c r="A344" s="495"/>
      <c r="B344" s="496"/>
      <c r="C344" s="496"/>
      <c r="D344" s="496" t="s">
        <v>200</v>
      </c>
      <c r="F344" s="378"/>
      <c r="G344" s="156">
        <f>SUM(G342:G343)</f>
        <v>0</v>
      </c>
      <c r="H344" s="156">
        <f>SUM(H342:H343)</f>
        <v>75000</v>
      </c>
      <c r="I344" s="155"/>
      <c r="J344" s="155">
        <f>SUM(J342:J343)</f>
        <v>30000</v>
      </c>
    </row>
    <row r="345" spans="1:14" ht="16.5" customHeight="1" x14ac:dyDescent="0.25">
      <c r="A345" s="495"/>
      <c r="B345" s="496"/>
      <c r="C345" s="496"/>
      <c r="D345" s="496" t="s">
        <v>208</v>
      </c>
      <c r="F345" s="376"/>
      <c r="G345" s="119">
        <f>G344+G339</f>
        <v>120528.96000000001</v>
      </c>
      <c r="H345" s="150">
        <f>H344+H339</f>
        <v>350000</v>
      </c>
      <c r="I345" s="119">
        <f>I344+I339</f>
        <v>38401.449999999997</v>
      </c>
      <c r="J345" s="119">
        <f>J344+J339</f>
        <v>248000</v>
      </c>
    </row>
    <row r="346" spans="1:14" ht="16.5" customHeight="1" x14ac:dyDescent="0.25">
      <c r="A346" s="495"/>
      <c r="B346" s="496"/>
      <c r="C346" s="496"/>
      <c r="D346" s="543"/>
      <c r="E346" s="496"/>
      <c r="F346" s="376"/>
      <c r="G346" s="155"/>
      <c r="H346" s="156"/>
      <c r="I346" s="155"/>
      <c r="J346" s="155"/>
    </row>
    <row r="347" spans="1:14" ht="18" x14ac:dyDescent="0.25">
      <c r="A347" s="495"/>
      <c r="B347" s="496"/>
      <c r="C347" s="496"/>
      <c r="D347" s="1620" t="s">
        <v>802</v>
      </c>
      <c r="E347" s="1620"/>
      <c r="F347" s="376"/>
      <c r="G347" s="101"/>
      <c r="H347" s="102"/>
      <c r="I347" s="101"/>
      <c r="J347" s="101"/>
    </row>
    <row r="348" spans="1:14" ht="18" x14ac:dyDescent="0.25">
      <c r="A348" s="495"/>
      <c r="B348" s="496"/>
      <c r="C348" s="496"/>
      <c r="D348" s="1620" t="s">
        <v>803</v>
      </c>
      <c r="E348" s="1620"/>
      <c r="F348" s="376"/>
      <c r="G348" s="101"/>
      <c r="H348" s="102"/>
      <c r="I348" s="101"/>
      <c r="J348" s="101"/>
    </row>
    <row r="349" spans="1:14" s="146" customFormat="1" ht="18" x14ac:dyDescent="0.25">
      <c r="A349" s="495"/>
      <c r="B349" s="496"/>
      <c r="C349" s="496"/>
      <c r="D349" s="1654" t="s">
        <v>788</v>
      </c>
      <c r="E349" s="1654"/>
      <c r="F349" s="376"/>
      <c r="G349" s="101"/>
      <c r="H349" s="102"/>
      <c r="I349" s="101"/>
      <c r="J349" s="101"/>
      <c r="K349" s="10"/>
      <c r="L349" s="10"/>
      <c r="M349"/>
      <c r="N349"/>
    </row>
    <row r="350" spans="1:14" s="229" customFormat="1" ht="18" x14ac:dyDescent="0.25">
      <c r="A350" s="211"/>
      <c r="B350" s="124"/>
      <c r="C350" s="124"/>
      <c r="D350" s="44" t="s">
        <v>804</v>
      </c>
      <c r="E350" s="125"/>
      <c r="F350" s="100" t="s">
        <v>165</v>
      </c>
      <c r="G350" s="101">
        <v>14111.08</v>
      </c>
      <c r="H350" s="102">
        <v>75000</v>
      </c>
      <c r="I350" s="101"/>
      <c r="J350" s="101">
        <v>112000</v>
      </c>
      <c r="K350" s="207"/>
      <c r="L350" s="207"/>
      <c r="M350" s="212"/>
      <c r="N350" s="212"/>
    </row>
    <row r="351" spans="1:14" s="229" customFormat="1" ht="18" customHeight="1" x14ac:dyDescent="0.25">
      <c r="A351" s="211"/>
      <c r="B351" s="124"/>
      <c r="C351" s="124"/>
      <c r="D351" s="516" t="s">
        <v>805</v>
      </c>
      <c r="E351" s="511"/>
      <c r="F351" s="100" t="s">
        <v>167</v>
      </c>
      <c r="G351" s="101">
        <v>0</v>
      </c>
      <c r="H351" s="102">
        <v>50000</v>
      </c>
      <c r="I351" s="101"/>
      <c r="J351" s="250"/>
      <c r="K351" s="207"/>
      <c r="L351" s="207"/>
      <c r="M351" s="212"/>
      <c r="N351" s="212"/>
    </row>
    <row r="352" spans="1:14" s="229" customFormat="1" ht="18" customHeight="1" x14ac:dyDescent="0.25">
      <c r="A352" s="211"/>
      <c r="B352" s="124"/>
      <c r="C352" s="124"/>
      <c r="D352" s="44" t="s">
        <v>806</v>
      </c>
      <c r="E352" s="125"/>
      <c r="F352" s="100" t="s">
        <v>169</v>
      </c>
      <c r="G352" s="101">
        <v>3360</v>
      </c>
      <c r="H352" s="102">
        <v>15000</v>
      </c>
      <c r="I352" s="101"/>
      <c r="J352" s="101">
        <v>5000</v>
      </c>
      <c r="K352" s="207"/>
      <c r="L352" s="207"/>
      <c r="M352" s="212"/>
      <c r="N352" s="212"/>
    </row>
    <row r="353" spans="1:14" s="229" customFormat="1" ht="18" customHeight="1" x14ac:dyDescent="0.25">
      <c r="A353" s="211"/>
      <c r="B353" s="124"/>
      <c r="C353" s="124"/>
      <c r="D353" s="44" t="s">
        <v>807</v>
      </c>
      <c r="E353" s="125"/>
      <c r="F353" s="100" t="s">
        <v>183</v>
      </c>
      <c r="G353" s="101">
        <v>0</v>
      </c>
      <c r="H353" s="102">
        <v>21600</v>
      </c>
      <c r="I353" s="101">
        <v>7939.1</v>
      </c>
      <c r="J353" s="101">
        <v>21600</v>
      </c>
      <c r="K353" s="207"/>
      <c r="L353" s="207"/>
      <c r="M353" s="212"/>
      <c r="N353" s="212"/>
    </row>
    <row r="354" spans="1:14" s="229" customFormat="1" ht="18" customHeight="1" x14ac:dyDescent="0.25">
      <c r="A354" s="211"/>
      <c r="B354" s="124"/>
      <c r="C354" s="124"/>
      <c r="D354" s="44" t="s">
        <v>808</v>
      </c>
      <c r="E354" s="125"/>
      <c r="F354" s="100" t="s">
        <v>199</v>
      </c>
      <c r="G354" s="101">
        <v>60000</v>
      </c>
      <c r="H354" s="102">
        <v>60000</v>
      </c>
      <c r="I354" s="101">
        <v>30000</v>
      </c>
      <c r="J354" s="105">
        <v>60000</v>
      </c>
      <c r="K354" s="207"/>
      <c r="L354" s="207"/>
      <c r="M354" s="212"/>
      <c r="N354" s="212"/>
    </row>
    <row r="355" spans="1:14" s="146" customFormat="1" ht="18" x14ac:dyDescent="0.25">
      <c r="A355" s="495"/>
      <c r="B355" s="496"/>
      <c r="C355" s="496"/>
      <c r="D355" s="496" t="s">
        <v>200</v>
      </c>
      <c r="F355" s="100"/>
      <c r="G355" s="119">
        <f>SUM(G350:G354)</f>
        <v>77471.08</v>
      </c>
      <c r="H355" s="150">
        <f>SUM(H350:H354)</f>
        <v>221600</v>
      </c>
      <c r="I355" s="119">
        <f>SUM(I350:I354)</f>
        <v>37939.1</v>
      </c>
      <c r="J355" s="119">
        <f>SUM(J350:J354)</f>
        <v>198600</v>
      </c>
      <c r="K355" s="10"/>
      <c r="L355" s="10"/>
      <c r="M355"/>
      <c r="N355"/>
    </row>
    <row r="356" spans="1:14" s="146" customFormat="1" ht="18" x14ac:dyDescent="0.25">
      <c r="A356" s="495"/>
      <c r="B356" s="496"/>
      <c r="C356" s="496"/>
      <c r="D356" s="513"/>
      <c r="E356" s="496"/>
      <c r="F356" s="100"/>
      <c r="G356" s="155"/>
      <c r="H356" s="156"/>
      <c r="I356" s="155"/>
      <c r="J356" s="155"/>
      <c r="K356" s="10"/>
      <c r="L356" s="10"/>
      <c r="M356"/>
      <c r="N356"/>
    </row>
    <row r="357" spans="1:14" s="146" customFormat="1" ht="18" customHeight="1" x14ac:dyDescent="0.25">
      <c r="A357" s="495"/>
      <c r="B357" s="496"/>
      <c r="C357" s="496"/>
      <c r="D357" s="36" t="s">
        <v>799</v>
      </c>
      <c r="E357" s="496"/>
      <c r="F357" s="376"/>
      <c r="G357" s="101"/>
      <c r="H357" s="102"/>
      <c r="I357" s="101"/>
      <c r="J357" s="101"/>
      <c r="K357" s="10"/>
      <c r="L357" s="10"/>
      <c r="M357"/>
      <c r="N357"/>
    </row>
    <row r="358" spans="1:14" s="146" customFormat="1" ht="18" customHeight="1" x14ac:dyDescent="0.25">
      <c r="A358" s="495"/>
      <c r="B358" s="496"/>
      <c r="C358" s="496"/>
      <c r="D358" s="38" t="s">
        <v>809</v>
      </c>
      <c r="E358" s="496"/>
      <c r="F358" s="376"/>
      <c r="G358" s="101"/>
      <c r="H358" s="102"/>
      <c r="I358" s="101"/>
      <c r="J358" s="101">
        <v>75000</v>
      </c>
      <c r="K358" s="10"/>
      <c r="L358" s="10"/>
      <c r="M358"/>
      <c r="N358"/>
    </row>
    <row r="359" spans="1:14" s="146" customFormat="1" ht="18" customHeight="1" x14ac:dyDescent="0.25">
      <c r="A359" s="495"/>
      <c r="B359" s="496"/>
      <c r="C359" s="496"/>
      <c r="D359" s="38" t="s">
        <v>810</v>
      </c>
      <c r="E359" s="496"/>
      <c r="F359" s="376"/>
      <c r="G359" s="101"/>
      <c r="H359" s="102"/>
      <c r="I359" s="101"/>
      <c r="J359" s="101">
        <v>14000</v>
      </c>
      <c r="K359" s="10"/>
      <c r="L359" s="10"/>
      <c r="M359"/>
      <c r="N359"/>
    </row>
    <row r="360" spans="1:14" s="146" customFormat="1" ht="18" x14ac:dyDescent="0.25">
      <c r="A360" s="495"/>
      <c r="B360" s="496"/>
      <c r="C360" s="496"/>
      <c r="D360" s="1611" t="s">
        <v>811</v>
      </c>
      <c r="E360" s="1611"/>
      <c r="F360" s="376"/>
      <c r="G360" s="105">
        <v>0</v>
      </c>
      <c r="H360" s="106">
        <v>15000</v>
      </c>
      <c r="I360" s="105"/>
      <c r="J360" s="105"/>
      <c r="K360" s="10"/>
      <c r="L360" s="10"/>
      <c r="M360"/>
      <c r="N360"/>
    </row>
    <row r="361" spans="1:14" s="146" customFormat="1" ht="18.75" thickBot="1" x14ac:dyDescent="0.3">
      <c r="A361" s="495"/>
      <c r="B361" s="496"/>
      <c r="C361" s="496"/>
      <c r="D361" s="496" t="s">
        <v>200</v>
      </c>
      <c r="F361" s="378"/>
      <c r="G361" s="182">
        <f>SUM(G360)</f>
        <v>0</v>
      </c>
      <c r="H361" s="183">
        <f>SUM(H360)</f>
        <v>15000</v>
      </c>
      <c r="I361" s="182">
        <f>SUM(I360)</f>
        <v>0</v>
      </c>
      <c r="J361" s="182">
        <f>SUM(J358:J360)</f>
        <v>89000</v>
      </c>
      <c r="K361" s="10"/>
      <c r="L361" s="10"/>
      <c r="M361"/>
      <c r="N361"/>
    </row>
    <row r="362" spans="1:14" s="146" customFormat="1" ht="18" customHeight="1" x14ac:dyDescent="0.25">
      <c r="A362" s="495"/>
      <c r="B362" s="496"/>
      <c r="C362" s="496"/>
      <c r="D362" s="496" t="s">
        <v>208</v>
      </c>
      <c r="F362" s="376"/>
      <c r="G362" s="155">
        <f>G361+G355</f>
        <v>77471.08</v>
      </c>
      <c r="H362" s="156">
        <f>H361+H355</f>
        <v>236600</v>
      </c>
      <c r="I362" s="155">
        <f>I361+I355</f>
        <v>37939.1</v>
      </c>
      <c r="J362" s="155">
        <f>J361+J355</f>
        <v>287600</v>
      </c>
      <c r="K362" s="10"/>
      <c r="L362" s="10"/>
      <c r="M362"/>
      <c r="N362"/>
    </row>
    <row r="363" spans="1:14" s="146" customFormat="1" ht="18" customHeight="1" x14ac:dyDescent="0.25">
      <c r="A363" s="495"/>
      <c r="B363" s="496"/>
      <c r="C363" s="496"/>
      <c r="D363" s="543"/>
      <c r="E363" s="496"/>
      <c r="F363" s="376"/>
      <c r="G363" s="155"/>
      <c r="H363" s="156"/>
      <c r="I363" s="155"/>
      <c r="J363" s="155"/>
      <c r="K363" s="10"/>
      <c r="L363" s="10"/>
      <c r="M363"/>
      <c r="N363"/>
    </row>
    <row r="364" spans="1:14" s="146" customFormat="1" ht="18" x14ac:dyDescent="0.25">
      <c r="A364" s="519"/>
      <c r="B364" s="499"/>
      <c r="C364" s="499"/>
      <c r="D364" s="1620" t="s">
        <v>812</v>
      </c>
      <c r="E364" s="1620"/>
      <c r="F364" s="100"/>
      <c r="G364" s="101"/>
      <c r="H364" s="102"/>
      <c r="I364" s="101"/>
      <c r="J364" s="101"/>
      <c r="K364" s="10"/>
      <c r="L364" s="10"/>
      <c r="M364"/>
      <c r="N364"/>
    </row>
    <row r="365" spans="1:14" s="146" customFormat="1" ht="18" x14ac:dyDescent="0.25">
      <c r="A365" s="519"/>
      <c r="B365" s="499"/>
      <c r="C365" s="499"/>
      <c r="D365" s="1620" t="s">
        <v>813</v>
      </c>
      <c r="E365" s="1620"/>
      <c r="F365" s="100"/>
      <c r="G365" s="101"/>
      <c r="H365" s="102"/>
      <c r="I365" s="101"/>
      <c r="J365" s="101"/>
      <c r="K365" s="10"/>
      <c r="L365" s="10"/>
      <c r="M365"/>
      <c r="N365"/>
    </row>
    <row r="366" spans="1:14" s="146" customFormat="1" ht="18" x14ac:dyDescent="0.25">
      <c r="A366" s="519"/>
      <c r="B366" s="499"/>
      <c r="C366" s="499"/>
      <c r="D366" s="536" t="s">
        <v>805</v>
      </c>
      <c r="E366" s="496"/>
      <c r="F366" s="100"/>
      <c r="G366" s="101">
        <v>0</v>
      </c>
      <c r="H366" s="102">
        <v>50000</v>
      </c>
      <c r="I366" s="101"/>
      <c r="J366" s="101">
        <v>60000</v>
      </c>
      <c r="K366" s="10"/>
      <c r="L366" s="10"/>
      <c r="M366"/>
      <c r="N366"/>
    </row>
    <row r="367" spans="1:14" s="146" customFormat="1" ht="18" x14ac:dyDescent="0.25">
      <c r="A367" s="519"/>
      <c r="B367" s="499"/>
      <c r="C367" s="499"/>
      <c r="D367" s="1602" t="s">
        <v>804</v>
      </c>
      <c r="E367" s="1603"/>
      <c r="F367" s="100" t="s">
        <v>165</v>
      </c>
      <c r="G367" s="101">
        <v>17710.080000000002</v>
      </c>
      <c r="H367" s="102">
        <v>61000</v>
      </c>
      <c r="I367" s="101"/>
      <c r="J367" s="250">
        <v>65000</v>
      </c>
      <c r="K367" s="10"/>
      <c r="L367" s="10"/>
      <c r="M367"/>
      <c r="N367"/>
    </row>
    <row r="368" spans="1:14" s="146" customFormat="1" ht="18" x14ac:dyDescent="0.25">
      <c r="A368" s="519"/>
      <c r="B368" s="499"/>
      <c r="C368" s="499"/>
      <c r="D368" s="536" t="s">
        <v>814</v>
      </c>
      <c r="E368" s="491"/>
      <c r="F368" s="100"/>
      <c r="G368" s="101"/>
      <c r="H368" s="111"/>
      <c r="I368" s="112"/>
      <c r="J368" s="101"/>
      <c r="K368" s="10"/>
      <c r="L368" s="10"/>
      <c r="M368"/>
      <c r="N368"/>
    </row>
    <row r="369" spans="1:14" s="146" customFormat="1" ht="18" x14ac:dyDescent="0.25">
      <c r="A369" s="519"/>
      <c r="B369" s="499"/>
      <c r="C369" s="499"/>
      <c r="D369" s="1611" t="s">
        <v>815</v>
      </c>
      <c r="E369" s="1602"/>
      <c r="F369" s="100"/>
      <c r="G369" s="101"/>
      <c r="H369" s="111"/>
      <c r="I369" s="112"/>
      <c r="J369" s="101"/>
      <c r="K369" s="10"/>
      <c r="L369" s="10"/>
      <c r="M369"/>
      <c r="N369"/>
    </row>
    <row r="370" spans="1:14" s="146" customFormat="1" ht="18" x14ac:dyDescent="0.25">
      <c r="A370" s="519"/>
      <c r="B370" s="499"/>
      <c r="C370" s="499"/>
      <c r="D370" s="1602" t="s">
        <v>806</v>
      </c>
      <c r="E370" s="1603"/>
      <c r="F370" s="100" t="s">
        <v>169</v>
      </c>
      <c r="G370" s="101">
        <v>0</v>
      </c>
      <c r="H370" s="111">
        <v>2000</v>
      </c>
      <c r="I370" s="112"/>
      <c r="J370" s="101">
        <v>4000</v>
      </c>
      <c r="K370" s="10"/>
      <c r="L370" s="10"/>
      <c r="M370"/>
      <c r="N370"/>
    </row>
    <row r="371" spans="1:14" s="146" customFormat="1" ht="18" x14ac:dyDescent="0.25">
      <c r="A371" s="519"/>
      <c r="B371" s="499"/>
      <c r="C371" s="499"/>
      <c r="D371" s="536" t="s">
        <v>816</v>
      </c>
      <c r="E371" s="491"/>
      <c r="F371" s="100"/>
      <c r="G371" s="101"/>
      <c r="H371" s="111"/>
      <c r="I371" s="112"/>
      <c r="J371" s="101"/>
      <c r="K371" s="10"/>
      <c r="L371" s="10"/>
      <c r="M371"/>
      <c r="N371"/>
    </row>
    <row r="372" spans="1:14" s="146" customFormat="1" ht="18" x14ac:dyDescent="0.25">
      <c r="A372" s="519"/>
      <c r="B372" s="499"/>
      <c r="C372" s="499"/>
      <c r="D372" s="1602" t="s">
        <v>808</v>
      </c>
      <c r="E372" s="1603"/>
      <c r="F372" s="100" t="s">
        <v>199</v>
      </c>
      <c r="G372" s="105">
        <v>102000</v>
      </c>
      <c r="H372" s="106">
        <v>142000</v>
      </c>
      <c r="I372" s="105">
        <v>51000</v>
      </c>
      <c r="J372" s="105">
        <v>150000</v>
      </c>
      <c r="K372" s="10"/>
      <c r="L372" s="10"/>
      <c r="M372"/>
      <c r="N372"/>
    </row>
    <row r="373" spans="1:14" s="146" customFormat="1" ht="15.75" customHeight="1" thickBot="1" x14ac:dyDescent="0.3">
      <c r="A373" s="519"/>
      <c r="B373" s="499"/>
      <c r="C373" s="499"/>
      <c r="D373" s="496" t="s">
        <v>15</v>
      </c>
      <c r="F373" s="308"/>
      <c r="G373" s="182">
        <f>SUM(G366:G372)</f>
        <v>119710.08</v>
      </c>
      <c r="H373" s="183">
        <f>SUM(H366:H372)</f>
        <v>255000</v>
      </c>
      <c r="I373" s="182">
        <f>SUM(I366:I372)</f>
        <v>51000</v>
      </c>
      <c r="J373" s="182">
        <f>SUM(J366:J372)</f>
        <v>279000</v>
      </c>
      <c r="K373" s="10"/>
      <c r="L373" s="10"/>
      <c r="M373"/>
      <c r="N373"/>
    </row>
    <row r="374" spans="1:14" s="146" customFormat="1" ht="13.5" customHeight="1" x14ac:dyDescent="0.25">
      <c r="A374" s="519"/>
      <c r="B374" s="499"/>
      <c r="C374" s="499"/>
      <c r="D374" s="513"/>
      <c r="E374" s="496"/>
      <c r="F374" s="100"/>
      <c r="G374" s="155"/>
      <c r="H374" s="156"/>
      <c r="I374" s="155"/>
      <c r="J374" s="155"/>
      <c r="K374" s="10"/>
      <c r="L374" s="10"/>
      <c r="M374"/>
      <c r="N374"/>
    </row>
    <row r="375" spans="1:14" s="146" customFormat="1" ht="18" x14ac:dyDescent="0.25">
      <c r="A375" s="519"/>
      <c r="B375" s="499"/>
      <c r="C375" s="499"/>
      <c r="D375" s="1620" t="s">
        <v>818</v>
      </c>
      <c r="E375" s="1620"/>
      <c r="F375" s="100"/>
      <c r="G375" s="101"/>
      <c r="H375" s="102"/>
      <c r="I375" s="101"/>
      <c r="J375" s="101"/>
      <c r="K375" s="10"/>
      <c r="L375" s="10"/>
      <c r="M375"/>
      <c r="N375"/>
    </row>
    <row r="376" spans="1:14" s="146" customFormat="1" ht="18" x14ac:dyDescent="0.25">
      <c r="A376" s="519"/>
      <c r="B376" s="499"/>
      <c r="C376" s="499"/>
      <c r="D376" s="1620" t="s">
        <v>813</v>
      </c>
      <c r="E376" s="1620"/>
      <c r="F376" s="100"/>
      <c r="G376" s="101"/>
      <c r="H376" s="102"/>
      <c r="I376" s="101"/>
      <c r="J376" s="101"/>
      <c r="K376" s="10"/>
      <c r="L376" s="10"/>
      <c r="M376"/>
      <c r="N376"/>
    </row>
    <row r="377" spans="1:14" s="229" customFormat="1" ht="18" x14ac:dyDescent="0.25">
      <c r="A377" s="154"/>
      <c r="B377" s="502"/>
      <c r="C377" s="502"/>
      <c r="D377" s="44" t="s">
        <v>804</v>
      </c>
      <c r="E377" s="125"/>
      <c r="F377" s="100" t="s">
        <v>165</v>
      </c>
      <c r="G377" s="101">
        <v>13171.92</v>
      </c>
      <c r="H377" s="102">
        <v>50000</v>
      </c>
      <c r="I377" s="101"/>
      <c r="J377" s="101"/>
      <c r="K377" s="207"/>
      <c r="L377" s="207"/>
      <c r="M377" s="212"/>
      <c r="N377" s="212"/>
    </row>
    <row r="378" spans="1:14" s="229" customFormat="1" ht="18" customHeight="1" x14ac:dyDescent="0.25">
      <c r="A378" s="154"/>
      <c r="B378" s="502"/>
      <c r="C378" s="502"/>
      <c r="D378" s="536" t="s">
        <v>819</v>
      </c>
      <c r="E378" s="124"/>
      <c r="F378" s="100" t="s">
        <v>167</v>
      </c>
      <c r="G378" s="101">
        <v>0</v>
      </c>
      <c r="H378" s="102">
        <v>50000</v>
      </c>
      <c r="I378" s="112"/>
      <c r="J378" s="101">
        <v>65000</v>
      </c>
      <c r="K378" s="207"/>
      <c r="L378" s="207"/>
      <c r="M378" s="212"/>
      <c r="N378" s="212"/>
    </row>
    <row r="379" spans="1:14" s="229" customFormat="1" ht="18" x14ac:dyDescent="0.25">
      <c r="A379" s="154"/>
      <c r="B379" s="502"/>
      <c r="C379" s="502"/>
      <c r="D379" s="536" t="s">
        <v>820</v>
      </c>
      <c r="E379" s="502"/>
      <c r="F379" s="100" t="s">
        <v>169</v>
      </c>
      <c r="G379" s="101">
        <v>0</v>
      </c>
      <c r="H379" s="102">
        <v>45476</v>
      </c>
      <c r="I379" s="112">
        <v>29606</v>
      </c>
      <c r="J379" s="101">
        <v>29148</v>
      </c>
      <c r="K379" s="207"/>
      <c r="L379" s="207"/>
      <c r="M379" s="212"/>
      <c r="N379" s="212"/>
    </row>
    <row r="380" spans="1:14" s="229" customFormat="1" ht="18" x14ac:dyDescent="0.25">
      <c r="A380" s="154"/>
      <c r="B380" s="502"/>
      <c r="C380" s="502"/>
      <c r="D380" s="536" t="s">
        <v>821</v>
      </c>
      <c r="E380" s="502"/>
      <c r="F380" s="100" t="s">
        <v>171</v>
      </c>
      <c r="G380" s="101">
        <v>0</v>
      </c>
      <c r="H380" s="102">
        <v>40880</v>
      </c>
      <c r="I380" s="112"/>
      <c r="J380" s="101">
        <v>18155</v>
      </c>
      <c r="K380" s="207"/>
      <c r="L380" s="207"/>
      <c r="M380" s="212"/>
      <c r="N380" s="212"/>
    </row>
    <row r="381" spans="1:14" s="229" customFormat="1" ht="18" x14ac:dyDescent="0.25">
      <c r="A381" s="154"/>
      <c r="B381" s="502"/>
      <c r="C381" s="502"/>
      <c r="D381" s="536" t="s">
        <v>822</v>
      </c>
      <c r="E381" s="502"/>
      <c r="F381" s="100" t="s">
        <v>183</v>
      </c>
      <c r="G381" s="101">
        <v>0</v>
      </c>
      <c r="H381" s="102">
        <v>24000</v>
      </c>
      <c r="I381" s="112">
        <v>10192.1</v>
      </c>
      <c r="J381" s="101">
        <v>36000</v>
      </c>
      <c r="K381" s="207"/>
      <c r="L381" s="207"/>
      <c r="M381" s="212"/>
      <c r="N381" s="212"/>
    </row>
    <row r="382" spans="1:14" s="229" customFormat="1" ht="18" x14ac:dyDescent="0.25">
      <c r="A382" s="154"/>
      <c r="B382" s="502"/>
      <c r="C382" s="502"/>
      <c r="D382" s="44" t="s">
        <v>808</v>
      </c>
      <c r="E382" s="125"/>
      <c r="F382" s="100" t="s">
        <v>199</v>
      </c>
      <c r="G382" s="101">
        <v>95000</v>
      </c>
      <c r="H382" s="102">
        <v>102000</v>
      </c>
      <c r="I382" s="112">
        <v>51000</v>
      </c>
      <c r="J382" s="101">
        <v>102000</v>
      </c>
      <c r="K382" s="207"/>
      <c r="L382" s="207"/>
      <c r="M382" s="212"/>
      <c r="N382" s="212"/>
    </row>
    <row r="383" spans="1:14" s="229" customFormat="1" ht="18" customHeight="1" x14ac:dyDescent="0.25">
      <c r="A383" s="154"/>
      <c r="B383" s="502"/>
      <c r="C383" s="502"/>
      <c r="D383" s="536"/>
      <c r="E383" s="502"/>
      <c r="F383" s="100"/>
      <c r="G383" s="101"/>
      <c r="H383" s="102"/>
      <c r="I383" s="112"/>
      <c r="J383" s="105"/>
      <c r="K383" s="207"/>
      <c r="L383" s="207"/>
      <c r="M383" s="212"/>
      <c r="N383" s="212"/>
    </row>
    <row r="384" spans="1:14" s="146" customFormat="1" ht="18" x14ac:dyDescent="0.25">
      <c r="A384" s="519"/>
      <c r="B384" s="499"/>
      <c r="C384" s="499"/>
      <c r="D384" s="543" t="s">
        <v>823</v>
      </c>
      <c r="E384" s="499"/>
      <c r="F384" s="100"/>
      <c r="G384" s="119">
        <f>SUM(G377:G383)</f>
        <v>108171.92</v>
      </c>
      <c r="H384" s="150">
        <f>SUM(H377:H383)</f>
        <v>312356</v>
      </c>
      <c r="I384" s="119">
        <f>SUM(I377:I383)</f>
        <v>90798.1</v>
      </c>
      <c r="J384" s="119">
        <f>SUM(J377:J383)</f>
        <v>250303</v>
      </c>
      <c r="K384" s="10"/>
      <c r="L384" s="10"/>
      <c r="M384"/>
      <c r="N384"/>
    </row>
    <row r="385" spans="1:14" ht="18.75" thickBot="1" x14ac:dyDescent="0.3">
      <c r="A385" s="497"/>
      <c r="B385" s="498"/>
      <c r="C385" s="498"/>
      <c r="D385" s="228"/>
      <c r="E385" s="498"/>
      <c r="F385" s="379"/>
      <c r="G385" s="219"/>
      <c r="H385" s="220"/>
      <c r="I385" s="219"/>
      <c r="J385" s="219"/>
    </row>
    <row r="386" spans="1:14" ht="18" x14ac:dyDescent="0.25">
      <c r="A386" s="496"/>
      <c r="B386" s="496"/>
      <c r="C386" s="496"/>
      <c r="D386" s="543"/>
      <c r="E386" s="496"/>
      <c r="F386" s="380"/>
      <c r="G386" s="141"/>
      <c r="H386" s="122"/>
      <c r="I386" s="141"/>
      <c r="J386" s="141"/>
    </row>
    <row r="387" spans="1:14" ht="18" customHeight="1" x14ac:dyDescent="0.25">
      <c r="A387" s="8" t="s">
        <v>112</v>
      </c>
    </row>
    <row r="388" spans="1:14" ht="18" customHeight="1" x14ac:dyDescent="0.25">
      <c r="A388" s="8" t="s">
        <v>817</v>
      </c>
    </row>
    <row r="389" spans="1:14" ht="18" customHeight="1" x14ac:dyDescent="0.25">
      <c r="A389" s="1636" t="s">
        <v>113</v>
      </c>
      <c r="B389" s="1636"/>
      <c r="C389" s="1636"/>
      <c r="D389" s="1636"/>
      <c r="E389" s="1636"/>
      <c r="F389" s="1636"/>
      <c r="G389" s="1636"/>
      <c r="H389" s="1636"/>
      <c r="I389" s="1636"/>
      <c r="J389" s="1636"/>
    </row>
    <row r="390" spans="1:14" s="7" customFormat="1" ht="18" customHeight="1" x14ac:dyDescent="0.25">
      <c r="A390" s="1624" t="s">
        <v>114</v>
      </c>
      <c r="B390" s="1624"/>
      <c r="C390" s="1624"/>
      <c r="D390" s="1624"/>
      <c r="E390" s="1624"/>
      <c r="F390" s="1624"/>
      <c r="G390" s="1624"/>
      <c r="H390" s="1624"/>
      <c r="I390" s="1624"/>
      <c r="J390" s="1624"/>
      <c r="K390" s="6"/>
      <c r="L390" s="6"/>
    </row>
    <row r="391" spans="1:14" ht="18.75" thickBot="1" x14ac:dyDescent="0.3">
      <c r="A391" s="41"/>
      <c r="B391" s="41"/>
      <c r="C391" s="41"/>
      <c r="D391" s="63"/>
      <c r="E391" s="41"/>
      <c r="F391" s="41"/>
    </row>
    <row r="392" spans="1:14" ht="63" customHeight="1" thickBot="1" x14ac:dyDescent="0.3">
      <c r="A392" s="1625" t="s">
        <v>115</v>
      </c>
      <c r="B392" s="1626"/>
      <c r="C392" s="1626"/>
      <c r="D392" s="1626"/>
      <c r="E392" s="1626"/>
      <c r="F392" s="93" t="s">
        <v>116</v>
      </c>
      <c r="G392" s="130" t="s">
        <v>117</v>
      </c>
      <c r="H392" s="130" t="s">
        <v>118</v>
      </c>
      <c r="I392" s="130" t="s">
        <v>119</v>
      </c>
      <c r="J392" s="130" t="s">
        <v>120</v>
      </c>
    </row>
    <row r="393" spans="1:14" s="146" customFormat="1" ht="18" customHeight="1" x14ac:dyDescent="0.25">
      <c r="A393" s="495"/>
      <c r="B393" s="496"/>
      <c r="C393" s="496"/>
      <c r="D393" s="1620" t="s">
        <v>818</v>
      </c>
      <c r="E393" s="1620"/>
      <c r="F393" s="376"/>
      <c r="G393" s="101"/>
      <c r="H393" s="102"/>
      <c r="I393" s="101"/>
      <c r="J393" s="101"/>
      <c r="K393" s="10"/>
      <c r="L393" s="10"/>
      <c r="M393"/>
      <c r="N393"/>
    </row>
    <row r="394" spans="1:14" s="146" customFormat="1" ht="18" customHeight="1" x14ac:dyDescent="0.25">
      <c r="A394" s="519"/>
      <c r="B394" s="499"/>
      <c r="C394" s="499"/>
      <c r="D394" s="129" t="s">
        <v>799</v>
      </c>
      <c r="E394" s="153"/>
      <c r="F394" s="292"/>
      <c r="G394" s="101"/>
      <c r="H394" s="102"/>
      <c r="I394" s="101"/>
      <c r="J394" s="101"/>
      <c r="K394" s="10"/>
      <c r="L394" s="10"/>
      <c r="M394"/>
      <c r="N394"/>
    </row>
    <row r="395" spans="1:14" s="194" customFormat="1" ht="18" customHeight="1" x14ac:dyDescent="0.25">
      <c r="A395" s="519"/>
      <c r="B395" s="499"/>
      <c r="C395" s="499"/>
      <c r="D395" s="536" t="s">
        <v>824</v>
      </c>
      <c r="E395" s="499"/>
      <c r="F395" s="492"/>
      <c r="G395" s="101"/>
      <c r="H395" s="102"/>
      <c r="I395" s="101"/>
      <c r="J395" s="101">
        <v>80000</v>
      </c>
      <c r="K395" s="10"/>
      <c r="L395" s="10"/>
      <c r="M395" s="191"/>
      <c r="N395" s="191"/>
    </row>
    <row r="396" spans="1:14" s="194" customFormat="1" ht="33.75" customHeight="1" x14ac:dyDescent="0.25">
      <c r="A396" s="519"/>
      <c r="B396" s="499"/>
      <c r="C396" s="499"/>
      <c r="D396" s="1611" t="s">
        <v>825</v>
      </c>
      <c r="E396" s="1611"/>
      <c r="F396" s="492"/>
      <c r="G396" s="101"/>
      <c r="H396" s="102"/>
      <c r="I396" s="101"/>
      <c r="J396" s="101">
        <v>16000</v>
      </c>
      <c r="K396" s="10"/>
      <c r="L396" s="10"/>
      <c r="M396" s="191"/>
      <c r="N396" s="191"/>
    </row>
    <row r="397" spans="1:14" s="194" customFormat="1" ht="18" customHeight="1" x14ac:dyDescent="0.25">
      <c r="A397" s="519"/>
      <c r="B397" s="499"/>
      <c r="C397" s="499"/>
      <c r="D397" s="536" t="s">
        <v>826</v>
      </c>
      <c r="E397" s="499"/>
      <c r="F397" s="492"/>
      <c r="G397" s="101"/>
      <c r="H397" s="102"/>
      <c r="I397" s="101"/>
      <c r="J397" s="101">
        <v>107000</v>
      </c>
      <c r="K397" s="10"/>
      <c r="L397" s="10"/>
      <c r="M397" s="191"/>
      <c r="N397" s="191"/>
    </row>
    <row r="398" spans="1:14" s="194" customFormat="1" ht="18" customHeight="1" x14ac:dyDescent="0.25">
      <c r="A398" s="519"/>
      <c r="B398" s="499"/>
      <c r="C398" s="499"/>
      <c r="D398" s="536" t="s">
        <v>827</v>
      </c>
      <c r="E398" s="499"/>
      <c r="F398" s="492"/>
      <c r="G398" s="101"/>
      <c r="H398" s="102"/>
      <c r="I398" s="101"/>
      <c r="J398" s="101">
        <v>28000</v>
      </c>
      <c r="K398" s="10"/>
      <c r="L398" s="10"/>
      <c r="M398" s="191"/>
      <c r="N398" s="191"/>
    </row>
    <row r="399" spans="1:14" s="146" customFormat="1" ht="18" customHeight="1" x14ac:dyDescent="0.25">
      <c r="A399" s="519"/>
      <c r="B399" s="499"/>
      <c r="C399" s="499"/>
      <c r="D399" s="536" t="s">
        <v>828</v>
      </c>
      <c r="E399" s="499"/>
      <c r="F399" s="100"/>
      <c r="G399" s="101"/>
      <c r="H399" s="102">
        <v>65687</v>
      </c>
      <c r="I399" s="101"/>
      <c r="J399" s="101"/>
      <c r="K399" s="10"/>
      <c r="L399" s="10"/>
      <c r="M399"/>
      <c r="N399"/>
    </row>
    <row r="400" spans="1:14" s="146" customFormat="1" ht="18" customHeight="1" x14ac:dyDescent="0.25">
      <c r="A400" s="519"/>
      <c r="B400" s="499"/>
      <c r="C400" s="499"/>
      <c r="D400" s="536" t="s">
        <v>829</v>
      </c>
      <c r="E400" s="499"/>
      <c r="F400" s="100"/>
      <c r="G400" s="101"/>
      <c r="H400" s="102">
        <v>253750</v>
      </c>
      <c r="I400" s="101"/>
      <c r="J400" s="101"/>
      <c r="K400" s="10"/>
      <c r="L400" s="10"/>
      <c r="M400"/>
      <c r="N400"/>
    </row>
    <row r="401" spans="1:14" s="146" customFormat="1" ht="18" x14ac:dyDescent="0.25">
      <c r="A401" s="519"/>
      <c r="B401" s="499"/>
      <c r="C401" s="499"/>
      <c r="D401" s="543" t="s">
        <v>823</v>
      </c>
      <c r="E401" s="499"/>
      <c r="F401" s="100"/>
      <c r="G401" s="119">
        <f>SUM(G399:G400)</f>
        <v>0</v>
      </c>
      <c r="H401" s="150">
        <f>SUM(H399:H400)</f>
        <v>319437</v>
      </c>
      <c r="I401" s="119">
        <f>SUM(I399:I400)</f>
        <v>0</v>
      </c>
      <c r="J401" s="119">
        <f>SUM(J395:J400)</f>
        <v>231000</v>
      </c>
      <c r="K401" s="10"/>
      <c r="L401" s="10"/>
      <c r="M401"/>
      <c r="N401"/>
    </row>
    <row r="402" spans="1:14" ht="18" x14ac:dyDescent="0.25">
      <c r="A402" s="519"/>
      <c r="B402" s="499"/>
      <c r="C402" s="499"/>
      <c r="D402" s="543" t="s">
        <v>15</v>
      </c>
      <c r="E402" s="499"/>
      <c r="F402" s="195"/>
      <c r="G402" s="119">
        <f>G401+G384</f>
        <v>108171.92</v>
      </c>
      <c r="H402" s="150">
        <f>H401+H384</f>
        <v>631793</v>
      </c>
      <c r="I402" s="119">
        <f>I401+I384</f>
        <v>90798.1</v>
      </c>
      <c r="J402" s="119">
        <f>J401+J384</f>
        <v>481303</v>
      </c>
    </row>
    <row r="403" spans="1:14" ht="18" x14ac:dyDescent="0.25">
      <c r="A403" s="519"/>
      <c r="B403" s="499"/>
      <c r="C403" s="499"/>
      <c r="D403" s="543"/>
      <c r="E403" s="499"/>
      <c r="F403" s="195"/>
      <c r="G403" s="155"/>
      <c r="H403" s="156"/>
      <c r="I403" s="155"/>
      <c r="J403" s="155"/>
    </row>
    <row r="404" spans="1:14" s="146" customFormat="1" ht="18" x14ac:dyDescent="0.25">
      <c r="A404" s="519"/>
      <c r="B404" s="499"/>
      <c r="C404" s="499"/>
      <c r="D404" s="1620" t="s">
        <v>830</v>
      </c>
      <c r="E404" s="1620"/>
      <c r="F404" s="100"/>
      <c r="G404" s="101"/>
      <c r="H404" s="102"/>
      <c r="I404" s="101"/>
      <c r="J404" s="101"/>
      <c r="K404" s="10"/>
      <c r="L404" s="10"/>
      <c r="M404"/>
      <c r="N404"/>
    </row>
    <row r="405" spans="1:14" s="146" customFormat="1" ht="18" x14ac:dyDescent="0.25">
      <c r="A405" s="519"/>
      <c r="B405" s="499"/>
      <c r="C405" s="499"/>
      <c r="D405" s="1620" t="s">
        <v>831</v>
      </c>
      <c r="E405" s="1620"/>
      <c r="F405" s="100"/>
      <c r="G405" s="101"/>
      <c r="H405" s="102"/>
      <c r="I405" s="101"/>
      <c r="J405" s="101"/>
      <c r="K405" s="10"/>
      <c r="L405" s="10"/>
      <c r="M405"/>
      <c r="N405"/>
    </row>
    <row r="406" spans="1:14" s="229" customFormat="1" ht="18" x14ac:dyDescent="0.25">
      <c r="A406" s="154"/>
      <c r="B406" s="502"/>
      <c r="C406" s="502"/>
      <c r="D406" s="536" t="s">
        <v>832</v>
      </c>
      <c r="E406" s="124"/>
      <c r="F406" s="100" t="s">
        <v>165</v>
      </c>
      <c r="G406" s="101"/>
      <c r="H406" s="102">
        <v>20000</v>
      </c>
      <c r="I406" s="112"/>
      <c r="J406" s="101">
        <v>25000</v>
      </c>
      <c r="K406" s="207"/>
      <c r="L406" s="207"/>
      <c r="M406" s="212"/>
      <c r="N406" s="212"/>
    </row>
    <row r="407" spans="1:14" s="229" customFormat="1" ht="18" x14ac:dyDescent="0.25">
      <c r="A407" s="154"/>
      <c r="B407" s="502"/>
      <c r="C407" s="502"/>
      <c r="D407" s="536" t="s">
        <v>819</v>
      </c>
      <c r="E407" s="124"/>
      <c r="F407" s="100" t="s">
        <v>167</v>
      </c>
      <c r="G407" s="101"/>
      <c r="H407" s="102">
        <v>50000</v>
      </c>
      <c r="I407" s="112"/>
      <c r="J407" s="101"/>
      <c r="K407" s="207"/>
      <c r="L407" s="207"/>
      <c r="M407" s="212"/>
      <c r="N407" s="212"/>
    </row>
    <row r="408" spans="1:14" s="229" customFormat="1" ht="18" x14ac:dyDescent="0.25">
      <c r="A408" s="154"/>
      <c r="B408" s="502"/>
      <c r="C408" s="502"/>
      <c r="D408" s="44" t="s">
        <v>833</v>
      </c>
      <c r="E408" s="125"/>
      <c r="F408" s="100" t="s">
        <v>169</v>
      </c>
      <c r="G408" s="101">
        <v>0</v>
      </c>
      <c r="H408" s="102">
        <v>20000</v>
      </c>
      <c r="I408" s="112"/>
      <c r="J408" s="101">
        <v>102701</v>
      </c>
      <c r="K408" s="207"/>
      <c r="L408" s="207"/>
      <c r="M408" s="212"/>
      <c r="N408" s="212"/>
    </row>
    <row r="409" spans="1:14" s="229" customFormat="1" ht="18" x14ac:dyDescent="0.25">
      <c r="A409" s="154"/>
      <c r="B409" s="502"/>
      <c r="C409" s="502"/>
      <c r="D409" s="536" t="s">
        <v>834</v>
      </c>
      <c r="E409" s="124"/>
      <c r="F409" s="100" t="s">
        <v>173</v>
      </c>
      <c r="G409" s="101"/>
      <c r="H409" s="102">
        <v>10000</v>
      </c>
      <c r="I409" s="112"/>
      <c r="J409" s="101">
        <v>69840</v>
      </c>
      <c r="K409" s="207"/>
      <c r="L409" s="207"/>
      <c r="M409" s="212"/>
      <c r="N409" s="212"/>
    </row>
    <row r="410" spans="1:14" s="229" customFormat="1" ht="18" x14ac:dyDescent="0.25">
      <c r="A410" s="154"/>
      <c r="B410" s="502"/>
      <c r="C410" s="502"/>
      <c r="D410" s="536" t="s">
        <v>835</v>
      </c>
      <c r="E410" s="124"/>
      <c r="F410" s="100" t="s">
        <v>171</v>
      </c>
      <c r="G410" s="101"/>
      <c r="H410" s="102"/>
      <c r="I410" s="112"/>
      <c r="J410" s="101">
        <v>92880</v>
      </c>
      <c r="K410" s="207">
        <v>50380</v>
      </c>
      <c r="L410" s="207"/>
      <c r="M410" s="212"/>
      <c r="N410" s="212"/>
    </row>
    <row r="411" spans="1:14" s="229" customFormat="1" ht="18" x14ac:dyDescent="0.25">
      <c r="A411" s="154"/>
      <c r="B411" s="502"/>
      <c r="C411" s="502"/>
      <c r="D411" s="536" t="s">
        <v>836</v>
      </c>
      <c r="E411" s="124"/>
      <c r="F411" s="100" t="s">
        <v>171</v>
      </c>
      <c r="G411" s="101"/>
      <c r="H411" s="102">
        <v>2500</v>
      </c>
      <c r="I411" s="112"/>
      <c r="J411" s="101"/>
      <c r="K411" s="207">
        <v>20000</v>
      </c>
      <c r="L411" s="207"/>
      <c r="M411" s="212"/>
      <c r="N411" s="212"/>
    </row>
    <row r="412" spans="1:14" s="229" customFormat="1" ht="18" customHeight="1" x14ac:dyDescent="0.25">
      <c r="A412" s="154"/>
      <c r="B412" s="502"/>
      <c r="C412" s="502"/>
      <c r="D412" s="536" t="s">
        <v>837</v>
      </c>
      <c r="E412" s="124"/>
      <c r="F412" s="100" t="s">
        <v>171</v>
      </c>
      <c r="G412" s="101"/>
      <c r="H412" s="102">
        <v>15000</v>
      </c>
      <c r="I412" s="101"/>
      <c r="J412" s="101"/>
      <c r="K412" s="207">
        <v>20000</v>
      </c>
      <c r="L412" s="207"/>
      <c r="M412" s="212"/>
      <c r="N412" s="212"/>
    </row>
    <row r="413" spans="1:14" s="229" customFormat="1" ht="18" customHeight="1" x14ac:dyDescent="0.25">
      <c r="A413" s="154"/>
      <c r="B413" s="502"/>
      <c r="C413" s="502"/>
      <c r="D413" s="44" t="s">
        <v>838</v>
      </c>
      <c r="E413" s="124"/>
      <c r="F413" s="100"/>
      <c r="G413" s="105"/>
      <c r="H413" s="106"/>
      <c r="I413" s="105"/>
      <c r="J413" s="105">
        <v>60000</v>
      </c>
      <c r="K413" s="207"/>
      <c r="L413" s="207"/>
      <c r="M413" s="212"/>
      <c r="N413" s="212"/>
    </row>
    <row r="414" spans="1:14" s="146" customFormat="1" ht="15.75" customHeight="1" x14ac:dyDescent="0.25">
      <c r="A414" s="519"/>
      <c r="B414" s="499"/>
      <c r="C414" s="499"/>
      <c r="D414" s="496" t="s">
        <v>823</v>
      </c>
      <c r="F414" s="100"/>
      <c r="G414" s="119">
        <f>SUM(G406:G412)</f>
        <v>0</v>
      </c>
      <c r="H414" s="150">
        <f>SUM(H406:H412)</f>
        <v>117500</v>
      </c>
      <c r="I414" s="119">
        <f>SUM(I406:I412)</f>
        <v>0</v>
      </c>
      <c r="J414" s="119">
        <f>SUM(J406:J413)</f>
        <v>350421</v>
      </c>
      <c r="K414" s="10">
        <v>2500</v>
      </c>
      <c r="L414" s="10"/>
      <c r="M414"/>
      <c r="N414"/>
    </row>
    <row r="415" spans="1:14" s="146" customFormat="1" ht="15.75" customHeight="1" x14ac:dyDescent="0.25">
      <c r="A415" s="519"/>
      <c r="B415" s="499"/>
      <c r="C415" s="499"/>
      <c r="D415" s="9"/>
      <c r="E415" s="496"/>
      <c r="F415" s="100"/>
      <c r="G415" s="155"/>
      <c r="H415" s="156"/>
      <c r="I415" s="155"/>
      <c r="J415" s="155"/>
      <c r="K415" s="10">
        <f>SUM(K410:K414)</f>
        <v>92880</v>
      </c>
      <c r="L415" s="10"/>
      <c r="M415"/>
      <c r="N415"/>
    </row>
    <row r="416" spans="1:14" s="146" customFormat="1" ht="18" customHeight="1" x14ac:dyDescent="0.25">
      <c r="A416" s="519"/>
      <c r="B416" s="499"/>
      <c r="C416" s="499"/>
      <c r="D416" s="129" t="s">
        <v>799</v>
      </c>
      <c r="E416" s="152"/>
      <c r="F416" s="186"/>
      <c r="G416" s="155"/>
      <c r="H416" s="156"/>
      <c r="I416" s="155"/>
      <c r="J416" s="155"/>
      <c r="K416" s="10"/>
      <c r="L416" s="10"/>
      <c r="M416"/>
      <c r="N416"/>
    </row>
    <row r="417" spans="1:14" s="146" customFormat="1" ht="18" customHeight="1" x14ac:dyDescent="0.25">
      <c r="A417" s="519"/>
      <c r="B417" s="499"/>
      <c r="C417" s="499"/>
      <c r="D417" s="38" t="s">
        <v>839</v>
      </c>
      <c r="E417" s="152"/>
      <c r="F417" s="186"/>
      <c r="G417" s="155"/>
      <c r="H417" s="156"/>
      <c r="I417" s="155"/>
      <c r="J417" s="101">
        <v>45000</v>
      </c>
      <c r="K417" s="10"/>
      <c r="L417" s="10"/>
      <c r="M417"/>
      <c r="N417"/>
    </row>
    <row r="418" spans="1:14" s="146" customFormat="1" ht="18" x14ac:dyDescent="0.25">
      <c r="A418" s="519"/>
      <c r="B418" s="499"/>
      <c r="C418" s="499"/>
      <c r="D418" s="38" t="s">
        <v>840</v>
      </c>
      <c r="E418" s="499"/>
      <c r="F418" s="100"/>
      <c r="G418" s="155"/>
      <c r="H418" s="102">
        <v>30000</v>
      </c>
      <c r="I418" s="155"/>
      <c r="J418" s="155"/>
      <c r="K418" s="10"/>
      <c r="L418" s="10"/>
      <c r="M418"/>
      <c r="N418"/>
    </row>
    <row r="419" spans="1:14" s="146" customFormat="1" ht="18" x14ac:dyDescent="0.25">
      <c r="A419" s="519"/>
      <c r="B419" s="499"/>
      <c r="C419" s="499"/>
      <c r="D419" s="38" t="s">
        <v>824</v>
      </c>
      <c r="E419" s="499"/>
      <c r="F419" s="100"/>
      <c r="G419" s="155"/>
      <c r="H419" s="102">
        <v>75000</v>
      </c>
      <c r="I419" s="155"/>
      <c r="J419" s="101">
        <v>80000</v>
      </c>
      <c r="K419" s="10"/>
      <c r="L419" s="10"/>
      <c r="M419"/>
      <c r="N419"/>
    </row>
    <row r="420" spans="1:14" s="146" customFormat="1" ht="18" x14ac:dyDescent="0.25">
      <c r="A420" s="519"/>
      <c r="B420" s="499"/>
      <c r="C420" s="499"/>
      <c r="D420" s="38" t="s">
        <v>841</v>
      </c>
      <c r="E420" s="499"/>
      <c r="F420" s="100"/>
      <c r="G420" s="155"/>
      <c r="H420" s="102">
        <v>30000</v>
      </c>
      <c r="I420" s="155"/>
      <c r="J420" s="155"/>
      <c r="K420" s="10"/>
      <c r="L420" s="10"/>
      <c r="M420"/>
      <c r="N420"/>
    </row>
    <row r="421" spans="1:14" s="146" customFormat="1" ht="15" customHeight="1" x14ac:dyDescent="0.25">
      <c r="A421" s="519"/>
      <c r="B421" s="499"/>
      <c r="C421" s="499"/>
      <c r="D421" s="496" t="s">
        <v>823</v>
      </c>
      <c r="F421" s="100"/>
      <c r="G421" s="150">
        <f>SUM(G418:G420)</f>
        <v>0</v>
      </c>
      <c r="H421" s="150">
        <f>SUM(H418:H420)</f>
        <v>135000</v>
      </c>
      <c r="I421" s="150">
        <f>SUM(I418:I420)</f>
        <v>0</v>
      </c>
      <c r="J421" s="150">
        <f>SUM(J417:J420)</f>
        <v>125000</v>
      </c>
      <c r="K421" s="10"/>
      <c r="L421" s="10"/>
      <c r="M421"/>
      <c r="N421"/>
    </row>
    <row r="422" spans="1:14" s="146" customFormat="1" ht="18.75" thickBot="1" x14ac:dyDescent="0.3">
      <c r="A422" s="519"/>
      <c r="B422" s="499"/>
      <c r="C422" s="499"/>
      <c r="D422" s="496" t="s">
        <v>15</v>
      </c>
      <c r="F422" s="308"/>
      <c r="G422" s="123">
        <f>G421+G414</f>
        <v>0</v>
      </c>
      <c r="H422" s="158">
        <f>H421+H414</f>
        <v>252500</v>
      </c>
      <c r="I422" s="123">
        <f>I421+I414</f>
        <v>0</v>
      </c>
      <c r="J422" s="123">
        <f>J421+J414</f>
        <v>475421</v>
      </c>
      <c r="K422" s="10"/>
      <c r="L422" s="10"/>
      <c r="M422"/>
      <c r="N422"/>
    </row>
    <row r="423" spans="1:14" s="146" customFormat="1" ht="18" x14ac:dyDescent="0.25">
      <c r="A423" s="519"/>
      <c r="B423" s="499"/>
      <c r="C423" s="499"/>
      <c r="D423" s="51"/>
      <c r="E423" s="496"/>
      <c r="F423" s="100"/>
      <c r="G423" s="155"/>
      <c r="H423" s="156"/>
      <c r="I423" s="155"/>
      <c r="J423" s="155"/>
      <c r="K423" s="10"/>
      <c r="L423" s="10"/>
      <c r="M423"/>
      <c r="N423"/>
    </row>
    <row r="424" spans="1:14" s="146" customFormat="1" ht="18" x14ac:dyDescent="0.25">
      <c r="A424" s="519"/>
      <c r="B424" s="499"/>
      <c r="C424" s="499"/>
      <c r="D424" s="1620" t="s">
        <v>842</v>
      </c>
      <c r="E424" s="1620"/>
      <c r="F424" s="100"/>
      <c r="G424" s="101"/>
      <c r="H424" s="102"/>
      <c r="I424" s="101"/>
      <c r="J424" s="101"/>
      <c r="K424" s="10"/>
      <c r="L424" s="10"/>
      <c r="M424"/>
      <c r="N424"/>
    </row>
    <row r="425" spans="1:14" s="146" customFormat="1" ht="18" x14ac:dyDescent="0.25">
      <c r="A425" s="519"/>
      <c r="B425" s="499"/>
      <c r="C425" s="499"/>
      <c r="D425" s="1620" t="s">
        <v>813</v>
      </c>
      <c r="E425" s="1620"/>
      <c r="F425" s="100"/>
      <c r="G425" s="101"/>
      <c r="H425" s="102"/>
      <c r="I425" s="101"/>
      <c r="J425" s="250"/>
      <c r="K425" s="10"/>
      <c r="L425" s="10"/>
      <c r="M425"/>
      <c r="N425"/>
    </row>
    <row r="426" spans="1:14" s="229" customFormat="1" ht="18" x14ac:dyDescent="0.25">
      <c r="A426" s="154"/>
      <c r="B426" s="502"/>
      <c r="C426" s="502"/>
      <c r="D426" s="44" t="s">
        <v>804</v>
      </c>
      <c r="E426" s="125"/>
      <c r="F426" s="100" t="s">
        <v>165</v>
      </c>
      <c r="G426" s="101">
        <v>0</v>
      </c>
      <c r="H426" s="102">
        <v>50000</v>
      </c>
      <c r="I426" s="101"/>
      <c r="J426" s="250">
        <v>25000</v>
      </c>
      <c r="K426" s="207"/>
      <c r="L426" s="207"/>
      <c r="M426" s="212"/>
      <c r="N426" s="212"/>
    </row>
    <row r="427" spans="1:14" s="229" customFormat="1" ht="18" customHeight="1" x14ac:dyDescent="0.25">
      <c r="A427" s="154"/>
      <c r="B427" s="502"/>
      <c r="C427" s="502"/>
      <c r="D427" s="536" t="s">
        <v>819</v>
      </c>
      <c r="E427" s="124"/>
      <c r="F427" s="100" t="s">
        <v>167</v>
      </c>
      <c r="G427" s="101"/>
      <c r="H427" s="102">
        <v>50000</v>
      </c>
      <c r="I427" s="101"/>
      <c r="J427" s="250"/>
      <c r="K427" s="207"/>
      <c r="L427" s="207"/>
      <c r="M427" s="212"/>
      <c r="N427" s="212"/>
    </row>
    <row r="428" spans="1:14" s="229" customFormat="1" ht="18" customHeight="1" x14ac:dyDescent="0.25">
      <c r="A428" s="154"/>
      <c r="B428" s="502"/>
      <c r="C428" s="502"/>
      <c r="D428" s="44" t="s">
        <v>806</v>
      </c>
      <c r="E428" s="125"/>
      <c r="F428" s="100" t="s">
        <v>169</v>
      </c>
      <c r="G428" s="101">
        <v>81208</v>
      </c>
      <c r="H428" s="102">
        <v>66591</v>
      </c>
      <c r="I428" s="101">
        <v>43954.5</v>
      </c>
      <c r="J428" s="250">
        <v>80921</v>
      </c>
      <c r="K428" s="207"/>
      <c r="L428" s="207"/>
      <c r="M428" s="212"/>
      <c r="N428" s="212"/>
    </row>
    <row r="429" spans="1:14" s="229" customFormat="1" ht="18" customHeight="1" x14ac:dyDescent="0.25">
      <c r="A429" s="154"/>
      <c r="B429" s="502"/>
      <c r="C429" s="502"/>
      <c r="D429" s="206" t="s">
        <v>843</v>
      </c>
      <c r="E429" s="502"/>
      <c r="F429" s="100" t="s">
        <v>173</v>
      </c>
      <c r="G429" s="101">
        <v>45875.1</v>
      </c>
      <c r="H429" s="102">
        <v>30000</v>
      </c>
      <c r="I429" s="101">
        <v>10560.2</v>
      </c>
      <c r="J429" s="101"/>
      <c r="K429" s="207"/>
      <c r="L429" s="207"/>
      <c r="M429" s="212"/>
      <c r="N429" s="212"/>
    </row>
    <row r="430" spans="1:14" s="229" customFormat="1" ht="18" customHeight="1" x14ac:dyDescent="0.25">
      <c r="A430" s="154"/>
      <c r="B430" s="502"/>
      <c r="C430" s="502"/>
      <c r="D430" s="44" t="s">
        <v>844</v>
      </c>
      <c r="E430" s="125"/>
      <c r="F430" s="100" t="s">
        <v>171</v>
      </c>
      <c r="G430" s="101">
        <v>36553.25</v>
      </c>
      <c r="H430" s="102">
        <v>54910</v>
      </c>
      <c r="I430" s="101"/>
      <c r="J430" s="101"/>
      <c r="K430" s="207"/>
      <c r="L430" s="207"/>
      <c r="M430" s="212"/>
      <c r="N430" s="212"/>
    </row>
    <row r="431" spans="1:14" s="229" customFormat="1" ht="18" customHeight="1" x14ac:dyDescent="0.25">
      <c r="A431" s="154"/>
      <c r="B431" s="502"/>
      <c r="C431" s="502"/>
      <c r="D431" s="44" t="s">
        <v>835</v>
      </c>
      <c r="E431" s="125"/>
      <c r="F431" s="100" t="s">
        <v>171</v>
      </c>
      <c r="G431" s="101"/>
      <c r="H431" s="102"/>
      <c r="I431" s="101"/>
      <c r="J431" s="101">
        <v>85000</v>
      </c>
      <c r="K431" s="207"/>
      <c r="L431" s="207"/>
      <c r="M431" s="212"/>
      <c r="N431" s="212"/>
    </row>
    <row r="432" spans="1:14" s="229" customFormat="1" ht="18" customHeight="1" x14ac:dyDescent="0.25">
      <c r="A432" s="154"/>
      <c r="B432" s="502"/>
      <c r="C432" s="502"/>
      <c r="D432" s="206" t="s">
        <v>846</v>
      </c>
      <c r="E432" s="502"/>
      <c r="F432" s="100" t="s">
        <v>171</v>
      </c>
      <c r="G432" s="101">
        <v>19000</v>
      </c>
      <c r="H432" s="102"/>
      <c r="I432" s="101"/>
      <c r="J432" s="101"/>
      <c r="K432" s="207"/>
      <c r="L432" s="207"/>
      <c r="M432" s="212"/>
      <c r="N432" s="212"/>
    </row>
    <row r="433" spans="1:14" s="229" customFormat="1" ht="18" customHeight="1" x14ac:dyDescent="0.25">
      <c r="A433" s="154"/>
      <c r="B433" s="502"/>
      <c r="C433" s="502"/>
      <c r="D433" s="206" t="s">
        <v>847</v>
      </c>
      <c r="E433" s="502"/>
      <c r="F433" s="100" t="s">
        <v>171</v>
      </c>
      <c r="G433" s="101">
        <v>29250</v>
      </c>
      <c r="H433" s="102"/>
      <c r="I433" s="101"/>
      <c r="J433" s="101"/>
      <c r="K433" s="207"/>
      <c r="L433" s="207"/>
      <c r="M433" s="212"/>
      <c r="N433" s="212"/>
    </row>
    <row r="434" spans="1:14" s="229" customFormat="1" ht="18" x14ac:dyDescent="0.25">
      <c r="A434" s="154"/>
      <c r="B434" s="502"/>
      <c r="C434" s="502"/>
      <c r="D434" s="206" t="s">
        <v>848</v>
      </c>
      <c r="E434" s="502"/>
      <c r="F434" s="100" t="s">
        <v>171</v>
      </c>
      <c r="G434" s="101"/>
      <c r="H434" s="102">
        <v>20000</v>
      </c>
      <c r="I434" s="101"/>
      <c r="J434" s="101"/>
      <c r="K434" s="207"/>
      <c r="L434" s="207"/>
      <c r="M434" s="212"/>
      <c r="N434" s="212"/>
    </row>
    <row r="435" spans="1:14" s="229" customFormat="1" ht="18" x14ac:dyDescent="0.25">
      <c r="A435" s="154"/>
      <c r="B435" s="502"/>
      <c r="C435" s="502"/>
      <c r="D435" s="206" t="s">
        <v>849</v>
      </c>
      <c r="E435" s="502"/>
      <c r="F435" s="100" t="s">
        <v>171</v>
      </c>
      <c r="G435" s="101"/>
      <c r="H435" s="102">
        <v>20000</v>
      </c>
      <c r="I435" s="101"/>
      <c r="J435" s="101"/>
      <c r="K435" s="207"/>
      <c r="L435" s="207"/>
      <c r="M435" s="212"/>
      <c r="N435" s="212"/>
    </row>
    <row r="436" spans="1:14" s="229" customFormat="1" ht="18" x14ac:dyDescent="0.25">
      <c r="A436" s="154"/>
      <c r="B436" s="502"/>
      <c r="C436" s="502"/>
      <c r="D436" s="206" t="s">
        <v>850</v>
      </c>
      <c r="E436" s="502"/>
      <c r="F436" s="100" t="s">
        <v>171</v>
      </c>
      <c r="G436" s="101"/>
      <c r="H436" s="102">
        <v>2500</v>
      </c>
      <c r="I436" s="101"/>
      <c r="J436" s="101"/>
      <c r="K436" s="207"/>
      <c r="L436" s="207"/>
      <c r="M436" s="212"/>
      <c r="N436" s="212"/>
    </row>
    <row r="437" spans="1:14" s="229" customFormat="1" ht="18" x14ac:dyDescent="0.25">
      <c r="A437" s="154"/>
      <c r="B437" s="502"/>
      <c r="C437" s="502"/>
      <c r="D437" s="44" t="s">
        <v>851</v>
      </c>
      <c r="E437" s="125"/>
      <c r="F437" s="100" t="s">
        <v>383</v>
      </c>
      <c r="G437" s="101">
        <v>0</v>
      </c>
      <c r="H437" s="102">
        <v>12000</v>
      </c>
      <c r="I437" s="101">
        <v>3740.98</v>
      </c>
      <c r="J437" s="101">
        <v>12000</v>
      </c>
      <c r="K437" s="207"/>
      <c r="L437" s="207"/>
      <c r="M437" s="212"/>
      <c r="N437" s="212"/>
    </row>
    <row r="438" spans="1:14" s="229" customFormat="1" ht="18" x14ac:dyDescent="0.25">
      <c r="A438" s="154"/>
      <c r="B438" s="502"/>
      <c r="C438" s="502"/>
      <c r="D438" s="44" t="s">
        <v>815</v>
      </c>
      <c r="E438" s="125"/>
      <c r="F438" s="100" t="s">
        <v>385</v>
      </c>
      <c r="G438" s="101">
        <v>88.91</v>
      </c>
      <c r="H438" s="102">
        <v>144000</v>
      </c>
      <c r="I438" s="101"/>
      <c r="J438" s="101">
        <v>144000</v>
      </c>
      <c r="K438" s="207"/>
      <c r="L438" s="207"/>
      <c r="M438" s="212"/>
      <c r="N438" s="212"/>
    </row>
    <row r="439" spans="1:14" s="229" customFormat="1" ht="18" x14ac:dyDescent="0.25">
      <c r="A439" s="154"/>
      <c r="B439" s="502"/>
      <c r="C439" s="502"/>
      <c r="D439" s="44" t="s">
        <v>852</v>
      </c>
      <c r="E439" s="125"/>
      <c r="F439" s="100"/>
      <c r="G439" s="101"/>
      <c r="H439" s="102"/>
      <c r="I439" s="101"/>
      <c r="J439" s="101">
        <v>36000</v>
      </c>
      <c r="K439" s="207"/>
      <c r="L439" s="207"/>
      <c r="M439" s="212"/>
      <c r="N439" s="212"/>
    </row>
    <row r="440" spans="1:14" s="229" customFormat="1" ht="18" x14ac:dyDescent="0.25">
      <c r="A440" s="154"/>
      <c r="B440" s="502"/>
      <c r="C440" s="502"/>
      <c r="D440" s="44" t="s">
        <v>853</v>
      </c>
      <c r="E440" s="125"/>
      <c r="F440" s="100" t="s">
        <v>183</v>
      </c>
      <c r="G440" s="101">
        <v>19791</v>
      </c>
      <c r="H440" s="102">
        <v>60000</v>
      </c>
      <c r="I440" s="101">
        <v>19092</v>
      </c>
      <c r="J440" s="101"/>
      <c r="K440" s="207"/>
      <c r="L440" s="207"/>
      <c r="M440" s="212"/>
      <c r="N440" s="212"/>
    </row>
    <row r="441" spans="1:14" s="229" customFormat="1" ht="18" customHeight="1" x14ac:dyDescent="0.25">
      <c r="A441" s="154"/>
      <c r="B441" s="502"/>
      <c r="C441" s="502"/>
      <c r="D441" s="44" t="s">
        <v>808</v>
      </c>
      <c r="E441" s="125"/>
      <c r="F441" s="195" t="s">
        <v>199</v>
      </c>
      <c r="G441" s="101">
        <v>160545.45000000001</v>
      </c>
      <c r="H441" s="102">
        <v>270000</v>
      </c>
      <c r="I441" s="101">
        <v>15500</v>
      </c>
      <c r="J441" s="105">
        <v>270000</v>
      </c>
      <c r="K441" s="207"/>
      <c r="L441" s="207"/>
      <c r="M441" s="212"/>
      <c r="N441" s="212"/>
    </row>
    <row r="442" spans="1:14" s="146" customFormat="1" ht="18" x14ac:dyDescent="0.25">
      <c r="A442" s="519"/>
      <c r="B442" s="499"/>
      <c r="C442" s="499"/>
      <c r="D442" s="496" t="s">
        <v>823</v>
      </c>
      <c r="E442" s="573"/>
      <c r="F442" s="195"/>
      <c r="G442" s="119">
        <f>SUM(G426:G441)</f>
        <v>392311.71</v>
      </c>
      <c r="H442" s="119">
        <f>SUM(H426:H441)</f>
        <v>780001</v>
      </c>
      <c r="I442" s="119">
        <f>SUM(I426:I441)</f>
        <v>92847.679999999993</v>
      </c>
      <c r="J442" s="119">
        <f>SUM(J426:J441)</f>
        <v>652921</v>
      </c>
      <c r="K442" s="10"/>
      <c r="L442" s="10"/>
      <c r="M442"/>
      <c r="N442"/>
    </row>
    <row r="443" spans="1:14" s="229" customFormat="1" ht="18" customHeight="1" x14ac:dyDescent="0.25">
      <c r="A443" s="154"/>
      <c r="B443" s="502"/>
      <c r="C443" s="502"/>
      <c r="D443" s="44"/>
      <c r="E443" s="125"/>
      <c r="F443" s="381"/>
      <c r="G443" s="101"/>
      <c r="H443" s="102"/>
      <c r="I443" s="101"/>
      <c r="J443" s="101"/>
      <c r="K443" s="207"/>
      <c r="L443" s="207"/>
      <c r="M443" s="212"/>
      <c r="N443" s="212"/>
    </row>
    <row r="444" spans="1:14" s="146" customFormat="1" ht="18" customHeight="1" x14ac:dyDescent="0.25">
      <c r="A444" s="519"/>
      <c r="B444" s="499"/>
      <c r="C444" s="499"/>
      <c r="D444" s="129" t="s">
        <v>799</v>
      </c>
      <c r="E444" s="153"/>
      <c r="F444" s="574"/>
      <c r="G444" s="101"/>
      <c r="H444" s="102"/>
      <c r="I444" s="101"/>
      <c r="J444" s="101"/>
      <c r="K444" s="10"/>
      <c r="L444" s="10"/>
      <c r="M444"/>
      <c r="N444"/>
    </row>
    <row r="445" spans="1:14" s="146" customFormat="1" ht="18" customHeight="1" x14ac:dyDescent="0.25">
      <c r="A445" s="519"/>
      <c r="B445" s="499"/>
      <c r="C445" s="499"/>
      <c r="D445" s="536" t="s">
        <v>854</v>
      </c>
      <c r="E445" s="496"/>
      <c r="F445" s="494"/>
      <c r="G445" s="101"/>
      <c r="H445" s="102"/>
      <c r="I445" s="101"/>
      <c r="J445" s="101">
        <v>50000</v>
      </c>
      <c r="K445" s="10"/>
      <c r="L445" s="10"/>
      <c r="M445"/>
      <c r="N445"/>
    </row>
    <row r="446" spans="1:14" s="146" customFormat="1" ht="18" customHeight="1" x14ac:dyDescent="0.25">
      <c r="A446" s="519"/>
      <c r="B446" s="499"/>
      <c r="C446" s="499"/>
      <c r="D446" s="536" t="s">
        <v>855</v>
      </c>
      <c r="E446" s="496"/>
      <c r="F446" s="494"/>
      <c r="G446" s="101"/>
      <c r="H446" s="102"/>
      <c r="I446" s="101"/>
      <c r="J446" s="101">
        <v>56000</v>
      </c>
      <c r="K446" s="10"/>
      <c r="L446" s="10">
        <f>14000*4</f>
        <v>56000</v>
      </c>
      <c r="M446"/>
      <c r="N446"/>
    </row>
    <row r="447" spans="1:14" s="146" customFormat="1" ht="18" x14ac:dyDescent="0.25">
      <c r="A447" s="519"/>
      <c r="B447" s="499"/>
      <c r="C447" s="499"/>
      <c r="D447" s="1611" t="s">
        <v>856</v>
      </c>
      <c r="E447" s="1611"/>
      <c r="F447" s="100"/>
      <c r="G447" s="101">
        <v>0</v>
      </c>
      <c r="H447" s="102">
        <v>45000</v>
      </c>
      <c r="I447" s="101"/>
      <c r="J447" s="101"/>
      <c r="K447" s="10"/>
      <c r="L447" s="10"/>
      <c r="M447"/>
      <c r="N447"/>
    </row>
    <row r="448" spans="1:14" s="146" customFormat="1" ht="18" x14ac:dyDescent="0.25">
      <c r="A448" s="519"/>
      <c r="B448" s="499"/>
      <c r="C448" s="499"/>
      <c r="D448" s="1611" t="s">
        <v>857</v>
      </c>
      <c r="E448" s="1611"/>
      <c r="F448" s="100"/>
      <c r="G448" s="101">
        <v>0</v>
      </c>
      <c r="H448" s="102">
        <v>75000</v>
      </c>
      <c r="I448" s="101"/>
      <c r="J448" s="105">
        <v>80000</v>
      </c>
      <c r="K448" s="10"/>
      <c r="L448" s="10"/>
      <c r="M448"/>
      <c r="N448"/>
    </row>
    <row r="449" spans="1:14" s="146" customFormat="1" ht="18" x14ac:dyDescent="0.25">
      <c r="A449" s="519"/>
      <c r="B449" s="499"/>
      <c r="C449" s="499"/>
      <c r="D449" s="496" t="s">
        <v>823</v>
      </c>
      <c r="E449" s="573"/>
      <c r="F449" s="100"/>
      <c r="G449" s="119">
        <f>SUM(G445:G448)</f>
        <v>0</v>
      </c>
      <c r="H449" s="119">
        <f>SUM(H445:H448)</f>
        <v>120000</v>
      </c>
      <c r="I449" s="119">
        <f>SUM(I445:I448)</f>
        <v>0</v>
      </c>
      <c r="J449" s="119">
        <f>SUM(J445:J448)</f>
        <v>186000</v>
      </c>
      <c r="K449" s="10"/>
      <c r="L449" s="10"/>
      <c r="M449"/>
      <c r="N449"/>
    </row>
    <row r="450" spans="1:14" s="146" customFormat="1" ht="18.75" thickBot="1" x14ac:dyDescent="0.3">
      <c r="A450" s="519"/>
      <c r="B450" s="499"/>
      <c r="C450" s="499"/>
      <c r="D450" s="496" t="s">
        <v>15</v>
      </c>
      <c r="E450" s="573"/>
      <c r="F450" s="382"/>
      <c r="G450" s="259">
        <f>G449+G442</f>
        <v>392311.71</v>
      </c>
      <c r="H450" s="260">
        <f>H449+H442</f>
        <v>900001</v>
      </c>
      <c r="I450" s="259">
        <f>I449+I442</f>
        <v>92847.679999999993</v>
      </c>
      <c r="J450" s="259">
        <f>J449+J442</f>
        <v>838921</v>
      </c>
      <c r="K450" s="10"/>
      <c r="L450" s="10"/>
      <c r="M450"/>
      <c r="N450"/>
    </row>
    <row r="451" spans="1:14" s="146" customFormat="1" ht="14.1" customHeight="1" thickBot="1" x14ac:dyDescent="0.3">
      <c r="A451" s="187"/>
      <c r="B451" s="413"/>
      <c r="C451" s="413"/>
      <c r="D451" s="318"/>
      <c r="E451" s="498"/>
      <c r="F451" s="382"/>
      <c r="G451" s="182"/>
      <c r="H451" s="183"/>
      <c r="I451" s="182"/>
      <c r="J451" s="182"/>
      <c r="K451" s="10"/>
      <c r="L451" s="10"/>
      <c r="M451"/>
      <c r="N451"/>
    </row>
    <row r="452" spans="1:14" s="229" customFormat="1" ht="18" customHeight="1" x14ac:dyDescent="0.25">
      <c r="A452" s="502"/>
      <c r="B452" s="502"/>
      <c r="C452" s="502"/>
      <c r="D452" s="44"/>
      <c r="E452" s="125"/>
      <c r="F452" s="381"/>
      <c r="G452" s="141"/>
      <c r="H452" s="122"/>
      <c r="I452" s="141"/>
      <c r="J452" s="141"/>
      <c r="K452" s="207"/>
      <c r="L452" s="207"/>
      <c r="M452" s="212"/>
      <c r="N452" s="212"/>
    </row>
    <row r="453" spans="1:14" s="229" customFormat="1" ht="18" customHeight="1" x14ac:dyDescent="0.25">
      <c r="A453" s="502"/>
      <c r="B453" s="502"/>
      <c r="C453" s="502"/>
      <c r="D453" s="44"/>
      <c r="E453" s="125"/>
      <c r="F453" s="381"/>
      <c r="G453" s="141"/>
      <c r="H453" s="122"/>
      <c r="I453" s="141"/>
      <c r="J453" s="141"/>
      <c r="K453" s="207"/>
      <c r="L453" s="207"/>
      <c r="M453" s="212"/>
      <c r="N453" s="212"/>
    </row>
    <row r="454" spans="1:14" ht="18" customHeight="1" x14ac:dyDescent="0.25">
      <c r="A454" s="8" t="s">
        <v>112</v>
      </c>
    </row>
    <row r="455" spans="1:14" ht="18" customHeight="1" x14ac:dyDescent="0.25">
      <c r="A455" s="8" t="s">
        <v>845</v>
      </c>
    </row>
    <row r="456" spans="1:14" ht="18" customHeight="1" x14ac:dyDescent="0.25">
      <c r="A456" s="1636" t="s">
        <v>113</v>
      </c>
      <c r="B456" s="1636"/>
      <c r="C456" s="1636"/>
      <c r="D456" s="1636"/>
      <c r="E456" s="1636"/>
      <c r="F456" s="1636"/>
      <c r="G456" s="1636"/>
      <c r="H456" s="1636"/>
      <c r="I456" s="1636"/>
      <c r="J456" s="1636"/>
    </row>
    <row r="457" spans="1:14" s="7" customFormat="1" ht="18" customHeight="1" x14ac:dyDescent="0.25">
      <c r="A457" s="1624" t="s">
        <v>114</v>
      </c>
      <c r="B457" s="1624"/>
      <c r="C457" s="1624"/>
      <c r="D457" s="1624"/>
      <c r="E457" s="1624"/>
      <c r="F457" s="1624"/>
      <c r="G457" s="1624"/>
      <c r="H457" s="1624"/>
      <c r="I457" s="1624"/>
      <c r="J457" s="1624"/>
      <c r="K457" s="6"/>
      <c r="L457" s="6"/>
    </row>
    <row r="458" spans="1:14" ht="18.75" thickBot="1" x14ac:dyDescent="0.3">
      <c r="A458" s="41"/>
      <c r="B458" s="41"/>
      <c r="C458" s="41"/>
      <c r="D458" s="63"/>
      <c r="E458" s="41"/>
      <c r="F458" s="41"/>
    </row>
    <row r="459" spans="1:14" ht="62.25" customHeight="1" thickBot="1" x14ac:dyDescent="0.3">
      <c r="A459" s="1625" t="s">
        <v>115</v>
      </c>
      <c r="B459" s="1626"/>
      <c r="C459" s="1626"/>
      <c r="D459" s="1626"/>
      <c r="E459" s="1626"/>
      <c r="F459" s="93" t="s">
        <v>116</v>
      </c>
      <c r="G459" s="130" t="s">
        <v>117</v>
      </c>
      <c r="H459" s="130" t="s">
        <v>118</v>
      </c>
      <c r="I459" s="130" t="s">
        <v>119</v>
      </c>
      <c r="J459" s="130" t="s">
        <v>120</v>
      </c>
    </row>
    <row r="460" spans="1:14" s="146" customFormat="1" ht="18" x14ac:dyDescent="0.25">
      <c r="A460" s="519"/>
      <c r="B460" s="499"/>
      <c r="C460" s="499"/>
      <c r="D460" s="1620" t="s">
        <v>858</v>
      </c>
      <c r="E460" s="1620"/>
      <c r="F460" s="100"/>
      <c r="G460" s="101"/>
      <c r="H460" s="102"/>
      <c r="I460" s="101"/>
      <c r="J460" s="101"/>
      <c r="K460" s="10"/>
      <c r="L460" s="10"/>
      <c r="M460"/>
      <c r="N460"/>
    </row>
    <row r="461" spans="1:14" s="146" customFormat="1" ht="18" x14ac:dyDescent="0.25">
      <c r="A461" s="519"/>
      <c r="B461" s="499"/>
      <c r="C461" s="499"/>
      <c r="D461" s="1620" t="s">
        <v>831</v>
      </c>
      <c r="E461" s="1620"/>
      <c r="F461" s="100"/>
      <c r="G461" s="101"/>
      <c r="H461" s="102"/>
      <c r="I461" s="112"/>
      <c r="J461" s="101"/>
      <c r="K461" s="10"/>
      <c r="L461" s="10"/>
      <c r="M461"/>
      <c r="N461"/>
    </row>
    <row r="462" spans="1:14" s="229" customFormat="1" ht="18" x14ac:dyDescent="0.25">
      <c r="A462" s="154"/>
      <c r="B462" s="502"/>
      <c r="C462" s="502"/>
      <c r="D462" s="536" t="s">
        <v>832</v>
      </c>
      <c r="E462" s="124"/>
      <c r="F462" s="100" t="s">
        <v>165</v>
      </c>
      <c r="G462" s="101"/>
      <c r="H462" s="102"/>
      <c r="I462" s="112"/>
      <c r="J462" s="101">
        <v>20000</v>
      </c>
      <c r="K462" s="207"/>
      <c r="L462" s="207"/>
      <c r="M462" s="212"/>
      <c r="N462" s="212"/>
    </row>
    <row r="463" spans="1:14" s="229" customFormat="1" ht="18" x14ac:dyDescent="0.25">
      <c r="A463" s="154"/>
      <c r="B463" s="502"/>
      <c r="C463" s="502"/>
      <c r="D463" s="536" t="s">
        <v>819</v>
      </c>
      <c r="E463" s="124"/>
      <c r="F463" s="100" t="s">
        <v>167</v>
      </c>
      <c r="G463" s="101"/>
      <c r="H463" s="102"/>
      <c r="I463" s="112"/>
      <c r="J463" s="101">
        <v>240000</v>
      </c>
      <c r="K463" s="207"/>
      <c r="L463" s="207"/>
      <c r="M463" s="212"/>
      <c r="N463" s="212"/>
    </row>
    <row r="464" spans="1:14" s="229" customFormat="1" ht="18" x14ac:dyDescent="0.25">
      <c r="A464" s="154"/>
      <c r="B464" s="502"/>
      <c r="C464" s="502"/>
      <c r="D464" s="44" t="s">
        <v>806</v>
      </c>
      <c r="E464" s="125"/>
      <c r="F464" s="100" t="s">
        <v>169</v>
      </c>
      <c r="G464" s="101"/>
      <c r="H464" s="102"/>
      <c r="I464" s="112"/>
      <c r="J464" s="101">
        <v>33945</v>
      </c>
      <c r="K464" s="207"/>
      <c r="L464" s="207"/>
      <c r="M464" s="212"/>
      <c r="N464" s="212"/>
    </row>
    <row r="465" spans="1:14" s="229" customFormat="1" ht="18" customHeight="1" x14ac:dyDescent="0.25">
      <c r="A465" s="154"/>
      <c r="B465" s="502"/>
      <c r="C465" s="502"/>
      <c r="D465" s="536" t="s">
        <v>835</v>
      </c>
      <c r="E465" s="124"/>
      <c r="F465" s="100" t="s">
        <v>171</v>
      </c>
      <c r="G465" s="101"/>
      <c r="H465" s="102"/>
      <c r="I465" s="101"/>
      <c r="J465" s="101">
        <v>121614</v>
      </c>
      <c r="K465" s="207"/>
      <c r="L465" s="207"/>
      <c r="M465" s="212"/>
      <c r="N465" s="212"/>
    </row>
    <row r="466" spans="1:14" s="229" customFormat="1" ht="18" customHeight="1" x14ac:dyDescent="0.25">
      <c r="A466" s="154"/>
      <c r="B466" s="502"/>
      <c r="C466" s="502"/>
      <c r="D466" s="536" t="s">
        <v>814</v>
      </c>
      <c r="E466" s="124"/>
      <c r="F466" s="100"/>
      <c r="G466" s="101"/>
      <c r="H466" s="102"/>
      <c r="I466" s="101"/>
      <c r="J466" s="101">
        <v>36000</v>
      </c>
      <c r="K466" s="207"/>
      <c r="L466" s="207"/>
      <c r="M466" s="212"/>
      <c r="N466" s="212"/>
    </row>
    <row r="467" spans="1:14" s="229" customFormat="1" ht="18" x14ac:dyDescent="0.25">
      <c r="A467" s="154"/>
      <c r="B467" s="502"/>
      <c r="C467" s="502"/>
      <c r="D467" s="536" t="s">
        <v>859</v>
      </c>
      <c r="E467" s="124"/>
      <c r="F467" s="100" t="s">
        <v>199</v>
      </c>
      <c r="G467" s="101"/>
      <c r="H467" s="102"/>
      <c r="I467" s="112"/>
      <c r="J467" s="105">
        <v>90000</v>
      </c>
      <c r="K467" s="207"/>
      <c r="L467" s="207"/>
      <c r="M467" s="212"/>
      <c r="N467" s="212"/>
    </row>
    <row r="468" spans="1:14" s="146" customFormat="1" ht="15.75" customHeight="1" x14ac:dyDescent="0.25">
      <c r="A468" s="519"/>
      <c r="B468" s="499"/>
      <c r="C468" s="499"/>
      <c r="D468" s="496" t="s">
        <v>823</v>
      </c>
      <c r="F468" s="100"/>
      <c r="G468" s="119">
        <f>SUM(G462:G466)</f>
        <v>0</v>
      </c>
      <c r="H468" s="150">
        <f>SUM(H462:H466)</f>
        <v>0</v>
      </c>
      <c r="I468" s="119">
        <f>SUM(I462:I466)</f>
        <v>0</v>
      </c>
      <c r="J468" s="119">
        <f>SUM(J462:J467)</f>
        <v>541559</v>
      </c>
      <c r="K468" s="10"/>
      <c r="L468" s="10"/>
      <c r="M468"/>
      <c r="N468"/>
    </row>
    <row r="469" spans="1:14" s="146" customFormat="1" ht="14.1" customHeight="1" x14ac:dyDescent="0.25">
      <c r="A469" s="519"/>
      <c r="B469" s="499"/>
      <c r="C469" s="499"/>
      <c r="D469" s="9"/>
      <c r="E469" s="496"/>
      <c r="F469" s="100"/>
      <c r="G469" s="155"/>
      <c r="H469" s="156"/>
      <c r="I469" s="155"/>
      <c r="J469" s="155"/>
      <c r="K469" s="10"/>
      <c r="L469" s="10"/>
      <c r="M469"/>
      <c r="N469"/>
    </row>
    <row r="470" spans="1:14" s="146" customFormat="1" ht="18" customHeight="1" x14ac:dyDescent="0.25">
      <c r="A470" s="519"/>
      <c r="B470" s="499"/>
      <c r="C470" s="499"/>
      <c r="D470" s="129" t="s">
        <v>799</v>
      </c>
      <c r="E470" s="152"/>
      <c r="F470" s="186"/>
      <c r="G470" s="155"/>
      <c r="H470" s="156"/>
      <c r="I470" s="155"/>
      <c r="J470" s="155"/>
      <c r="K470" s="10"/>
      <c r="L470" s="10"/>
      <c r="M470"/>
      <c r="N470"/>
    </row>
    <row r="471" spans="1:14" s="146" customFormat="1" ht="35.25" customHeight="1" x14ac:dyDescent="0.25">
      <c r="A471" s="519"/>
      <c r="B471" s="499"/>
      <c r="C471" s="499"/>
      <c r="D471" s="1611" t="s">
        <v>860</v>
      </c>
      <c r="E471" s="1611"/>
      <c r="F471" s="494"/>
      <c r="G471" s="101"/>
      <c r="H471" s="102"/>
      <c r="I471" s="101"/>
      <c r="J471" s="101">
        <v>160000</v>
      </c>
      <c r="K471" s="10"/>
      <c r="L471" s="10"/>
      <c r="M471"/>
      <c r="N471"/>
    </row>
    <row r="472" spans="1:14" s="146" customFormat="1" ht="18" x14ac:dyDescent="0.25">
      <c r="A472" s="519"/>
      <c r="B472" s="499"/>
      <c r="C472" s="499"/>
      <c r="D472" s="44" t="s">
        <v>861</v>
      </c>
      <c r="E472" s="496"/>
      <c r="F472" s="494"/>
      <c r="G472" s="101"/>
      <c r="H472" s="102"/>
      <c r="I472" s="101"/>
      <c r="J472" s="101">
        <v>15000</v>
      </c>
      <c r="K472" s="10"/>
      <c r="L472" s="10"/>
      <c r="M472"/>
      <c r="N472"/>
    </row>
    <row r="473" spans="1:14" s="146" customFormat="1" ht="15" customHeight="1" x14ac:dyDescent="0.25">
      <c r="A473" s="519"/>
      <c r="B473" s="499"/>
      <c r="C473" s="499"/>
      <c r="D473" s="496" t="s">
        <v>823</v>
      </c>
      <c r="F473" s="100"/>
      <c r="G473" s="119">
        <f>SUM(G471:G472)</f>
        <v>0</v>
      </c>
      <c r="H473" s="119">
        <f>SUM(H471:H472)</f>
        <v>0</v>
      </c>
      <c r="I473" s="119">
        <f>SUM(I471:I472)</f>
        <v>0</v>
      </c>
      <c r="J473" s="119">
        <f>SUM(J471:J472)</f>
        <v>175000</v>
      </c>
      <c r="K473" s="10"/>
      <c r="L473" s="10"/>
      <c r="M473"/>
      <c r="N473"/>
    </row>
    <row r="474" spans="1:14" s="146" customFormat="1" ht="18.75" thickBot="1" x14ac:dyDescent="0.3">
      <c r="A474" s="519"/>
      <c r="B474" s="499"/>
      <c r="C474" s="499"/>
      <c r="D474" s="496" t="s">
        <v>15</v>
      </c>
      <c r="F474" s="308"/>
      <c r="G474" s="123">
        <f>G473+G468</f>
        <v>0</v>
      </c>
      <c r="H474" s="123">
        <f>H473+H468</f>
        <v>0</v>
      </c>
      <c r="I474" s="123">
        <f>I473+I468</f>
        <v>0</v>
      </c>
      <c r="J474" s="123">
        <f>J473+J468</f>
        <v>716559</v>
      </c>
      <c r="K474" s="10"/>
      <c r="L474" s="10"/>
      <c r="M474"/>
      <c r="N474"/>
    </row>
    <row r="475" spans="1:14" s="146" customFormat="1" ht="15.75" customHeight="1" x14ac:dyDescent="0.25">
      <c r="A475" s="519"/>
      <c r="B475" s="499"/>
      <c r="C475" s="499"/>
      <c r="D475" s="51"/>
      <c r="E475" s="496"/>
      <c r="F475" s="100"/>
      <c r="G475" s="383"/>
      <c r="H475" s="383"/>
      <c r="I475" s="383"/>
      <c r="J475" s="383"/>
      <c r="K475" s="10"/>
      <c r="L475" s="10"/>
      <c r="M475"/>
      <c r="N475"/>
    </row>
    <row r="476" spans="1:14" s="146" customFormat="1" ht="18" x14ac:dyDescent="0.25">
      <c r="A476" s="495"/>
      <c r="B476" s="496"/>
      <c r="C476" s="496"/>
      <c r="D476" s="1620" t="s">
        <v>862</v>
      </c>
      <c r="E476" s="1620"/>
      <c r="F476" s="376"/>
      <c r="G476" s="101"/>
      <c r="H476" s="102"/>
      <c r="I476" s="101"/>
      <c r="J476" s="101"/>
      <c r="K476" s="10"/>
      <c r="L476" s="10"/>
      <c r="M476"/>
      <c r="N476"/>
    </row>
    <row r="477" spans="1:14" s="146" customFormat="1" ht="18" x14ac:dyDescent="0.25">
      <c r="A477" s="495"/>
      <c r="B477" s="496"/>
      <c r="C477" s="496"/>
      <c r="D477" s="1620" t="s">
        <v>831</v>
      </c>
      <c r="E477" s="1620"/>
      <c r="F477" s="376"/>
      <c r="G477" s="101"/>
      <c r="H477" s="102"/>
      <c r="I477" s="101"/>
      <c r="J477" s="101"/>
      <c r="K477" s="10"/>
      <c r="L477" s="10"/>
      <c r="M477"/>
      <c r="N477"/>
    </row>
    <row r="478" spans="1:14" s="146" customFormat="1" ht="18" x14ac:dyDescent="0.25">
      <c r="A478" s="495"/>
      <c r="B478" s="496"/>
      <c r="C478" s="496"/>
      <c r="D478" s="502" t="s">
        <v>863</v>
      </c>
      <c r="E478" s="496"/>
      <c r="F478" s="376"/>
      <c r="G478" s="101"/>
      <c r="H478" s="102"/>
      <c r="I478" s="101"/>
      <c r="J478" s="101">
        <v>25000</v>
      </c>
      <c r="K478" s="10">
        <f>150000+160000</f>
        <v>310000</v>
      </c>
      <c r="L478" s="10"/>
      <c r="M478"/>
      <c r="N478"/>
    </row>
    <row r="479" spans="1:14" s="146" customFormat="1" ht="18" x14ac:dyDescent="0.25">
      <c r="A479" s="495"/>
      <c r="B479" s="496"/>
      <c r="C479" s="496"/>
      <c r="D479" s="502" t="s">
        <v>805</v>
      </c>
      <c r="E479" s="496"/>
      <c r="F479" s="376"/>
      <c r="G479" s="101"/>
      <c r="H479" s="102"/>
      <c r="I479" s="101"/>
      <c r="J479" s="101">
        <v>65000</v>
      </c>
      <c r="K479" s="10"/>
      <c r="L479" s="10"/>
      <c r="M479"/>
      <c r="N479"/>
    </row>
    <row r="480" spans="1:14" s="146" customFormat="1" ht="18" x14ac:dyDescent="0.25">
      <c r="A480" s="495"/>
      <c r="B480" s="496"/>
      <c r="C480" s="496"/>
      <c r="D480" s="536" t="s">
        <v>815</v>
      </c>
      <c r="E480" s="496"/>
      <c r="F480" s="376"/>
      <c r="G480" s="101"/>
      <c r="H480" s="102"/>
      <c r="I480" s="101"/>
      <c r="J480" s="101">
        <v>120000</v>
      </c>
      <c r="K480" s="10"/>
      <c r="L480" s="10"/>
      <c r="M480"/>
      <c r="N480"/>
    </row>
    <row r="481" spans="1:14" s="146" customFormat="1" ht="18" x14ac:dyDescent="0.25">
      <c r="A481" s="495"/>
      <c r="B481" s="496"/>
      <c r="C481" s="496"/>
      <c r="D481" s="536" t="s">
        <v>864</v>
      </c>
      <c r="E481" s="496"/>
      <c r="F481" s="376"/>
      <c r="G481" s="101"/>
      <c r="H481" s="102"/>
      <c r="I481" s="101"/>
      <c r="J481" s="101">
        <v>74398</v>
      </c>
      <c r="K481" s="10"/>
      <c r="L481" s="10"/>
      <c r="M481"/>
      <c r="N481"/>
    </row>
    <row r="482" spans="1:14" s="146" customFormat="1" ht="18" x14ac:dyDescent="0.25">
      <c r="A482" s="495"/>
      <c r="B482" s="496"/>
      <c r="C482" s="496"/>
      <c r="D482" s="536" t="s">
        <v>865</v>
      </c>
      <c r="E482" s="496"/>
      <c r="F482" s="376"/>
      <c r="G482" s="101"/>
      <c r="H482" s="102"/>
      <c r="I482" s="101"/>
      <c r="J482" s="101">
        <v>56890</v>
      </c>
      <c r="K482" s="10">
        <f>33330+10760+12800</f>
        <v>56890</v>
      </c>
      <c r="L482" s="10"/>
      <c r="M482"/>
      <c r="N482"/>
    </row>
    <row r="483" spans="1:14" s="146" customFormat="1" ht="18" x14ac:dyDescent="0.25">
      <c r="A483" s="495"/>
      <c r="B483" s="496"/>
      <c r="C483" s="496"/>
      <c r="D483" s="536" t="s">
        <v>866</v>
      </c>
      <c r="E483" s="496"/>
      <c r="F483" s="376"/>
      <c r="G483" s="105"/>
      <c r="H483" s="106"/>
      <c r="I483" s="105"/>
      <c r="J483" s="106">
        <v>102000</v>
      </c>
      <c r="K483" s="10">
        <f>102000</f>
        <v>102000</v>
      </c>
      <c r="L483" s="10"/>
      <c r="M483"/>
      <c r="N483"/>
    </row>
    <row r="484" spans="1:14" s="146" customFormat="1" ht="18" x14ac:dyDescent="0.25">
      <c r="A484" s="495"/>
      <c r="B484" s="496"/>
      <c r="C484" s="496"/>
      <c r="D484" s="496" t="s">
        <v>823</v>
      </c>
      <c r="F484" s="376"/>
      <c r="G484" s="155"/>
      <c r="H484" s="156"/>
      <c r="I484" s="155"/>
      <c r="J484" s="155">
        <f>SUM(J478:J483)</f>
        <v>443288</v>
      </c>
      <c r="K484" s="10"/>
      <c r="L484" s="10"/>
      <c r="M484"/>
      <c r="N484"/>
    </row>
    <row r="485" spans="1:14" s="146" customFormat="1" ht="18" x14ac:dyDescent="0.25">
      <c r="A485" s="495"/>
      <c r="B485" s="496"/>
      <c r="C485" s="496"/>
      <c r="D485" s="496"/>
      <c r="F485" s="376"/>
      <c r="G485" s="155"/>
      <c r="H485" s="156"/>
      <c r="I485" s="155"/>
      <c r="J485" s="155"/>
      <c r="K485" s="10"/>
      <c r="L485" s="10"/>
      <c r="M485"/>
      <c r="N485"/>
    </row>
    <row r="486" spans="1:14" s="146" customFormat="1" ht="18" x14ac:dyDescent="0.25">
      <c r="A486" s="495"/>
      <c r="B486" s="496"/>
      <c r="C486" s="496"/>
      <c r="D486" s="129" t="s">
        <v>799</v>
      </c>
      <c r="E486" s="496"/>
      <c r="F486" s="376"/>
      <c r="G486" s="101"/>
      <c r="H486" s="102"/>
      <c r="I486" s="101"/>
      <c r="J486" s="101"/>
      <c r="K486" s="10"/>
      <c r="L486" s="10"/>
      <c r="M486"/>
      <c r="N486"/>
    </row>
    <row r="487" spans="1:14" s="146" customFormat="1" ht="18" x14ac:dyDescent="0.25">
      <c r="A487" s="495"/>
      <c r="B487" s="496"/>
      <c r="C487" s="496"/>
      <c r="D487" s="536" t="s">
        <v>867</v>
      </c>
      <c r="E487" s="496"/>
      <c r="F487" s="376"/>
      <c r="G487" s="101"/>
      <c r="H487" s="102"/>
      <c r="I487" s="101"/>
      <c r="J487" s="101">
        <v>80000</v>
      </c>
      <c r="K487" s="10"/>
      <c r="L487" s="10"/>
      <c r="M487"/>
      <c r="N487"/>
    </row>
    <row r="488" spans="1:14" s="146" customFormat="1" ht="18" x14ac:dyDescent="0.25">
      <c r="A488" s="495"/>
      <c r="B488" s="496"/>
      <c r="C488" s="496"/>
      <c r="D488" s="536" t="s">
        <v>868</v>
      </c>
      <c r="E488" s="496"/>
      <c r="F488" s="376"/>
      <c r="G488" s="105"/>
      <c r="H488" s="106"/>
      <c r="I488" s="105"/>
      <c r="J488" s="105">
        <v>78000</v>
      </c>
      <c r="K488" s="10"/>
      <c r="L488" s="10"/>
      <c r="M488"/>
      <c r="N488"/>
    </row>
    <row r="489" spans="1:14" s="146" customFormat="1" ht="18" x14ac:dyDescent="0.25">
      <c r="A489" s="254"/>
      <c r="B489" s="271"/>
      <c r="C489" s="271"/>
      <c r="D489" s="496" t="s">
        <v>823</v>
      </c>
      <c r="F489" s="273"/>
      <c r="G489" s="119"/>
      <c r="H489" s="150"/>
      <c r="I489" s="119"/>
      <c r="J489" s="119">
        <f>SUM(J487:J488)</f>
        <v>158000</v>
      </c>
      <c r="K489" s="10"/>
      <c r="L489" s="10"/>
      <c r="M489"/>
      <c r="N489"/>
    </row>
    <row r="490" spans="1:14" s="146" customFormat="1" ht="18" x14ac:dyDescent="0.25">
      <c r="A490" s="254"/>
      <c r="B490" s="271"/>
      <c r="C490" s="271"/>
      <c r="D490" s="496" t="s">
        <v>15</v>
      </c>
      <c r="E490" s="575"/>
      <c r="F490" s="254"/>
      <c r="G490" s="119"/>
      <c r="H490" s="150"/>
      <c r="I490" s="119"/>
      <c r="J490" s="119">
        <f>J489+J484</f>
        <v>601288</v>
      </c>
      <c r="K490" s="10"/>
      <c r="L490" s="10"/>
      <c r="M490"/>
      <c r="N490"/>
    </row>
    <row r="491" spans="1:14" s="146" customFormat="1" ht="18" x14ac:dyDescent="0.25">
      <c r="A491" s="254"/>
      <c r="B491" s="271"/>
      <c r="C491" s="271"/>
      <c r="D491" s="387"/>
      <c r="E491" s="496"/>
      <c r="F491" s="271"/>
      <c r="G491" s="155"/>
      <c r="H491" s="156"/>
      <c r="I491" s="155"/>
      <c r="J491" s="155"/>
      <c r="K491" s="10"/>
      <c r="L491" s="10"/>
      <c r="M491"/>
      <c r="N491"/>
    </row>
    <row r="492" spans="1:14" s="146" customFormat="1" ht="18" x14ac:dyDescent="0.25">
      <c r="A492" s="519"/>
      <c r="B492" s="499"/>
      <c r="C492" s="499"/>
      <c r="D492" s="1620" t="s">
        <v>870</v>
      </c>
      <c r="E492" s="1620"/>
      <c r="F492" s="195"/>
      <c r="G492" s="101"/>
      <c r="H492" s="102"/>
      <c r="I492" s="101"/>
      <c r="J492" s="101"/>
      <c r="K492" s="10"/>
      <c r="L492" s="10"/>
      <c r="M492"/>
      <c r="N492"/>
    </row>
    <row r="493" spans="1:14" s="146" customFormat="1" ht="18" x14ac:dyDescent="0.25">
      <c r="A493" s="519"/>
      <c r="B493" s="499"/>
      <c r="C493" s="499"/>
      <c r="D493" s="1620" t="s">
        <v>813</v>
      </c>
      <c r="E493" s="1620"/>
      <c r="F493" s="100"/>
      <c r="G493" s="101"/>
      <c r="H493" s="102"/>
      <c r="I493" s="101"/>
      <c r="J493" s="101"/>
      <c r="K493" s="10"/>
      <c r="L493" s="10"/>
      <c r="M493"/>
      <c r="N493"/>
    </row>
    <row r="494" spans="1:14" s="229" customFormat="1" ht="18" customHeight="1" x14ac:dyDescent="0.25">
      <c r="A494" s="154"/>
      <c r="B494" s="502"/>
      <c r="C494" s="502"/>
      <c r="D494" s="44" t="s">
        <v>804</v>
      </c>
      <c r="E494" s="125"/>
      <c r="F494" s="100" t="s">
        <v>165</v>
      </c>
      <c r="G494" s="101">
        <v>0</v>
      </c>
      <c r="H494" s="102">
        <v>60000</v>
      </c>
      <c r="I494" s="101"/>
      <c r="J494" s="102">
        <v>60000</v>
      </c>
      <c r="K494" s="207"/>
      <c r="L494" s="207"/>
      <c r="M494" s="212"/>
      <c r="N494" s="212"/>
    </row>
    <row r="495" spans="1:14" s="229" customFormat="1" ht="18" customHeight="1" x14ac:dyDescent="0.25">
      <c r="A495" s="154"/>
      <c r="B495" s="502"/>
      <c r="C495" s="502"/>
      <c r="D495" s="44" t="s">
        <v>871</v>
      </c>
      <c r="E495" s="125"/>
      <c r="F495" s="100" t="s">
        <v>187</v>
      </c>
      <c r="G495" s="101">
        <v>0</v>
      </c>
      <c r="H495" s="102">
        <v>19000</v>
      </c>
      <c r="I495" s="101"/>
      <c r="J495" s="102">
        <v>19000</v>
      </c>
      <c r="K495" s="207"/>
      <c r="L495" s="207"/>
      <c r="M495" s="212"/>
      <c r="N495" s="212"/>
    </row>
    <row r="496" spans="1:14" s="229" customFormat="1" ht="18" customHeight="1" x14ac:dyDescent="0.25">
      <c r="A496" s="154"/>
      <c r="B496" s="502"/>
      <c r="C496" s="502"/>
      <c r="D496" s="44" t="s">
        <v>808</v>
      </c>
      <c r="E496" s="125"/>
      <c r="F496" s="100" t="s">
        <v>199</v>
      </c>
      <c r="G496" s="101">
        <v>88000</v>
      </c>
      <c r="H496" s="102">
        <v>96000</v>
      </c>
      <c r="I496" s="101">
        <v>32000</v>
      </c>
      <c r="J496" s="102">
        <v>96000</v>
      </c>
      <c r="K496" s="207"/>
      <c r="L496" s="207"/>
      <c r="M496" s="212"/>
      <c r="N496" s="212"/>
    </row>
    <row r="497" spans="1:14" s="146" customFormat="1" ht="18" x14ac:dyDescent="0.25">
      <c r="A497" s="519"/>
      <c r="B497" s="499"/>
      <c r="C497" s="499"/>
      <c r="D497" s="496" t="s">
        <v>15</v>
      </c>
      <c r="F497" s="100"/>
      <c r="G497" s="119">
        <f>SUM(G494:G496)</f>
        <v>88000</v>
      </c>
      <c r="H497" s="150">
        <f>SUM(H494:H496)</f>
        <v>175000</v>
      </c>
      <c r="I497" s="119">
        <f>SUM(I494:I496)</f>
        <v>32000</v>
      </c>
      <c r="J497" s="119">
        <f>SUM(J494:J496)</f>
        <v>175000</v>
      </c>
      <c r="K497" s="10"/>
      <c r="L497" s="10"/>
      <c r="M497"/>
      <c r="N497"/>
    </row>
    <row r="498" spans="1:14" s="146" customFormat="1" ht="18.75" customHeight="1" x14ac:dyDescent="0.25">
      <c r="A498" s="519"/>
      <c r="B498" s="499"/>
      <c r="C498" s="499"/>
      <c r="D498" s="513"/>
      <c r="E498" s="496"/>
      <c r="F498" s="100"/>
      <c r="G498" s="155"/>
      <c r="H498" s="156"/>
      <c r="I498" s="155"/>
      <c r="J498" s="155"/>
      <c r="K498" s="10"/>
      <c r="L498" s="10"/>
      <c r="M498"/>
      <c r="N498"/>
    </row>
    <row r="499" spans="1:14" ht="18" x14ac:dyDescent="0.25">
      <c r="A499" s="519"/>
      <c r="B499" s="499"/>
      <c r="C499" s="499"/>
      <c r="D499" s="1620" t="s">
        <v>872</v>
      </c>
      <c r="E499" s="1620"/>
      <c r="F499" s="100"/>
      <c r="G499" s="101"/>
      <c r="H499" s="102"/>
      <c r="I499" s="101"/>
      <c r="J499" s="101"/>
    </row>
    <row r="500" spans="1:14" s="146" customFormat="1" ht="18" x14ac:dyDescent="0.25">
      <c r="A500" s="519"/>
      <c r="B500" s="499"/>
      <c r="C500" s="499"/>
      <c r="D500" s="1620" t="s">
        <v>813</v>
      </c>
      <c r="E500" s="1620"/>
      <c r="F500" s="100"/>
      <c r="G500" s="101"/>
      <c r="H500" s="102"/>
      <c r="I500" s="101"/>
      <c r="J500" s="101"/>
      <c r="K500" s="10"/>
      <c r="L500" s="10"/>
      <c r="M500"/>
      <c r="N500"/>
    </row>
    <row r="501" spans="1:14" s="229" customFormat="1" ht="18" customHeight="1" x14ac:dyDescent="0.25">
      <c r="A501" s="154"/>
      <c r="B501" s="502"/>
      <c r="C501" s="502"/>
      <c r="D501" s="44" t="s">
        <v>804</v>
      </c>
      <c r="E501" s="125"/>
      <c r="F501" s="100" t="s">
        <v>165</v>
      </c>
      <c r="G501" s="101">
        <v>0</v>
      </c>
      <c r="H501" s="102">
        <v>25000</v>
      </c>
      <c r="I501" s="101"/>
      <c r="J501" s="101">
        <v>25000</v>
      </c>
      <c r="K501" s="207"/>
      <c r="L501" s="207"/>
      <c r="M501" s="212"/>
      <c r="N501" s="212"/>
    </row>
    <row r="502" spans="1:14" s="229" customFormat="1" ht="18" customHeight="1" x14ac:dyDescent="0.25">
      <c r="A502" s="154"/>
      <c r="B502" s="502"/>
      <c r="C502" s="502"/>
      <c r="D502" s="44" t="s">
        <v>806</v>
      </c>
      <c r="E502" s="125"/>
      <c r="F502" s="100" t="s">
        <v>169</v>
      </c>
      <c r="G502" s="101">
        <v>54637.5</v>
      </c>
      <c r="H502" s="102">
        <v>289579</v>
      </c>
      <c r="I502" s="101">
        <v>155306</v>
      </c>
      <c r="J502" s="101">
        <v>244230</v>
      </c>
      <c r="K502" s="207">
        <f>167030+73200+4000</f>
        <v>244230</v>
      </c>
      <c r="L502" s="207"/>
      <c r="M502" s="212"/>
      <c r="N502" s="212"/>
    </row>
    <row r="503" spans="1:14" s="229" customFormat="1" ht="18" customHeight="1" x14ac:dyDescent="0.25">
      <c r="A503" s="154"/>
      <c r="B503" s="502"/>
      <c r="C503" s="502"/>
      <c r="D503" s="44" t="s">
        <v>873</v>
      </c>
      <c r="E503" s="125"/>
      <c r="F503" s="100" t="s">
        <v>173</v>
      </c>
      <c r="G503" s="101">
        <v>926684.85</v>
      </c>
      <c r="H503" s="102">
        <v>1200000</v>
      </c>
      <c r="I503" s="101">
        <v>400047.4</v>
      </c>
      <c r="J503" s="101">
        <v>1727900</v>
      </c>
      <c r="K503" s="207"/>
      <c r="L503" s="207"/>
      <c r="M503" s="212"/>
      <c r="N503" s="212"/>
    </row>
    <row r="504" spans="1:14" s="229" customFormat="1" ht="18" customHeight="1" x14ac:dyDescent="0.25">
      <c r="A504" s="154"/>
      <c r="B504" s="502"/>
      <c r="C504" s="502"/>
      <c r="D504" s="44" t="s">
        <v>865</v>
      </c>
      <c r="E504" s="125"/>
      <c r="F504" s="100"/>
      <c r="G504" s="101"/>
      <c r="H504" s="102"/>
      <c r="I504" s="101"/>
      <c r="J504" s="101">
        <v>1059090</v>
      </c>
      <c r="K504" s="207"/>
      <c r="L504" s="207"/>
      <c r="M504" s="212"/>
      <c r="N504" s="212"/>
    </row>
    <row r="505" spans="1:14" s="229" customFormat="1" ht="18" customHeight="1" x14ac:dyDescent="0.25">
      <c r="A505" s="154"/>
      <c r="B505" s="502"/>
      <c r="C505" s="502"/>
      <c r="D505" s="44" t="s">
        <v>874</v>
      </c>
      <c r="E505" s="125"/>
      <c r="F505" s="100" t="s">
        <v>171</v>
      </c>
      <c r="G505" s="101">
        <v>1985</v>
      </c>
      <c r="H505" s="102">
        <v>57096</v>
      </c>
      <c r="I505" s="101"/>
      <c r="J505" s="101"/>
      <c r="K505" s="207"/>
      <c r="L505" s="207"/>
      <c r="M505" s="212"/>
      <c r="N505" s="212"/>
    </row>
    <row r="506" spans="1:14" s="229" customFormat="1" ht="18" customHeight="1" x14ac:dyDescent="0.25">
      <c r="A506" s="154"/>
      <c r="B506" s="502"/>
      <c r="C506" s="502"/>
      <c r="D506" s="44" t="s">
        <v>815</v>
      </c>
      <c r="E506" s="125"/>
      <c r="F506" s="100" t="s">
        <v>385</v>
      </c>
      <c r="G506" s="101">
        <v>156375.29</v>
      </c>
      <c r="H506" s="102">
        <v>200000</v>
      </c>
      <c r="I506" s="101">
        <v>117485.65</v>
      </c>
      <c r="J506" s="101">
        <v>240000</v>
      </c>
      <c r="K506" s="207"/>
      <c r="L506" s="207"/>
      <c r="M506" s="212"/>
      <c r="N506" s="212"/>
    </row>
    <row r="507" spans="1:14" s="229" customFormat="1" ht="18" customHeight="1" x14ac:dyDescent="0.25">
      <c r="A507" s="154"/>
      <c r="B507" s="502"/>
      <c r="C507" s="502"/>
      <c r="D507" s="44" t="s">
        <v>871</v>
      </c>
      <c r="E507" s="125"/>
      <c r="F507" s="100" t="s">
        <v>187</v>
      </c>
      <c r="G507" s="101">
        <v>0</v>
      </c>
      <c r="H507" s="102">
        <v>21000</v>
      </c>
      <c r="I507" s="101"/>
      <c r="J507" s="101">
        <v>26000</v>
      </c>
      <c r="K507" s="207"/>
      <c r="L507" s="207"/>
      <c r="M507" s="212"/>
      <c r="N507" s="212"/>
    </row>
    <row r="508" spans="1:14" s="229" customFormat="1" ht="18" customHeight="1" x14ac:dyDescent="0.25">
      <c r="A508" s="154"/>
      <c r="B508" s="502"/>
      <c r="C508" s="502"/>
      <c r="D508" s="44" t="s">
        <v>875</v>
      </c>
      <c r="E508" s="125"/>
      <c r="F508" s="100" t="s">
        <v>189</v>
      </c>
      <c r="G508" s="101">
        <v>52830</v>
      </c>
      <c r="H508" s="102">
        <v>200000</v>
      </c>
      <c r="I508" s="101">
        <v>34530</v>
      </c>
      <c r="J508" s="101">
        <v>373000</v>
      </c>
      <c r="K508" s="207"/>
      <c r="L508" s="207"/>
      <c r="M508" s="212"/>
      <c r="N508" s="212"/>
    </row>
    <row r="509" spans="1:14" s="229" customFormat="1" ht="18" customHeight="1" x14ac:dyDescent="0.25">
      <c r="A509" s="154"/>
      <c r="B509" s="502"/>
      <c r="C509" s="502"/>
      <c r="D509" s="44" t="s">
        <v>808</v>
      </c>
      <c r="E509" s="125"/>
      <c r="F509" s="100" t="s">
        <v>199</v>
      </c>
      <c r="G509" s="101">
        <v>169000</v>
      </c>
      <c r="H509" s="102">
        <v>300000</v>
      </c>
      <c r="I509" s="101">
        <v>40200</v>
      </c>
      <c r="J509" s="105">
        <v>480000</v>
      </c>
      <c r="K509" s="207"/>
      <c r="L509" s="207"/>
      <c r="M509" s="212"/>
      <c r="N509" s="212"/>
    </row>
    <row r="510" spans="1:14" s="146" customFormat="1" ht="18" x14ac:dyDescent="0.25">
      <c r="A510" s="519"/>
      <c r="B510" s="499"/>
      <c r="C510" s="499"/>
      <c r="D510" s="496" t="s">
        <v>823</v>
      </c>
      <c r="E510" s="573"/>
      <c r="F510" s="100"/>
      <c r="G510" s="119">
        <f>SUM(G501:G509)</f>
        <v>1361512.64</v>
      </c>
      <c r="H510" s="119">
        <f>SUM(H501:H509)</f>
        <v>2292675</v>
      </c>
      <c r="I510" s="119">
        <f>SUM(I501:I509)</f>
        <v>747569.05</v>
      </c>
      <c r="J510" s="119">
        <f>SUM(J501:J509)</f>
        <v>4175220</v>
      </c>
      <c r="K510" s="10"/>
      <c r="L510" s="10"/>
      <c r="M510"/>
      <c r="N510"/>
    </row>
    <row r="511" spans="1:14" s="146" customFormat="1" ht="18" x14ac:dyDescent="0.25">
      <c r="A511" s="254"/>
      <c r="B511" s="271"/>
      <c r="C511" s="271"/>
      <c r="D511" s="387"/>
      <c r="E511" s="496"/>
      <c r="F511" s="273"/>
      <c r="G511" s="155"/>
      <c r="H511" s="156"/>
      <c r="I511" s="155"/>
      <c r="J511" s="155"/>
      <c r="K511" s="10"/>
      <c r="L511" s="10"/>
      <c r="M511"/>
      <c r="N511"/>
    </row>
    <row r="512" spans="1:14" s="146" customFormat="1" ht="18" x14ac:dyDescent="0.25">
      <c r="A512" s="519"/>
      <c r="B512" s="499"/>
      <c r="C512" s="499"/>
      <c r="D512" s="1620" t="s">
        <v>799</v>
      </c>
      <c r="E512" s="1620"/>
      <c r="F512" s="100"/>
      <c r="G512" s="101"/>
      <c r="H512" s="102"/>
      <c r="I512" s="101"/>
      <c r="J512" s="101"/>
      <c r="K512" s="10"/>
      <c r="L512" s="10"/>
      <c r="M512"/>
      <c r="N512"/>
    </row>
    <row r="513" spans="1:14" s="146" customFormat="1" ht="18" x14ac:dyDescent="0.25">
      <c r="A513" s="519"/>
      <c r="B513" s="499"/>
      <c r="C513" s="499"/>
      <c r="D513" s="502" t="s">
        <v>876</v>
      </c>
      <c r="E513" s="496"/>
      <c r="F513" s="100"/>
      <c r="G513" s="101"/>
      <c r="H513" s="102"/>
      <c r="I513" s="101"/>
      <c r="J513" s="101">
        <v>375000</v>
      </c>
      <c r="K513" s="10"/>
      <c r="L513" s="10">
        <f>75000*5</f>
        <v>375000</v>
      </c>
      <c r="M513"/>
      <c r="N513"/>
    </row>
    <row r="514" spans="1:14" s="388" customFormat="1" ht="18" x14ac:dyDescent="0.25">
      <c r="A514" s="154"/>
      <c r="B514" s="502"/>
      <c r="C514" s="502"/>
      <c r="D514" s="502" t="s">
        <v>824</v>
      </c>
      <c r="E514" s="502"/>
      <c r="F514" s="100"/>
      <c r="G514" s="101"/>
      <c r="H514" s="102"/>
      <c r="I514" s="101"/>
      <c r="J514" s="101">
        <v>80000</v>
      </c>
      <c r="K514" s="207"/>
      <c r="L514" s="207"/>
      <c r="M514" s="208"/>
      <c r="N514" s="208"/>
    </row>
    <row r="515" spans="1:14" s="388" customFormat="1" ht="18" x14ac:dyDescent="0.25">
      <c r="A515" s="154"/>
      <c r="B515" s="502"/>
      <c r="C515" s="502"/>
      <c r="D515" s="502" t="s">
        <v>877</v>
      </c>
      <c r="E515" s="502"/>
      <c r="F515" s="100"/>
      <c r="G515" s="101"/>
      <c r="H515" s="102"/>
      <c r="I515" s="101"/>
      <c r="J515" s="101">
        <v>65000</v>
      </c>
      <c r="K515" s="207"/>
      <c r="L515" s="207"/>
      <c r="M515" s="208"/>
      <c r="N515" s="208"/>
    </row>
    <row r="516" spans="1:14" s="388" customFormat="1" ht="18" x14ac:dyDescent="0.25">
      <c r="A516" s="154"/>
      <c r="B516" s="502"/>
      <c r="C516" s="502"/>
      <c r="D516" s="536" t="s">
        <v>878</v>
      </c>
      <c r="E516" s="536"/>
      <c r="F516" s="205"/>
      <c r="G516" s="102"/>
      <c r="H516" s="102"/>
      <c r="I516" s="102"/>
      <c r="J516" s="102">
        <v>28000</v>
      </c>
      <c r="K516" s="207"/>
      <c r="L516" s="207">
        <f>14000*2</f>
        <v>28000</v>
      </c>
      <c r="M516" s="208"/>
      <c r="N516" s="208"/>
    </row>
    <row r="517" spans="1:14" s="388" customFormat="1" ht="18" x14ac:dyDescent="0.25">
      <c r="A517" s="154"/>
      <c r="B517" s="502"/>
      <c r="C517" s="502"/>
      <c r="D517" s="502" t="s">
        <v>879</v>
      </c>
      <c r="E517" s="502"/>
      <c r="F517" s="100"/>
      <c r="G517" s="101"/>
      <c r="H517" s="102"/>
      <c r="I517" s="101"/>
      <c r="J517" s="101">
        <v>96000</v>
      </c>
      <c r="K517" s="207"/>
      <c r="L517" s="207"/>
      <c r="M517" s="208"/>
      <c r="N517" s="208"/>
    </row>
    <row r="518" spans="1:14" s="388" customFormat="1" ht="18" x14ac:dyDescent="0.25">
      <c r="A518" s="154"/>
      <c r="B518" s="502"/>
      <c r="C518" s="502"/>
      <c r="D518" s="502" t="s">
        <v>880</v>
      </c>
      <c r="E518" s="502"/>
      <c r="F518" s="100"/>
      <c r="G518" s="101"/>
      <c r="H518" s="102"/>
      <c r="I518" s="101"/>
      <c r="J518" s="101">
        <v>192000</v>
      </c>
      <c r="K518" s="207"/>
      <c r="L518" s="207"/>
      <c r="M518" s="208"/>
      <c r="N518" s="208"/>
    </row>
    <row r="519" spans="1:14" s="146" customFormat="1" ht="18.75" thickBot="1" x14ac:dyDescent="0.3">
      <c r="A519" s="371"/>
      <c r="B519" s="374"/>
      <c r="C519" s="374"/>
      <c r="D519" s="385"/>
      <c r="E519" s="498"/>
      <c r="F519" s="386"/>
      <c r="G519" s="182"/>
      <c r="H519" s="183"/>
      <c r="I519" s="182"/>
      <c r="J519" s="182"/>
      <c r="K519" s="10"/>
      <c r="L519" s="10"/>
      <c r="M519"/>
      <c r="N519"/>
    </row>
    <row r="520" spans="1:14" s="146" customFormat="1" ht="18" x14ac:dyDescent="0.25">
      <c r="A520" s="271"/>
      <c r="B520" s="271"/>
      <c r="C520" s="271"/>
      <c r="D520" s="387"/>
      <c r="E520" s="496"/>
      <c r="F520" s="271"/>
      <c r="G520" s="126"/>
      <c r="H520" s="127"/>
      <c r="I520" s="126"/>
      <c r="J520" s="126"/>
      <c r="K520" s="10"/>
      <c r="L520" s="10"/>
      <c r="M520"/>
      <c r="N520"/>
    </row>
    <row r="521" spans="1:14" ht="18" customHeight="1" x14ac:dyDescent="0.25">
      <c r="A521" s="8" t="s">
        <v>112</v>
      </c>
    </row>
    <row r="522" spans="1:14" ht="18" customHeight="1" x14ac:dyDescent="0.25">
      <c r="A522" s="8" t="s">
        <v>869</v>
      </c>
    </row>
    <row r="523" spans="1:14" ht="18" customHeight="1" x14ac:dyDescent="0.25">
      <c r="A523" s="1636" t="s">
        <v>113</v>
      </c>
      <c r="B523" s="1636"/>
      <c r="C523" s="1636"/>
      <c r="D523" s="1636"/>
      <c r="E523" s="1636"/>
      <c r="F523" s="1636"/>
      <c r="G523" s="1636"/>
      <c r="H523" s="1636"/>
      <c r="I523" s="1636"/>
      <c r="J523" s="1636"/>
    </row>
    <row r="524" spans="1:14" s="7" customFormat="1" ht="18" customHeight="1" x14ac:dyDescent="0.25">
      <c r="A524" s="1624" t="s">
        <v>114</v>
      </c>
      <c r="B524" s="1624"/>
      <c r="C524" s="1624"/>
      <c r="D524" s="1624"/>
      <c r="E524" s="1624"/>
      <c r="F524" s="1624"/>
      <c r="G524" s="1624"/>
      <c r="H524" s="1624"/>
      <c r="I524" s="1624"/>
      <c r="J524" s="1624"/>
      <c r="K524" s="6"/>
      <c r="L524" s="6"/>
    </row>
    <row r="525" spans="1:14" ht="18.75" thickBot="1" x14ac:dyDescent="0.3">
      <c r="A525" s="41"/>
      <c r="B525" s="41"/>
      <c r="C525" s="41"/>
      <c r="D525" s="63"/>
      <c r="E525" s="41"/>
      <c r="F525" s="41"/>
    </row>
    <row r="526" spans="1:14" ht="63.75" customHeight="1" thickBot="1" x14ac:dyDescent="0.3">
      <c r="A526" s="1625" t="s">
        <v>115</v>
      </c>
      <c r="B526" s="1626"/>
      <c r="C526" s="1626"/>
      <c r="D526" s="1626"/>
      <c r="E526" s="1626"/>
      <c r="F526" s="93" t="s">
        <v>116</v>
      </c>
      <c r="G526" s="130" t="s">
        <v>117</v>
      </c>
      <c r="H526" s="130" t="s">
        <v>118</v>
      </c>
      <c r="I526" s="130" t="s">
        <v>119</v>
      </c>
      <c r="J526" s="130" t="s">
        <v>120</v>
      </c>
    </row>
    <row r="527" spans="1:14" s="146" customFormat="1" ht="18" x14ac:dyDescent="0.25">
      <c r="A527" s="519"/>
      <c r="B527" s="499"/>
      <c r="C527" s="499"/>
      <c r="D527" s="1620" t="s">
        <v>799</v>
      </c>
      <c r="E527" s="1620"/>
      <c r="F527" s="100"/>
      <c r="G527" s="155"/>
      <c r="H527" s="156"/>
      <c r="I527" s="155"/>
      <c r="J527" s="155"/>
      <c r="K527" s="10"/>
      <c r="L527" s="10"/>
      <c r="M527"/>
      <c r="N527"/>
    </row>
    <row r="528" spans="1:14" s="388" customFormat="1" ht="18" x14ac:dyDescent="0.25">
      <c r="A528" s="154"/>
      <c r="B528" s="502"/>
      <c r="C528" s="502"/>
      <c r="D528" s="502" t="s">
        <v>881</v>
      </c>
      <c r="E528" s="502"/>
      <c r="F528" s="100"/>
      <c r="G528" s="101"/>
      <c r="H528" s="102"/>
      <c r="I528" s="101"/>
      <c r="J528" s="101">
        <v>15000</v>
      </c>
      <c r="K528" s="207"/>
      <c r="L528" s="207"/>
      <c r="M528" s="208"/>
      <c r="N528" s="208"/>
    </row>
    <row r="529" spans="1:14" s="388" customFormat="1" ht="18" x14ac:dyDescent="0.25">
      <c r="A529" s="154"/>
      <c r="B529" s="502"/>
      <c r="C529" s="502"/>
      <c r="D529" s="502" t="s">
        <v>882</v>
      </c>
      <c r="E529" s="502"/>
      <c r="F529" s="100"/>
      <c r="G529" s="101"/>
      <c r="H529" s="102"/>
      <c r="I529" s="101"/>
      <c r="J529" s="101">
        <v>280000</v>
      </c>
      <c r="K529" s="207"/>
      <c r="L529" s="207"/>
      <c r="M529" s="208"/>
      <c r="N529" s="208"/>
    </row>
    <row r="530" spans="1:14" s="146" customFormat="1" ht="18" x14ac:dyDescent="0.25">
      <c r="A530" s="519"/>
      <c r="B530" s="499"/>
      <c r="C530" s="499"/>
      <c r="D530" s="1611" t="s">
        <v>883</v>
      </c>
      <c r="E530" s="1611"/>
      <c r="F530" s="100"/>
      <c r="G530" s="101"/>
      <c r="H530" s="102">
        <v>75000</v>
      </c>
      <c r="I530" s="101"/>
      <c r="J530" s="101"/>
      <c r="K530" s="10"/>
      <c r="L530" s="10"/>
      <c r="M530"/>
      <c r="N530"/>
    </row>
    <row r="531" spans="1:14" s="146" customFormat="1" ht="18" x14ac:dyDescent="0.25">
      <c r="A531" s="519"/>
      <c r="B531" s="499"/>
      <c r="C531" s="499"/>
      <c r="D531" s="536" t="s">
        <v>884</v>
      </c>
      <c r="E531" s="499"/>
      <c r="F531" s="100"/>
      <c r="G531" s="101"/>
      <c r="H531" s="102">
        <v>65000</v>
      </c>
      <c r="I531" s="101"/>
      <c r="J531" s="101"/>
      <c r="K531" s="10"/>
      <c r="L531" s="10"/>
      <c r="M531"/>
      <c r="N531"/>
    </row>
    <row r="532" spans="1:14" s="146" customFormat="1" ht="18" x14ac:dyDescent="0.25">
      <c r="A532" s="519"/>
      <c r="B532" s="499"/>
      <c r="C532" s="499"/>
      <c r="D532" s="536" t="s">
        <v>885</v>
      </c>
      <c r="E532" s="499"/>
      <c r="F532" s="100"/>
      <c r="G532" s="101"/>
      <c r="H532" s="102">
        <v>15000</v>
      </c>
      <c r="I532" s="101"/>
      <c r="J532" s="101"/>
      <c r="K532" s="10"/>
      <c r="L532" s="10"/>
      <c r="M532"/>
      <c r="N532"/>
    </row>
    <row r="533" spans="1:14" s="146" customFormat="1" ht="19.5" customHeight="1" x14ac:dyDescent="0.25">
      <c r="A533" s="519"/>
      <c r="B533" s="499"/>
      <c r="C533" s="499"/>
      <c r="D533" s="1611" t="s">
        <v>886</v>
      </c>
      <c r="E533" s="1611"/>
      <c r="F533" s="100"/>
      <c r="G533" s="101">
        <v>0</v>
      </c>
      <c r="H533" s="102">
        <v>40000</v>
      </c>
      <c r="I533" s="101"/>
      <c r="J533" s="101"/>
      <c r="K533" s="10"/>
      <c r="L533" s="10"/>
      <c r="M533"/>
      <c r="N533"/>
    </row>
    <row r="534" spans="1:14" s="146" customFormat="1" ht="19.5" customHeight="1" x14ac:dyDescent="0.25">
      <c r="A534" s="519"/>
      <c r="B534" s="499"/>
      <c r="C534" s="499"/>
      <c r="D534" s="1611" t="s">
        <v>887</v>
      </c>
      <c r="E534" s="1611"/>
      <c r="F534" s="100"/>
      <c r="G534" s="101">
        <v>0</v>
      </c>
      <c r="H534" s="102">
        <v>38000</v>
      </c>
      <c r="I534" s="101"/>
      <c r="J534" s="101"/>
      <c r="K534" s="10"/>
      <c r="L534" s="10"/>
      <c r="M534"/>
      <c r="N534"/>
    </row>
    <row r="535" spans="1:14" s="146" customFormat="1" ht="18.75" customHeight="1" x14ac:dyDescent="0.25">
      <c r="A535" s="519"/>
      <c r="B535" s="499"/>
      <c r="C535" s="499"/>
      <c r="D535" s="536" t="s">
        <v>888</v>
      </c>
      <c r="E535" s="499"/>
      <c r="F535" s="100"/>
      <c r="G535" s="101"/>
      <c r="H535" s="102">
        <v>50000</v>
      </c>
      <c r="I535" s="101"/>
      <c r="J535" s="101"/>
      <c r="K535" s="10"/>
      <c r="L535" s="10"/>
      <c r="M535"/>
      <c r="N535"/>
    </row>
    <row r="536" spans="1:14" s="146" customFormat="1" ht="18.75" customHeight="1" x14ac:dyDescent="0.25">
      <c r="A536" s="519"/>
      <c r="B536" s="499"/>
      <c r="C536" s="499"/>
      <c r="D536" s="536" t="s">
        <v>889</v>
      </c>
      <c r="E536" s="499"/>
      <c r="F536" s="100"/>
      <c r="G536" s="101"/>
      <c r="H536" s="102">
        <v>80000</v>
      </c>
      <c r="I536" s="101"/>
      <c r="J536" s="101"/>
      <c r="K536" s="10"/>
      <c r="L536" s="10"/>
      <c r="M536"/>
      <c r="N536"/>
    </row>
    <row r="537" spans="1:14" s="146" customFormat="1" ht="16.5" customHeight="1" x14ac:dyDescent="0.25">
      <c r="A537" s="519"/>
      <c r="B537" s="499"/>
      <c r="C537" s="499"/>
      <c r="D537" s="536" t="s">
        <v>890</v>
      </c>
      <c r="E537" s="491"/>
      <c r="F537" s="100"/>
      <c r="G537" s="101"/>
      <c r="H537" s="102">
        <v>30000</v>
      </c>
      <c r="I537" s="101"/>
      <c r="J537" s="105"/>
      <c r="K537" s="10"/>
      <c r="L537" s="10"/>
      <c r="M537"/>
      <c r="N537"/>
    </row>
    <row r="538" spans="1:14" s="146" customFormat="1" ht="18" x14ac:dyDescent="0.25">
      <c r="A538" s="519"/>
      <c r="B538" s="499"/>
      <c r="C538" s="499"/>
      <c r="D538" s="496" t="s">
        <v>823</v>
      </c>
      <c r="E538" s="575"/>
      <c r="F538" s="100"/>
      <c r="G538" s="119">
        <f>SUM(G530:G537)</f>
        <v>0</v>
      </c>
      <c r="H538" s="150">
        <f>SUM(H530:H537)</f>
        <v>393000</v>
      </c>
      <c r="I538" s="119">
        <f>SUM(I530:I537)</f>
        <v>0</v>
      </c>
      <c r="J538" s="119">
        <f>SUM(J513:J537)</f>
        <v>1131000</v>
      </c>
      <c r="K538" s="10"/>
      <c r="L538" s="10"/>
      <c r="M538"/>
      <c r="N538"/>
    </row>
    <row r="539" spans="1:14" s="146" customFormat="1" ht="18" x14ac:dyDescent="0.25">
      <c r="A539" s="519"/>
      <c r="B539" s="499"/>
      <c r="C539" s="499"/>
      <c r="D539" s="38"/>
      <c r="E539" s="493"/>
      <c r="F539" s="100"/>
      <c r="G539" s="155"/>
      <c r="H539" s="156"/>
      <c r="I539" s="155"/>
      <c r="J539" s="155"/>
      <c r="K539" s="10"/>
      <c r="L539" s="10"/>
      <c r="M539"/>
      <c r="N539"/>
    </row>
    <row r="540" spans="1:14" s="146" customFormat="1" ht="18" x14ac:dyDescent="0.25">
      <c r="A540" s="519"/>
      <c r="B540" s="499"/>
      <c r="C540" s="499"/>
      <c r="D540" s="1620" t="s">
        <v>892</v>
      </c>
      <c r="E540" s="1620"/>
      <c r="F540" s="100"/>
      <c r="G540" s="101"/>
      <c r="H540" s="102"/>
      <c r="I540" s="101"/>
      <c r="J540" s="101"/>
      <c r="K540" s="10"/>
      <c r="L540" s="10"/>
      <c r="M540"/>
      <c r="N540"/>
    </row>
    <row r="541" spans="1:14" s="146" customFormat="1" ht="18" x14ac:dyDescent="0.25">
      <c r="A541" s="519"/>
      <c r="B541" s="499"/>
      <c r="C541" s="499"/>
      <c r="D541" s="38" t="s">
        <v>893</v>
      </c>
      <c r="E541" s="499"/>
      <c r="F541" s="100"/>
      <c r="G541" s="101"/>
      <c r="H541" s="102"/>
      <c r="I541" s="101"/>
      <c r="J541" s="101"/>
      <c r="K541" s="10"/>
      <c r="L541" s="10"/>
      <c r="M541"/>
      <c r="N541"/>
    </row>
    <row r="542" spans="1:14" s="146" customFormat="1" ht="18" x14ac:dyDescent="0.25">
      <c r="A542" s="519"/>
      <c r="B542" s="499"/>
      <c r="C542" s="499"/>
      <c r="D542" s="38" t="s">
        <v>894</v>
      </c>
      <c r="E542" s="499"/>
      <c r="F542" s="100"/>
      <c r="G542" s="101">
        <v>79315</v>
      </c>
      <c r="H542" s="102">
        <v>85000</v>
      </c>
      <c r="I542" s="101"/>
      <c r="J542" s="101">
        <v>85000</v>
      </c>
      <c r="K542" s="10"/>
      <c r="L542" s="10"/>
      <c r="M542"/>
      <c r="N542"/>
    </row>
    <row r="543" spans="1:14" s="146" customFormat="1" ht="18" x14ac:dyDescent="0.25">
      <c r="A543" s="519"/>
      <c r="B543" s="499"/>
      <c r="C543" s="499"/>
      <c r="D543" s="38" t="s">
        <v>895</v>
      </c>
      <c r="E543" s="499"/>
      <c r="F543" s="100"/>
      <c r="G543" s="101">
        <v>23150</v>
      </c>
      <c r="H543" s="102">
        <v>40000</v>
      </c>
      <c r="I543" s="101"/>
      <c r="J543" s="101">
        <v>40000</v>
      </c>
      <c r="K543" s="10"/>
      <c r="L543" s="10"/>
      <c r="M543"/>
      <c r="N543"/>
    </row>
    <row r="544" spans="1:14" s="146" customFormat="1" ht="18" x14ac:dyDescent="0.25">
      <c r="A544" s="519"/>
      <c r="B544" s="499"/>
      <c r="C544" s="499"/>
      <c r="D544" s="38" t="s">
        <v>896</v>
      </c>
      <c r="E544" s="499"/>
      <c r="F544" s="100"/>
      <c r="G544" s="101">
        <v>14556</v>
      </c>
      <c r="H544" s="102">
        <v>25000</v>
      </c>
      <c r="I544" s="101"/>
      <c r="J544" s="101">
        <v>25000</v>
      </c>
      <c r="K544" s="10"/>
      <c r="L544" s="10"/>
      <c r="M544"/>
      <c r="N544"/>
    </row>
    <row r="545" spans="1:14" s="146" customFormat="1" ht="18" x14ac:dyDescent="0.25">
      <c r="A545" s="519"/>
      <c r="B545" s="499"/>
      <c r="C545" s="499"/>
      <c r="D545" s="38" t="s">
        <v>897</v>
      </c>
      <c r="E545" s="499"/>
      <c r="F545" s="100"/>
      <c r="G545" s="101">
        <v>56568</v>
      </c>
      <c r="H545" s="102">
        <v>60000</v>
      </c>
      <c r="I545" s="101"/>
      <c r="J545" s="101">
        <v>60000</v>
      </c>
      <c r="K545" s="10"/>
      <c r="L545" s="10"/>
      <c r="M545"/>
      <c r="N545"/>
    </row>
    <row r="546" spans="1:14" s="146" customFormat="1" ht="18" x14ac:dyDescent="0.25">
      <c r="A546" s="519"/>
      <c r="B546" s="499"/>
      <c r="C546" s="499"/>
      <c r="D546" s="38" t="s">
        <v>898</v>
      </c>
      <c r="E546" s="499"/>
      <c r="F546" s="100"/>
      <c r="G546" s="101">
        <v>60000</v>
      </c>
      <c r="H546" s="102">
        <v>60000</v>
      </c>
      <c r="I546" s="101"/>
      <c r="J546" s="101">
        <v>60000</v>
      </c>
      <c r="K546" s="10"/>
      <c r="L546" s="10"/>
      <c r="M546"/>
      <c r="N546"/>
    </row>
    <row r="547" spans="1:14" s="146" customFormat="1" ht="18" x14ac:dyDescent="0.25">
      <c r="A547" s="519"/>
      <c r="B547" s="499"/>
      <c r="C547" s="499"/>
      <c r="D547" s="1639" t="s">
        <v>899</v>
      </c>
      <c r="E547" s="1639"/>
      <c r="F547" s="100"/>
      <c r="G547" s="101">
        <v>25800</v>
      </c>
      <c r="H547" s="102">
        <v>36000</v>
      </c>
      <c r="I547" s="101"/>
      <c r="J547" s="101">
        <v>36000</v>
      </c>
      <c r="K547" s="10"/>
      <c r="L547" s="10"/>
      <c r="M547"/>
      <c r="N547"/>
    </row>
    <row r="548" spans="1:14" s="146" customFormat="1" ht="18" x14ac:dyDescent="0.25">
      <c r="A548" s="519"/>
      <c r="B548" s="499"/>
      <c r="C548" s="499"/>
      <c r="D548" s="1611" t="s">
        <v>900</v>
      </c>
      <c r="E548" s="1611"/>
      <c r="F548" s="100"/>
      <c r="G548" s="101">
        <v>63103</v>
      </c>
      <c r="H548" s="102">
        <v>40000</v>
      </c>
      <c r="I548" s="101"/>
      <c r="J548" s="101">
        <v>40000</v>
      </c>
      <c r="K548" s="10"/>
      <c r="L548" s="10"/>
      <c r="M548"/>
      <c r="N548"/>
    </row>
    <row r="549" spans="1:14" s="146" customFormat="1" ht="18" x14ac:dyDescent="0.25">
      <c r="A549" s="519"/>
      <c r="B549" s="499"/>
      <c r="C549" s="499"/>
      <c r="D549" s="536" t="s">
        <v>901</v>
      </c>
      <c r="E549" s="499"/>
      <c r="F549" s="100"/>
      <c r="G549" s="101"/>
      <c r="H549" s="102">
        <v>50000</v>
      </c>
      <c r="I549" s="101"/>
      <c r="J549" s="101">
        <v>50000</v>
      </c>
      <c r="K549" s="10"/>
      <c r="L549" s="10"/>
      <c r="M549"/>
      <c r="N549"/>
    </row>
    <row r="550" spans="1:14" s="146" customFormat="1" ht="18" x14ac:dyDescent="0.25">
      <c r="A550" s="519"/>
      <c r="B550" s="499"/>
      <c r="C550" s="499"/>
      <c r="D550" s="536" t="s">
        <v>902</v>
      </c>
      <c r="E550" s="499"/>
      <c r="F550" s="100"/>
      <c r="G550" s="101"/>
      <c r="H550" s="102"/>
      <c r="I550" s="101"/>
      <c r="J550" s="101">
        <v>42000</v>
      </c>
      <c r="K550" s="10"/>
      <c r="L550" s="10"/>
      <c r="M550"/>
      <c r="N550"/>
    </row>
    <row r="551" spans="1:14" s="146" customFormat="1" ht="18" x14ac:dyDescent="0.25">
      <c r="A551" s="519"/>
      <c r="B551" s="499"/>
      <c r="C551" s="499"/>
      <c r="D551" s="38" t="s">
        <v>903</v>
      </c>
      <c r="E551" s="499"/>
      <c r="F551" s="100"/>
      <c r="G551" s="101"/>
      <c r="H551" s="102"/>
      <c r="I551" s="101"/>
      <c r="J551" s="101"/>
      <c r="K551" s="10"/>
      <c r="L551" s="10"/>
      <c r="M551"/>
      <c r="N551"/>
    </row>
    <row r="552" spans="1:14" s="146" customFormat="1" ht="18" x14ac:dyDescent="0.25">
      <c r="A552" s="519"/>
      <c r="B552" s="499"/>
      <c r="C552" s="499"/>
      <c r="D552" s="38" t="s">
        <v>904</v>
      </c>
      <c r="E552" s="499"/>
      <c r="F552" s="100"/>
      <c r="G552" s="101">
        <v>0</v>
      </c>
      <c r="H552" s="102">
        <v>72000</v>
      </c>
      <c r="I552" s="101"/>
      <c r="J552" s="101">
        <v>72000</v>
      </c>
      <c r="K552" s="10"/>
      <c r="L552" s="10"/>
      <c r="M552"/>
      <c r="N552"/>
    </row>
    <row r="553" spans="1:14" s="146" customFormat="1" ht="18" x14ac:dyDescent="0.25">
      <c r="A553" s="519"/>
      <c r="B553" s="499"/>
      <c r="C553" s="499"/>
      <c r="D553" s="1634" t="s">
        <v>905</v>
      </c>
      <c r="E553" s="1634"/>
      <c r="F553" s="100"/>
      <c r="G553" s="101">
        <v>0</v>
      </c>
      <c r="H553" s="102">
        <v>250000</v>
      </c>
      <c r="I553" s="101"/>
      <c r="J553" s="101">
        <v>50000</v>
      </c>
      <c r="K553" s="10"/>
      <c r="L553" s="10"/>
      <c r="M553"/>
      <c r="N553"/>
    </row>
    <row r="554" spans="1:14" s="146" customFormat="1" ht="42" customHeight="1" x14ac:dyDescent="0.25">
      <c r="A554" s="519"/>
      <c r="B554" s="499"/>
      <c r="C554" s="499"/>
      <c r="D554" s="1628" t="s">
        <v>906</v>
      </c>
      <c r="E554" s="1628"/>
      <c r="F554" s="100"/>
      <c r="G554" s="101">
        <v>0</v>
      </c>
      <c r="H554" s="102">
        <v>72000</v>
      </c>
      <c r="I554" s="101"/>
      <c r="J554" s="101">
        <v>72000</v>
      </c>
      <c r="K554" s="10"/>
      <c r="L554" s="10"/>
      <c r="M554"/>
      <c r="N554"/>
    </row>
    <row r="555" spans="1:14" s="146" customFormat="1" ht="38.25" customHeight="1" x14ac:dyDescent="0.25">
      <c r="A555" s="519"/>
      <c r="B555" s="499"/>
      <c r="C555" s="499"/>
      <c r="D555" s="1617" t="s">
        <v>907</v>
      </c>
      <c r="E555" s="1617"/>
      <c r="F555" s="100"/>
      <c r="G555" s="101">
        <v>0</v>
      </c>
      <c r="H555" s="102">
        <v>30000</v>
      </c>
      <c r="I555" s="101"/>
      <c r="J555" s="101">
        <v>30000</v>
      </c>
      <c r="K555" s="10"/>
      <c r="L555" s="10"/>
      <c r="M555"/>
      <c r="N555"/>
    </row>
    <row r="556" spans="1:14" s="146" customFormat="1" ht="18" x14ac:dyDescent="0.25">
      <c r="A556" s="519"/>
      <c r="B556" s="499"/>
      <c r="C556" s="499"/>
      <c r="D556" s="38" t="s">
        <v>908</v>
      </c>
      <c r="E556" s="499"/>
      <c r="F556" s="100"/>
      <c r="G556" s="101">
        <v>0</v>
      </c>
      <c r="H556" s="102">
        <v>50000</v>
      </c>
      <c r="I556" s="101"/>
      <c r="J556" s="101">
        <v>50000</v>
      </c>
      <c r="K556" s="10"/>
      <c r="L556" s="10"/>
      <c r="M556"/>
      <c r="N556"/>
    </row>
    <row r="557" spans="1:14" s="146" customFormat="1" ht="18" x14ac:dyDescent="0.25">
      <c r="A557" s="519"/>
      <c r="B557" s="499"/>
      <c r="C557" s="499"/>
      <c r="D557" s="38" t="s">
        <v>909</v>
      </c>
      <c r="E557" s="499"/>
      <c r="F557" s="100"/>
      <c r="G557" s="101"/>
      <c r="H557" s="102"/>
      <c r="I557" s="101"/>
      <c r="J557" s="101">
        <v>100000</v>
      </c>
      <c r="K557" s="10"/>
      <c r="L557" s="10"/>
      <c r="M557"/>
      <c r="N557"/>
    </row>
    <row r="558" spans="1:14" s="146" customFormat="1" ht="18" x14ac:dyDescent="0.25">
      <c r="A558" s="519"/>
      <c r="B558" s="499"/>
      <c r="C558" s="499"/>
      <c r="D558" s="38" t="s">
        <v>910</v>
      </c>
      <c r="E558" s="499"/>
      <c r="F558" s="100"/>
      <c r="G558" s="101"/>
      <c r="H558" s="102"/>
      <c r="I558" s="101"/>
      <c r="J558" s="101">
        <v>40000</v>
      </c>
      <c r="K558" s="10"/>
      <c r="L558" s="10"/>
      <c r="M558"/>
      <c r="N558"/>
    </row>
    <row r="559" spans="1:14" s="146" customFormat="1" ht="18" x14ac:dyDescent="0.25">
      <c r="A559" s="519"/>
      <c r="B559" s="499"/>
      <c r="C559" s="499"/>
      <c r="D559" s="38" t="s">
        <v>911</v>
      </c>
      <c r="E559" s="499"/>
      <c r="F559" s="100"/>
      <c r="G559" s="101"/>
      <c r="H559" s="102"/>
      <c r="I559" s="101"/>
      <c r="J559" s="101">
        <v>44000</v>
      </c>
      <c r="K559" s="10"/>
      <c r="L559" s="10"/>
      <c r="M559"/>
      <c r="N559"/>
    </row>
    <row r="560" spans="1:14" s="146" customFormat="1" ht="18" x14ac:dyDescent="0.25">
      <c r="A560" s="519"/>
      <c r="B560" s="499"/>
      <c r="C560" s="499"/>
      <c r="D560" s="38" t="s">
        <v>912</v>
      </c>
      <c r="E560" s="499"/>
      <c r="F560" s="100"/>
      <c r="G560" s="101">
        <v>0</v>
      </c>
      <c r="H560" s="102">
        <v>100000</v>
      </c>
      <c r="I560" s="101"/>
      <c r="J560" s="101"/>
      <c r="K560" s="10"/>
      <c r="L560" s="10"/>
      <c r="M560"/>
      <c r="N560"/>
    </row>
    <row r="561" spans="1:14" s="146" customFormat="1" ht="18" x14ac:dyDescent="0.25">
      <c r="A561" s="519"/>
      <c r="B561" s="499"/>
      <c r="C561" s="499"/>
      <c r="D561" s="38" t="s">
        <v>913</v>
      </c>
      <c r="E561" s="499"/>
      <c r="F561" s="100"/>
      <c r="G561" s="101">
        <v>0</v>
      </c>
      <c r="H561" s="102">
        <v>40000</v>
      </c>
      <c r="I561" s="101"/>
      <c r="J561" s="101"/>
      <c r="K561" s="10"/>
      <c r="L561" s="10"/>
      <c r="M561"/>
      <c r="N561"/>
    </row>
    <row r="562" spans="1:14" s="146" customFormat="1" ht="39" customHeight="1" x14ac:dyDescent="0.25">
      <c r="A562" s="519"/>
      <c r="B562" s="499"/>
      <c r="C562" s="499"/>
      <c r="D562" s="1628" t="s">
        <v>914</v>
      </c>
      <c r="E562" s="1628"/>
      <c r="F562" s="100"/>
      <c r="G562" s="101">
        <v>0</v>
      </c>
      <c r="H562" s="102">
        <v>50000</v>
      </c>
      <c r="I562" s="101"/>
      <c r="J562" s="101">
        <v>50000</v>
      </c>
      <c r="K562" s="10"/>
      <c r="L562" s="10"/>
      <c r="M562"/>
      <c r="N562"/>
    </row>
    <row r="563" spans="1:14" s="146" customFormat="1" ht="18" x14ac:dyDescent="0.25">
      <c r="A563" s="519"/>
      <c r="B563" s="499"/>
      <c r="C563" s="499"/>
      <c r="D563" s="38" t="s">
        <v>915</v>
      </c>
      <c r="E563" s="499"/>
      <c r="F563" s="100"/>
      <c r="G563" s="101">
        <v>0</v>
      </c>
      <c r="H563" s="102">
        <v>30000</v>
      </c>
      <c r="I563" s="101"/>
      <c r="J563" s="101">
        <v>30000</v>
      </c>
      <c r="K563" s="10"/>
      <c r="L563" s="10"/>
      <c r="M563"/>
      <c r="N563"/>
    </row>
    <row r="564" spans="1:14" s="146" customFormat="1" ht="18" x14ac:dyDescent="0.25">
      <c r="A564" s="519"/>
      <c r="B564" s="499"/>
      <c r="C564" s="499"/>
      <c r="D564" s="38" t="s">
        <v>916</v>
      </c>
      <c r="E564" s="499"/>
      <c r="F564" s="100"/>
      <c r="G564" s="101">
        <v>0</v>
      </c>
      <c r="H564" s="102">
        <v>15000</v>
      </c>
      <c r="I564" s="101"/>
      <c r="J564" s="105">
        <v>15000</v>
      </c>
      <c r="K564" s="10"/>
      <c r="L564" s="10"/>
      <c r="M564"/>
      <c r="N564"/>
    </row>
    <row r="565" spans="1:14" s="146" customFormat="1" ht="18" x14ac:dyDescent="0.25">
      <c r="A565" s="519"/>
      <c r="B565" s="499"/>
      <c r="C565" s="499"/>
      <c r="D565" s="496" t="s">
        <v>200</v>
      </c>
      <c r="F565" s="100"/>
      <c r="G565" s="119">
        <f>SUM(G541:G564)</f>
        <v>322492</v>
      </c>
      <c r="H565" s="119">
        <f>SUM(H541:H564)</f>
        <v>1105000</v>
      </c>
      <c r="I565" s="119">
        <f>SUM(I541:I564)</f>
        <v>0</v>
      </c>
      <c r="J565" s="119">
        <f>SUM(J541:J564)</f>
        <v>991000</v>
      </c>
      <c r="K565" s="10"/>
      <c r="L565" s="10"/>
      <c r="M565"/>
      <c r="N565"/>
    </row>
    <row r="566" spans="1:14" s="146" customFormat="1" ht="18" x14ac:dyDescent="0.25">
      <c r="A566" s="519"/>
      <c r="B566" s="499"/>
      <c r="C566" s="499"/>
      <c r="D566" s="496" t="s">
        <v>15</v>
      </c>
      <c r="F566" s="100"/>
      <c r="G566" s="259">
        <f>G565+G538+G510</f>
        <v>1684004.64</v>
      </c>
      <c r="H566" s="259">
        <f>H565+H538+H510</f>
        <v>3790675</v>
      </c>
      <c r="I566" s="259">
        <f>I565+I538+I510</f>
        <v>747569.05</v>
      </c>
      <c r="J566" s="259">
        <f>J565+J538+J510</f>
        <v>6297220</v>
      </c>
      <c r="K566" s="10"/>
      <c r="L566" s="10"/>
      <c r="M566"/>
      <c r="N566"/>
    </row>
    <row r="567" spans="1:14" s="146" customFormat="1" ht="18" x14ac:dyDescent="0.25">
      <c r="A567" s="519"/>
      <c r="B567" s="499"/>
      <c r="C567" s="499"/>
      <c r="D567" s="38"/>
      <c r="E567" s="493"/>
      <c r="F567" s="100"/>
      <c r="G567" s="155"/>
      <c r="H567" s="156"/>
      <c r="I567" s="155"/>
      <c r="J567" s="155"/>
      <c r="K567" s="10"/>
      <c r="L567" s="10"/>
      <c r="M567"/>
      <c r="N567"/>
    </row>
    <row r="568" spans="1:14" ht="18" x14ac:dyDescent="0.25">
      <c r="A568" s="519"/>
      <c r="B568" s="499"/>
      <c r="C568" s="499"/>
      <c r="D568" s="1620" t="s">
        <v>918</v>
      </c>
      <c r="E568" s="1620"/>
      <c r="F568" s="100"/>
      <c r="G568" s="101"/>
      <c r="H568" s="102"/>
      <c r="I568" s="101"/>
      <c r="J568" s="101"/>
    </row>
    <row r="569" spans="1:14" ht="18" x14ac:dyDescent="0.25">
      <c r="A569" s="519"/>
      <c r="B569" s="499"/>
      <c r="C569" s="499"/>
      <c r="D569" s="1620" t="s">
        <v>813</v>
      </c>
      <c r="E569" s="1620"/>
      <c r="F569" s="100"/>
      <c r="G569" s="101"/>
      <c r="H569" s="102"/>
      <c r="I569" s="101"/>
      <c r="J569" s="101"/>
    </row>
    <row r="570" spans="1:14" s="212" customFormat="1" ht="18" customHeight="1" x14ac:dyDescent="0.25">
      <c r="A570" s="154"/>
      <c r="B570" s="502"/>
      <c r="C570" s="502"/>
      <c r="D570" s="44" t="s">
        <v>806</v>
      </c>
      <c r="E570" s="125"/>
      <c r="F570" s="100" t="s">
        <v>169</v>
      </c>
      <c r="G570" s="101">
        <v>13473.5</v>
      </c>
      <c r="H570" s="102">
        <v>25000</v>
      </c>
      <c r="I570" s="101">
        <v>23237</v>
      </c>
      <c r="J570" s="101">
        <v>28996.5</v>
      </c>
      <c r="K570" s="207">
        <f>6470+11246.5+11280</f>
        <v>28996.5</v>
      </c>
      <c r="L570" s="207"/>
    </row>
    <row r="571" spans="1:14" s="212" customFormat="1" ht="18" customHeight="1" x14ac:dyDescent="0.25">
      <c r="A571" s="154"/>
      <c r="B571" s="502"/>
      <c r="C571" s="502"/>
      <c r="D571" s="44" t="s">
        <v>873</v>
      </c>
      <c r="E571" s="125"/>
      <c r="F571" s="100" t="s">
        <v>173</v>
      </c>
      <c r="G571" s="101">
        <v>50611.1</v>
      </c>
      <c r="H571" s="102">
        <v>100000</v>
      </c>
      <c r="I571" s="101">
        <v>21385.5</v>
      </c>
      <c r="J571" s="101">
        <v>100020</v>
      </c>
      <c r="K571" s="207"/>
      <c r="L571" s="207"/>
    </row>
    <row r="572" spans="1:14" s="212" customFormat="1" ht="18" customHeight="1" x14ac:dyDescent="0.25">
      <c r="A572" s="154"/>
      <c r="B572" s="502"/>
      <c r="C572" s="502"/>
      <c r="D572" s="44" t="s">
        <v>919</v>
      </c>
      <c r="E572" s="125"/>
      <c r="F572" s="100" t="s">
        <v>171</v>
      </c>
      <c r="G572" s="101"/>
      <c r="H572" s="102"/>
      <c r="I572" s="101"/>
      <c r="J572" s="101">
        <v>50400</v>
      </c>
      <c r="K572" s="207"/>
      <c r="L572" s="207"/>
    </row>
    <row r="573" spans="1:14" s="212" customFormat="1" ht="18" customHeight="1" x14ac:dyDescent="0.25">
      <c r="A573" s="154"/>
      <c r="B573" s="502"/>
      <c r="C573" s="502"/>
      <c r="D573" s="44" t="s">
        <v>920</v>
      </c>
      <c r="E573" s="125"/>
      <c r="F573" s="100" t="s">
        <v>171</v>
      </c>
      <c r="G573" s="101">
        <v>4000</v>
      </c>
      <c r="H573" s="102"/>
      <c r="I573" s="101"/>
      <c r="J573" s="101"/>
      <c r="K573" s="207"/>
      <c r="L573" s="207"/>
    </row>
    <row r="574" spans="1:14" s="229" customFormat="1" ht="18" x14ac:dyDescent="0.25">
      <c r="A574" s="154"/>
      <c r="B574" s="502"/>
      <c r="C574" s="502"/>
      <c r="D574" s="206" t="s">
        <v>921</v>
      </c>
      <c r="E574" s="502"/>
      <c r="F574" s="100" t="s">
        <v>171</v>
      </c>
      <c r="G574" s="101">
        <v>27250</v>
      </c>
      <c r="H574" s="102"/>
      <c r="I574" s="101"/>
      <c r="J574" s="101"/>
      <c r="K574" s="207"/>
      <c r="L574" s="207"/>
      <c r="M574" s="212"/>
      <c r="N574" s="212"/>
    </row>
    <row r="575" spans="1:14" s="229" customFormat="1" ht="18" x14ac:dyDescent="0.25">
      <c r="A575" s="154"/>
      <c r="B575" s="502"/>
      <c r="C575" s="502"/>
      <c r="D575" s="206" t="s">
        <v>922</v>
      </c>
      <c r="E575" s="502"/>
      <c r="F575" s="100" t="s">
        <v>171</v>
      </c>
      <c r="G575" s="101">
        <v>54000</v>
      </c>
      <c r="H575" s="102"/>
      <c r="I575" s="101"/>
      <c r="J575" s="101"/>
      <c r="K575" s="207"/>
      <c r="L575" s="207"/>
      <c r="M575" s="212"/>
      <c r="N575" s="212"/>
    </row>
    <row r="576" spans="1:14" s="229" customFormat="1" ht="18" x14ac:dyDescent="0.25">
      <c r="A576" s="154"/>
      <c r="B576" s="502"/>
      <c r="C576" s="502"/>
      <c r="D576" s="391" t="s">
        <v>923</v>
      </c>
      <c r="E576" s="502"/>
      <c r="F576" s="100" t="s">
        <v>171</v>
      </c>
      <c r="G576" s="101"/>
      <c r="H576" s="102">
        <v>5000</v>
      </c>
      <c r="I576" s="101"/>
      <c r="J576" s="101"/>
      <c r="K576" s="207"/>
      <c r="L576" s="207"/>
      <c r="M576" s="212"/>
      <c r="N576" s="212"/>
    </row>
    <row r="577" spans="1:14" s="229" customFormat="1" ht="18" x14ac:dyDescent="0.25">
      <c r="A577" s="154"/>
      <c r="B577" s="502"/>
      <c r="C577" s="502"/>
      <c r="D577" s="44" t="s">
        <v>814</v>
      </c>
      <c r="E577" s="125"/>
      <c r="F577" s="100" t="s">
        <v>183</v>
      </c>
      <c r="G577" s="101">
        <v>0</v>
      </c>
      <c r="H577" s="102">
        <v>48000</v>
      </c>
      <c r="I577" s="101"/>
      <c r="J577" s="105">
        <v>48000</v>
      </c>
      <c r="K577" s="207"/>
      <c r="L577" s="207"/>
      <c r="M577" s="212"/>
      <c r="N577" s="212"/>
    </row>
    <row r="578" spans="1:14" s="146" customFormat="1" ht="18" x14ac:dyDescent="0.25">
      <c r="A578" s="519"/>
      <c r="B578" s="499"/>
      <c r="C578" s="499"/>
      <c r="D578" s="496" t="s">
        <v>200</v>
      </c>
      <c r="F578" s="100"/>
      <c r="G578" s="119">
        <f>SUM(G570:G577)</f>
        <v>149334.6</v>
      </c>
      <c r="H578" s="119">
        <f>SUM(H570:H577)</f>
        <v>178000</v>
      </c>
      <c r="I578" s="119">
        <f>SUM(I570:I577)</f>
        <v>44622.5</v>
      </c>
      <c r="J578" s="119">
        <f>SUM(J570:J577)</f>
        <v>227416.5</v>
      </c>
      <c r="K578" s="10"/>
      <c r="L578" s="10"/>
      <c r="M578"/>
      <c r="N578"/>
    </row>
    <row r="579" spans="1:14" s="146" customFormat="1" ht="18" x14ac:dyDescent="0.25">
      <c r="A579" s="519"/>
      <c r="B579" s="499"/>
      <c r="C579" s="499"/>
      <c r="D579" s="38"/>
      <c r="E579" s="493"/>
      <c r="F579" s="100"/>
      <c r="G579" s="155"/>
      <c r="H579" s="156"/>
      <c r="I579" s="155"/>
      <c r="J579" s="155"/>
      <c r="K579" s="10"/>
      <c r="L579" s="10"/>
      <c r="M579"/>
      <c r="N579"/>
    </row>
    <row r="580" spans="1:14" s="146" customFormat="1" ht="18" x14ac:dyDescent="0.25">
      <c r="A580" s="519"/>
      <c r="B580" s="499"/>
      <c r="C580" s="499"/>
      <c r="D580" s="38"/>
      <c r="E580" s="493"/>
      <c r="F580" s="100"/>
      <c r="G580" s="155"/>
      <c r="H580" s="156"/>
      <c r="I580" s="155"/>
      <c r="J580" s="155"/>
      <c r="K580" s="10"/>
      <c r="L580" s="10"/>
      <c r="M580"/>
      <c r="N580"/>
    </row>
    <row r="581" spans="1:14" s="146" customFormat="1" ht="18.75" thickBot="1" x14ac:dyDescent="0.3">
      <c r="A581" s="187"/>
      <c r="B581" s="413"/>
      <c r="C581" s="413"/>
      <c r="D581" s="358"/>
      <c r="E581" s="531"/>
      <c r="F581" s="308"/>
      <c r="G581" s="182"/>
      <c r="H581" s="183"/>
      <c r="I581" s="182"/>
      <c r="J581" s="182"/>
      <c r="K581" s="10"/>
      <c r="L581" s="10"/>
      <c r="M581"/>
      <c r="N581"/>
    </row>
    <row r="582" spans="1:14" s="146" customFormat="1" ht="18" x14ac:dyDescent="0.25">
      <c r="A582" s="499"/>
      <c r="B582" s="499"/>
      <c r="C582" s="499"/>
      <c r="D582" s="38"/>
      <c r="E582" s="496"/>
      <c r="F582" s="381"/>
      <c r="G582" s="126"/>
      <c r="H582" s="127"/>
      <c r="I582" s="126"/>
      <c r="J582" s="126"/>
      <c r="K582" s="10"/>
      <c r="L582" s="10"/>
      <c r="M582"/>
      <c r="N582"/>
    </row>
    <row r="583" spans="1:14" s="146" customFormat="1" ht="18" x14ac:dyDescent="0.25">
      <c r="A583" s="499"/>
      <c r="B583" s="499"/>
      <c r="C583" s="499"/>
      <c r="D583" s="38"/>
      <c r="E583" s="496"/>
      <c r="F583" s="381"/>
      <c r="G583" s="126"/>
      <c r="H583" s="127"/>
      <c r="I583" s="126"/>
      <c r="J583" s="126"/>
      <c r="K583" s="10"/>
      <c r="L583" s="10"/>
      <c r="M583"/>
      <c r="N583"/>
    </row>
    <row r="584" spans="1:14" ht="18" customHeight="1" x14ac:dyDescent="0.25">
      <c r="A584" s="8" t="s">
        <v>112</v>
      </c>
    </row>
    <row r="585" spans="1:14" ht="18" customHeight="1" x14ac:dyDescent="0.25">
      <c r="A585" s="8" t="s">
        <v>891</v>
      </c>
    </row>
    <row r="586" spans="1:14" ht="18" customHeight="1" x14ac:dyDescent="0.25">
      <c r="A586" s="1636" t="s">
        <v>113</v>
      </c>
      <c r="B586" s="1636"/>
      <c r="C586" s="1636"/>
      <c r="D586" s="1636"/>
      <c r="E586" s="1636"/>
      <c r="F586" s="1636"/>
      <c r="G586" s="1636"/>
      <c r="H586" s="1636"/>
      <c r="I586" s="1636"/>
      <c r="J586" s="1636"/>
    </row>
    <row r="587" spans="1:14" s="7" customFormat="1" ht="18" customHeight="1" x14ac:dyDescent="0.25">
      <c r="A587" s="1624" t="s">
        <v>114</v>
      </c>
      <c r="B587" s="1624"/>
      <c r="C587" s="1624"/>
      <c r="D587" s="1624"/>
      <c r="E587" s="1624"/>
      <c r="F587" s="1624"/>
      <c r="G587" s="1624"/>
      <c r="H587" s="1624"/>
      <c r="I587" s="1624"/>
      <c r="J587" s="1624"/>
      <c r="K587" s="6"/>
      <c r="L587" s="6"/>
    </row>
    <row r="588" spans="1:14" ht="18.75" thickBot="1" x14ac:dyDescent="0.3">
      <c r="A588" s="41"/>
      <c r="B588" s="41"/>
      <c r="C588" s="41"/>
      <c r="D588" s="63"/>
      <c r="E588" s="41"/>
      <c r="F588" s="41"/>
    </row>
    <row r="589" spans="1:14" ht="63" customHeight="1" thickBot="1" x14ac:dyDescent="0.3">
      <c r="A589" s="1625" t="s">
        <v>115</v>
      </c>
      <c r="B589" s="1626"/>
      <c r="C589" s="1626"/>
      <c r="D589" s="1626"/>
      <c r="E589" s="1626"/>
      <c r="F589" s="93" t="s">
        <v>116</v>
      </c>
      <c r="G589" s="130" t="s">
        <v>117</v>
      </c>
      <c r="H589" s="130" t="s">
        <v>118</v>
      </c>
      <c r="I589" s="130" t="s">
        <v>119</v>
      </c>
      <c r="J589" s="130" t="s">
        <v>120</v>
      </c>
    </row>
    <row r="590" spans="1:14" s="146" customFormat="1" ht="18" x14ac:dyDescent="0.25">
      <c r="A590" s="519"/>
      <c r="B590" s="499"/>
      <c r="C590" s="499"/>
      <c r="D590" s="1620" t="s">
        <v>918</v>
      </c>
      <c r="E590" s="1620"/>
      <c r="F590" s="100"/>
      <c r="G590" s="155"/>
      <c r="H590" s="156"/>
      <c r="I590" s="155"/>
      <c r="J590" s="155"/>
      <c r="K590" s="10"/>
      <c r="L590" s="10"/>
      <c r="M590"/>
      <c r="N590"/>
    </row>
    <row r="591" spans="1:14" s="146" customFormat="1" ht="18" customHeight="1" x14ac:dyDescent="0.25">
      <c r="A591" s="519"/>
      <c r="B591" s="499"/>
      <c r="C591" s="499"/>
      <c r="D591" s="129" t="s">
        <v>799</v>
      </c>
      <c r="E591" s="152"/>
      <c r="F591" s="100"/>
      <c r="G591" s="101"/>
      <c r="H591" s="102"/>
      <c r="I591" s="101"/>
      <c r="J591" s="101"/>
      <c r="K591" s="10"/>
      <c r="L591" s="10"/>
      <c r="M591"/>
      <c r="N591"/>
    </row>
    <row r="592" spans="1:14" s="194" customFormat="1" ht="18" customHeight="1" x14ac:dyDescent="0.25">
      <c r="A592" s="519"/>
      <c r="B592" s="499"/>
      <c r="C592" s="499"/>
      <c r="D592" s="44" t="s">
        <v>924</v>
      </c>
      <c r="E592" s="125"/>
      <c r="F592" s="100"/>
      <c r="G592" s="101"/>
      <c r="H592" s="102"/>
      <c r="I592" s="101"/>
      <c r="J592" s="101">
        <v>15000</v>
      </c>
      <c r="K592" s="10"/>
      <c r="L592" s="10"/>
      <c r="M592" s="191"/>
      <c r="N592" s="191"/>
    </row>
    <row r="593" spans="1:14" s="194" customFormat="1" ht="18" customHeight="1" x14ac:dyDescent="0.25">
      <c r="A593" s="519"/>
      <c r="B593" s="499"/>
      <c r="C593" s="499"/>
      <c r="D593" s="44" t="s">
        <v>925</v>
      </c>
      <c r="E593" s="125"/>
      <c r="F593" s="100"/>
      <c r="G593" s="101"/>
      <c r="H593" s="102"/>
      <c r="I593" s="101"/>
      <c r="J593" s="101">
        <v>15000</v>
      </c>
      <c r="K593" s="10"/>
      <c r="L593" s="10"/>
      <c r="M593" s="191"/>
      <c r="N593" s="191"/>
    </row>
    <row r="594" spans="1:14" s="194" customFormat="1" ht="18" customHeight="1" x14ac:dyDescent="0.25">
      <c r="A594" s="519"/>
      <c r="B594" s="499"/>
      <c r="C594" s="499"/>
      <c r="D594" s="44" t="s">
        <v>926</v>
      </c>
      <c r="E594" s="125"/>
      <c r="F594" s="100"/>
      <c r="G594" s="101"/>
      <c r="H594" s="102"/>
      <c r="I594" s="101"/>
      <c r="J594" s="101">
        <v>20000</v>
      </c>
      <c r="K594" s="10"/>
      <c r="L594" s="10"/>
      <c r="M594" s="191"/>
      <c r="N594" s="191"/>
    </row>
    <row r="595" spans="1:14" s="146" customFormat="1" ht="18" x14ac:dyDescent="0.25">
      <c r="A595" s="519"/>
      <c r="B595" s="499"/>
      <c r="C595" s="499"/>
      <c r="D595" s="38" t="s">
        <v>927</v>
      </c>
      <c r="E595" s="157"/>
      <c r="F595" s="100"/>
      <c r="G595" s="101"/>
      <c r="H595" s="102">
        <v>70000</v>
      </c>
      <c r="I595" s="101"/>
      <c r="J595" s="101"/>
      <c r="K595" s="10"/>
      <c r="L595" s="10"/>
      <c r="M595"/>
      <c r="N595"/>
    </row>
    <row r="596" spans="1:14" s="146" customFormat="1" ht="18" x14ac:dyDescent="0.25">
      <c r="A596" s="519"/>
      <c r="B596" s="499"/>
      <c r="C596" s="499"/>
      <c r="D596" s="38" t="s">
        <v>928</v>
      </c>
      <c r="E596" s="157"/>
      <c r="F596" s="100"/>
      <c r="G596" s="101"/>
      <c r="H596" s="102">
        <v>15000</v>
      </c>
      <c r="I596" s="101"/>
      <c r="J596" s="101"/>
      <c r="K596" s="10"/>
      <c r="L596" s="10"/>
      <c r="M596"/>
      <c r="N596"/>
    </row>
    <row r="597" spans="1:14" s="146" customFormat="1" ht="39" customHeight="1" x14ac:dyDescent="0.25">
      <c r="A597" s="519"/>
      <c r="B597" s="499"/>
      <c r="C597" s="499"/>
      <c r="D597" s="1623" t="s">
        <v>929</v>
      </c>
      <c r="E597" s="1623"/>
      <c r="F597" s="100"/>
      <c r="G597" s="101"/>
      <c r="H597" s="102">
        <v>11500</v>
      </c>
      <c r="I597" s="101"/>
      <c r="J597" s="101"/>
      <c r="K597" s="10"/>
      <c r="L597" s="10"/>
      <c r="M597"/>
      <c r="N597"/>
    </row>
    <row r="598" spans="1:14" s="146" customFormat="1" ht="18" x14ac:dyDescent="0.25">
      <c r="A598" s="519"/>
      <c r="B598" s="499"/>
      <c r="C598" s="499"/>
      <c r="D598" s="38" t="s">
        <v>930</v>
      </c>
      <c r="E598" s="157"/>
      <c r="F598" s="100"/>
      <c r="G598" s="101"/>
      <c r="H598" s="102">
        <v>9000</v>
      </c>
      <c r="I598" s="101"/>
      <c r="J598" s="105"/>
      <c r="K598" s="10"/>
      <c r="L598" s="10"/>
      <c r="M598"/>
      <c r="N598"/>
    </row>
    <row r="599" spans="1:14" s="146" customFormat="1" ht="18.75" thickBot="1" x14ac:dyDescent="0.3">
      <c r="A599" s="519"/>
      <c r="B599" s="499"/>
      <c r="C599" s="499"/>
      <c r="D599" s="496" t="s">
        <v>200</v>
      </c>
      <c r="F599" s="392"/>
      <c r="G599" s="119">
        <f>SUM(G592:G598)</f>
        <v>0</v>
      </c>
      <c r="H599" s="119">
        <f>SUM(H592:H598)</f>
        <v>105500</v>
      </c>
      <c r="I599" s="119">
        <f>SUM(I592:I598)</f>
        <v>0</v>
      </c>
      <c r="J599" s="119">
        <f>SUM(J592:J598)</f>
        <v>50000</v>
      </c>
      <c r="K599" s="10"/>
      <c r="L599" s="10"/>
      <c r="M599"/>
      <c r="N599"/>
    </row>
    <row r="600" spans="1:14" s="146" customFormat="1" ht="18" x14ac:dyDescent="0.25">
      <c r="A600" s="519"/>
      <c r="B600" s="499"/>
      <c r="C600" s="499"/>
      <c r="D600" s="496" t="s">
        <v>15</v>
      </c>
      <c r="F600" s="301"/>
      <c r="G600" s="155">
        <f>G599+G578</f>
        <v>149334.6</v>
      </c>
      <c r="H600" s="156">
        <f>H599+H578</f>
        <v>283500</v>
      </c>
      <c r="I600" s="155">
        <f>I599+I578</f>
        <v>44622.5</v>
      </c>
      <c r="J600" s="155">
        <f>J599+J578</f>
        <v>277416.5</v>
      </c>
      <c r="K600" s="10"/>
      <c r="L600" s="10"/>
      <c r="M600"/>
      <c r="N600"/>
    </row>
    <row r="601" spans="1:14" s="146" customFormat="1" ht="14.1" customHeight="1" x14ac:dyDescent="0.25">
      <c r="A601" s="519"/>
      <c r="B601" s="499"/>
      <c r="C601" s="499"/>
      <c r="D601" s="513"/>
      <c r="E601" s="496"/>
      <c r="F601" s="301"/>
      <c r="G601" s="155"/>
      <c r="H601" s="156"/>
      <c r="I601" s="155"/>
      <c r="J601" s="155"/>
      <c r="K601" s="10"/>
      <c r="L601" s="10"/>
      <c r="M601"/>
      <c r="N601"/>
    </row>
    <row r="602" spans="1:14" s="146" customFormat="1" ht="18" x14ac:dyDescent="0.25">
      <c r="A602" s="519"/>
      <c r="B602" s="499"/>
      <c r="C602" s="499"/>
      <c r="D602" s="36" t="s">
        <v>931</v>
      </c>
      <c r="E602" s="393"/>
      <c r="F602" s="100"/>
      <c r="G602" s="101"/>
      <c r="H602" s="102"/>
      <c r="I602" s="101"/>
      <c r="J602" s="101"/>
      <c r="K602" s="10"/>
      <c r="L602" s="10"/>
      <c r="M602"/>
      <c r="N602"/>
    </row>
    <row r="603" spans="1:14" s="146" customFormat="1" ht="18" x14ac:dyDescent="0.25">
      <c r="A603" s="519"/>
      <c r="B603" s="499"/>
      <c r="C603" s="499"/>
      <c r="D603" s="36" t="s">
        <v>932</v>
      </c>
      <c r="E603" s="157"/>
      <c r="F603" s="100"/>
      <c r="G603" s="101"/>
      <c r="H603" s="102"/>
      <c r="I603" s="101"/>
      <c r="J603" s="101"/>
      <c r="K603" s="10"/>
      <c r="L603" s="10"/>
      <c r="M603"/>
      <c r="N603"/>
    </row>
    <row r="604" spans="1:14" s="146" customFormat="1" ht="18" x14ac:dyDescent="0.25">
      <c r="A604" s="519"/>
      <c r="B604" s="499"/>
      <c r="C604" s="499"/>
      <c r="D604" s="38" t="s">
        <v>791</v>
      </c>
      <c r="E604" s="3"/>
      <c r="F604" s="394" t="s">
        <v>169</v>
      </c>
      <c r="G604" s="101">
        <v>21773.5</v>
      </c>
      <c r="H604" s="102">
        <v>187701</v>
      </c>
      <c r="I604" s="101">
        <v>80136</v>
      </c>
      <c r="J604" s="101">
        <v>79980</v>
      </c>
      <c r="K604" s="10"/>
      <c r="L604" s="10"/>
      <c r="M604"/>
      <c r="N604"/>
    </row>
    <row r="605" spans="1:14" s="146" customFormat="1" ht="18" x14ac:dyDescent="0.25">
      <c r="A605" s="519"/>
      <c r="B605" s="499"/>
      <c r="C605" s="499"/>
      <c r="D605" s="38" t="s">
        <v>933</v>
      </c>
      <c r="E605" s="3"/>
      <c r="F605" s="394" t="s">
        <v>173</v>
      </c>
      <c r="G605" s="101">
        <v>62736.92</v>
      </c>
      <c r="H605" s="102">
        <v>76032</v>
      </c>
      <c r="I605" s="101">
        <v>62083.839999999997</v>
      </c>
      <c r="J605" s="101">
        <v>341400</v>
      </c>
      <c r="K605" s="10"/>
      <c r="L605" s="10"/>
      <c r="M605"/>
      <c r="N605"/>
    </row>
    <row r="606" spans="1:14" s="146" customFormat="1" ht="18" x14ac:dyDescent="0.25">
      <c r="A606" s="519"/>
      <c r="B606" s="499"/>
      <c r="C606" s="499"/>
      <c r="D606" s="38" t="s">
        <v>793</v>
      </c>
      <c r="E606" s="3"/>
      <c r="F606" s="394" t="s">
        <v>171</v>
      </c>
      <c r="G606" s="101">
        <v>4394</v>
      </c>
      <c r="H606" s="102">
        <v>32850</v>
      </c>
      <c r="I606" s="101"/>
      <c r="J606" s="101"/>
      <c r="K606" s="10"/>
      <c r="L606" s="10"/>
      <c r="M606"/>
      <c r="N606"/>
    </row>
    <row r="607" spans="1:14" s="146" customFormat="1" ht="18" x14ac:dyDescent="0.25">
      <c r="A607" s="519"/>
      <c r="B607" s="499"/>
      <c r="C607" s="499"/>
      <c r="D607" s="38" t="s">
        <v>934</v>
      </c>
      <c r="E607" s="3"/>
      <c r="F607" s="394" t="s">
        <v>171</v>
      </c>
      <c r="G607" s="101"/>
      <c r="H607" s="102"/>
      <c r="I607" s="101"/>
      <c r="J607" s="101">
        <v>141825</v>
      </c>
      <c r="K607" s="10"/>
      <c r="L607" s="10"/>
      <c r="M607"/>
      <c r="N607"/>
    </row>
    <row r="608" spans="1:14" s="146" customFormat="1" ht="18" x14ac:dyDescent="0.25">
      <c r="A608" s="519"/>
      <c r="B608" s="499"/>
      <c r="C608" s="499"/>
      <c r="D608" s="38" t="s">
        <v>935</v>
      </c>
      <c r="E608" s="3"/>
      <c r="F608" s="394" t="s">
        <v>171</v>
      </c>
      <c r="G608" s="101"/>
      <c r="H608" s="102">
        <v>6000</v>
      </c>
      <c r="I608" s="101"/>
      <c r="J608" s="101"/>
      <c r="K608" s="10"/>
      <c r="L608" s="10"/>
      <c r="M608"/>
      <c r="N608"/>
    </row>
    <row r="609" spans="1:14" s="146" customFormat="1" ht="18" x14ac:dyDescent="0.25">
      <c r="A609" s="519"/>
      <c r="B609" s="499"/>
      <c r="C609" s="499"/>
      <c r="D609" s="38" t="s">
        <v>936</v>
      </c>
      <c r="E609" s="3"/>
      <c r="F609" s="394" t="s">
        <v>171</v>
      </c>
      <c r="G609" s="101"/>
      <c r="H609" s="102">
        <v>8000</v>
      </c>
      <c r="I609" s="101"/>
      <c r="J609" s="101"/>
      <c r="K609" s="10"/>
      <c r="L609" s="10"/>
      <c r="M609"/>
      <c r="N609"/>
    </row>
    <row r="610" spans="1:14" s="146" customFormat="1" ht="18" x14ac:dyDescent="0.25">
      <c r="A610" s="519"/>
      <c r="B610" s="499"/>
      <c r="C610" s="499"/>
      <c r="D610" s="38" t="s">
        <v>937</v>
      </c>
      <c r="E610" s="3"/>
      <c r="F610" s="394" t="s">
        <v>171</v>
      </c>
      <c r="G610" s="101"/>
      <c r="H610" s="102">
        <v>5000</v>
      </c>
      <c r="I610" s="101"/>
      <c r="J610" s="101"/>
      <c r="K610" s="10"/>
      <c r="L610" s="10"/>
      <c r="M610"/>
      <c r="N610"/>
    </row>
    <row r="611" spans="1:14" s="146" customFormat="1" ht="18" x14ac:dyDescent="0.25">
      <c r="A611" s="519"/>
      <c r="B611" s="499"/>
      <c r="C611" s="499"/>
      <c r="D611" s="38" t="s">
        <v>938</v>
      </c>
      <c r="E611" s="3"/>
      <c r="F611" s="394" t="s">
        <v>171</v>
      </c>
      <c r="G611" s="101"/>
      <c r="H611" s="102">
        <v>50000</v>
      </c>
      <c r="I611" s="101"/>
      <c r="J611" s="101"/>
      <c r="K611" s="10"/>
      <c r="L611" s="10"/>
      <c r="M611"/>
      <c r="N611"/>
    </row>
    <row r="612" spans="1:14" s="146" customFormat="1" ht="18" x14ac:dyDescent="0.25">
      <c r="A612" s="519"/>
      <c r="B612" s="499"/>
      <c r="C612" s="499"/>
      <c r="D612" s="38" t="s">
        <v>939</v>
      </c>
      <c r="E612" s="3"/>
      <c r="F612" s="394" t="s">
        <v>171</v>
      </c>
      <c r="G612" s="101"/>
      <c r="H612" s="102">
        <v>4500</v>
      </c>
      <c r="I612" s="101"/>
      <c r="J612" s="101"/>
      <c r="K612" s="10"/>
      <c r="L612" s="10"/>
      <c r="M612"/>
      <c r="N612"/>
    </row>
    <row r="613" spans="1:14" s="146" customFormat="1" ht="18" x14ac:dyDescent="0.25">
      <c r="A613" s="519"/>
      <c r="B613" s="499"/>
      <c r="C613" s="499"/>
      <c r="D613" s="38" t="s">
        <v>940</v>
      </c>
      <c r="E613" s="3"/>
      <c r="F613" s="394" t="s">
        <v>171</v>
      </c>
      <c r="G613" s="101"/>
      <c r="H613" s="102">
        <v>25000</v>
      </c>
      <c r="I613" s="101"/>
      <c r="J613" s="101"/>
      <c r="K613" s="10"/>
      <c r="L613" s="10"/>
      <c r="M613"/>
      <c r="N613"/>
    </row>
    <row r="614" spans="1:14" s="146" customFormat="1" ht="18" x14ac:dyDescent="0.25">
      <c r="A614" s="519"/>
      <c r="B614" s="499"/>
      <c r="C614" s="499"/>
      <c r="D614" s="38" t="s">
        <v>941</v>
      </c>
      <c r="E614" s="3"/>
      <c r="F614" s="394" t="s">
        <v>171</v>
      </c>
      <c r="G614" s="101"/>
      <c r="H614" s="102">
        <v>18000</v>
      </c>
      <c r="I614" s="101"/>
      <c r="J614" s="101"/>
      <c r="K614" s="10"/>
      <c r="L614" s="10"/>
      <c r="M614"/>
      <c r="N614"/>
    </row>
    <row r="615" spans="1:14" s="146" customFormat="1" ht="18" x14ac:dyDescent="0.25">
      <c r="A615" s="519"/>
      <c r="B615" s="499"/>
      <c r="C615" s="499"/>
      <c r="D615" s="38" t="s">
        <v>942</v>
      </c>
      <c r="E615" s="3"/>
      <c r="F615" s="394" t="s">
        <v>171</v>
      </c>
      <c r="G615" s="101"/>
      <c r="H615" s="102">
        <v>4000</v>
      </c>
      <c r="I615" s="101"/>
      <c r="J615" s="101"/>
      <c r="K615" s="10"/>
      <c r="L615" s="10"/>
      <c r="M615"/>
      <c r="N615"/>
    </row>
    <row r="616" spans="1:14" s="146" customFormat="1" ht="18" x14ac:dyDescent="0.25">
      <c r="A616" s="519"/>
      <c r="B616" s="499"/>
      <c r="C616" s="499"/>
      <c r="D616" s="38" t="s">
        <v>943</v>
      </c>
      <c r="E616" s="3"/>
      <c r="F616" s="394" t="s">
        <v>189</v>
      </c>
      <c r="G616" s="101">
        <v>0</v>
      </c>
      <c r="H616" s="102">
        <v>210000</v>
      </c>
      <c r="I616" s="101">
        <v>11297</v>
      </c>
      <c r="J616" s="101">
        <v>340000</v>
      </c>
      <c r="K616" s="10"/>
      <c r="L616" s="10"/>
      <c r="M616"/>
      <c r="N616"/>
    </row>
    <row r="617" spans="1:14" s="146" customFormat="1" ht="18" x14ac:dyDescent="0.25">
      <c r="A617" s="519"/>
      <c r="B617" s="499"/>
      <c r="C617" s="499"/>
      <c r="D617" s="38" t="s">
        <v>944</v>
      </c>
      <c r="E617" s="3"/>
      <c r="F617" s="394" t="s">
        <v>282</v>
      </c>
      <c r="G617" s="101">
        <v>0</v>
      </c>
      <c r="H617" s="102">
        <v>5000</v>
      </c>
      <c r="I617" s="101"/>
      <c r="J617" s="101"/>
      <c r="K617" s="10"/>
      <c r="L617" s="10"/>
      <c r="M617"/>
      <c r="N617"/>
    </row>
    <row r="618" spans="1:14" s="146" customFormat="1" ht="18" x14ac:dyDescent="0.25">
      <c r="A618" s="519"/>
      <c r="B618" s="499"/>
      <c r="C618" s="499"/>
      <c r="D618" s="38" t="s">
        <v>945</v>
      </c>
      <c r="E618" s="3"/>
      <c r="F618" s="394"/>
      <c r="G618" s="105">
        <v>0</v>
      </c>
      <c r="H618" s="106"/>
      <c r="I618" s="105"/>
      <c r="J618" s="105"/>
      <c r="K618" s="10"/>
      <c r="L618" s="10"/>
      <c r="M618"/>
      <c r="N618"/>
    </row>
    <row r="619" spans="1:14" s="146" customFormat="1" ht="18" x14ac:dyDescent="0.25">
      <c r="A619" s="519"/>
      <c r="B619" s="499"/>
      <c r="C619" s="499"/>
      <c r="D619" s="496" t="s">
        <v>15</v>
      </c>
      <c r="F619" s="100"/>
      <c r="G619" s="155">
        <f>SUM(G604:G618)</f>
        <v>88904.42</v>
      </c>
      <c r="H619" s="155">
        <f>SUM(H604:H618)</f>
        <v>632083</v>
      </c>
      <c r="I619" s="155">
        <f>SUM(I604:I618)</f>
        <v>153516.84</v>
      </c>
      <c r="J619" s="155">
        <f>SUM(J604:J618)</f>
        <v>903205</v>
      </c>
      <c r="K619" s="10"/>
      <c r="L619" s="10"/>
      <c r="M619"/>
      <c r="N619"/>
    </row>
    <row r="620" spans="1:14" s="146" customFormat="1" ht="18" x14ac:dyDescent="0.25">
      <c r="A620" s="519"/>
      <c r="B620" s="499"/>
      <c r="C620" s="499"/>
      <c r="D620" s="513"/>
      <c r="E620" s="496"/>
      <c r="F620" s="100"/>
      <c r="G620" s="155"/>
      <c r="H620" s="156"/>
      <c r="I620" s="155"/>
      <c r="J620" s="155"/>
      <c r="K620" s="10"/>
      <c r="L620" s="10"/>
      <c r="M620"/>
      <c r="N620"/>
    </row>
    <row r="621" spans="1:14" s="146" customFormat="1" ht="18" customHeight="1" x14ac:dyDescent="0.25">
      <c r="A621" s="519"/>
      <c r="B621" s="499"/>
      <c r="C621" s="499"/>
      <c r="D621" s="152" t="s">
        <v>799</v>
      </c>
      <c r="E621" s="152"/>
      <c r="F621" s="186"/>
      <c r="G621" s="101"/>
      <c r="H621" s="102"/>
      <c r="I621" s="101"/>
      <c r="J621" s="101"/>
      <c r="K621" s="10"/>
      <c r="L621" s="10"/>
      <c r="M621"/>
      <c r="N621"/>
    </row>
    <row r="622" spans="1:14" s="146" customFormat="1" ht="18" x14ac:dyDescent="0.25">
      <c r="A622" s="519"/>
      <c r="B622" s="499"/>
      <c r="C622" s="499"/>
      <c r="D622" s="395" t="s">
        <v>946</v>
      </c>
      <c r="E622" s="396"/>
      <c r="F622" s="398"/>
      <c r="G622" s="399"/>
      <c r="H622" s="399"/>
      <c r="I622" s="399"/>
      <c r="J622" s="399">
        <v>115000</v>
      </c>
      <c r="K622" s="10"/>
      <c r="L622" s="10">
        <f>115000+15000</f>
        <v>130000</v>
      </c>
      <c r="M622"/>
      <c r="N622"/>
    </row>
    <row r="623" spans="1:14" s="146" customFormat="1" ht="18" x14ac:dyDescent="0.25">
      <c r="A623" s="519"/>
      <c r="B623" s="499"/>
      <c r="C623" s="499"/>
      <c r="D623" s="395" t="s">
        <v>947</v>
      </c>
      <c r="E623" s="396"/>
      <c r="F623" s="398"/>
      <c r="G623" s="399"/>
      <c r="H623" s="399"/>
      <c r="I623" s="399"/>
      <c r="J623" s="399">
        <v>40000</v>
      </c>
      <c r="K623" s="10"/>
      <c r="L623" s="10">
        <f>26000+14000</f>
        <v>40000</v>
      </c>
      <c r="M623"/>
      <c r="N623"/>
    </row>
    <row r="624" spans="1:14" s="146" customFormat="1" ht="18" x14ac:dyDescent="0.25">
      <c r="A624" s="519"/>
      <c r="B624" s="499"/>
      <c r="C624" s="499"/>
      <c r="D624" s="38" t="s">
        <v>948</v>
      </c>
      <c r="E624" s="157"/>
      <c r="F624" s="100"/>
      <c r="G624" s="101"/>
      <c r="H624" s="102"/>
      <c r="I624" s="101"/>
      <c r="J624" s="101">
        <v>20000</v>
      </c>
      <c r="K624" s="10"/>
      <c r="L624" s="10"/>
      <c r="M624"/>
      <c r="N624"/>
    </row>
    <row r="625" spans="1:14" s="146" customFormat="1" ht="18" x14ac:dyDescent="0.25">
      <c r="A625" s="519"/>
      <c r="B625" s="499"/>
      <c r="C625" s="499"/>
      <c r="D625" s="38" t="s">
        <v>949</v>
      </c>
      <c r="E625" s="157"/>
      <c r="F625" s="100"/>
      <c r="G625" s="101"/>
      <c r="H625" s="102"/>
      <c r="I625" s="101"/>
      <c r="J625" s="105">
        <v>15000</v>
      </c>
      <c r="K625" s="10"/>
      <c r="L625" s="10"/>
      <c r="M625"/>
      <c r="N625"/>
    </row>
    <row r="626" spans="1:14" s="146" customFormat="1" ht="18.75" thickBot="1" x14ac:dyDescent="0.3">
      <c r="A626" s="519"/>
      <c r="B626" s="499"/>
      <c r="C626" s="499"/>
      <c r="D626" s="496" t="s">
        <v>200</v>
      </c>
      <c r="F626" s="392"/>
      <c r="G626" s="119">
        <f>SUM(G622:G625)</f>
        <v>0</v>
      </c>
      <c r="H626" s="119">
        <f>SUM(H622:H625)</f>
        <v>0</v>
      </c>
      <c r="I626" s="119">
        <f>SUM(I622:I625)</f>
        <v>0</v>
      </c>
      <c r="J626" s="119">
        <f>SUM(J622:J625)</f>
        <v>190000</v>
      </c>
      <c r="K626" s="10"/>
      <c r="L626" s="10"/>
      <c r="M626"/>
      <c r="N626"/>
    </row>
    <row r="627" spans="1:14" s="146" customFormat="1" ht="18.75" thickBot="1" x14ac:dyDescent="0.3">
      <c r="A627" s="519"/>
      <c r="B627" s="499"/>
      <c r="C627" s="499"/>
      <c r="D627" s="496" t="s">
        <v>15</v>
      </c>
      <c r="E627" s="575"/>
      <c r="F627" s="392"/>
      <c r="G627" s="182">
        <f>G626+G619</f>
        <v>88904.42</v>
      </c>
      <c r="H627" s="182">
        <f>H626+H619</f>
        <v>632083</v>
      </c>
      <c r="I627" s="182">
        <f>I626+I619</f>
        <v>153516.84</v>
      </c>
      <c r="J627" s="182">
        <f>J626+J619</f>
        <v>1093205</v>
      </c>
      <c r="K627" s="10"/>
      <c r="L627" s="10"/>
      <c r="M627"/>
      <c r="N627"/>
    </row>
    <row r="628" spans="1:14" s="146" customFormat="1" ht="18" x14ac:dyDescent="0.25">
      <c r="A628" s="519"/>
      <c r="B628" s="499"/>
      <c r="C628" s="499"/>
      <c r="D628" s="513"/>
      <c r="E628" s="493"/>
      <c r="F628" s="100"/>
      <c r="G628" s="155"/>
      <c r="H628" s="156"/>
      <c r="I628" s="155"/>
      <c r="J628" s="155"/>
      <c r="K628" s="10"/>
      <c r="L628" s="10"/>
      <c r="M628"/>
      <c r="N628"/>
    </row>
    <row r="629" spans="1:14" s="146" customFormat="1" ht="18" customHeight="1" x14ac:dyDescent="0.25">
      <c r="A629" s="579"/>
      <c r="B629" s="573"/>
      <c r="C629" s="573"/>
      <c r="D629" s="125" t="s">
        <v>951</v>
      </c>
      <c r="E629" s="114"/>
      <c r="F629" s="376"/>
      <c r="G629" s="101">
        <v>0</v>
      </c>
      <c r="H629" s="102">
        <v>500000</v>
      </c>
      <c r="I629" s="101"/>
      <c r="J629" s="102">
        <v>500000</v>
      </c>
      <c r="K629" s="10"/>
      <c r="L629" s="10"/>
      <c r="M629"/>
      <c r="N629"/>
    </row>
    <row r="630" spans="1:14" s="146" customFormat="1" ht="18" customHeight="1" x14ac:dyDescent="0.25">
      <c r="A630" s="579"/>
      <c r="B630" s="573"/>
      <c r="C630" s="573"/>
      <c r="D630" s="125" t="s">
        <v>952</v>
      </c>
      <c r="E630" s="114"/>
      <c r="F630" s="100"/>
      <c r="G630" s="101">
        <v>0</v>
      </c>
      <c r="H630" s="102">
        <v>150000</v>
      </c>
      <c r="I630" s="101"/>
      <c r="J630" s="102">
        <v>150000</v>
      </c>
      <c r="K630" s="10"/>
      <c r="L630" s="10"/>
      <c r="M630"/>
      <c r="N630"/>
    </row>
    <row r="631" spans="1:14" s="146" customFormat="1" ht="18" x14ac:dyDescent="0.25">
      <c r="A631" s="579"/>
      <c r="B631" s="573"/>
      <c r="C631" s="573"/>
      <c r="D631" s="206" t="s">
        <v>953</v>
      </c>
      <c r="E631" s="297"/>
      <c r="F631" s="100"/>
      <c r="G631" s="101">
        <v>0</v>
      </c>
      <c r="H631" s="102">
        <v>500000</v>
      </c>
      <c r="I631" s="101"/>
      <c r="J631" s="102">
        <v>500000</v>
      </c>
      <c r="K631" s="10"/>
      <c r="L631" s="10"/>
      <c r="M631"/>
      <c r="N631"/>
    </row>
    <row r="632" spans="1:14" s="146" customFormat="1" ht="42" customHeight="1" x14ac:dyDescent="0.25">
      <c r="A632" s="579"/>
      <c r="B632" s="573"/>
      <c r="C632" s="573"/>
      <c r="D632" s="1634" t="s">
        <v>954</v>
      </c>
      <c r="E632" s="1653"/>
      <c r="F632" s="100"/>
      <c r="G632" s="101">
        <v>26500</v>
      </c>
      <c r="H632" s="102">
        <v>500000</v>
      </c>
      <c r="I632" s="101">
        <v>33600</v>
      </c>
      <c r="J632" s="102">
        <v>500000</v>
      </c>
      <c r="K632" s="10"/>
      <c r="L632" s="10"/>
      <c r="M632"/>
      <c r="N632"/>
    </row>
    <row r="633" spans="1:14" s="146" customFormat="1" ht="38.25" customHeight="1" x14ac:dyDescent="0.25">
      <c r="A633" s="579"/>
      <c r="B633" s="573"/>
      <c r="C633" s="573"/>
      <c r="D633" s="1634" t="s">
        <v>955</v>
      </c>
      <c r="E633" s="1653"/>
      <c r="F633" s="100"/>
      <c r="G633" s="101">
        <v>248700</v>
      </c>
      <c r="H633" s="102">
        <v>250000</v>
      </c>
      <c r="I633" s="101"/>
      <c r="J633" s="102">
        <v>250000</v>
      </c>
      <c r="K633" s="10"/>
      <c r="L633" s="10"/>
      <c r="M633"/>
      <c r="N633"/>
    </row>
    <row r="634" spans="1:14" s="146" customFormat="1" ht="18" x14ac:dyDescent="0.25">
      <c r="A634" s="579"/>
      <c r="B634" s="573"/>
      <c r="C634" s="573"/>
      <c r="D634" s="536" t="s">
        <v>956</v>
      </c>
      <c r="E634" s="512"/>
      <c r="F634" s="100"/>
      <c r="G634" s="101">
        <v>68965</v>
      </c>
      <c r="H634" s="102"/>
      <c r="I634" s="101"/>
      <c r="J634" s="102">
        <v>150000</v>
      </c>
      <c r="K634" s="10"/>
      <c r="L634" s="10"/>
      <c r="M634"/>
      <c r="N634"/>
    </row>
    <row r="635" spans="1:14" s="146" customFormat="1" ht="18" x14ac:dyDescent="0.25">
      <c r="A635" s="579"/>
      <c r="B635" s="573"/>
      <c r="C635" s="573"/>
      <c r="D635" s="536" t="s">
        <v>957</v>
      </c>
      <c r="E635" s="512"/>
      <c r="F635" s="100"/>
      <c r="G635" s="101">
        <v>6382937.5</v>
      </c>
      <c r="H635" s="102">
        <v>0</v>
      </c>
      <c r="I635" s="101"/>
      <c r="J635" s="106">
        <v>15000000</v>
      </c>
      <c r="K635" s="10"/>
      <c r="L635" s="10"/>
      <c r="M635"/>
      <c r="N635"/>
    </row>
    <row r="636" spans="1:14" ht="18" x14ac:dyDescent="0.25">
      <c r="A636" s="519"/>
      <c r="B636" s="499"/>
      <c r="C636" s="499"/>
      <c r="D636" s="496" t="s">
        <v>15</v>
      </c>
      <c r="E636" s="236"/>
      <c r="F636" s="100"/>
      <c r="G636" s="119">
        <f>SUM(G629:G635)</f>
        <v>6727102.5</v>
      </c>
      <c r="H636" s="119">
        <f>SUM(H629:H635)</f>
        <v>1900000</v>
      </c>
      <c r="I636" s="119">
        <f>SUM(I629:I635)</f>
        <v>33600</v>
      </c>
      <c r="J636" s="119">
        <f>SUM(J629:J635)</f>
        <v>17050000</v>
      </c>
    </row>
    <row r="637" spans="1:14" s="146" customFormat="1" ht="18" x14ac:dyDescent="0.25">
      <c r="A637" s="519"/>
      <c r="B637" s="499"/>
      <c r="C637" s="499"/>
      <c r="D637" s="513"/>
      <c r="E637" s="493"/>
      <c r="F637" s="100"/>
      <c r="G637" s="155"/>
      <c r="H637" s="156"/>
      <c r="I637" s="155"/>
      <c r="J637" s="155"/>
      <c r="K637" s="10"/>
      <c r="L637" s="10"/>
      <c r="M637"/>
      <c r="N637"/>
    </row>
    <row r="638" spans="1:14" s="146" customFormat="1" ht="18" x14ac:dyDescent="0.25">
      <c r="A638" s="519"/>
      <c r="B638" s="499"/>
      <c r="C638" s="499"/>
      <c r="D638" s="513"/>
      <c r="E638" s="493"/>
      <c r="F638" s="100"/>
      <c r="G638" s="155"/>
      <c r="H638" s="156"/>
      <c r="I638" s="155"/>
      <c r="J638" s="155"/>
      <c r="K638" s="10"/>
      <c r="L638" s="10"/>
      <c r="M638"/>
      <c r="N638"/>
    </row>
    <row r="639" spans="1:14" s="146" customFormat="1" ht="18" x14ac:dyDescent="0.25">
      <c r="A639" s="519"/>
      <c r="B639" s="499"/>
      <c r="C639" s="499"/>
      <c r="D639" s="513"/>
      <c r="E639" s="493"/>
      <c r="F639" s="100"/>
      <c r="G639" s="155"/>
      <c r="H639" s="156"/>
      <c r="I639" s="155"/>
      <c r="J639" s="155"/>
      <c r="K639" s="10"/>
      <c r="L639" s="10"/>
      <c r="M639"/>
      <c r="N639"/>
    </row>
    <row r="640" spans="1:14" s="146" customFormat="1" ht="18.75" thickBot="1" x14ac:dyDescent="0.3">
      <c r="A640" s="187"/>
      <c r="B640" s="413"/>
      <c r="C640" s="413"/>
      <c r="D640" s="318"/>
      <c r="E640" s="531"/>
      <c r="F640" s="308"/>
      <c r="G640" s="182"/>
      <c r="H640" s="183"/>
      <c r="I640" s="182"/>
      <c r="J640" s="182"/>
      <c r="K640" s="10"/>
      <c r="L640" s="10"/>
      <c r="M640"/>
      <c r="N640"/>
    </row>
    <row r="641" spans="1:14" s="146" customFormat="1" ht="18" x14ac:dyDescent="0.25">
      <c r="A641" s="499"/>
      <c r="B641" s="499"/>
      <c r="C641" s="499"/>
      <c r="D641" s="513"/>
      <c r="E641" s="496"/>
      <c r="F641" s="381"/>
      <c r="G641" s="126"/>
      <c r="H641" s="127"/>
      <c r="I641" s="126"/>
      <c r="J641" s="126"/>
      <c r="K641" s="10"/>
      <c r="L641" s="10"/>
      <c r="M641"/>
      <c r="N641"/>
    </row>
    <row r="642" spans="1:14" s="146" customFormat="1" ht="18" x14ac:dyDescent="0.25">
      <c r="A642" s="499"/>
      <c r="B642" s="499"/>
      <c r="C642" s="499"/>
      <c r="D642" s="513"/>
      <c r="E642" s="496"/>
      <c r="F642" s="381"/>
      <c r="G642" s="126"/>
      <c r="H642" s="127"/>
      <c r="I642" s="126"/>
      <c r="J642" s="126"/>
      <c r="K642" s="10"/>
      <c r="L642" s="10"/>
      <c r="M642"/>
      <c r="N642"/>
    </row>
    <row r="643" spans="1:14" s="146" customFormat="1" ht="18" x14ac:dyDescent="0.25">
      <c r="A643" s="499"/>
      <c r="B643" s="499"/>
      <c r="C643" s="499"/>
      <c r="D643" s="513"/>
      <c r="E643" s="496"/>
      <c r="F643" s="381"/>
      <c r="G643" s="126"/>
      <c r="H643" s="127"/>
      <c r="I643" s="126"/>
      <c r="J643" s="126"/>
      <c r="K643" s="10"/>
      <c r="L643" s="10"/>
      <c r="M643"/>
      <c r="N643"/>
    </row>
    <row r="644" spans="1:14" s="146" customFormat="1" ht="18" x14ac:dyDescent="0.25">
      <c r="A644" s="499"/>
      <c r="B644" s="499"/>
      <c r="C644" s="499"/>
      <c r="D644" s="513"/>
      <c r="E644" s="496"/>
      <c r="F644" s="381"/>
      <c r="G644" s="126"/>
      <c r="H644" s="127"/>
      <c r="I644" s="126"/>
      <c r="J644" s="126"/>
      <c r="K644" s="10"/>
      <c r="L644" s="10"/>
      <c r="M644"/>
      <c r="N644"/>
    </row>
    <row r="645" spans="1:14" s="146" customFormat="1" ht="18" x14ac:dyDescent="0.25">
      <c r="A645" s="499"/>
      <c r="B645" s="499"/>
      <c r="C645" s="499"/>
      <c r="D645" s="513"/>
      <c r="E645" s="496"/>
      <c r="F645" s="381"/>
      <c r="G645" s="126"/>
      <c r="H645" s="127"/>
      <c r="I645" s="126"/>
      <c r="J645" s="126"/>
      <c r="K645" s="10"/>
      <c r="L645" s="10"/>
      <c r="M645"/>
      <c r="N645"/>
    </row>
    <row r="646" spans="1:14" s="146" customFormat="1" ht="18" x14ac:dyDescent="0.25">
      <c r="A646" s="499"/>
      <c r="B646" s="499"/>
      <c r="C646" s="499"/>
      <c r="D646" s="513"/>
      <c r="E646" s="496"/>
      <c r="F646" s="381"/>
      <c r="G646" s="126"/>
      <c r="H646" s="127"/>
      <c r="I646" s="126"/>
      <c r="J646" s="126"/>
      <c r="K646" s="10"/>
      <c r="L646" s="10"/>
      <c r="M646"/>
      <c r="N646"/>
    </row>
    <row r="647" spans="1:14" s="146" customFormat="1" ht="18" x14ac:dyDescent="0.25">
      <c r="A647" s="499"/>
      <c r="B647" s="499"/>
      <c r="C647" s="499"/>
      <c r="D647" s="513"/>
      <c r="E647" s="496"/>
      <c r="F647" s="381"/>
      <c r="G647" s="126"/>
      <c r="H647" s="127"/>
      <c r="I647" s="126"/>
      <c r="J647" s="126"/>
      <c r="K647" s="10"/>
      <c r="L647" s="10"/>
      <c r="M647"/>
      <c r="N647"/>
    </row>
    <row r="648" spans="1:14" ht="18" customHeight="1" x14ac:dyDescent="0.25">
      <c r="A648" s="8" t="s">
        <v>112</v>
      </c>
    </row>
    <row r="649" spans="1:14" ht="18" customHeight="1" x14ac:dyDescent="0.25">
      <c r="A649" s="8" t="s">
        <v>917</v>
      </c>
    </row>
    <row r="650" spans="1:14" ht="18" customHeight="1" x14ac:dyDescent="0.25">
      <c r="A650" s="1636" t="s">
        <v>113</v>
      </c>
      <c r="B650" s="1636"/>
      <c r="C650" s="1636"/>
      <c r="D650" s="1636"/>
      <c r="E650" s="1636"/>
      <c r="F650" s="1636"/>
      <c r="G650" s="1636"/>
      <c r="H650" s="1636"/>
      <c r="I650" s="1636"/>
      <c r="J650" s="1636"/>
    </row>
    <row r="651" spans="1:14" s="7" customFormat="1" ht="18" customHeight="1" x14ac:dyDescent="0.25">
      <c r="A651" s="1624" t="s">
        <v>114</v>
      </c>
      <c r="B651" s="1624"/>
      <c r="C651" s="1624"/>
      <c r="D651" s="1624"/>
      <c r="E651" s="1624"/>
      <c r="F651" s="1624"/>
      <c r="G651" s="1624"/>
      <c r="H651" s="1624"/>
      <c r="I651" s="1624"/>
      <c r="J651" s="1624"/>
      <c r="K651" s="6"/>
      <c r="L651" s="6"/>
    </row>
    <row r="652" spans="1:14" ht="18.75" thickBot="1" x14ac:dyDescent="0.3">
      <c r="A652" s="41"/>
      <c r="B652" s="41"/>
      <c r="C652" s="41"/>
      <c r="D652" s="63"/>
      <c r="E652" s="41"/>
      <c r="F652" s="41"/>
    </row>
    <row r="653" spans="1:14" ht="61.5" customHeight="1" thickBot="1" x14ac:dyDescent="0.3">
      <c r="A653" s="1625" t="s">
        <v>115</v>
      </c>
      <c r="B653" s="1626"/>
      <c r="C653" s="1626"/>
      <c r="D653" s="1626"/>
      <c r="E653" s="1626"/>
      <c r="F653" s="93" t="s">
        <v>116</v>
      </c>
      <c r="G653" s="130" t="s">
        <v>117</v>
      </c>
      <c r="H653" s="130" t="s">
        <v>118</v>
      </c>
      <c r="I653" s="130" t="s">
        <v>119</v>
      </c>
      <c r="J653" s="130" t="s">
        <v>120</v>
      </c>
    </row>
    <row r="654" spans="1:14" ht="18" x14ac:dyDescent="0.25">
      <c r="A654" s="519"/>
      <c r="B654" s="499"/>
      <c r="C654" s="499"/>
      <c r="D654" s="369" t="s">
        <v>958</v>
      </c>
      <c r="E654" s="400"/>
      <c r="F654" s="100"/>
      <c r="G654" s="101"/>
      <c r="H654" s="102"/>
      <c r="I654" s="101"/>
      <c r="J654" s="101"/>
    </row>
    <row r="655" spans="1:14" ht="18" x14ac:dyDescent="0.25">
      <c r="A655" s="519"/>
      <c r="B655" s="499"/>
      <c r="C655" s="499"/>
      <c r="D655" s="1620" t="s">
        <v>813</v>
      </c>
      <c r="E655" s="1620"/>
      <c r="F655" s="100"/>
      <c r="G655" s="101"/>
      <c r="H655" s="102"/>
      <c r="I655" s="101"/>
      <c r="J655" s="101"/>
    </row>
    <row r="656" spans="1:14" s="212" customFormat="1" ht="18" customHeight="1" x14ac:dyDescent="0.25">
      <c r="A656" s="154"/>
      <c r="B656" s="502"/>
      <c r="C656" s="502"/>
      <c r="D656" s="44" t="s">
        <v>959</v>
      </c>
      <c r="E656" s="402"/>
      <c r="F656" s="100" t="s">
        <v>165</v>
      </c>
      <c r="G656" s="101">
        <v>63692.44</v>
      </c>
      <c r="H656" s="102">
        <v>120000</v>
      </c>
      <c r="I656" s="101"/>
      <c r="J656" s="102">
        <v>120000</v>
      </c>
      <c r="K656" s="207"/>
      <c r="L656" s="207"/>
    </row>
    <row r="657" spans="1:12" s="212" customFormat="1" ht="18" customHeight="1" x14ac:dyDescent="0.25">
      <c r="A657" s="154"/>
      <c r="B657" s="502"/>
      <c r="C657" s="502"/>
      <c r="D657" s="44" t="s">
        <v>805</v>
      </c>
      <c r="E657" s="402"/>
      <c r="F657" s="100" t="s">
        <v>167</v>
      </c>
      <c r="G657" s="101">
        <v>0</v>
      </c>
      <c r="H657" s="102">
        <v>120000</v>
      </c>
      <c r="I657" s="101">
        <v>11968.71</v>
      </c>
      <c r="J657" s="102">
        <v>120000</v>
      </c>
      <c r="K657" s="207"/>
      <c r="L657" s="207"/>
    </row>
    <row r="658" spans="1:12" s="212" customFormat="1" ht="18" customHeight="1" x14ac:dyDescent="0.25">
      <c r="A658" s="154"/>
      <c r="B658" s="502"/>
      <c r="C658" s="502"/>
      <c r="D658" s="44" t="s">
        <v>864</v>
      </c>
      <c r="E658" s="402"/>
      <c r="F658" s="100" t="s">
        <v>169</v>
      </c>
      <c r="G658" s="101">
        <v>607091</v>
      </c>
      <c r="H658" s="102">
        <v>180000</v>
      </c>
      <c r="I658" s="101">
        <v>177195</v>
      </c>
      <c r="J658" s="102">
        <v>585000</v>
      </c>
      <c r="K658" s="207"/>
      <c r="L658" s="207">
        <f>590000-5000</f>
        <v>585000</v>
      </c>
    </row>
    <row r="659" spans="1:12" s="212" customFormat="1" ht="18" customHeight="1" x14ac:dyDescent="0.25">
      <c r="A659" s="154"/>
      <c r="B659" s="502"/>
      <c r="C659" s="502"/>
      <c r="D659" s="44" t="s">
        <v>873</v>
      </c>
      <c r="E659" s="157"/>
      <c r="F659" s="100" t="s">
        <v>173</v>
      </c>
      <c r="G659" s="101">
        <v>27554.05</v>
      </c>
      <c r="H659" s="102">
        <v>50000</v>
      </c>
      <c r="I659" s="101">
        <v>4320.6000000000004</v>
      </c>
      <c r="J659" s="102">
        <v>50000</v>
      </c>
      <c r="K659" s="207"/>
      <c r="L659" s="207"/>
    </row>
    <row r="660" spans="1:12" s="212" customFormat="1" ht="18" x14ac:dyDescent="0.25">
      <c r="A660" s="154"/>
      <c r="B660" s="502"/>
      <c r="C660" s="502"/>
      <c r="D660" s="44" t="s">
        <v>960</v>
      </c>
      <c r="E660" s="402"/>
      <c r="F660" s="100" t="s">
        <v>179</v>
      </c>
      <c r="G660" s="101">
        <v>0</v>
      </c>
      <c r="H660" s="102">
        <v>24000</v>
      </c>
      <c r="I660" s="101"/>
      <c r="J660" s="102">
        <v>24000</v>
      </c>
      <c r="K660" s="207"/>
      <c r="L660" s="207"/>
    </row>
    <row r="661" spans="1:12" s="212" customFormat="1" ht="18" customHeight="1" x14ac:dyDescent="0.25">
      <c r="A661" s="154"/>
      <c r="B661" s="502"/>
      <c r="C661" s="502"/>
      <c r="D661" s="44" t="s">
        <v>961</v>
      </c>
      <c r="E661" s="402"/>
      <c r="F661" s="100" t="s">
        <v>183</v>
      </c>
      <c r="G661" s="101">
        <v>0</v>
      </c>
      <c r="H661" s="102">
        <v>42000</v>
      </c>
      <c r="I661" s="101">
        <v>1701.9</v>
      </c>
      <c r="J661" s="102">
        <v>42000</v>
      </c>
      <c r="K661" s="207"/>
      <c r="L661" s="207"/>
    </row>
    <row r="662" spans="1:12" s="212" customFormat="1" ht="18" customHeight="1" x14ac:dyDescent="0.25">
      <c r="A662" s="154"/>
      <c r="B662" s="502"/>
      <c r="C662" s="502"/>
      <c r="D662" s="44" t="s">
        <v>962</v>
      </c>
      <c r="E662" s="402"/>
      <c r="F662" s="100" t="s">
        <v>356</v>
      </c>
      <c r="G662" s="101">
        <v>0</v>
      </c>
      <c r="H662" s="102">
        <v>40000</v>
      </c>
      <c r="I662" s="101">
        <v>15894.12</v>
      </c>
      <c r="J662" s="102">
        <v>40000</v>
      </c>
      <c r="K662" s="207"/>
      <c r="L662" s="207">
        <f>563*500*12</f>
        <v>3378000</v>
      </c>
    </row>
    <row r="663" spans="1:12" s="212" customFormat="1" ht="18" customHeight="1" x14ac:dyDescent="0.25">
      <c r="A663" s="154"/>
      <c r="B663" s="502"/>
      <c r="C663" s="502"/>
      <c r="D663" s="44" t="s">
        <v>963</v>
      </c>
      <c r="E663" s="402"/>
      <c r="F663" s="100" t="s">
        <v>199</v>
      </c>
      <c r="G663" s="101">
        <v>0</v>
      </c>
      <c r="H663" s="102">
        <v>254000</v>
      </c>
      <c r="I663" s="101"/>
      <c r="J663" s="102">
        <v>254000</v>
      </c>
      <c r="K663" s="207"/>
      <c r="L663" s="207">
        <f>L661-L662</f>
        <v>-3378000</v>
      </c>
    </row>
    <row r="664" spans="1:12" s="212" customFormat="1" ht="18" customHeight="1" x14ac:dyDescent="0.25">
      <c r="A664" s="154"/>
      <c r="B664" s="502"/>
      <c r="C664" s="502"/>
      <c r="D664" s="44"/>
      <c r="E664" s="402"/>
      <c r="F664" s="100"/>
      <c r="G664" s="101"/>
      <c r="H664" s="102"/>
      <c r="I664" s="101"/>
      <c r="J664" s="102"/>
      <c r="K664" s="207"/>
      <c r="L664" s="207"/>
    </row>
    <row r="665" spans="1:12" ht="18" customHeight="1" x14ac:dyDescent="0.25">
      <c r="A665" s="519"/>
      <c r="B665" s="499"/>
      <c r="C665" s="499"/>
      <c r="D665" s="129" t="s">
        <v>799</v>
      </c>
      <c r="E665" s="152"/>
      <c r="F665" s="186"/>
      <c r="G665" s="101"/>
      <c r="H665" s="102"/>
      <c r="I665" s="101"/>
      <c r="J665" s="102"/>
    </row>
    <row r="666" spans="1:12" ht="18" customHeight="1" x14ac:dyDescent="0.25">
      <c r="A666" s="519"/>
      <c r="B666" s="499"/>
      <c r="C666" s="499"/>
      <c r="D666" s="44" t="s">
        <v>1328</v>
      </c>
      <c r="E666" s="152"/>
      <c r="F666" s="186"/>
      <c r="G666" s="101"/>
      <c r="H666" s="102"/>
      <c r="I666" s="101"/>
      <c r="J666" s="102">
        <v>50000</v>
      </c>
    </row>
    <row r="667" spans="1:12" ht="18" x14ac:dyDescent="0.25">
      <c r="A667" s="519"/>
      <c r="B667" s="499"/>
      <c r="C667" s="499"/>
      <c r="D667" s="536" t="s">
        <v>1327</v>
      </c>
      <c r="E667" s="507"/>
      <c r="F667" s="100"/>
      <c r="G667" s="101"/>
      <c r="H667" s="102">
        <v>150000</v>
      </c>
      <c r="I667" s="101"/>
      <c r="J667" s="102">
        <v>320000</v>
      </c>
    </row>
    <row r="668" spans="1:12" ht="18" x14ac:dyDescent="0.25">
      <c r="A668" s="519"/>
      <c r="B668" s="499"/>
      <c r="C668" s="499"/>
      <c r="D668" s="536" t="s">
        <v>964</v>
      </c>
      <c r="E668" s="507"/>
      <c r="F668" s="100"/>
      <c r="G668" s="101"/>
      <c r="H668" s="102"/>
      <c r="I668" s="101"/>
      <c r="J668" s="102">
        <v>50000</v>
      </c>
    </row>
    <row r="669" spans="1:12" ht="18" x14ac:dyDescent="0.25">
      <c r="A669" s="519"/>
      <c r="B669" s="499"/>
      <c r="C669" s="499"/>
      <c r="D669" s="536" t="s">
        <v>965</v>
      </c>
      <c r="E669" s="507"/>
      <c r="F669" s="100"/>
      <c r="G669" s="101"/>
      <c r="H669" s="102"/>
      <c r="I669" s="101"/>
      <c r="J669" s="102">
        <v>50000</v>
      </c>
    </row>
    <row r="670" spans="1:12" ht="18" x14ac:dyDescent="0.25">
      <c r="A670" s="519"/>
      <c r="B670" s="499"/>
      <c r="C670" s="499"/>
      <c r="D670" s="536" t="s">
        <v>966</v>
      </c>
      <c r="E670" s="507"/>
      <c r="F670" s="100"/>
      <c r="G670" s="101"/>
      <c r="H670" s="102"/>
      <c r="I670" s="101"/>
      <c r="J670" s="102">
        <v>84000</v>
      </c>
      <c r="L670" s="10">
        <f>26000*2</f>
        <v>52000</v>
      </c>
    </row>
    <row r="671" spans="1:12" ht="18" x14ac:dyDescent="0.25">
      <c r="A671" s="519"/>
      <c r="B671" s="499"/>
      <c r="C671" s="499"/>
      <c r="D671" s="536" t="s">
        <v>967</v>
      </c>
      <c r="E671" s="507"/>
      <c r="F671" s="100"/>
      <c r="G671" s="101"/>
      <c r="H671" s="102">
        <v>20000</v>
      </c>
      <c r="I671" s="101"/>
      <c r="J671" s="102"/>
      <c r="L671" s="10">
        <f>16000*2</f>
        <v>32000</v>
      </c>
    </row>
    <row r="672" spans="1:12" ht="18" x14ac:dyDescent="0.25">
      <c r="A672" s="519"/>
      <c r="B672" s="499"/>
      <c r="C672" s="499"/>
      <c r="D672" s="404" t="s">
        <v>15</v>
      </c>
      <c r="F672" s="100"/>
      <c r="G672" s="119">
        <f>SUM(G656:G671)</f>
        <v>698337.49</v>
      </c>
      <c r="H672" s="119">
        <f>SUM(H656:H671)</f>
        <v>1000000</v>
      </c>
      <c r="I672" s="119">
        <f>SUM(I656:I671)</f>
        <v>211080.33</v>
      </c>
      <c r="J672" s="119">
        <f>SUM(J656:J671)</f>
        <v>1789000</v>
      </c>
      <c r="L672" s="10">
        <f>563*250*6</f>
        <v>844500</v>
      </c>
    </row>
    <row r="673" spans="1:12" ht="18" x14ac:dyDescent="0.25">
      <c r="A673" s="519"/>
      <c r="B673" s="499"/>
      <c r="C673" s="499"/>
      <c r="D673" s="43"/>
      <c r="E673" s="404"/>
      <c r="F673" s="100"/>
      <c r="G673" s="155"/>
      <c r="H673" s="156"/>
      <c r="I673" s="155"/>
      <c r="J673" s="155"/>
    </row>
    <row r="674" spans="1:12" ht="18" x14ac:dyDescent="0.25">
      <c r="A674" s="519"/>
      <c r="B674" s="499"/>
      <c r="C674" s="499"/>
      <c r="D674" s="406" t="s">
        <v>968</v>
      </c>
      <c r="E674" s="404"/>
      <c r="F674" s="100"/>
      <c r="G674" s="155"/>
      <c r="H674" s="156"/>
      <c r="I674" s="155"/>
      <c r="J674" s="155"/>
    </row>
    <row r="675" spans="1:12" ht="18" x14ac:dyDescent="0.25">
      <c r="A675" s="519"/>
      <c r="B675" s="499"/>
      <c r="C675" s="499"/>
      <c r="D675" s="407" t="s">
        <v>969</v>
      </c>
      <c r="E675" s="404"/>
      <c r="F675" s="100"/>
      <c r="G675" s="155"/>
      <c r="H675" s="408">
        <v>5000000</v>
      </c>
      <c r="I675" s="155"/>
      <c r="J675" s="155"/>
    </row>
    <row r="676" spans="1:12" ht="18" x14ac:dyDescent="0.25">
      <c r="A676" s="519"/>
      <c r="B676" s="499"/>
      <c r="C676" s="499"/>
      <c r="D676" s="409" t="s">
        <v>970</v>
      </c>
      <c r="E676" s="404"/>
      <c r="F676" s="100"/>
      <c r="G676" s="155"/>
      <c r="H676" s="408">
        <v>2000000</v>
      </c>
      <c r="I676" s="155"/>
      <c r="J676" s="155"/>
    </row>
    <row r="677" spans="1:12" ht="18" x14ac:dyDescent="0.25">
      <c r="A677" s="519"/>
      <c r="B677" s="499"/>
      <c r="C677" s="499"/>
      <c r="D677" s="409" t="s">
        <v>971</v>
      </c>
      <c r="E677" s="404"/>
      <c r="F677" s="100"/>
      <c r="G677" s="155"/>
      <c r="H677" s="408">
        <v>2000000</v>
      </c>
      <c r="I677" s="155"/>
      <c r="J677" s="155"/>
    </row>
    <row r="678" spans="1:12" ht="18" x14ac:dyDescent="0.25">
      <c r="A678" s="519"/>
      <c r="B678" s="499"/>
      <c r="C678" s="499"/>
      <c r="D678" s="409" t="s">
        <v>972</v>
      </c>
      <c r="E678" s="404"/>
      <c r="F678" s="100"/>
      <c r="G678" s="155"/>
      <c r="H678" s="408">
        <v>1500000</v>
      </c>
      <c r="I678" s="155"/>
      <c r="J678" s="155"/>
    </row>
    <row r="679" spans="1:12" ht="18" x14ac:dyDescent="0.25">
      <c r="A679" s="519"/>
      <c r="B679" s="499"/>
      <c r="C679" s="499"/>
      <c r="D679" s="409" t="s">
        <v>973</v>
      </c>
      <c r="E679" s="404"/>
      <c r="F679" s="100"/>
      <c r="G679" s="155"/>
      <c r="H679" s="408">
        <v>8000000</v>
      </c>
      <c r="I679" s="155"/>
      <c r="J679" s="155"/>
    </row>
    <row r="680" spans="1:12" ht="18" x14ac:dyDescent="0.25">
      <c r="A680" s="519"/>
      <c r="B680" s="499"/>
      <c r="C680" s="499"/>
      <c r="D680" s="409" t="s">
        <v>974</v>
      </c>
      <c r="E680" s="404"/>
      <c r="F680" s="100"/>
      <c r="G680" s="155"/>
      <c r="H680" s="408">
        <v>2000000</v>
      </c>
      <c r="I680" s="155"/>
      <c r="J680" s="155"/>
    </row>
    <row r="681" spans="1:12" ht="18" x14ac:dyDescent="0.25">
      <c r="A681" s="519"/>
      <c r="B681" s="499"/>
      <c r="C681" s="499"/>
      <c r="D681" s="409" t="s">
        <v>975</v>
      </c>
      <c r="E681" s="404"/>
      <c r="F681" s="100"/>
      <c r="G681" s="109"/>
      <c r="H681" s="410">
        <v>3364715.97</v>
      </c>
      <c r="I681" s="109"/>
      <c r="J681" s="109"/>
    </row>
    <row r="682" spans="1:12" ht="18" x14ac:dyDescent="0.25">
      <c r="A682" s="519"/>
      <c r="B682" s="499"/>
      <c r="C682" s="499"/>
      <c r="D682" s="404" t="s">
        <v>15</v>
      </c>
      <c r="F682" s="100"/>
      <c r="G682" s="119"/>
      <c r="H682" s="411">
        <f>SUM(H675:H681)</f>
        <v>23864715.969999999</v>
      </c>
      <c r="I682" s="119"/>
      <c r="J682" s="119"/>
    </row>
    <row r="683" spans="1:12" ht="18" x14ac:dyDescent="0.25">
      <c r="A683" s="519"/>
      <c r="B683" s="499"/>
      <c r="C683" s="499"/>
      <c r="D683" s="43"/>
      <c r="E683" s="404"/>
      <c r="F683" s="100"/>
      <c r="G683" s="155"/>
      <c r="H683" s="412"/>
      <c r="I683" s="155"/>
      <c r="J683" s="155"/>
    </row>
    <row r="684" spans="1:12" ht="18" x14ac:dyDescent="0.25">
      <c r="A684" s="519"/>
      <c r="B684" s="499"/>
      <c r="C684" s="499"/>
      <c r="D684" s="1620" t="s">
        <v>977</v>
      </c>
      <c r="E684" s="1620"/>
      <c r="F684" s="100"/>
      <c r="G684" s="101"/>
      <c r="H684" s="102"/>
      <c r="I684" s="101"/>
      <c r="J684" s="101"/>
    </row>
    <row r="685" spans="1:12" ht="18" x14ac:dyDescent="0.25">
      <c r="A685" s="519"/>
      <c r="B685" s="499"/>
      <c r="C685" s="499"/>
      <c r="D685" s="536" t="s">
        <v>978</v>
      </c>
      <c r="E685" s="499"/>
      <c r="F685" s="100"/>
      <c r="G685" s="101">
        <v>1888000</v>
      </c>
      <c r="H685" s="102">
        <v>5000000</v>
      </c>
      <c r="I685" s="101">
        <v>623000</v>
      </c>
      <c r="J685" s="102">
        <v>5000000</v>
      </c>
    </row>
    <row r="686" spans="1:12" ht="18" x14ac:dyDescent="0.25">
      <c r="A686" s="519"/>
      <c r="B686" s="499"/>
      <c r="C686" s="499"/>
      <c r="D686" s="38" t="s">
        <v>979</v>
      </c>
      <c r="E686" s="198"/>
      <c r="F686" s="100"/>
      <c r="G686" s="101">
        <v>46200</v>
      </c>
      <c r="H686" s="102">
        <v>300000</v>
      </c>
      <c r="I686" s="101"/>
      <c r="J686" s="102">
        <v>300000</v>
      </c>
    </row>
    <row r="687" spans="1:12" s="415" customFormat="1" ht="18" x14ac:dyDescent="0.25">
      <c r="A687" s="519"/>
      <c r="B687" s="499"/>
      <c r="C687" s="499"/>
      <c r="D687" s="38" t="s">
        <v>980</v>
      </c>
      <c r="E687" s="199"/>
      <c r="F687" s="100"/>
      <c r="G687" s="101">
        <v>6347125</v>
      </c>
      <c r="H687" s="102">
        <v>6739000</v>
      </c>
      <c r="I687" s="101">
        <v>2625750</v>
      </c>
      <c r="J687" s="102">
        <v>6739000</v>
      </c>
      <c r="K687" s="10"/>
      <c r="L687" s="10"/>
    </row>
    <row r="688" spans="1:12" ht="18" x14ac:dyDescent="0.25">
      <c r="A688" s="519"/>
      <c r="B688" s="499"/>
      <c r="C688" s="499"/>
      <c r="D688" s="38" t="s">
        <v>981</v>
      </c>
      <c r="E688" s="199"/>
      <c r="F688" s="100"/>
      <c r="G688" s="101">
        <v>61692</v>
      </c>
      <c r="H688" s="102">
        <v>200000</v>
      </c>
      <c r="I688" s="101"/>
      <c r="J688" s="102">
        <v>200000</v>
      </c>
    </row>
    <row r="689" spans="1:12" ht="18" x14ac:dyDescent="0.25">
      <c r="A689" s="519"/>
      <c r="B689" s="499"/>
      <c r="C689" s="499"/>
      <c r="D689" s="38" t="s">
        <v>982</v>
      </c>
      <c r="E689" s="199"/>
      <c r="F689" s="100"/>
      <c r="G689" s="101"/>
      <c r="H689" s="102">
        <v>5000000</v>
      </c>
      <c r="I689" s="101"/>
      <c r="J689" s="101"/>
    </row>
    <row r="690" spans="1:12" ht="18" x14ac:dyDescent="0.25">
      <c r="A690" s="519"/>
      <c r="B690" s="499"/>
      <c r="C690" s="499"/>
      <c r="D690" s="404" t="s">
        <v>15</v>
      </c>
      <c r="F690" s="100"/>
      <c r="G690" s="119">
        <f>SUM(G684:G689)</f>
        <v>8343017</v>
      </c>
      <c r="H690" s="119">
        <f>SUM(H684:H689)</f>
        <v>17239000</v>
      </c>
      <c r="I690" s="119">
        <f>SUM(I684:I689)</f>
        <v>3248750</v>
      </c>
      <c r="J690" s="119">
        <f>SUM(J684:J689)</f>
        <v>12239000</v>
      </c>
    </row>
    <row r="691" spans="1:12" ht="18" x14ac:dyDescent="0.25">
      <c r="A691" s="519"/>
      <c r="B691" s="499"/>
      <c r="C691" s="499"/>
      <c r="D691" s="513"/>
      <c r="E691" s="404"/>
      <c r="F691" s="100"/>
      <c r="G691" s="155"/>
      <c r="H691" s="156"/>
      <c r="I691" s="155"/>
      <c r="J691" s="155"/>
    </row>
    <row r="692" spans="1:12" ht="18" x14ac:dyDescent="0.25">
      <c r="A692" s="519"/>
      <c r="B692" s="499"/>
      <c r="C692" s="499"/>
      <c r="D692" s="36" t="s">
        <v>983</v>
      </c>
      <c r="E692" s="199"/>
      <c r="F692" s="100"/>
      <c r="G692" s="101"/>
      <c r="H692" s="102"/>
      <c r="I692" s="101"/>
      <c r="J692" s="101"/>
    </row>
    <row r="693" spans="1:12" ht="18" x14ac:dyDescent="0.25">
      <c r="A693" s="519"/>
      <c r="B693" s="499"/>
      <c r="C693" s="499"/>
      <c r="D693" s="407" t="s">
        <v>984</v>
      </c>
      <c r="E693" s="199"/>
      <c r="F693" s="100"/>
      <c r="G693" s="101"/>
      <c r="H693" s="102">
        <v>700000</v>
      </c>
      <c r="I693" s="101"/>
      <c r="J693" s="101">
        <v>700000</v>
      </c>
    </row>
    <row r="694" spans="1:12" ht="37.5" customHeight="1" x14ac:dyDescent="0.25">
      <c r="A694" s="519"/>
      <c r="B694" s="499"/>
      <c r="C694" s="499"/>
      <c r="D694" s="1652" t="s">
        <v>985</v>
      </c>
      <c r="E694" s="1652"/>
      <c r="F694" s="100"/>
      <c r="G694" s="101"/>
      <c r="H694" s="102">
        <v>500000</v>
      </c>
      <c r="I694" s="101"/>
      <c r="J694" s="101">
        <v>500000</v>
      </c>
    </row>
    <row r="695" spans="1:12" ht="51.75" customHeight="1" x14ac:dyDescent="0.25">
      <c r="A695" s="519"/>
      <c r="B695" s="499"/>
      <c r="C695" s="499"/>
      <c r="D695" s="1652" t="s">
        <v>986</v>
      </c>
      <c r="E695" s="1652"/>
      <c r="F695" s="100"/>
      <c r="G695" s="101"/>
      <c r="H695" s="102">
        <v>500000</v>
      </c>
      <c r="I695" s="101"/>
      <c r="J695" s="101">
        <v>500000</v>
      </c>
    </row>
    <row r="696" spans="1:12" ht="71.25" customHeight="1" x14ac:dyDescent="0.25">
      <c r="A696" s="519"/>
      <c r="B696" s="499"/>
      <c r="C696" s="499"/>
      <c r="D696" s="1652" t="s">
        <v>987</v>
      </c>
      <c r="E696" s="1652"/>
      <c r="F696" s="100"/>
      <c r="G696" s="101"/>
      <c r="H696" s="102">
        <v>500000</v>
      </c>
      <c r="I696" s="101"/>
      <c r="J696" s="101">
        <v>500000</v>
      </c>
    </row>
    <row r="697" spans="1:12" ht="18" x14ac:dyDescent="0.25">
      <c r="A697" s="519"/>
      <c r="B697" s="499"/>
      <c r="C697" s="499"/>
      <c r="D697" s="38" t="s">
        <v>988</v>
      </c>
      <c r="E697" s="3"/>
      <c r="F697" s="100"/>
      <c r="G697" s="101">
        <v>6325500</v>
      </c>
      <c r="H697" s="102">
        <v>10328000</v>
      </c>
      <c r="I697" s="101">
        <v>1563000</v>
      </c>
      <c r="J697" s="101">
        <v>13000000</v>
      </c>
    </row>
    <row r="698" spans="1:12" ht="76.5" customHeight="1" x14ac:dyDescent="0.25">
      <c r="A698" s="519"/>
      <c r="B698" s="499"/>
      <c r="C698" s="499"/>
      <c r="D698" s="1651" t="s">
        <v>989</v>
      </c>
      <c r="E698" s="1651"/>
      <c r="F698" s="100"/>
      <c r="G698" s="101">
        <v>435410.15</v>
      </c>
      <c r="H698" s="102">
        <v>500000</v>
      </c>
      <c r="I698" s="101"/>
      <c r="J698" s="101">
        <v>500000</v>
      </c>
      <c r="L698" s="10">
        <f>563*12*500</f>
        <v>3378000</v>
      </c>
    </row>
    <row r="699" spans="1:12" ht="33.75" customHeight="1" x14ac:dyDescent="0.25">
      <c r="A699" s="519"/>
      <c r="B699" s="499"/>
      <c r="C699" s="499"/>
      <c r="D699" s="1628" t="s">
        <v>990</v>
      </c>
      <c r="E699" s="1628"/>
      <c r="F699" s="100"/>
      <c r="G699" s="101"/>
      <c r="H699" s="102">
        <v>500000</v>
      </c>
      <c r="I699" s="101">
        <v>222997.87</v>
      </c>
      <c r="J699" s="101">
        <v>550000</v>
      </c>
    </row>
    <row r="700" spans="1:12" ht="21" customHeight="1" x14ac:dyDescent="0.25">
      <c r="A700" s="519"/>
      <c r="B700" s="499"/>
      <c r="C700" s="499"/>
      <c r="D700" s="1650" t="s">
        <v>991</v>
      </c>
      <c r="E700" s="1650"/>
      <c r="F700" s="100"/>
      <c r="G700" s="101"/>
      <c r="H700" s="102">
        <v>500000</v>
      </c>
      <c r="I700" s="101"/>
      <c r="J700" s="101">
        <v>500000</v>
      </c>
    </row>
    <row r="701" spans="1:12" ht="33.75" customHeight="1" x14ac:dyDescent="0.25">
      <c r="A701" s="519"/>
      <c r="B701" s="499"/>
      <c r="C701" s="499"/>
      <c r="D701" s="1651" t="s">
        <v>992</v>
      </c>
      <c r="E701" s="1651"/>
      <c r="F701" s="100"/>
      <c r="G701" s="101"/>
      <c r="H701" s="102">
        <v>15000000</v>
      </c>
      <c r="I701" s="101"/>
      <c r="J701" s="101">
        <v>15000000</v>
      </c>
    </row>
    <row r="702" spans="1:12" ht="18.75" thickBot="1" x14ac:dyDescent="0.3">
      <c r="A702" s="187"/>
      <c r="B702" s="413"/>
      <c r="C702" s="413"/>
      <c r="D702" s="583" t="s">
        <v>15</v>
      </c>
      <c r="E702" s="556"/>
      <c r="F702" s="308"/>
      <c r="G702" s="457">
        <f>SUM(G693:G701)</f>
        <v>6760910.1500000004</v>
      </c>
      <c r="H702" s="457">
        <f>SUM(H693:H701)</f>
        <v>29028000</v>
      </c>
      <c r="I702" s="457">
        <f>SUM(I693:I701)</f>
        <v>1785997.87</v>
      </c>
      <c r="J702" s="457">
        <f>SUM(J693:J701)</f>
        <v>31750000</v>
      </c>
      <c r="L702" s="10">
        <f>563*2000</f>
        <v>1126000</v>
      </c>
    </row>
    <row r="703" spans="1:12" ht="18" x14ac:dyDescent="0.25">
      <c r="A703" s="499"/>
      <c r="B703" s="499"/>
      <c r="C703" s="499"/>
      <c r="D703" s="513"/>
      <c r="E703" s="499"/>
      <c r="F703" s="381"/>
      <c r="G703" s="141"/>
      <c r="H703" s="122"/>
      <c r="I703" s="141"/>
      <c r="J703" s="141"/>
    </row>
    <row r="704" spans="1:12" ht="18" customHeight="1" x14ac:dyDescent="0.25">
      <c r="A704" s="8" t="s">
        <v>112</v>
      </c>
    </row>
    <row r="705" spans="1:14" ht="18" customHeight="1" x14ac:dyDescent="0.25">
      <c r="A705" s="8" t="s">
        <v>950</v>
      </c>
    </row>
    <row r="706" spans="1:14" ht="18" customHeight="1" x14ac:dyDescent="0.25">
      <c r="A706" s="1636" t="s">
        <v>113</v>
      </c>
      <c r="B706" s="1636"/>
      <c r="C706" s="1636"/>
      <c r="D706" s="1636"/>
      <c r="E706" s="1636"/>
      <c r="F706" s="1636"/>
      <c r="G706" s="1636"/>
      <c r="H706" s="1636"/>
      <c r="I706" s="1636"/>
      <c r="J706" s="1636"/>
    </row>
    <row r="707" spans="1:14" s="7" customFormat="1" ht="18" customHeight="1" x14ac:dyDescent="0.25">
      <c r="A707" s="1624" t="s">
        <v>114</v>
      </c>
      <c r="B707" s="1624"/>
      <c r="C707" s="1624"/>
      <c r="D707" s="1624"/>
      <c r="E707" s="1624"/>
      <c r="F707" s="1624"/>
      <c r="G707" s="1624"/>
      <c r="H707" s="1624"/>
      <c r="I707" s="1624"/>
      <c r="J707" s="1624"/>
      <c r="K707" s="6"/>
      <c r="L707" s="6"/>
    </row>
    <row r="708" spans="1:14" ht="18.75" thickBot="1" x14ac:dyDescent="0.3">
      <c r="A708" s="41"/>
      <c r="B708" s="41"/>
      <c r="C708" s="41"/>
      <c r="D708" s="63"/>
      <c r="E708" s="41"/>
      <c r="F708" s="41"/>
    </row>
    <row r="709" spans="1:14" ht="62.25" customHeight="1" thickBot="1" x14ac:dyDescent="0.3">
      <c r="A709" s="1625" t="s">
        <v>115</v>
      </c>
      <c r="B709" s="1626"/>
      <c r="C709" s="1626"/>
      <c r="D709" s="1626"/>
      <c r="E709" s="1626"/>
      <c r="F709" s="93" t="s">
        <v>116</v>
      </c>
      <c r="G709" s="130" t="s">
        <v>117</v>
      </c>
      <c r="H709" s="130" t="s">
        <v>118</v>
      </c>
      <c r="I709" s="130" t="s">
        <v>119</v>
      </c>
      <c r="J709" s="130" t="s">
        <v>120</v>
      </c>
    </row>
    <row r="710" spans="1:14" ht="18" x14ac:dyDescent="0.25">
      <c r="A710" s="519"/>
      <c r="B710" s="499"/>
      <c r="C710" s="499"/>
      <c r="D710" s="540" t="s">
        <v>993</v>
      </c>
      <c r="E710" s="199"/>
      <c r="F710" s="100"/>
      <c r="G710" s="101"/>
      <c r="H710" s="102"/>
      <c r="I710" s="101"/>
      <c r="J710" s="101"/>
    </row>
    <row r="711" spans="1:14" ht="18" x14ac:dyDescent="0.25">
      <c r="A711" s="519"/>
      <c r="B711" s="499"/>
      <c r="C711" s="499"/>
      <c r="D711" s="38" t="s">
        <v>994</v>
      </c>
      <c r="E711" s="157"/>
      <c r="F711" s="100"/>
      <c r="G711" s="101">
        <v>0</v>
      </c>
      <c r="H711" s="102">
        <v>787680</v>
      </c>
      <c r="I711" s="101"/>
      <c r="J711" s="101">
        <v>1181475</v>
      </c>
    </row>
    <row r="712" spans="1:14" ht="18" x14ac:dyDescent="0.25">
      <c r="A712" s="519"/>
      <c r="B712" s="499"/>
      <c r="C712" s="499"/>
      <c r="D712" s="38" t="s">
        <v>995</v>
      </c>
      <c r="E712" s="157"/>
      <c r="F712" s="100"/>
      <c r="G712" s="101"/>
      <c r="H712" s="102"/>
      <c r="I712" s="101"/>
      <c r="J712" s="101"/>
      <c r="L712" s="10">
        <f>SUM(L698:L711)</f>
        <v>4504000</v>
      </c>
    </row>
    <row r="713" spans="1:14" ht="18" x14ac:dyDescent="0.25">
      <c r="A713" s="519"/>
      <c r="B713" s="499"/>
      <c r="C713" s="499"/>
      <c r="D713" s="516" t="s">
        <v>996</v>
      </c>
      <c r="E713" s="157"/>
      <c r="F713" s="100"/>
      <c r="G713" s="101">
        <v>0</v>
      </c>
      <c r="H713" s="102">
        <v>75000</v>
      </c>
      <c r="I713" s="101"/>
      <c r="J713" s="101">
        <v>75000</v>
      </c>
    </row>
    <row r="714" spans="1:14" ht="18" x14ac:dyDescent="0.25">
      <c r="A714" s="519"/>
      <c r="B714" s="499"/>
      <c r="C714" s="499"/>
      <c r="D714" s="38" t="s">
        <v>997</v>
      </c>
      <c r="E714" s="157"/>
      <c r="F714" s="100"/>
      <c r="G714" s="101">
        <v>0</v>
      </c>
      <c r="H714" s="102">
        <v>50000</v>
      </c>
      <c r="I714" s="101"/>
      <c r="J714" s="101">
        <v>50000</v>
      </c>
      <c r="L714" s="10">
        <f>563*250*6</f>
        <v>844500</v>
      </c>
    </row>
    <row r="715" spans="1:14" ht="18" x14ac:dyDescent="0.25">
      <c r="A715" s="519"/>
      <c r="B715" s="499"/>
      <c r="C715" s="499"/>
      <c r="D715" s="38" t="s">
        <v>998</v>
      </c>
      <c r="E715" s="303"/>
      <c r="F715" s="100"/>
      <c r="G715" s="101">
        <v>0</v>
      </c>
      <c r="H715" s="102">
        <v>25000</v>
      </c>
      <c r="I715" s="101"/>
      <c r="J715" s="101">
        <v>25000</v>
      </c>
      <c r="L715" s="10">
        <f>SUM(L712:L714)</f>
        <v>5348500</v>
      </c>
    </row>
    <row r="716" spans="1:14" ht="18" x14ac:dyDescent="0.25">
      <c r="A716" s="519"/>
      <c r="B716" s="499"/>
      <c r="C716" s="499"/>
      <c r="D716" s="38" t="s">
        <v>999</v>
      </c>
      <c r="E716" s="303"/>
      <c r="F716" s="100"/>
      <c r="G716" s="101">
        <v>0</v>
      </c>
      <c r="H716" s="102">
        <v>25000</v>
      </c>
      <c r="I716" s="101"/>
      <c r="J716" s="101">
        <v>25000</v>
      </c>
    </row>
    <row r="717" spans="1:14" ht="18" x14ac:dyDescent="0.25">
      <c r="A717" s="519"/>
      <c r="B717" s="499"/>
      <c r="C717" s="499"/>
      <c r="D717" s="38" t="s">
        <v>1000</v>
      </c>
      <c r="E717" s="303"/>
      <c r="F717" s="100"/>
      <c r="G717" s="101"/>
      <c r="H717" s="102">
        <v>2000000</v>
      </c>
      <c r="I717" s="101"/>
      <c r="J717" s="101">
        <v>2000000</v>
      </c>
    </row>
    <row r="718" spans="1:14" ht="18" x14ac:dyDescent="0.25">
      <c r="A718" s="519"/>
      <c r="B718" s="499"/>
      <c r="C718" s="499"/>
      <c r="D718" s="38" t="s">
        <v>1001</v>
      </c>
      <c r="E718" s="303"/>
      <c r="F718" s="100"/>
      <c r="G718" s="101">
        <v>145176.70000000001</v>
      </c>
      <c r="H718" s="102"/>
      <c r="I718" s="101"/>
      <c r="J718" s="101"/>
    </row>
    <row r="719" spans="1:14" ht="18" x14ac:dyDescent="0.25">
      <c r="A719" s="519"/>
      <c r="B719" s="499"/>
      <c r="C719" s="499"/>
      <c r="D719" s="38" t="s">
        <v>1002</v>
      </c>
      <c r="E719" s="303"/>
      <c r="F719" s="100"/>
      <c r="G719" s="105"/>
      <c r="H719" s="106"/>
      <c r="I719" s="105"/>
      <c r="J719" s="105">
        <v>680000</v>
      </c>
    </row>
    <row r="720" spans="1:14" s="146" customFormat="1" ht="18" x14ac:dyDescent="0.25">
      <c r="A720" s="519"/>
      <c r="B720" s="499"/>
      <c r="C720" s="499"/>
      <c r="D720" s="404" t="s">
        <v>15</v>
      </c>
      <c r="F720" s="100"/>
      <c r="G720" s="259">
        <f>SUM(G711:G719)</f>
        <v>145176.70000000001</v>
      </c>
      <c r="H720" s="259">
        <f>SUM(H711:H719)</f>
        <v>2962680</v>
      </c>
      <c r="I720" s="259">
        <f>SUM(I711:I719)</f>
        <v>0</v>
      </c>
      <c r="J720" s="259">
        <f>SUM(J711:J719)</f>
        <v>4036475</v>
      </c>
      <c r="K720" s="10"/>
      <c r="L720" s="10"/>
      <c r="M720"/>
      <c r="N720"/>
    </row>
    <row r="721" spans="1:14" s="146" customFormat="1" ht="18" x14ac:dyDescent="0.25">
      <c r="A721" s="519"/>
      <c r="B721" s="499"/>
      <c r="C721" s="499"/>
      <c r="D721" s="416"/>
      <c r="E721" s="514"/>
      <c r="F721" s="195"/>
      <c r="G721" s="101"/>
      <c r="H721" s="102"/>
      <c r="I721" s="101"/>
      <c r="J721" s="101"/>
      <c r="K721" s="10"/>
      <c r="L721" s="10"/>
      <c r="M721"/>
      <c r="N721"/>
    </row>
    <row r="722" spans="1:14" s="146" customFormat="1" ht="18" x14ac:dyDescent="0.25">
      <c r="A722" s="519"/>
      <c r="B722" s="499"/>
      <c r="C722" s="499"/>
      <c r="D722" s="540" t="s">
        <v>1004</v>
      </c>
      <c r="E722" s="199"/>
      <c r="F722" s="100"/>
      <c r="G722" s="101"/>
      <c r="H722" s="102"/>
      <c r="I722" s="101"/>
      <c r="J722" s="101"/>
      <c r="K722" s="10"/>
      <c r="L722" s="10"/>
      <c r="M722"/>
      <c r="N722"/>
    </row>
    <row r="723" spans="1:14" s="146" customFormat="1" ht="18" x14ac:dyDescent="0.25">
      <c r="A723" s="519"/>
      <c r="B723" s="499"/>
      <c r="C723" s="499"/>
      <c r="D723" s="38" t="s">
        <v>1005</v>
      </c>
      <c r="E723" s="184"/>
      <c r="F723" s="100"/>
      <c r="G723" s="101">
        <v>416539.65</v>
      </c>
      <c r="H723" s="102">
        <v>870000</v>
      </c>
      <c r="I723" s="101"/>
      <c r="J723" s="101">
        <v>270000</v>
      </c>
      <c r="K723" s="10"/>
      <c r="L723" s="10"/>
      <c r="M723"/>
      <c r="N723"/>
    </row>
    <row r="724" spans="1:14" s="146" customFormat="1" ht="18" x14ac:dyDescent="0.25">
      <c r="A724" s="519"/>
      <c r="B724" s="499"/>
      <c r="C724" s="499"/>
      <c r="D724" s="38" t="s">
        <v>1006</v>
      </c>
      <c r="E724" s="421"/>
      <c r="F724" s="100"/>
      <c r="G724" s="101">
        <v>367737.3</v>
      </c>
      <c r="H724" s="102">
        <v>947500</v>
      </c>
      <c r="I724" s="101">
        <v>107200</v>
      </c>
      <c r="J724" s="101">
        <v>789000</v>
      </c>
      <c r="K724" s="10"/>
      <c r="L724" s="10"/>
      <c r="M724"/>
      <c r="N724"/>
    </row>
    <row r="725" spans="1:14" s="146" customFormat="1" ht="18" x14ac:dyDescent="0.25">
      <c r="A725" s="519"/>
      <c r="B725" s="499"/>
      <c r="C725" s="499"/>
      <c r="D725" s="38" t="s">
        <v>1007</v>
      </c>
      <c r="E725" s="421"/>
      <c r="F725" s="100"/>
      <c r="G725" s="101">
        <v>0</v>
      </c>
      <c r="H725" s="102">
        <v>2000000</v>
      </c>
      <c r="I725" s="101"/>
      <c r="J725" s="101">
        <v>2000000</v>
      </c>
      <c r="K725" s="10"/>
      <c r="L725" s="10"/>
      <c r="M725"/>
      <c r="N725"/>
    </row>
    <row r="726" spans="1:14" s="146" customFormat="1" ht="18" x14ac:dyDescent="0.25">
      <c r="A726" s="519"/>
      <c r="B726" s="499"/>
      <c r="C726" s="499"/>
      <c r="D726" s="38" t="s">
        <v>1008</v>
      </c>
      <c r="E726" s="204"/>
      <c r="F726" s="100"/>
      <c r="G726" s="101">
        <v>0</v>
      </c>
      <c r="H726" s="102">
        <v>1000000</v>
      </c>
      <c r="I726" s="101"/>
      <c r="J726" s="101"/>
      <c r="K726" s="10"/>
      <c r="L726" s="10"/>
      <c r="M726"/>
      <c r="N726"/>
    </row>
    <row r="727" spans="1:14" s="146" customFormat="1" ht="18" x14ac:dyDescent="0.25">
      <c r="A727" s="519"/>
      <c r="B727" s="499"/>
      <c r="C727" s="499"/>
      <c r="D727" s="38" t="s">
        <v>1009</v>
      </c>
      <c r="E727" s="204"/>
      <c r="F727" s="100"/>
      <c r="G727" s="101"/>
      <c r="H727" s="102"/>
      <c r="I727" s="101"/>
      <c r="J727" s="101">
        <v>1570000</v>
      </c>
      <c r="K727" s="10"/>
      <c r="L727" s="10"/>
      <c r="M727"/>
      <c r="N727"/>
    </row>
    <row r="728" spans="1:14" s="146" customFormat="1" ht="17.25" customHeight="1" x14ac:dyDescent="0.25">
      <c r="A728" s="519"/>
      <c r="B728" s="499"/>
      <c r="C728" s="499"/>
      <c r="D728" s="38" t="s">
        <v>1010</v>
      </c>
      <c r="E728" s="204"/>
      <c r="F728" s="100"/>
      <c r="G728" s="101">
        <v>0</v>
      </c>
      <c r="H728" s="102">
        <v>50000</v>
      </c>
      <c r="I728" s="101"/>
      <c r="J728" s="101"/>
      <c r="K728" s="10"/>
      <c r="L728" s="10"/>
      <c r="M728"/>
      <c r="N728"/>
    </row>
    <row r="729" spans="1:14" s="146" customFormat="1" ht="18" x14ac:dyDescent="0.25">
      <c r="A729" s="519"/>
      <c r="B729" s="499"/>
      <c r="C729" s="499"/>
      <c r="D729" s="516" t="s">
        <v>1011</v>
      </c>
      <c r="E729" s="204"/>
      <c r="F729" s="100"/>
      <c r="G729" s="101">
        <v>641500</v>
      </c>
      <c r="H729" s="102">
        <v>7158500</v>
      </c>
      <c r="I729" s="101"/>
      <c r="J729" s="101">
        <v>4890000</v>
      </c>
      <c r="K729" s="10"/>
      <c r="L729" s="10"/>
      <c r="M729"/>
      <c r="N729"/>
    </row>
    <row r="730" spans="1:14" s="146" customFormat="1" ht="18" x14ac:dyDescent="0.25">
      <c r="A730" s="519"/>
      <c r="B730" s="499"/>
      <c r="C730" s="499"/>
      <c r="D730" s="516" t="s">
        <v>1012</v>
      </c>
      <c r="E730" s="204"/>
      <c r="F730" s="100"/>
      <c r="G730" s="101"/>
      <c r="H730" s="102"/>
      <c r="I730" s="101"/>
      <c r="J730" s="101">
        <v>250000</v>
      </c>
      <c r="K730" s="10"/>
      <c r="L730" s="10"/>
      <c r="M730"/>
      <c r="N730"/>
    </row>
    <row r="731" spans="1:14" s="146" customFormat="1" ht="18" x14ac:dyDescent="0.25">
      <c r="A731" s="519"/>
      <c r="B731" s="499"/>
      <c r="C731" s="499"/>
      <c r="D731" s="38" t="s">
        <v>1013</v>
      </c>
      <c r="E731" s="184"/>
      <c r="F731" s="100"/>
      <c r="G731" s="101">
        <v>0</v>
      </c>
      <c r="H731" s="102">
        <v>200000</v>
      </c>
      <c r="I731" s="101"/>
      <c r="J731" s="101"/>
      <c r="K731" s="10"/>
      <c r="L731" s="10"/>
      <c r="M731"/>
      <c r="N731"/>
    </row>
    <row r="732" spans="1:14" s="146" customFormat="1" ht="35.25" customHeight="1" x14ac:dyDescent="0.25">
      <c r="A732" s="519"/>
      <c r="B732" s="499"/>
      <c r="C732" s="499"/>
      <c r="D732" s="1623" t="s">
        <v>1014</v>
      </c>
      <c r="E732" s="1623"/>
      <c r="F732" s="100"/>
      <c r="G732" s="101">
        <v>194900</v>
      </c>
      <c r="H732" s="102">
        <v>0</v>
      </c>
      <c r="I732" s="101"/>
      <c r="J732" s="101"/>
      <c r="K732" s="10"/>
      <c r="L732" s="10"/>
      <c r="M732"/>
      <c r="N732"/>
    </row>
    <row r="733" spans="1:14" s="146" customFormat="1" ht="18" x14ac:dyDescent="0.25">
      <c r="A733" s="519"/>
      <c r="B733" s="499"/>
      <c r="C733" s="499"/>
      <c r="D733" s="38" t="s">
        <v>1015</v>
      </c>
      <c r="E733" s="184"/>
      <c r="F733" s="100"/>
      <c r="G733" s="101">
        <v>84083.95</v>
      </c>
      <c r="H733" s="102">
        <v>100000</v>
      </c>
      <c r="I733" s="101"/>
      <c r="J733" s="101">
        <v>120000</v>
      </c>
      <c r="K733" s="10"/>
      <c r="L733" s="10"/>
      <c r="M733"/>
      <c r="N733"/>
    </row>
    <row r="734" spans="1:14" s="146" customFormat="1" ht="18" x14ac:dyDescent="0.25">
      <c r="A734" s="519"/>
      <c r="B734" s="499"/>
      <c r="C734" s="499"/>
      <c r="D734" s="38" t="s">
        <v>1016</v>
      </c>
      <c r="E734" s="204"/>
      <c r="F734" s="100"/>
      <c r="G734" s="101">
        <v>0</v>
      </c>
      <c r="H734" s="102">
        <v>100000</v>
      </c>
      <c r="I734" s="101"/>
      <c r="J734" s="101">
        <v>130000</v>
      </c>
      <c r="K734" s="10"/>
      <c r="L734" s="10"/>
      <c r="M734"/>
      <c r="N734"/>
    </row>
    <row r="735" spans="1:14" s="146" customFormat="1" ht="18" x14ac:dyDescent="0.25">
      <c r="A735" s="519"/>
      <c r="B735" s="499"/>
      <c r="C735" s="499"/>
      <c r="D735" s="38" t="s">
        <v>1017</v>
      </c>
      <c r="E735" s="204"/>
      <c r="F735" s="100"/>
      <c r="G735" s="101">
        <v>200290</v>
      </c>
      <c r="H735" s="102">
        <v>500000</v>
      </c>
      <c r="I735" s="101">
        <v>8800</v>
      </c>
      <c r="J735" s="101">
        <v>670000</v>
      </c>
      <c r="K735" s="10"/>
      <c r="L735" s="10"/>
      <c r="M735"/>
      <c r="N735"/>
    </row>
    <row r="736" spans="1:14" s="146" customFormat="1" ht="18" x14ac:dyDescent="0.25">
      <c r="A736" s="519"/>
      <c r="B736" s="499"/>
      <c r="C736" s="499"/>
      <c r="D736" s="38" t="s">
        <v>1018</v>
      </c>
      <c r="E736" s="204"/>
      <c r="F736" s="100"/>
      <c r="G736" s="101"/>
      <c r="H736" s="102">
        <v>350000</v>
      </c>
      <c r="I736" s="101"/>
      <c r="J736" s="101"/>
      <c r="K736" s="10"/>
      <c r="L736" s="10"/>
      <c r="M736"/>
      <c r="N736"/>
    </row>
    <row r="737" spans="1:14" s="146" customFormat="1" ht="18" x14ac:dyDescent="0.25">
      <c r="A737" s="519"/>
      <c r="B737" s="499"/>
      <c r="C737" s="499"/>
      <c r="D737" s="38" t="s">
        <v>1019</v>
      </c>
      <c r="E737" s="393"/>
      <c r="F737" s="100"/>
      <c r="G737" s="101">
        <v>0</v>
      </c>
      <c r="H737" s="102">
        <v>50000</v>
      </c>
      <c r="I737" s="101"/>
      <c r="J737" s="101">
        <v>50000</v>
      </c>
      <c r="K737" s="10"/>
      <c r="L737" s="10"/>
      <c r="M737"/>
      <c r="N737"/>
    </row>
    <row r="738" spans="1:14" s="146" customFormat="1" ht="18" x14ac:dyDescent="0.25">
      <c r="A738" s="519"/>
      <c r="B738" s="499"/>
      <c r="C738" s="499"/>
      <c r="D738" s="38" t="s">
        <v>1020</v>
      </c>
      <c r="E738" s="393"/>
      <c r="F738" s="100"/>
      <c r="G738" s="101"/>
      <c r="H738" s="102"/>
      <c r="I738" s="101"/>
      <c r="J738" s="101">
        <v>811500</v>
      </c>
      <c r="K738" s="10"/>
      <c r="L738" s="10"/>
      <c r="M738"/>
      <c r="N738"/>
    </row>
    <row r="739" spans="1:14" ht="18" x14ac:dyDescent="0.25">
      <c r="A739" s="519"/>
      <c r="B739" s="499"/>
      <c r="C739" s="499"/>
      <c r="D739" s="404" t="s">
        <v>15</v>
      </c>
      <c r="F739" s="100"/>
      <c r="G739" s="119">
        <f>SUM(G723:G738)</f>
        <v>1905050.9</v>
      </c>
      <c r="H739" s="119">
        <f>SUM(H723:H738)</f>
        <v>13326000</v>
      </c>
      <c r="I739" s="119">
        <f>SUM(I723:I738)</f>
        <v>116000</v>
      </c>
      <c r="J739" s="119">
        <f>SUM(J723:J738)</f>
        <v>11550500</v>
      </c>
    </row>
    <row r="740" spans="1:14" ht="18" x14ac:dyDescent="0.25">
      <c r="A740" s="519"/>
      <c r="B740" s="499"/>
      <c r="C740" s="499"/>
      <c r="D740" s="170"/>
      <c r="E740" s="404"/>
      <c r="F740" s="100"/>
      <c r="G740" s="155"/>
      <c r="H740" s="156"/>
      <c r="I740" s="155"/>
      <c r="J740" s="155"/>
    </row>
    <row r="741" spans="1:14" ht="18" x14ac:dyDescent="0.25">
      <c r="A741" s="519"/>
      <c r="B741" s="499"/>
      <c r="C741" s="499"/>
      <c r="D741" s="540" t="s">
        <v>1021</v>
      </c>
      <c r="E741" s="199"/>
      <c r="F741" s="100"/>
      <c r="G741" s="101"/>
      <c r="H741" s="102"/>
      <c r="I741" s="101"/>
      <c r="J741" s="101"/>
    </row>
    <row r="742" spans="1:14" ht="39" customHeight="1" x14ac:dyDescent="0.25">
      <c r="A742" s="519"/>
      <c r="B742" s="499"/>
      <c r="C742" s="499"/>
      <c r="D742" s="1602" t="s">
        <v>1022</v>
      </c>
      <c r="E742" s="1603"/>
      <c r="F742" s="100"/>
      <c r="G742" s="101"/>
      <c r="H742" s="102"/>
      <c r="I742" s="101"/>
      <c r="J742" s="101">
        <v>103400</v>
      </c>
    </row>
    <row r="743" spans="1:14" s="179" customFormat="1" ht="23.25" customHeight="1" thickBot="1" x14ac:dyDescent="0.3">
      <c r="A743" s="173"/>
      <c r="B743" s="505"/>
      <c r="C743" s="505"/>
      <c r="D743" s="1648" t="s">
        <v>1023</v>
      </c>
      <c r="E743" s="1649"/>
      <c r="F743" s="423"/>
      <c r="G743" s="219">
        <v>74565</v>
      </c>
      <c r="H743" s="220">
        <v>97500</v>
      </c>
      <c r="I743" s="219">
        <v>84775</v>
      </c>
      <c r="J743" s="182"/>
      <c r="K743" s="193"/>
      <c r="L743" s="193"/>
    </row>
    <row r="744" spans="1:14" s="146" customFormat="1" ht="18" x14ac:dyDescent="0.25">
      <c r="A744" s="519"/>
      <c r="B744" s="499"/>
      <c r="C744" s="499"/>
      <c r="D744" s="404" t="s">
        <v>15</v>
      </c>
      <c r="F744" s="100"/>
      <c r="G744" s="155">
        <f>SUM(G742:G743)</f>
        <v>74565</v>
      </c>
      <c r="H744" s="155">
        <f>SUM(H742:H743)</f>
        <v>97500</v>
      </c>
      <c r="I744" s="155">
        <f>SUM(I742:I743)</f>
        <v>84775</v>
      </c>
      <c r="J744" s="155">
        <f>SUM(J742:J743)</f>
        <v>103400</v>
      </c>
      <c r="K744" s="10"/>
      <c r="L744" s="10"/>
      <c r="M744"/>
      <c r="N744"/>
    </row>
    <row r="745" spans="1:14" s="146" customFormat="1" ht="18" x14ac:dyDescent="0.25">
      <c r="A745" s="519"/>
      <c r="B745" s="499"/>
      <c r="C745" s="499"/>
      <c r="D745" s="513"/>
      <c r="E745" s="404"/>
      <c r="F745" s="100"/>
      <c r="G745" s="155"/>
      <c r="H745" s="155"/>
      <c r="I745" s="155"/>
      <c r="J745" s="155"/>
      <c r="K745" s="10"/>
      <c r="L745" s="10"/>
      <c r="M745"/>
      <c r="N745"/>
    </row>
    <row r="746" spans="1:14" s="146" customFormat="1" ht="18" x14ac:dyDescent="0.25">
      <c r="A746" s="519"/>
      <c r="B746" s="499"/>
      <c r="C746" s="499"/>
      <c r="D746" s="1620" t="s">
        <v>1024</v>
      </c>
      <c r="E746" s="1620"/>
      <c r="F746" s="100"/>
      <c r="G746" s="101"/>
      <c r="H746" s="102"/>
      <c r="I746" s="101"/>
      <c r="J746" s="101"/>
      <c r="K746" s="10"/>
      <c r="L746" s="10"/>
      <c r="M746"/>
      <c r="N746"/>
    </row>
    <row r="747" spans="1:14" s="146" customFormat="1" ht="18" x14ac:dyDescent="0.25">
      <c r="A747" s="519"/>
      <c r="B747" s="499"/>
      <c r="C747" s="499"/>
      <c r="D747" s="38" t="s">
        <v>1025</v>
      </c>
      <c r="E747" s="184"/>
      <c r="F747" s="100"/>
      <c r="G747" s="101">
        <v>0</v>
      </c>
      <c r="H747" s="102">
        <v>50000</v>
      </c>
      <c r="I747" s="101"/>
      <c r="J747" s="102"/>
      <c r="K747" s="10"/>
      <c r="L747" s="10"/>
      <c r="M747"/>
      <c r="N747"/>
    </row>
    <row r="748" spans="1:14" s="146" customFormat="1" ht="18" x14ac:dyDescent="0.25">
      <c r="A748" s="519"/>
      <c r="B748" s="499"/>
      <c r="C748" s="499"/>
      <c r="D748" s="38" t="s">
        <v>1026</v>
      </c>
      <c r="E748" s="184"/>
      <c r="F748" s="100"/>
      <c r="G748" s="101">
        <v>0</v>
      </c>
      <c r="H748" s="102"/>
      <c r="I748" s="101"/>
      <c r="J748" s="106"/>
      <c r="K748" s="10"/>
      <c r="L748" s="10"/>
      <c r="M748"/>
      <c r="N748"/>
    </row>
    <row r="749" spans="1:14" s="146" customFormat="1" ht="18" x14ac:dyDescent="0.25">
      <c r="A749" s="519"/>
      <c r="B749" s="499"/>
      <c r="C749" s="499"/>
      <c r="D749" s="404" t="s">
        <v>15</v>
      </c>
      <c r="F749" s="100"/>
      <c r="G749" s="119">
        <f>SUM(G747:G748)</f>
        <v>0</v>
      </c>
      <c r="H749" s="150">
        <f>SUM(H747:H748)</f>
        <v>50000</v>
      </c>
      <c r="I749" s="119">
        <f>SUM(I747:I748)</f>
        <v>0</v>
      </c>
      <c r="J749" s="119">
        <f>SUM(J747:J748)</f>
        <v>0</v>
      </c>
      <c r="K749" s="10"/>
      <c r="L749" s="10"/>
      <c r="M749"/>
      <c r="N749"/>
    </row>
    <row r="750" spans="1:14" s="146" customFormat="1" ht="18.75" thickBot="1" x14ac:dyDescent="0.3">
      <c r="A750" s="519"/>
      <c r="B750" s="499"/>
      <c r="C750" s="499"/>
      <c r="D750" s="404"/>
      <c r="E750" s="573"/>
      <c r="F750" s="100"/>
      <c r="G750" s="155"/>
      <c r="H750" s="156"/>
      <c r="I750" s="155"/>
      <c r="J750" s="155"/>
      <c r="K750" s="10"/>
      <c r="L750" s="10"/>
      <c r="M750"/>
      <c r="N750"/>
    </row>
    <row r="751" spans="1:14" s="146" customFormat="1" ht="18" x14ac:dyDescent="0.25">
      <c r="A751" s="519"/>
      <c r="B751" s="499"/>
      <c r="C751" s="499"/>
      <c r="D751" s="540" t="s">
        <v>1028</v>
      </c>
      <c r="E751" s="113"/>
      <c r="F751" s="425"/>
      <c r="G751" s="101"/>
      <c r="H751" s="102"/>
      <c r="I751" s="101"/>
      <c r="J751" s="101"/>
      <c r="K751" s="10"/>
      <c r="L751" s="10"/>
      <c r="M751"/>
      <c r="N751"/>
    </row>
    <row r="752" spans="1:14" s="313" customFormat="1" ht="18" x14ac:dyDescent="0.25">
      <c r="A752" s="173"/>
      <c r="B752" s="505"/>
      <c r="C752" s="505"/>
      <c r="D752" s="426" t="s">
        <v>1029</v>
      </c>
      <c r="E752" s="174"/>
      <c r="F752" s="423"/>
      <c r="G752" s="101"/>
      <c r="H752" s="102"/>
      <c r="I752" s="101"/>
      <c r="J752" s="102"/>
      <c r="K752" s="193"/>
      <c r="L752" s="193"/>
      <c r="M752" s="179"/>
      <c r="N752" s="179"/>
    </row>
    <row r="753" spans="1:14" s="313" customFormat="1" ht="61.5" customHeight="1" x14ac:dyDescent="0.25">
      <c r="A753" s="173"/>
      <c r="B753" s="505"/>
      <c r="C753" s="505"/>
      <c r="D753" s="1638" t="s">
        <v>1030</v>
      </c>
      <c r="E753" s="1638"/>
      <c r="F753" s="423"/>
      <c r="G753" s="101"/>
      <c r="H753" s="102"/>
      <c r="I753" s="101"/>
      <c r="J753" s="102">
        <v>200000</v>
      </c>
      <c r="K753" s="193"/>
      <c r="L753" s="193"/>
      <c r="M753" s="179"/>
      <c r="N753" s="179"/>
    </row>
    <row r="754" spans="1:14" s="313" customFormat="1" ht="60.75" customHeight="1" x14ac:dyDescent="0.25">
      <c r="A754" s="173"/>
      <c r="B754" s="505"/>
      <c r="C754" s="505"/>
      <c r="D754" s="1638" t="s">
        <v>1031</v>
      </c>
      <c r="E754" s="1638"/>
      <c r="F754" s="423"/>
      <c r="G754" s="101"/>
      <c r="H754" s="102"/>
      <c r="I754" s="101"/>
      <c r="J754" s="102">
        <v>100000</v>
      </c>
      <c r="K754" s="193"/>
      <c r="L754" s="193"/>
      <c r="M754" s="179"/>
      <c r="N754" s="179"/>
    </row>
    <row r="755" spans="1:14" s="313" customFormat="1" ht="35.25" customHeight="1" x14ac:dyDescent="0.25">
      <c r="A755" s="173"/>
      <c r="B755" s="505"/>
      <c r="C755" s="505"/>
      <c r="D755" s="1628" t="s">
        <v>1032</v>
      </c>
      <c r="E755" s="1628"/>
      <c r="F755" s="423"/>
      <c r="G755" s="101"/>
      <c r="H755" s="102"/>
      <c r="I755" s="101"/>
      <c r="J755" s="102">
        <v>200000</v>
      </c>
      <c r="K755" s="193"/>
      <c r="L755" s="193"/>
      <c r="M755" s="179"/>
      <c r="N755" s="179"/>
    </row>
    <row r="756" spans="1:14" s="146" customFormat="1" ht="36" customHeight="1" x14ac:dyDescent="0.25">
      <c r="A756" s="519"/>
      <c r="B756" s="499"/>
      <c r="C756" s="499"/>
      <c r="D756" s="1623" t="s">
        <v>1033</v>
      </c>
      <c r="E756" s="1623"/>
      <c r="F756" s="100"/>
      <c r="G756" s="101"/>
      <c r="H756" s="102">
        <v>1000000</v>
      </c>
      <c r="I756" s="101"/>
      <c r="J756" s="102"/>
      <c r="K756" s="10"/>
      <c r="L756" s="10"/>
      <c r="M756"/>
      <c r="N756"/>
    </row>
    <row r="757" spans="1:14" s="313" customFormat="1" ht="25.5" customHeight="1" x14ac:dyDescent="0.25">
      <c r="A757" s="173"/>
      <c r="B757" s="505"/>
      <c r="C757" s="505"/>
      <c r="D757" s="528" t="s">
        <v>1034</v>
      </c>
      <c r="E757" s="427"/>
      <c r="F757" s="423"/>
      <c r="G757" s="101">
        <v>4319.7</v>
      </c>
      <c r="H757" s="102"/>
      <c r="I757" s="101"/>
      <c r="J757" s="102"/>
      <c r="K757" s="193"/>
      <c r="L757" s="193"/>
      <c r="M757" s="179"/>
      <c r="N757" s="179"/>
    </row>
    <row r="758" spans="1:14" s="313" customFormat="1" ht="25.5" customHeight="1" x14ac:dyDescent="0.25">
      <c r="A758" s="173"/>
      <c r="B758" s="505"/>
      <c r="C758" s="505"/>
      <c r="D758" s="528" t="s">
        <v>1035</v>
      </c>
      <c r="E758" s="427"/>
      <c r="F758" s="423"/>
      <c r="G758" s="101"/>
      <c r="H758" s="102">
        <v>50000</v>
      </c>
      <c r="I758" s="101"/>
      <c r="J758" s="102"/>
      <c r="K758" s="193"/>
      <c r="L758" s="193"/>
      <c r="M758" s="179"/>
      <c r="N758" s="179"/>
    </row>
    <row r="759" spans="1:14" s="146" customFormat="1" ht="18.75" thickBot="1" x14ac:dyDescent="0.3">
      <c r="A759" s="187"/>
      <c r="B759" s="413"/>
      <c r="C759" s="413"/>
      <c r="D759" s="418"/>
      <c r="E759" s="419"/>
      <c r="F759" s="414"/>
      <c r="G759" s="219"/>
      <c r="H759" s="220"/>
      <c r="I759" s="219"/>
      <c r="J759" s="219"/>
      <c r="K759" s="10"/>
      <c r="L759" s="10"/>
      <c r="M759"/>
      <c r="N759"/>
    </row>
    <row r="760" spans="1:14" s="146" customFormat="1" ht="18" x14ac:dyDescent="0.25">
      <c r="A760" s="499"/>
      <c r="B760" s="499"/>
      <c r="C760" s="499"/>
      <c r="D760" s="416"/>
      <c r="E760" s="514"/>
      <c r="F760" s="381"/>
      <c r="G760" s="141"/>
      <c r="H760" s="122"/>
      <c r="I760" s="141"/>
      <c r="J760" s="141"/>
      <c r="K760" s="10"/>
      <c r="L760" s="10"/>
      <c r="M760"/>
      <c r="N760"/>
    </row>
    <row r="761" spans="1:14" ht="18" customHeight="1" x14ac:dyDescent="0.25">
      <c r="A761" s="8" t="s">
        <v>112</v>
      </c>
    </row>
    <row r="762" spans="1:14" ht="18" customHeight="1" x14ac:dyDescent="0.25">
      <c r="A762" s="8" t="s">
        <v>976</v>
      </c>
    </row>
    <row r="763" spans="1:14" ht="18" customHeight="1" x14ac:dyDescent="0.25">
      <c r="A763" s="1636" t="s">
        <v>113</v>
      </c>
      <c r="B763" s="1636"/>
      <c r="C763" s="1636"/>
      <c r="D763" s="1636"/>
      <c r="E763" s="1636"/>
      <c r="F763" s="1636"/>
      <c r="G763" s="1636"/>
      <c r="H763" s="1636"/>
      <c r="I763" s="1636"/>
      <c r="J763" s="1636"/>
    </row>
    <row r="764" spans="1:14" s="7" customFormat="1" ht="18" customHeight="1" x14ac:dyDescent="0.25">
      <c r="A764" s="1624" t="s">
        <v>114</v>
      </c>
      <c r="B764" s="1624"/>
      <c r="C764" s="1624"/>
      <c r="D764" s="1624"/>
      <c r="E764" s="1624"/>
      <c r="F764" s="1624"/>
      <c r="G764" s="1624"/>
      <c r="H764" s="1624"/>
      <c r="I764" s="1624"/>
      <c r="J764" s="1624"/>
      <c r="K764" s="6"/>
      <c r="L764" s="6"/>
    </row>
    <row r="765" spans="1:14" ht="18.75" thickBot="1" x14ac:dyDescent="0.3">
      <c r="A765" s="41"/>
      <c r="B765" s="41"/>
      <c r="C765" s="41"/>
      <c r="D765" s="63"/>
      <c r="E765" s="41"/>
      <c r="F765" s="41"/>
    </row>
    <row r="766" spans="1:14" ht="63.75" customHeight="1" thickBot="1" x14ac:dyDescent="0.3">
      <c r="A766" s="1625" t="s">
        <v>115</v>
      </c>
      <c r="B766" s="1626"/>
      <c r="C766" s="1626"/>
      <c r="D766" s="1626"/>
      <c r="E766" s="1626"/>
      <c r="F766" s="93" t="s">
        <v>116</v>
      </c>
      <c r="G766" s="130" t="s">
        <v>117</v>
      </c>
      <c r="H766" s="130" t="s">
        <v>118</v>
      </c>
      <c r="I766" s="130" t="s">
        <v>119</v>
      </c>
      <c r="J766" s="130" t="s">
        <v>120</v>
      </c>
    </row>
    <row r="767" spans="1:14" s="146" customFormat="1" ht="18" x14ac:dyDescent="0.25">
      <c r="A767" s="519"/>
      <c r="B767" s="499"/>
      <c r="C767" s="499"/>
      <c r="D767" s="540" t="s">
        <v>1028</v>
      </c>
      <c r="E767" s="113"/>
      <c r="F767" s="425"/>
      <c r="G767" s="101"/>
      <c r="H767" s="102"/>
      <c r="I767" s="101"/>
      <c r="J767" s="101"/>
      <c r="K767" s="10"/>
      <c r="L767" s="10"/>
      <c r="M767"/>
      <c r="N767"/>
    </row>
    <row r="768" spans="1:14" s="313" customFormat="1" ht="34.5" customHeight="1" x14ac:dyDescent="0.25">
      <c r="A768" s="173"/>
      <c r="B768" s="505"/>
      <c r="C768" s="505"/>
      <c r="D768" s="1622" t="s">
        <v>1036</v>
      </c>
      <c r="E768" s="1622"/>
      <c r="F768" s="423"/>
      <c r="G768" s="101"/>
      <c r="H768" s="102">
        <v>50000</v>
      </c>
      <c r="I768" s="101"/>
      <c r="J768" s="102">
        <v>50000</v>
      </c>
      <c r="K768" s="193"/>
      <c r="L768" s="193"/>
      <c r="M768" s="179"/>
      <c r="N768" s="179"/>
    </row>
    <row r="769" spans="1:14" s="313" customFormat="1" ht="37.5" customHeight="1" x14ac:dyDescent="0.25">
      <c r="A769" s="173"/>
      <c r="B769" s="505"/>
      <c r="C769" s="505"/>
      <c r="D769" s="1622" t="s">
        <v>1037</v>
      </c>
      <c r="E769" s="1622"/>
      <c r="F769" s="423"/>
      <c r="G769" s="101"/>
      <c r="H769" s="102">
        <v>50000</v>
      </c>
      <c r="I769" s="101"/>
      <c r="J769" s="102">
        <v>50000</v>
      </c>
      <c r="K769" s="193"/>
      <c r="L769" s="193"/>
      <c r="M769" s="179"/>
      <c r="N769" s="179"/>
    </row>
    <row r="770" spans="1:14" s="313" customFormat="1" ht="18" customHeight="1" x14ac:dyDescent="0.25">
      <c r="A770" s="173"/>
      <c r="B770" s="505"/>
      <c r="C770" s="505"/>
      <c r="D770" s="528" t="s">
        <v>1038</v>
      </c>
      <c r="E770" s="533"/>
      <c r="F770" s="423"/>
      <c r="G770" s="101"/>
      <c r="H770" s="102">
        <v>50000</v>
      </c>
      <c r="I770" s="101"/>
      <c r="J770" s="102">
        <v>50000</v>
      </c>
      <c r="K770" s="193"/>
      <c r="L770" s="193"/>
      <c r="M770" s="179"/>
      <c r="N770" s="179"/>
    </row>
    <row r="771" spans="1:14" s="313" customFormat="1" ht="38.25" customHeight="1" x14ac:dyDescent="0.25">
      <c r="A771" s="173"/>
      <c r="B771" s="505"/>
      <c r="C771" s="505"/>
      <c r="D771" s="1622" t="s">
        <v>1039</v>
      </c>
      <c r="E771" s="1622"/>
      <c r="F771" s="423"/>
      <c r="G771" s="101"/>
      <c r="H771" s="102">
        <v>50000</v>
      </c>
      <c r="I771" s="101"/>
      <c r="J771" s="102">
        <v>50000</v>
      </c>
      <c r="K771" s="193"/>
      <c r="L771" s="193"/>
      <c r="M771" s="179"/>
      <c r="N771" s="179"/>
    </row>
    <row r="772" spans="1:14" s="313" customFormat="1" ht="23.25" customHeight="1" x14ac:dyDescent="0.25">
      <c r="A772" s="173" t="s">
        <v>1040</v>
      </c>
      <c r="B772" s="505"/>
      <c r="C772" s="505"/>
      <c r="D772" s="1622" t="s">
        <v>1041</v>
      </c>
      <c r="E772" s="1622"/>
      <c r="F772" s="423"/>
      <c r="G772" s="101"/>
      <c r="H772" s="102">
        <v>542535</v>
      </c>
      <c r="I772" s="101"/>
      <c r="J772" s="102">
        <v>542535</v>
      </c>
      <c r="K772" s="193"/>
      <c r="L772" s="193"/>
      <c r="M772" s="179"/>
      <c r="N772" s="179"/>
    </row>
    <row r="773" spans="1:14" s="313" customFormat="1" ht="19.5" customHeight="1" x14ac:dyDescent="0.25">
      <c r="A773" s="173"/>
      <c r="B773" s="505"/>
      <c r="C773" s="505"/>
      <c r="D773" s="528" t="s">
        <v>1042</v>
      </c>
      <c r="E773" s="533"/>
      <c r="F773" s="423"/>
      <c r="G773" s="101"/>
      <c r="H773" s="102">
        <v>25000</v>
      </c>
      <c r="I773" s="101"/>
      <c r="J773" s="102"/>
      <c r="K773" s="193"/>
      <c r="L773" s="193"/>
      <c r="M773" s="179"/>
      <c r="N773" s="179"/>
    </row>
    <row r="774" spans="1:14" s="146" customFormat="1" ht="18" x14ac:dyDescent="0.25">
      <c r="A774" s="519"/>
      <c r="B774" s="499"/>
      <c r="C774" s="499"/>
      <c r="D774" s="404" t="s">
        <v>15</v>
      </c>
      <c r="F774" s="100"/>
      <c r="G774" s="119">
        <f>SUM(G753:G773)</f>
        <v>4319.7</v>
      </c>
      <c r="H774" s="119">
        <f>SUM(H753:H773)</f>
        <v>1817535</v>
      </c>
      <c r="I774" s="119">
        <f>SUM(I753:I773)</f>
        <v>0</v>
      </c>
      <c r="J774" s="119">
        <f>SUM(J753:J773)</f>
        <v>1242535</v>
      </c>
      <c r="K774" s="10"/>
      <c r="L774" s="10"/>
      <c r="M774"/>
      <c r="N774"/>
    </row>
    <row r="775" spans="1:14" s="146" customFormat="1" ht="18" x14ac:dyDescent="0.25">
      <c r="A775" s="519"/>
      <c r="B775" s="499"/>
      <c r="C775" s="499"/>
      <c r="D775" s="170"/>
      <c r="E775" s="113"/>
      <c r="F775" s="381"/>
      <c r="G775" s="121"/>
      <c r="H775" s="145"/>
      <c r="I775" s="121"/>
      <c r="J775" s="121"/>
      <c r="K775" s="10"/>
      <c r="L775" s="10"/>
      <c r="M775"/>
      <c r="N775"/>
    </row>
    <row r="776" spans="1:14" s="146" customFormat="1" ht="18" x14ac:dyDescent="0.25">
      <c r="A776" s="519"/>
      <c r="B776" s="499"/>
      <c r="C776" s="499"/>
      <c r="D776" s="540" t="s">
        <v>1043</v>
      </c>
      <c r="E776" s="199"/>
      <c r="F776" s="100"/>
      <c r="G776" s="101"/>
      <c r="H776" s="102"/>
      <c r="I776" s="101"/>
      <c r="J776" s="101"/>
      <c r="K776" s="10"/>
      <c r="L776" s="10"/>
      <c r="M776"/>
      <c r="N776"/>
    </row>
    <row r="777" spans="1:14" s="146" customFormat="1" ht="18" customHeight="1" x14ac:dyDescent="0.25">
      <c r="A777" s="519"/>
      <c r="B777" s="499"/>
      <c r="C777" s="499"/>
      <c r="D777" s="516" t="s">
        <v>1044</v>
      </c>
      <c r="E777" s="511"/>
      <c r="F777" s="100"/>
      <c r="G777" s="101">
        <v>0</v>
      </c>
      <c r="H777" s="102">
        <v>1500000</v>
      </c>
      <c r="I777" s="101"/>
      <c r="J777" s="102">
        <v>700000</v>
      </c>
      <c r="K777" s="10"/>
      <c r="L777" s="10"/>
      <c r="M777"/>
      <c r="N777"/>
    </row>
    <row r="778" spans="1:14" s="146" customFormat="1" ht="18" customHeight="1" x14ac:dyDescent="0.25">
      <c r="A778" s="519" t="s">
        <v>1040</v>
      </c>
      <c r="B778" s="499"/>
      <c r="C778" s="499"/>
      <c r="D778" s="516" t="s">
        <v>1045</v>
      </c>
      <c r="E778" s="199"/>
      <c r="F778" s="100"/>
      <c r="G778" s="101">
        <v>0</v>
      </c>
      <c r="H778" s="102">
        <v>700000</v>
      </c>
      <c r="I778" s="101"/>
      <c r="J778" s="102">
        <v>500000</v>
      </c>
      <c r="K778" s="10"/>
      <c r="L778" s="10"/>
      <c r="M778"/>
      <c r="N778"/>
    </row>
    <row r="779" spans="1:14" s="146" customFormat="1" ht="18" customHeight="1" x14ac:dyDescent="0.25">
      <c r="A779" s="519"/>
      <c r="B779" s="499"/>
      <c r="C779" s="499"/>
      <c r="D779" s="516" t="s">
        <v>1046</v>
      </c>
      <c r="E779" s="511"/>
      <c r="F779" s="100"/>
      <c r="G779" s="101">
        <v>0</v>
      </c>
      <c r="H779" s="102">
        <v>1500000</v>
      </c>
      <c r="I779" s="101"/>
      <c r="J779" s="102">
        <v>800000</v>
      </c>
      <c r="K779" s="10"/>
      <c r="L779" s="10"/>
      <c r="M779"/>
      <c r="N779"/>
    </row>
    <row r="780" spans="1:14" s="146" customFormat="1" ht="18" customHeight="1" x14ac:dyDescent="0.25">
      <c r="A780" s="519"/>
      <c r="B780" s="499"/>
      <c r="C780" s="499"/>
      <c r="D780" s="516" t="s">
        <v>1047</v>
      </c>
      <c r="E780" s="199"/>
      <c r="F780" s="100"/>
      <c r="G780" s="101">
        <v>3920</v>
      </c>
      <c r="H780" s="102">
        <v>350000</v>
      </c>
      <c r="I780" s="101"/>
      <c r="J780" s="102">
        <v>50000</v>
      </c>
      <c r="K780" s="10"/>
      <c r="L780" s="10"/>
      <c r="M780"/>
      <c r="N780"/>
    </row>
    <row r="781" spans="1:14" s="146" customFormat="1" ht="18" customHeight="1" x14ac:dyDescent="0.25">
      <c r="A781" s="519"/>
      <c r="B781" s="499"/>
      <c r="C781" s="499"/>
      <c r="D781" s="516" t="s">
        <v>1048</v>
      </c>
      <c r="E781" s="199"/>
      <c r="F781" s="100"/>
      <c r="G781" s="105">
        <v>20500</v>
      </c>
      <c r="H781" s="106">
        <v>300000</v>
      </c>
      <c r="I781" s="105"/>
      <c r="J781" s="106">
        <v>100000</v>
      </c>
      <c r="K781" s="10"/>
      <c r="L781" s="10"/>
      <c r="M781"/>
      <c r="N781"/>
    </row>
    <row r="782" spans="1:14" s="146" customFormat="1" ht="18.75" thickBot="1" x14ac:dyDescent="0.3">
      <c r="A782" s="519"/>
      <c r="B782" s="499"/>
      <c r="C782" s="499"/>
      <c r="D782" s="404" t="s">
        <v>15</v>
      </c>
      <c r="F782" s="308"/>
      <c r="G782" s="182">
        <f>SUM(G777:G781)</f>
        <v>24420</v>
      </c>
      <c r="H782" s="183">
        <f>SUM(H777:H781)</f>
        <v>4350000</v>
      </c>
      <c r="I782" s="182">
        <f>SUM(I777:I781)</f>
        <v>0</v>
      </c>
      <c r="J782" s="182">
        <f>SUM(J777:J781)</f>
        <v>2150000</v>
      </c>
      <c r="K782" s="10"/>
      <c r="L782" s="10"/>
      <c r="M782"/>
      <c r="N782"/>
    </row>
    <row r="783" spans="1:14" s="146" customFormat="1" ht="18" x14ac:dyDescent="0.25">
      <c r="A783" s="519"/>
      <c r="B783" s="499"/>
      <c r="C783" s="499"/>
      <c r="D783" s="170"/>
      <c r="E783" s="113"/>
      <c r="F783" s="100"/>
      <c r="G783" s="101"/>
      <c r="H783" s="102"/>
      <c r="I783" s="101"/>
      <c r="J783" s="101"/>
      <c r="K783" s="10"/>
      <c r="L783" s="10"/>
      <c r="M783"/>
      <c r="N783"/>
    </row>
    <row r="784" spans="1:14" s="146" customFormat="1" ht="18" x14ac:dyDescent="0.25">
      <c r="A784" s="519"/>
      <c r="B784" s="499"/>
      <c r="C784" s="499"/>
      <c r="D784" s="540" t="s">
        <v>1050</v>
      </c>
      <c r="E784" s="199"/>
      <c r="F784" s="100"/>
      <c r="G784" s="101"/>
      <c r="H784" s="102"/>
      <c r="I784" s="101"/>
      <c r="J784" s="101"/>
      <c r="K784" s="10"/>
      <c r="L784" s="10"/>
      <c r="M784"/>
      <c r="N784"/>
    </row>
    <row r="785" spans="1:14" s="146" customFormat="1" ht="18" x14ac:dyDescent="0.25">
      <c r="A785" s="519"/>
      <c r="B785" s="499"/>
      <c r="C785" s="499"/>
      <c r="D785" s="36" t="s">
        <v>1051</v>
      </c>
      <c r="E785" s="198"/>
      <c r="F785" s="100"/>
      <c r="G785" s="101"/>
      <c r="H785" s="102"/>
      <c r="I785" s="101"/>
      <c r="J785" s="101"/>
      <c r="K785" s="10"/>
      <c r="L785" s="10"/>
      <c r="M785"/>
      <c r="N785"/>
    </row>
    <row r="786" spans="1:14" s="146" customFormat="1" ht="18" x14ac:dyDescent="0.25">
      <c r="A786" s="519"/>
      <c r="B786" s="499"/>
      <c r="C786" s="499"/>
      <c r="D786" s="38" t="s">
        <v>1052</v>
      </c>
      <c r="E786" s="3"/>
      <c r="F786" s="100"/>
      <c r="G786" s="101">
        <v>88591.8</v>
      </c>
      <c r="H786" s="102">
        <v>300000</v>
      </c>
      <c r="I786" s="101">
        <v>49700</v>
      </c>
      <c r="J786" s="101">
        <v>300000</v>
      </c>
      <c r="K786" s="10"/>
      <c r="L786" s="10"/>
      <c r="M786"/>
      <c r="N786"/>
    </row>
    <row r="787" spans="1:14" s="146" customFormat="1" ht="18" x14ac:dyDescent="0.25">
      <c r="A787" s="519"/>
      <c r="B787" s="499"/>
      <c r="C787" s="499"/>
      <c r="D787" s="38" t="s">
        <v>1053</v>
      </c>
      <c r="E787" s="3"/>
      <c r="F787" s="100"/>
      <c r="G787" s="101">
        <v>0</v>
      </c>
      <c r="H787" s="102">
        <v>510000</v>
      </c>
      <c r="I787" s="101"/>
      <c r="J787" s="101">
        <v>510000</v>
      </c>
      <c r="K787" s="10"/>
      <c r="L787" s="10"/>
      <c r="M787"/>
      <c r="N787"/>
    </row>
    <row r="788" spans="1:14" s="146" customFormat="1" ht="18" x14ac:dyDescent="0.25">
      <c r="A788" s="519"/>
      <c r="B788" s="499"/>
      <c r="C788" s="499"/>
      <c r="D788" s="516" t="s">
        <v>1054</v>
      </c>
      <c r="E788" s="3"/>
      <c r="F788" s="100"/>
      <c r="G788" s="101">
        <v>0</v>
      </c>
      <c r="H788" s="102">
        <v>100000</v>
      </c>
      <c r="I788" s="101"/>
      <c r="J788" s="101">
        <v>100000</v>
      </c>
      <c r="K788" s="10"/>
      <c r="L788" s="10"/>
      <c r="M788"/>
      <c r="N788"/>
    </row>
    <row r="789" spans="1:14" s="146" customFormat="1" ht="18" x14ac:dyDescent="0.25">
      <c r="A789" s="519"/>
      <c r="B789" s="499"/>
      <c r="C789" s="499"/>
      <c r="D789" s="516" t="s">
        <v>1055</v>
      </c>
      <c r="E789" s="3"/>
      <c r="F789" s="100"/>
      <c r="G789" s="101">
        <v>0</v>
      </c>
      <c r="H789" s="102">
        <v>200000</v>
      </c>
      <c r="I789" s="101"/>
      <c r="J789" s="101">
        <v>200000</v>
      </c>
      <c r="K789" s="10"/>
      <c r="L789" s="10"/>
      <c r="M789"/>
      <c r="N789"/>
    </row>
    <row r="790" spans="1:14" s="146" customFormat="1" ht="52.5" customHeight="1" x14ac:dyDescent="0.25">
      <c r="A790" s="519"/>
      <c r="B790" s="499"/>
      <c r="C790" s="499"/>
      <c r="D790" s="1634" t="s">
        <v>1056</v>
      </c>
      <c r="E790" s="1634"/>
      <c r="F790" s="100"/>
      <c r="G790" s="101">
        <v>0</v>
      </c>
      <c r="H790" s="102">
        <v>60000</v>
      </c>
      <c r="I790" s="101"/>
      <c r="J790" s="101">
        <v>60000</v>
      </c>
      <c r="K790" s="10"/>
      <c r="L790" s="10"/>
      <c r="M790"/>
      <c r="N790"/>
    </row>
    <row r="791" spans="1:14" s="146" customFormat="1" ht="18" x14ac:dyDescent="0.25">
      <c r="A791" s="519"/>
      <c r="B791" s="499"/>
      <c r="C791" s="499"/>
      <c r="D791" s="180" t="s">
        <v>1057</v>
      </c>
      <c r="E791" s="225"/>
      <c r="F791" s="100"/>
      <c r="G791" s="101">
        <v>337275</v>
      </c>
      <c r="H791" s="102">
        <v>650000</v>
      </c>
      <c r="I791" s="101"/>
      <c r="J791" s="101">
        <v>834000</v>
      </c>
      <c r="K791" s="10"/>
      <c r="L791" s="10"/>
      <c r="M791"/>
      <c r="N791"/>
    </row>
    <row r="792" spans="1:14" s="146" customFormat="1" ht="18" x14ac:dyDescent="0.25">
      <c r="A792" s="519"/>
      <c r="B792" s="499"/>
      <c r="C792" s="499"/>
      <c r="D792" s="1639" t="s">
        <v>1058</v>
      </c>
      <c r="E792" s="1639"/>
      <c r="F792" s="100"/>
      <c r="G792" s="101">
        <v>6250</v>
      </c>
      <c r="H792" s="102">
        <v>25000</v>
      </c>
      <c r="I792" s="101"/>
      <c r="J792" s="101">
        <v>25000</v>
      </c>
      <c r="K792" s="10"/>
      <c r="L792" s="10"/>
      <c r="M792"/>
      <c r="N792"/>
    </row>
    <row r="793" spans="1:14" s="146" customFormat="1" ht="18" x14ac:dyDescent="0.25">
      <c r="A793" s="519"/>
      <c r="B793" s="499"/>
      <c r="C793" s="499"/>
      <c r="D793" s="1646" t="s">
        <v>1059</v>
      </c>
      <c r="E793" s="1646"/>
      <c r="F793" s="205"/>
      <c r="G793" s="102">
        <v>815253.26</v>
      </c>
      <c r="H793" s="102">
        <v>1000000</v>
      </c>
      <c r="I793" s="102"/>
      <c r="J793" s="102">
        <v>300000</v>
      </c>
      <c r="K793" s="10"/>
      <c r="L793" s="10"/>
      <c r="M793"/>
      <c r="N793"/>
    </row>
    <row r="794" spans="1:14" s="146" customFormat="1" ht="18.75" customHeight="1" x14ac:dyDescent="0.25">
      <c r="A794" s="519"/>
      <c r="B794" s="499"/>
      <c r="C794" s="499"/>
      <c r="D794" s="1628" t="s">
        <v>1060</v>
      </c>
      <c r="E794" s="1628"/>
      <c r="F794" s="205"/>
      <c r="G794" s="106">
        <v>0</v>
      </c>
      <c r="H794" s="106"/>
      <c r="I794" s="106"/>
      <c r="J794" s="106">
        <v>563250</v>
      </c>
      <c r="K794" s="10"/>
      <c r="L794" s="10"/>
      <c r="M794"/>
      <c r="N794"/>
    </row>
    <row r="795" spans="1:14" s="146" customFormat="1" ht="18" x14ac:dyDescent="0.25">
      <c r="A795" s="519"/>
      <c r="B795" s="499"/>
      <c r="C795" s="499"/>
      <c r="D795" s="404" t="s">
        <v>15</v>
      </c>
      <c r="F795" s="100"/>
      <c r="G795" s="119">
        <f>SUM(G786:G794)</f>
        <v>1247370.06</v>
      </c>
      <c r="H795" s="150">
        <f>SUM(H786:H794)</f>
        <v>2845000</v>
      </c>
      <c r="I795" s="119">
        <f>SUM(I786:I794)</f>
        <v>49700</v>
      </c>
      <c r="J795" s="119">
        <f>SUM(J786:J794)</f>
        <v>2892250</v>
      </c>
      <c r="K795" s="10"/>
      <c r="L795" s="10"/>
      <c r="M795"/>
      <c r="N795"/>
    </row>
    <row r="796" spans="1:14" s="146" customFormat="1" ht="18" x14ac:dyDescent="0.25">
      <c r="A796" s="519"/>
      <c r="B796" s="499"/>
      <c r="C796" s="499"/>
      <c r="D796" s="170"/>
      <c r="E796" s="113"/>
      <c r="F796" s="381"/>
      <c r="G796" s="101"/>
      <c r="H796" s="102"/>
      <c r="I796" s="101"/>
      <c r="J796" s="101"/>
      <c r="K796" s="10"/>
      <c r="L796" s="10"/>
      <c r="M796"/>
      <c r="N796"/>
    </row>
    <row r="797" spans="1:14" ht="18" x14ac:dyDescent="0.25">
      <c r="A797" s="519"/>
      <c r="B797" s="499"/>
      <c r="C797" s="499"/>
      <c r="D797" s="540" t="s">
        <v>1061</v>
      </c>
      <c r="E797" s="199"/>
      <c r="F797" s="100"/>
      <c r="G797" s="101"/>
      <c r="H797" s="102"/>
      <c r="I797" s="101"/>
      <c r="J797" s="101"/>
    </row>
    <row r="798" spans="1:14" ht="18" x14ac:dyDescent="0.25">
      <c r="A798" s="519"/>
      <c r="B798" s="499"/>
      <c r="C798" s="499"/>
      <c r="D798" s="38" t="s">
        <v>315</v>
      </c>
      <c r="E798" s="199"/>
      <c r="F798" s="100"/>
      <c r="G798" s="101">
        <v>250000</v>
      </c>
      <c r="H798" s="102"/>
      <c r="I798" s="101"/>
      <c r="J798" s="101"/>
    </row>
    <row r="799" spans="1:14" ht="18" x14ac:dyDescent="0.25">
      <c r="A799" s="519"/>
      <c r="B799" s="499"/>
      <c r="C799" s="499"/>
      <c r="D799" s="38" t="s">
        <v>1062</v>
      </c>
      <c r="E799" s="199"/>
      <c r="F799" s="100"/>
      <c r="G799" s="101">
        <v>0</v>
      </c>
      <c r="H799" s="102">
        <v>50000</v>
      </c>
      <c r="I799" s="101"/>
      <c r="J799" s="101"/>
    </row>
    <row r="800" spans="1:14" ht="36" customHeight="1" x14ac:dyDescent="0.25">
      <c r="A800" s="519"/>
      <c r="B800" s="499"/>
      <c r="C800" s="499"/>
      <c r="D800" s="1623" t="s">
        <v>1063</v>
      </c>
      <c r="E800" s="1623"/>
      <c r="F800" s="100"/>
      <c r="G800" s="101">
        <v>0</v>
      </c>
      <c r="H800" s="102">
        <v>15000</v>
      </c>
      <c r="I800" s="101"/>
      <c r="J800" s="101"/>
    </row>
    <row r="801" spans="1:14" ht="21" customHeight="1" x14ac:dyDescent="0.25">
      <c r="A801" s="519"/>
      <c r="B801" s="499"/>
      <c r="C801" s="499"/>
      <c r="D801" s="1628" t="s">
        <v>1064</v>
      </c>
      <c r="E801" s="1628"/>
      <c r="F801" s="100"/>
      <c r="G801" s="101">
        <v>30000</v>
      </c>
      <c r="H801" s="102">
        <v>85000</v>
      </c>
      <c r="I801" s="101"/>
      <c r="J801" s="101"/>
    </row>
    <row r="802" spans="1:14" ht="18" x14ac:dyDescent="0.25">
      <c r="A802" s="519"/>
      <c r="B802" s="499"/>
      <c r="C802" s="499"/>
      <c r="D802" s="38" t="s">
        <v>1065</v>
      </c>
      <c r="E802" s="199"/>
      <c r="F802" s="100"/>
      <c r="G802" s="101"/>
      <c r="H802" s="102"/>
      <c r="I802" s="101"/>
      <c r="J802" s="101">
        <v>600000</v>
      </c>
    </row>
    <row r="803" spans="1:14" s="146" customFormat="1" ht="18" x14ac:dyDescent="0.25">
      <c r="A803" s="519"/>
      <c r="B803" s="499"/>
      <c r="C803" s="499"/>
      <c r="D803" s="38" t="s">
        <v>1066</v>
      </c>
      <c r="E803" s="199"/>
      <c r="F803" s="100"/>
      <c r="G803" s="101">
        <v>0</v>
      </c>
      <c r="H803" s="102">
        <v>10000</v>
      </c>
      <c r="I803" s="101"/>
      <c r="J803" s="101"/>
      <c r="K803" s="10"/>
      <c r="L803" s="10"/>
      <c r="M803"/>
      <c r="N803"/>
    </row>
    <row r="804" spans="1:14" s="146" customFormat="1" ht="18" x14ac:dyDescent="0.25">
      <c r="A804" s="519"/>
      <c r="B804" s="499"/>
      <c r="C804" s="499"/>
      <c r="D804" s="38" t="s">
        <v>1067</v>
      </c>
      <c r="E804" s="199"/>
      <c r="F804" s="100"/>
      <c r="G804" s="101"/>
      <c r="H804" s="102"/>
      <c r="I804" s="101"/>
      <c r="J804" s="101"/>
      <c r="K804" s="10"/>
      <c r="L804" s="10"/>
      <c r="M804"/>
      <c r="N804"/>
    </row>
    <row r="805" spans="1:14" s="146" customFormat="1" ht="18" x14ac:dyDescent="0.25">
      <c r="A805" s="519"/>
      <c r="B805" s="499"/>
      <c r="C805" s="499"/>
      <c r="D805" s="38" t="s">
        <v>1068</v>
      </c>
      <c r="E805" s="199"/>
      <c r="F805" s="100"/>
      <c r="G805" s="101">
        <v>0</v>
      </c>
      <c r="H805" s="102">
        <v>150000</v>
      </c>
      <c r="I805" s="101"/>
      <c r="J805" s="101">
        <v>200000</v>
      </c>
      <c r="K805" s="10"/>
      <c r="L805" s="10"/>
      <c r="M805"/>
      <c r="N805"/>
    </row>
    <row r="806" spans="1:14" s="146" customFormat="1" ht="18" x14ac:dyDescent="0.25">
      <c r="A806" s="519"/>
      <c r="B806" s="499"/>
      <c r="C806" s="499"/>
      <c r="D806" s="38" t="s">
        <v>1069</v>
      </c>
      <c r="E806" s="199"/>
      <c r="F806" s="100"/>
      <c r="G806" s="101">
        <v>0</v>
      </c>
      <c r="H806" s="102">
        <v>600000</v>
      </c>
      <c r="I806" s="101"/>
      <c r="J806" s="101">
        <v>600000</v>
      </c>
      <c r="K806" s="10"/>
      <c r="L806" s="10"/>
      <c r="M806"/>
      <c r="N806"/>
    </row>
    <row r="807" spans="1:14" s="146" customFormat="1" ht="18" x14ac:dyDescent="0.25">
      <c r="A807" s="519"/>
      <c r="B807" s="499"/>
      <c r="C807" s="499"/>
      <c r="D807" s="38" t="s">
        <v>1070</v>
      </c>
      <c r="E807" s="199"/>
      <c r="F807" s="100"/>
      <c r="G807" s="101">
        <v>0</v>
      </c>
      <c r="H807" s="102">
        <v>20000</v>
      </c>
      <c r="I807" s="101"/>
      <c r="J807" s="101"/>
      <c r="K807" s="10"/>
      <c r="L807" s="10"/>
      <c r="M807"/>
      <c r="N807"/>
    </row>
    <row r="808" spans="1:14" s="146" customFormat="1" ht="18" x14ac:dyDescent="0.25">
      <c r="A808" s="519"/>
      <c r="B808" s="499"/>
      <c r="C808" s="499"/>
      <c r="D808" s="1611" t="s">
        <v>1071</v>
      </c>
      <c r="E808" s="1611"/>
      <c r="F808" s="100"/>
      <c r="G808" s="101">
        <v>0</v>
      </c>
      <c r="H808" s="102">
        <v>600000</v>
      </c>
      <c r="I808" s="101"/>
      <c r="J808" s="101">
        <v>300000</v>
      </c>
      <c r="K808" s="10"/>
      <c r="L808" s="10"/>
      <c r="M808"/>
      <c r="N808"/>
    </row>
    <row r="809" spans="1:14" s="146" customFormat="1" ht="36.75" customHeight="1" x14ac:dyDescent="0.25">
      <c r="A809" s="519"/>
      <c r="B809" s="499"/>
      <c r="C809" s="499"/>
      <c r="D809" s="1637" t="s">
        <v>1072</v>
      </c>
      <c r="E809" s="1637"/>
      <c r="F809" s="100"/>
      <c r="G809" s="101">
        <v>15000</v>
      </c>
      <c r="H809" s="102">
        <v>140000</v>
      </c>
      <c r="I809" s="101">
        <v>8046.1</v>
      </c>
      <c r="J809" s="101"/>
      <c r="K809" s="10"/>
      <c r="L809" s="10"/>
      <c r="M809"/>
      <c r="N809"/>
    </row>
    <row r="810" spans="1:14" s="146" customFormat="1" ht="56.25" customHeight="1" x14ac:dyDescent="0.25">
      <c r="A810" s="519"/>
      <c r="B810" s="499"/>
      <c r="C810" s="499"/>
      <c r="D810" s="1622" t="s">
        <v>1073</v>
      </c>
      <c r="E810" s="1622"/>
      <c r="F810" s="100"/>
      <c r="G810" s="101"/>
      <c r="H810" s="102"/>
      <c r="I810" s="101"/>
      <c r="J810" s="101"/>
      <c r="K810" s="10"/>
      <c r="L810" s="10"/>
      <c r="M810"/>
      <c r="N810"/>
    </row>
    <row r="811" spans="1:14" s="146" customFormat="1" ht="18" customHeight="1" x14ac:dyDescent="0.25">
      <c r="A811" s="519"/>
      <c r="B811" s="499"/>
      <c r="C811" s="499"/>
      <c r="D811" s="429" t="s">
        <v>1074</v>
      </c>
      <c r="E811" s="507"/>
      <c r="F811" s="100"/>
      <c r="G811" s="101"/>
      <c r="H811" s="102"/>
      <c r="I811" s="101"/>
      <c r="J811" s="101">
        <v>60000</v>
      </c>
      <c r="K811" s="10"/>
      <c r="L811" s="10"/>
      <c r="M811"/>
      <c r="N811"/>
    </row>
    <row r="812" spans="1:14" s="146" customFormat="1" ht="18" customHeight="1" x14ac:dyDescent="0.25">
      <c r="A812" s="519"/>
      <c r="B812" s="499"/>
      <c r="C812" s="499"/>
      <c r="D812" s="429" t="s">
        <v>1075</v>
      </c>
      <c r="E812" s="512"/>
      <c r="F812" s="100"/>
      <c r="G812" s="101"/>
      <c r="H812" s="102"/>
      <c r="I812" s="101"/>
      <c r="J812" s="101">
        <v>70000</v>
      </c>
      <c r="K812" s="10"/>
      <c r="L812" s="10"/>
      <c r="M812"/>
      <c r="N812"/>
    </row>
    <row r="813" spans="1:14" s="146" customFormat="1" ht="18" x14ac:dyDescent="0.25">
      <c r="A813" s="519"/>
      <c r="B813" s="499"/>
      <c r="C813" s="499"/>
      <c r="D813" s="44"/>
      <c r="E813" s="114"/>
      <c r="F813" s="100"/>
      <c r="G813" s="101"/>
      <c r="H813" s="102"/>
      <c r="I813" s="101"/>
      <c r="J813" s="101"/>
      <c r="K813" s="10"/>
      <c r="L813" s="10"/>
      <c r="M813"/>
      <c r="N813"/>
    </row>
    <row r="814" spans="1:14" s="146" customFormat="1" ht="18" x14ac:dyDescent="0.25">
      <c r="A814" s="519"/>
      <c r="B814" s="499"/>
      <c r="C814" s="499"/>
      <c r="D814" s="44"/>
      <c r="E814" s="114"/>
      <c r="F814" s="100"/>
      <c r="G814" s="101"/>
      <c r="H814" s="102"/>
      <c r="I814" s="101"/>
      <c r="J814" s="101"/>
      <c r="K814" s="10"/>
      <c r="L814" s="10"/>
      <c r="M814"/>
      <c r="N814"/>
    </row>
    <row r="815" spans="1:14" s="146" customFormat="1" ht="18.75" thickBot="1" x14ac:dyDescent="0.3">
      <c r="A815" s="187"/>
      <c r="B815" s="413"/>
      <c r="C815" s="413"/>
      <c r="D815" s="215"/>
      <c r="E815" s="584"/>
      <c r="F815" s="308"/>
      <c r="G815" s="219"/>
      <c r="H815" s="220"/>
      <c r="I815" s="219"/>
      <c r="J815" s="219"/>
      <c r="K815" s="10"/>
      <c r="L815" s="10"/>
      <c r="M815"/>
      <c r="N815"/>
    </row>
    <row r="816" spans="1:14" s="146" customFormat="1" ht="18" x14ac:dyDescent="0.25">
      <c r="A816" s="499"/>
      <c r="B816" s="499"/>
      <c r="C816" s="499"/>
      <c r="D816" s="44"/>
      <c r="E816" s="113"/>
      <c r="F816" s="381"/>
      <c r="G816" s="141"/>
      <c r="H816" s="122"/>
      <c r="I816" s="141"/>
      <c r="J816" s="141"/>
      <c r="K816" s="10"/>
      <c r="L816" s="10"/>
      <c r="M816"/>
      <c r="N816"/>
    </row>
    <row r="817" spans="1:14" s="146" customFormat="1" ht="18" x14ac:dyDescent="0.25">
      <c r="A817" s="499"/>
      <c r="B817" s="499"/>
      <c r="C817" s="499"/>
      <c r="D817" s="44"/>
      <c r="E817" s="113"/>
      <c r="F817" s="381"/>
      <c r="G817" s="141"/>
      <c r="H817" s="122"/>
      <c r="I817" s="141"/>
      <c r="J817" s="141"/>
      <c r="K817" s="10"/>
      <c r="L817" s="10"/>
      <c r="M817"/>
      <c r="N817"/>
    </row>
    <row r="818" spans="1:14" ht="18" customHeight="1" x14ac:dyDescent="0.25">
      <c r="A818" s="8" t="s">
        <v>112</v>
      </c>
    </row>
    <row r="819" spans="1:14" ht="18" customHeight="1" x14ac:dyDescent="0.25">
      <c r="A819" s="8" t="s">
        <v>1003</v>
      </c>
    </row>
    <row r="820" spans="1:14" ht="18" customHeight="1" x14ac:dyDescent="0.25">
      <c r="A820" s="1636" t="s">
        <v>113</v>
      </c>
      <c r="B820" s="1636"/>
      <c r="C820" s="1636"/>
      <c r="D820" s="1636"/>
      <c r="E820" s="1636"/>
      <c r="F820" s="1636"/>
      <c r="G820" s="1636"/>
      <c r="H820" s="1636"/>
      <c r="I820" s="1636"/>
      <c r="J820" s="1636"/>
    </row>
    <row r="821" spans="1:14" s="7" customFormat="1" ht="18" customHeight="1" x14ac:dyDescent="0.25">
      <c r="A821" s="1624" t="s">
        <v>114</v>
      </c>
      <c r="B821" s="1624"/>
      <c r="C821" s="1624"/>
      <c r="D821" s="1624"/>
      <c r="E821" s="1624"/>
      <c r="F821" s="1624"/>
      <c r="G821" s="1624"/>
      <c r="H821" s="1624"/>
      <c r="I821" s="1624"/>
      <c r="J821" s="1624"/>
      <c r="K821" s="6"/>
      <c r="L821" s="6"/>
    </row>
    <row r="822" spans="1:14" ht="18.75" thickBot="1" x14ac:dyDescent="0.3">
      <c r="A822" s="41"/>
      <c r="B822" s="41"/>
      <c r="C822" s="41"/>
      <c r="D822" s="63"/>
      <c r="E822" s="41"/>
      <c r="F822" s="41"/>
    </row>
    <row r="823" spans="1:14" ht="63.75" customHeight="1" thickBot="1" x14ac:dyDescent="0.3">
      <c r="A823" s="1625" t="s">
        <v>115</v>
      </c>
      <c r="B823" s="1626"/>
      <c r="C823" s="1626"/>
      <c r="D823" s="1626"/>
      <c r="E823" s="1626"/>
      <c r="F823" s="93" t="s">
        <v>116</v>
      </c>
      <c r="G823" s="130" t="s">
        <v>117</v>
      </c>
      <c r="H823" s="130" t="s">
        <v>118</v>
      </c>
      <c r="I823" s="130" t="s">
        <v>119</v>
      </c>
      <c r="J823" s="130" t="s">
        <v>120</v>
      </c>
    </row>
    <row r="824" spans="1:14" s="146" customFormat="1" ht="18" x14ac:dyDescent="0.25">
      <c r="A824" s="519"/>
      <c r="B824" s="499"/>
      <c r="C824" s="499"/>
      <c r="D824" s="540" t="s">
        <v>1061</v>
      </c>
      <c r="E824" s="499"/>
      <c r="F824" s="100"/>
      <c r="G824" s="101"/>
      <c r="H824" s="102"/>
      <c r="I824" s="101"/>
      <c r="J824" s="101"/>
      <c r="K824" s="10"/>
      <c r="L824" s="10"/>
      <c r="M824"/>
      <c r="N824"/>
    </row>
    <row r="825" spans="1:14" s="146" customFormat="1" ht="35.25" customHeight="1" x14ac:dyDescent="0.25">
      <c r="A825" s="519"/>
      <c r="B825" s="499"/>
      <c r="C825" s="499"/>
      <c r="D825" s="1637" t="s">
        <v>1076</v>
      </c>
      <c r="E825" s="1637"/>
      <c r="F825" s="100"/>
      <c r="G825" s="101">
        <v>30178</v>
      </c>
      <c r="H825" s="102">
        <v>227783.76</v>
      </c>
      <c r="I825" s="101"/>
      <c r="J825" s="101"/>
      <c r="K825" s="10"/>
      <c r="L825" s="10"/>
      <c r="M825"/>
      <c r="N825"/>
    </row>
    <row r="826" spans="1:14" s="146" customFormat="1" ht="18" customHeight="1" x14ac:dyDescent="0.25">
      <c r="A826" s="519"/>
      <c r="B826" s="499"/>
      <c r="C826" s="499"/>
      <c r="D826" s="429" t="s">
        <v>1077</v>
      </c>
      <c r="E826" s="507"/>
      <c r="F826" s="100"/>
      <c r="G826" s="101"/>
      <c r="H826" s="102"/>
      <c r="I826" s="101"/>
      <c r="J826" s="101"/>
      <c r="K826" s="10"/>
      <c r="L826" s="10"/>
      <c r="M826"/>
      <c r="N826"/>
    </row>
    <row r="827" spans="1:14" s="146" customFormat="1" ht="18" customHeight="1" x14ac:dyDescent="0.25">
      <c r="A827" s="519"/>
      <c r="B827" s="499"/>
      <c r="C827" s="499"/>
      <c r="D827" s="429" t="s">
        <v>1078</v>
      </c>
      <c r="E827" s="507"/>
      <c r="F827" s="100"/>
      <c r="G827" s="101"/>
      <c r="H827" s="102"/>
      <c r="I827" s="101"/>
      <c r="J827" s="102">
        <v>200000</v>
      </c>
      <c r="K827" s="10"/>
      <c r="L827" s="10"/>
      <c r="M827"/>
      <c r="N827"/>
    </row>
    <row r="828" spans="1:14" s="146" customFormat="1" ht="18" customHeight="1" x14ac:dyDescent="0.25">
      <c r="A828" s="519"/>
      <c r="B828" s="499"/>
      <c r="C828" s="499"/>
      <c r="D828" s="429" t="s">
        <v>1079</v>
      </c>
      <c r="E828" s="507"/>
      <c r="F828" s="100"/>
      <c r="G828" s="101"/>
      <c r="H828" s="102"/>
      <c r="I828" s="101"/>
      <c r="J828" s="101">
        <v>127783.76</v>
      </c>
      <c r="K828" s="10"/>
      <c r="L828" s="10"/>
      <c r="M828"/>
      <c r="N828"/>
    </row>
    <row r="829" spans="1:14" s="146" customFormat="1" ht="18" customHeight="1" x14ac:dyDescent="0.25">
      <c r="A829" s="519"/>
      <c r="B829" s="499"/>
      <c r="C829" s="499"/>
      <c r="D829" s="429" t="s">
        <v>1080</v>
      </c>
      <c r="E829" s="507"/>
      <c r="F829" s="100"/>
      <c r="G829" s="101"/>
      <c r="H829" s="102"/>
      <c r="I829" s="101"/>
      <c r="J829" s="101">
        <v>800000</v>
      </c>
      <c r="K829" s="10"/>
      <c r="L829" s="10"/>
      <c r="M829"/>
      <c r="N829"/>
    </row>
    <row r="830" spans="1:14" s="146" customFormat="1" ht="53.25" customHeight="1" x14ac:dyDescent="0.25">
      <c r="A830" s="519"/>
      <c r="B830" s="499"/>
      <c r="C830" s="499"/>
      <c r="D830" s="1623" t="s">
        <v>1081</v>
      </c>
      <c r="E830" s="1623"/>
      <c r="F830" s="100"/>
      <c r="G830" s="101">
        <v>0</v>
      </c>
      <c r="H830" s="102">
        <v>170000</v>
      </c>
      <c r="I830" s="101">
        <v>65660</v>
      </c>
      <c r="J830" s="101"/>
      <c r="K830" s="10"/>
      <c r="L830" s="10"/>
      <c r="M830"/>
      <c r="N830"/>
    </row>
    <row r="831" spans="1:14" s="146" customFormat="1" ht="35.25" customHeight="1" x14ac:dyDescent="0.25">
      <c r="A831" s="519"/>
      <c r="B831" s="499"/>
      <c r="C831" s="499"/>
      <c r="D831" s="1623" t="s">
        <v>1082</v>
      </c>
      <c r="E831" s="1623"/>
      <c r="F831" s="100"/>
      <c r="G831" s="101">
        <v>0</v>
      </c>
      <c r="H831" s="102">
        <v>600000</v>
      </c>
      <c r="I831" s="101"/>
      <c r="J831" s="101"/>
      <c r="K831" s="10"/>
      <c r="L831" s="10"/>
      <c r="M831"/>
      <c r="N831"/>
    </row>
    <row r="832" spans="1:14" s="146" customFormat="1" ht="18" x14ac:dyDescent="0.25">
      <c r="A832" s="519"/>
      <c r="B832" s="499"/>
      <c r="C832" s="499"/>
      <c r="D832" s="153" t="s">
        <v>15</v>
      </c>
      <c r="F832" s="100"/>
      <c r="G832" s="119">
        <f>SUM(G798:G831)</f>
        <v>325178</v>
      </c>
      <c r="H832" s="150">
        <f>SUM(H798:H831)</f>
        <v>2667783.7599999998</v>
      </c>
      <c r="I832" s="119">
        <f>SUM(I798:I831)</f>
        <v>73706.100000000006</v>
      </c>
      <c r="J832" s="119">
        <f>SUM(J798:J831)</f>
        <v>2957783.76</v>
      </c>
      <c r="K832" s="10"/>
      <c r="L832" s="10"/>
      <c r="M832"/>
      <c r="N832"/>
    </row>
    <row r="833" spans="1:14" s="146" customFormat="1" ht="18" x14ac:dyDescent="0.25">
      <c r="A833" s="519"/>
      <c r="B833" s="499"/>
      <c r="C833" s="499"/>
      <c r="D833" s="513"/>
      <c r="E833" s="153"/>
      <c r="F833" s="100"/>
      <c r="G833" s="155"/>
      <c r="H833" s="156"/>
      <c r="I833" s="155"/>
      <c r="J833" s="155"/>
      <c r="K833" s="10"/>
      <c r="L833" s="10"/>
      <c r="M833"/>
      <c r="N833"/>
    </row>
    <row r="834" spans="1:14" ht="18" x14ac:dyDescent="0.25">
      <c r="A834" s="519"/>
      <c r="B834" s="499"/>
      <c r="C834" s="499"/>
      <c r="D834" s="540" t="s">
        <v>1360</v>
      </c>
      <c r="E834" s="199"/>
      <c r="F834" s="100"/>
      <c r="G834" s="101"/>
      <c r="H834" s="102"/>
      <c r="I834" s="101"/>
      <c r="J834" s="101"/>
    </row>
    <row r="835" spans="1:14" ht="36.75" hidden="1" customHeight="1" x14ac:dyDescent="0.25">
      <c r="A835" s="519"/>
      <c r="B835" s="499"/>
      <c r="C835" s="499"/>
      <c r="D835" s="1637" t="s">
        <v>1083</v>
      </c>
      <c r="E835" s="1637"/>
      <c r="F835" s="100"/>
      <c r="G835" s="101">
        <v>0</v>
      </c>
      <c r="H835" s="102">
        <v>0</v>
      </c>
      <c r="I835" s="101"/>
      <c r="J835" s="101"/>
    </row>
    <row r="836" spans="1:14" ht="36.75" hidden="1" customHeight="1" x14ac:dyDescent="0.25">
      <c r="A836" s="519"/>
      <c r="B836" s="499"/>
      <c r="C836" s="499"/>
      <c r="D836" s="1642" t="s">
        <v>1084</v>
      </c>
      <c r="E836" s="1643"/>
      <c r="F836" s="100"/>
      <c r="G836" s="101">
        <v>0</v>
      </c>
      <c r="H836" s="102">
        <v>0</v>
      </c>
      <c r="I836" s="101"/>
      <c r="J836" s="101"/>
    </row>
    <row r="837" spans="1:14" ht="18" hidden="1" x14ac:dyDescent="0.25">
      <c r="A837" s="519"/>
      <c r="B837" s="499"/>
      <c r="C837" s="499"/>
      <c r="D837" s="38" t="s">
        <v>1085</v>
      </c>
      <c r="E837" s="199"/>
      <c r="F837" s="100"/>
      <c r="G837" s="101">
        <v>0</v>
      </c>
      <c r="H837" s="102">
        <v>0</v>
      </c>
      <c r="I837" s="101"/>
      <c r="J837" s="101"/>
    </row>
    <row r="838" spans="1:14" ht="35.25" hidden="1" customHeight="1" x14ac:dyDescent="0.25">
      <c r="A838" s="519"/>
      <c r="B838" s="499"/>
      <c r="C838" s="499"/>
      <c r="D838" s="1623" t="s">
        <v>1086</v>
      </c>
      <c r="E838" s="1623"/>
      <c r="F838" s="100"/>
      <c r="G838" s="101">
        <v>0</v>
      </c>
      <c r="H838" s="102">
        <v>0</v>
      </c>
      <c r="I838" s="101"/>
      <c r="J838" s="101"/>
    </row>
    <row r="839" spans="1:14" ht="18" hidden="1" x14ac:dyDescent="0.25">
      <c r="A839" s="519"/>
      <c r="B839" s="499"/>
      <c r="C839" s="499"/>
      <c r="D839" s="38" t="s">
        <v>1087</v>
      </c>
      <c r="E839" s="199"/>
      <c r="F839" s="100"/>
      <c r="G839" s="101">
        <v>0</v>
      </c>
      <c r="H839" s="102">
        <v>0</v>
      </c>
      <c r="I839" s="101"/>
      <c r="J839" s="101"/>
    </row>
    <row r="840" spans="1:14" s="146" customFormat="1" ht="18" hidden="1" x14ac:dyDescent="0.25">
      <c r="A840" s="519"/>
      <c r="B840" s="499"/>
      <c r="C840" s="499"/>
      <c r="D840" s="38" t="s">
        <v>1088</v>
      </c>
      <c r="E840" s="199"/>
      <c r="F840" s="100"/>
      <c r="G840" s="101">
        <v>0</v>
      </c>
      <c r="H840" s="102">
        <v>0</v>
      </c>
      <c r="I840" s="101"/>
      <c r="J840" s="101"/>
      <c r="K840" s="10"/>
      <c r="L840" s="10"/>
      <c r="M840"/>
      <c r="N840"/>
    </row>
    <row r="841" spans="1:14" s="146" customFormat="1" ht="18" hidden="1" x14ac:dyDescent="0.25">
      <c r="A841" s="519"/>
      <c r="B841" s="499"/>
      <c r="C841" s="499"/>
      <c r="D841" s="38" t="s">
        <v>1089</v>
      </c>
      <c r="E841" s="199"/>
      <c r="F841" s="100"/>
      <c r="G841" s="101">
        <v>0</v>
      </c>
      <c r="H841" s="102">
        <v>0</v>
      </c>
      <c r="I841" s="101"/>
      <c r="J841" s="101"/>
      <c r="K841" s="10"/>
      <c r="L841" s="10"/>
      <c r="M841"/>
      <c r="N841"/>
    </row>
    <row r="842" spans="1:14" s="146" customFormat="1" ht="18" hidden="1" x14ac:dyDescent="0.25">
      <c r="A842" s="519"/>
      <c r="B842" s="499"/>
      <c r="C842" s="499"/>
      <c r="D842" s="38" t="s">
        <v>1090</v>
      </c>
      <c r="E842" s="199"/>
      <c r="F842" s="100"/>
      <c r="G842" s="101">
        <v>0</v>
      </c>
      <c r="H842" s="102">
        <v>0</v>
      </c>
      <c r="I842" s="101"/>
      <c r="J842" s="101"/>
      <c r="K842" s="10"/>
      <c r="L842" s="10"/>
      <c r="M842"/>
      <c r="N842"/>
    </row>
    <row r="843" spans="1:14" s="146" customFormat="1" ht="18" hidden="1" x14ac:dyDescent="0.25">
      <c r="A843" s="519"/>
      <c r="B843" s="499"/>
      <c r="C843" s="499"/>
      <c r="D843" s="38" t="s">
        <v>1091</v>
      </c>
      <c r="E843" s="199"/>
      <c r="F843" s="100"/>
      <c r="G843" s="101">
        <v>0</v>
      </c>
      <c r="H843" s="102">
        <v>0</v>
      </c>
      <c r="I843" s="101"/>
      <c r="J843" s="101"/>
      <c r="K843" s="10"/>
      <c r="L843" s="10"/>
      <c r="M843"/>
      <c r="N843"/>
    </row>
    <row r="844" spans="1:14" s="146" customFormat="1" ht="37.5" hidden="1" customHeight="1" x14ac:dyDescent="0.25">
      <c r="A844" s="519"/>
      <c r="B844" s="499"/>
      <c r="C844" s="499"/>
      <c r="D844" s="1623" t="s">
        <v>1092</v>
      </c>
      <c r="E844" s="1623"/>
      <c r="F844" s="100"/>
      <c r="G844" s="101">
        <v>0</v>
      </c>
      <c r="H844" s="102">
        <v>0</v>
      </c>
      <c r="I844" s="101"/>
      <c r="J844" s="101"/>
      <c r="K844" s="10"/>
      <c r="L844" s="10"/>
      <c r="M844"/>
      <c r="N844"/>
    </row>
    <row r="845" spans="1:14" s="146" customFormat="1" ht="18" x14ac:dyDescent="0.25">
      <c r="A845" s="519"/>
      <c r="B845" s="499"/>
      <c r="C845" s="499"/>
      <c r="D845" s="36" t="s">
        <v>1093</v>
      </c>
      <c r="E845" s="199"/>
      <c r="F845" s="100"/>
      <c r="G845" s="101">
        <v>593459.19999999995</v>
      </c>
      <c r="H845" s="102">
        <v>1260000</v>
      </c>
      <c r="I845" s="101">
        <v>102100.15</v>
      </c>
      <c r="J845" s="101"/>
      <c r="K845" s="10"/>
      <c r="L845" s="10"/>
      <c r="M845"/>
      <c r="N845"/>
    </row>
    <row r="846" spans="1:14" s="146" customFormat="1" ht="17.45" customHeight="1" x14ac:dyDescent="0.25">
      <c r="A846" s="519"/>
      <c r="B846" s="499"/>
      <c r="C846" s="499"/>
      <c r="D846" s="38" t="s">
        <v>1094</v>
      </c>
      <c r="E846" s="199"/>
      <c r="F846" s="100"/>
      <c r="G846" s="101"/>
      <c r="H846" s="102"/>
      <c r="I846" s="101"/>
      <c r="J846" s="101">
        <v>70000</v>
      </c>
      <c r="K846" s="10"/>
      <c r="L846" s="10"/>
      <c r="M846"/>
      <c r="N846"/>
    </row>
    <row r="847" spans="1:14" s="146" customFormat="1" ht="17.45" customHeight="1" x14ac:dyDescent="0.25">
      <c r="A847" s="519"/>
      <c r="B847" s="499"/>
      <c r="C847" s="499"/>
      <c r="D847" s="38" t="s">
        <v>1095</v>
      </c>
      <c r="E847" s="199"/>
      <c r="F847" s="100"/>
      <c r="G847" s="101"/>
      <c r="H847" s="102"/>
      <c r="I847" s="101"/>
      <c r="J847" s="101">
        <v>32500</v>
      </c>
      <c r="K847" s="10"/>
      <c r="L847" s="10"/>
      <c r="M847"/>
      <c r="N847"/>
    </row>
    <row r="848" spans="1:14" s="146" customFormat="1" ht="36.75" customHeight="1" x14ac:dyDescent="0.25">
      <c r="A848" s="519"/>
      <c r="B848" s="499"/>
      <c r="C848" s="499"/>
      <c r="D848" s="1623" t="s">
        <v>1096</v>
      </c>
      <c r="E848" s="1623"/>
      <c r="F848" s="100"/>
      <c r="G848" s="101"/>
      <c r="H848" s="102"/>
      <c r="I848" s="101"/>
      <c r="J848" s="101">
        <v>160000</v>
      </c>
      <c r="K848" s="10"/>
      <c r="L848" s="10"/>
      <c r="M848"/>
      <c r="N848"/>
    </row>
    <row r="849" spans="1:14" s="146" customFormat="1" ht="17.45" customHeight="1" x14ac:dyDescent="0.25">
      <c r="A849" s="519"/>
      <c r="B849" s="499"/>
      <c r="C849" s="499"/>
      <c r="D849" s="38" t="s">
        <v>1097</v>
      </c>
      <c r="E849" s="199"/>
      <c r="F849" s="195"/>
      <c r="G849" s="101"/>
      <c r="H849" s="102"/>
      <c r="I849" s="101"/>
      <c r="J849" s="101">
        <v>20000</v>
      </c>
      <c r="K849" s="10"/>
      <c r="L849" s="10"/>
      <c r="M849"/>
      <c r="N849"/>
    </row>
    <row r="850" spans="1:14" s="146" customFormat="1" ht="17.45" customHeight="1" x14ac:dyDescent="0.25">
      <c r="A850" s="519"/>
      <c r="B850" s="499"/>
      <c r="C850" s="499"/>
      <c r="D850" s="38" t="s">
        <v>1099</v>
      </c>
      <c r="E850" s="199"/>
      <c r="F850" s="100"/>
      <c r="G850" s="101"/>
      <c r="H850" s="102"/>
      <c r="I850" s="101"/>
      <c r="J850" s="101">
        <v>47500</v>
      </c>
      <c r="K850" s="10"/>
      <c r="L850" s="10"/>
      <c r="M850"/>
      <c r="N850"/>
    </row>
    <row r="851" spans="1:14" s="146" customFormat="1" ht="36" customHeight="1" x14ac:dyDescent="0.25">
      <c r="A851" s="519"/>
      <c r="B851" s="499"/>
      <c r="C851" s="499"/>
      <c r="D851" s="1623" t="s">
        <v>1100</v>
      </c>
      <c r="E851" s="1623"/>
      <c r="F851" s="100"/>
      <c r="G851" s="101"/>
      <c r="H851" s="102"/>
      <c r="I851" s="101"/>
      <c r="J851" s="101">
        <v>100000</v>
      </c>
      <c r="K851" s="10"/>
      <c r="L851" s="10"/>
      <c r="M851"/>
      <c r="N851"/>
    </row>
    <row r="852" spans="1:14" s="146" customFormat="1" ht="18" x14ac:dyDescent="0.25">
      <c r="A852" s="519"/>
      <c r="B852" s="499"/>
      <c r="C852" s="499"/>
      <c r="D852" s="38" t="s">
        <v>1101</v>
      </c>
      <c r="E852" s="199"/>
      <c r="F852" s="100"/>
      <c r="G852" s="101"/>
      <c r="H852" s="102"/>
      <c r="I852" s="101"/>
      <c r="J852" s="101">
        <v>180000</v>
      </c>
      <c r="K852" s="10"/>
      <c r="L852" s="10"/>
      <c r="M852"/>
      <c r="N852"/>
    </row>
    <row r="853" spans="1:14" s="146" customFormat="1" ht="35.25" customHeight="1" x14ac:dyDescent="0.25">
      <c r="A853" s="519"/>
      <c r="B853" s="499"/>
      <c r="C853" s="499"/>
      <c r="D853" s="1623" t="s">
        <v>1102</v>
      </c>
      <c r="E853" s="1623"/>
      <c r="F853" s="100"/>
      <c r="G853" s="101"/>
      <c r="H853" s="102"/>
      <c r="I853" s="101"/>
      <c r="J853" s="101">
        <v>200000</v>
      </c>
      <c r="K853" s="10"/>
      <c r="L853" s="10"/>
      <c r="M853"/>
      <c r="N853"/>
    </row>
    <row r="854" spans="1:14" s="146" customFormat="1" ht="36.75" customHeight="1" x14ac:dyDescent="0.25">
      <c r="A854" s="519"/>
      <c r="B854" s="499"/>
      <c r="C854" s="499"/>
      <c r="D854" s="1623" t="s">
        <v>1103</v>
      </c>
      <c r="E854" s="1623"/>
      <c r="F854" s="100"/>
      <c r="G854" s="101"/>
      <c r="H854" s="102"/>
      <c r="I854" s="101"/>
      <c r="J854" s="101">
        <v>200000</v>
      </c>
      <c r="K854" s="10"/>
      <c r="L854" s="10"/>
      <c r="M854"/>
      <c r="N854"/>
    </row>
    <row r="855" spans="1:14" s="146" customFormat="1" ht="18" x14ac:dyDescent="0.25">
      <c r="A855" s="519"/>
      <c r="B855" s="499"/>
      <c r="C855" s="499"/>
      <c r="D855" s="38" t="s">
        <v>1104</v>
      </c>
      <c r="E855" s="199"/>
      <c r="F855" s="100"/>
      <c r="G855" s="101"/>
      <c r="H855" s="102"/>
      <c r="I855" s="101"/>
      <c r="J855" s="101">
        <v>250000</v>
      </c>
      <c r="K855" s="10"/>
      <c r="L855" s="10"/>
      <c r="M855"/>
      <c r="N855"/>
    </row>
    <row r="856" spans="1:14" s="146" customFormat="1" ht="18" x14ac:dyDescent="0.25">
      <c r="A856" s="519"/>
      <c r="B856" s="499"/>
      <c r="C856" s="499"/>
      <c r="D856" s="38" t="s">
        <v>1105</v>
      </c>
      <c r="E856" s="199"/>
      <c r="F856" s="100"/>
      <c r="G856" s="101"/>
      <c r="H856" s="102"/>
      <c r="I856" s="101"/>
      <c r="J856" s="101">
        <v>40000</v>
      </c>
      <c r="K856" s="10"/>
      <c r="L856" s="10"/>
      <c r="M856"/>
      <c r="N856"/>
    </row>
    <row r="857" spans="1:14" s="146" customFormat="1" ht="18" x14ac:dyDescent="0.25">
      <c r="A857" s="519"/>
      <c r="B857" s="499"/>
      <c r="C857" s="499"/>
      <c r="D857" s="38"/>
      <c r="E857" s="199"/>
      <c r="F857" s="100"/>
      <c r="G857" s="101"/>
      <c r="H857" s="102"/>
      <c r="I857" s="101"/>
      <c r="J857" s="101"/>
      <c r="K857" s="10"/>
      <c r="L857" s="10"/>
      <c r="M857"/>
      <c r="N857"/>
    </row>
    <row r="858" spans="1:14" s="146" customFormat="1" ht="18" x14ac:dyDescent="0.25">
      <c r="A858" s="519"/>
      <c r="B858" s="499"/>
      <c r="C858" s="499"/>
      <c r="D858" s="36" t="s">
        <v>1106</v>
      </c>
      <c r="E858" s="199"/>
      <c r="F858" s="100"/>
      <c r="G858" s="101">
        <v>291202.95</v>
      </c>
      <c r="H858" s="102">
        <v>1500000</v>
      </c>
      <c r="I858" s="101">
        <v>40600</v>
      </c>
      <c r="J858" s="101"/>
      <c r="K858" s="10"/>
      <c r="L858" s="10"/>
      <c r="M858"/>
      <c r="N858"/>
    </row>
    <row r="859" spans="1:14" s="146" customFormat="1" ht="17.45" customHeight="1" x14ac:dyDescent="0.25">
      <c r="A859" s="519"/>
      <c r="B859" s="499"/>
      <c r="C859" s="499"/>
      <c r="D859" s="38" t="s">
        <v>1107</v>
      </c>
      <c r="E859" s="199"/>
      <c r="F859" s="100"/>
      <c r="G859" s="101"/>
      <c r="H859" s="102"/>
      <c r="I859" s="101"/>
      <c r="J859" s="101">
        <v>200000</v>
      </c>
      <c r="K859" s="10"/>
      <c r="L859" s="10"/>
      <c r="M859"/>
      <c r="N859"/>
    </row>
    <row r="860" spans="1:14" s="146" customFormat="1" ht="17.45" customHeight="1" x14ac:dyDescent="0.25">
      <c r="A860" s="519"/>
      <c r="B860" s="499"/>
      <c r="C860" s="499"/>
      <c r="D860" s="38" t="s">
        <v>1108</v>
      </c>
      <c r="E860" s="199"/>
      <c r="F860" s="100"/>
      <c r="G860" s="101"/>
      <c r="H860" s="102"/>
      <c r="I860" s="101"/>
      <c r="J860" s="101">
        <v>200000</v>
      </c>
      <c r="K860" s="10"/>
      <c r="L860" s="10"/>
      <c r="M860"/>
      <c r="N860"/>
    </row>
    <row r="861" spans="1:14" s="146" customFormat="1" ht="17.45" customHeight="1" x14ac:dyDescent="0.25">
      <c r="A861" s="519"/>
      <c r="B861" s="499"/>
      <c r="C861" s="499"/>
      <c r="D861" s="38" t="s">
        <v>1109</v>
      </c>
      <c r="E861" s="199"/>
      <c r="F861" s="100"/>
      <c r="G861" s="101"/>
      <c r="H861" s="102"/>
      <c r="I861" s="101"/>
      <c r="J861" s="101">
        <v>250000</v>
      </c>
      <c r="K861" s="10"/>
      <c r="L861" s="10"/>
      <c r="M861"/>
      <c r="N861"/>
    </row>
    <row r="862" spans="1:14" s="146" customFormat="1" ht="17.45" customHeight="1" x14ac:dyDescent="0.25">
      <c r="A862" s="519"/>
      <c r="B862" s="499"/>
      <c r="C862" s="499"/>
      <c r="D862" s="38" t="s">
        <v>1110</v>
      </c>
      <c r="E862" s="199"/>
      <c r="F862" s="100"/>
      <c r="G862" s="101"/>
      <c r="H862" s="102"/>
      <c r="I862" s="101"/>
      <c r="J862" s="101">
        <v>300000</v>
      </c>
      <c r="K862" s="10"/>
      <c r="L862" s="10"/>
      <c r="M862"/>
      <c r="N862"/>
    </row>
    <row r="863" spans="1:14" s="146" customFormat="1" ht="17.45" customHeight="1" x14ac:dyDescent="0.25">
      <c r="A863" s="519"/>
      <c r="B863" s="499"/>
      <c r="C863" s="499"/>
      <c r="D863" s="38" t="s">
        <v>1111</v>
      </c>
      <c r="E863" s="199"/>
      <c r="F863" s="100"/>
      <c r="G863" s="101"/>
      <c r="H863" s="102"/>
      <c r="I863" s="101"/>
      <c r="J863" s="101">
        <v>150000</v>
      </c>
      <c r="K863" s="10"/>
      <c r="L863" s="10"/>
      <c r="M863"/>
      <c r="N863"/>
    </row>
    <row r="864" spans="1:14" s="146" customFormat="1" ht="17.45" customHeight="1" x14ac:dyDescent="0.25">
      <c r="A864" s="519"/>
      <c r="B864" s="499"/>
      <c r="C864" s="499"/>
      <c r="D864" s="38" t="s">
        <v>1112</v>
      </c>
      <c r="E864" s="199"/>
      <c r="F864" s="100"/>
      <c r="G864" s="101"/>
      <c r="H864" s="102"/>
      <c r="I864" s="101"/>
      <c r="J864" s="101">
        <v>200000</v>
      </c>
      <c r="K864" s="10"/>
      <c r="L864" s="10"/>
      <c r="M864"/>
      <c r="N864"/>
    </row>
    <row r="865" spans="1:14" s="146" customFormat="1" ht="17.45" customHeight="1" x14ac:dyDescent="0.25">
      <c r="A865" s="519"/>
      <c r="B865" s="499"/>
      <c r="C865" s="499"/>
      <c r="D865" s="38" t="s">
        <v>1113</v>
      </c>
      <c r="E865" s="199"/>
      <c r="F865" s="100"/>
      <c r="G865" s="101"/>
      <c r="H865" s="102"/>
      <c r="I865" s="101"/>
      <c r="J865" s="101">
        <v>400000</v>
      </c>
      <c r="K865" s="10"/>
      <c r="L865" s="10"/>
      <c r="M865"/>
      <c r="N865"/>
    </row>
    <row r="866" spans="1:14" s="146" customFormat="1" ht="17.45" customHeight="1" x14ac:dyDescent="0.25">
      <c r="A866" s="519"/>
      <c r="B866" s="499"/>
      <c r="C866" s="499"/>
      <c r="D866" s="38" t="s">
        <v>1114</v>
      </c>
      <c r="E866" s="199"/>
      <c r="F866" s="100"/>
      <c r="G866" s="101"/>
      <c r="H866" s="102"/>
      <c r="I866" s="101"/>
      <c r="J866" s="101">
        <v>10000</v>
      </c>
      <c r="K866" s="10"/>
      <c r="L866" s="10"/>
      <c r="M866"/>
      <c r="N866"/>
    </row>
    <row r="867" spans="1:14" s="146" customFormat="1" ht="17.45" customHeight="1" x14ac:dyDescent="0.25">
      <c r="A867" s="519"/>
      <c r="B867" s="499"/>
      <c r="C867" s="499"/>
      <c r="D867" s="38" t="s">
        <v>1115</v>
      </c>
      <c r="E867" s="199"/>
      <c r="F867" s="100"/>
      <c r="G867" s="101"/>
      <c r="H867" s="102"/>
      <c r="I867" s="101"/>
      <c r="J867" s="101">
        <v>350000</v>
      </c>
      <c r="K867" s="10"/>
      <c r="L867" s="10"/>
      <c r="M867"/>
      <c r="N867"/>
    </row>
    <row r="868" spans="1:14" s="146" customFormat="1" ht="17.45" customHeight="1" x14ac:dyDescent="0.25">
      <c r="A868" s="519"/>
      <c r="B868" s="499"/>
      <c r="C868" s="499"/>
      <c r="D868" s="38" t="s">
        <v>1116</v>
      </c>
      <c r="E868" s="199"/>
      <c r="F868" s="100"/>
      <c r="G868" s="101"/>
      <c r="H868" s="102"/>
      <c r="I868" s="101"/>
      <c r="J868" s="101">
        <v>1000000</v>
      </c>
      <c r="K868" s="10"/>
      <c r="L868" s="10"/>
      <c r="M868"/>
      <c r="N868"/>
    </row>
    <row r="869" spans="1:14" s="146" customFormat="1" ht="17.100000000000001" customHeight="1" x14ac:dyDescent="0.25">
      <c r="A869" s="519"/>
      <c r="B869" s="499"/>
      <c r="C869" s="499"/>
      <c r="D869" s="153" t="s">
        <v>15</v>
      </c>
      <c r="F869" s="100"/>
      <c r="G869" s="119">
        <f>SUM(G845:G867)</f>
        <v>884662.14999999991</v>
      </c>
      <c r="H869" s="119">
        <f>SUM(H845:H867)</f>
        <v>2760000</v>
      </c>
      <c r="I869" s="119">
        <f>SUM(I845:I867)</f>
        <v>142700.15</v>
      </c>
      <c r="J869" s="119">
        <f>SUM(J845:J868)</f>
        <v>4360000</v>
      </c>
      <c r="K869" s="10"/>
      <c r="L869" s="10"/>
      <c r="M869"/>
      <c r="N869"/>
    </row>
    <row r="870" spans="1:14" s="146" customFormat="1" ht="17.45" customHeight="1" x14ac:dyDescent="0.25">
      <c r="A870" s="519"/>
      <c r="B870" s="499"/>
      <c r="C870" s="499"/>
      <c r="D870" s="38"/>
      <c r="E870" s="199"/>
      <c r="F870" s="381"/>
      <c r="G870" s="101"/>
      <c r="H870" s="102"/>
      <c r="I870" s="101"/>
      <c r="J870" s="101"/>
      <c r="K870" s="10"/>
      <c r="L870" s="10"/>
      <c r="M870"/>
      <c r="N870"/>
    </row>
    <row r="871" spans="1:14" s="146" customFormat="1" ht="17.100000000000001" customHeight="1" x14ac:dyDescent="0.25">
      <c r="A871" s="519"/>
      <c r="B871" s="499"/>
      <c r="C871" s="499"/>
      <c r="D871" s="543" t="s">
        <v>33</v>
      </c>
      <c r="E871" s="153"/>
      <c r="F871" s="100"/>
      <c r="G871" s="155"/>
      <c r="H871" s="156"/>
      <c r="I871" s="155"/>
      <c r="J871" s="155"/>
      <c r="K871" s="10"/>
      <c r="L871" s="10"/>
      <c r="M871"/>
      <c r="N871"/>
    </row>
    <row r="872" spans="1:14" s="203" customFormat="1" ht="55.5" customHeight="1" x14ac:dyDescent="0.25">
      <c r="A872" s="519"/>
      <c r="B872" s="499"/>
      <c r="C872" s="499"/>
      <c r="D872" s="1574" t="s">
        <v>1117</v>
      </c>
      <c r="E872" s="1574"/>
      <c r="F872" s="100"/>
      <c r="G872" s="101"/>
      <c r="H872" s="102"/>
      <c r="I872" s="101"/>
      <c r="J872" s="101">
        <v>500000</v>
      </c>
      <c r="K872" s="10"/>
      <c r="L872" s="10"/>
      <c r="M872" s="415"/>
      <c r="N872" s="415"/>
    </row>
    <row r="873" spans="1:14" s="203" customFormat="1" ht="36" customHeight="1" x14ac:dyDescent="0.25">
      <c r="A873" s="519"/>
      <c r="B873" s="499"/>
      <c r="C873" s="499"/>
      <c r="D873" s="1574" t="s">
        <v>1118</v>
      </c>
      <c r="E873" s="1574"/>
      <c r="F873" s="100"/>
      <c r="G873" s="101"/>
      <c r="H873" s="102"/>
      <c r="I873" s="101"/>
      <c r="J873" s="101">
        <v>100000</v>
      </c>
      <c r="K873" s="10"/>
      <c r="L873" s="10"/>
      <c r="M873" s="415"/>
      <c r="N873" s="415"/>
    </row>
    <row r="874" spans="1:14" s="146" customFormat="1" ht="18" x14ac:dyDescent="0.25">
      <c r="A874" s="519"/>
      <c r="B874" s="499"/>
      <c r="C874" s="499"/>
      <c r="D874" s="536" t="s">
        <v>1119</v>
      </c>
      <c r="E874" s="153"/>
      <c r="F874" s="100"/>
      <c r="G874" s="109"/>
      <c r="H874" s="106">
        <v>1441794.32</v>
      </c>
      <c r="I874" s="105">
        <v>565022.64</v>
      </c>
      <c r="J874" s="106">
        <v>1542319.76</v>
      </c>
      <c r="K874" s="10"/>
      <c r="L874" s="10">
        <f>141132+1099037.76+150000+6750+68400+77000</f>
        <v>1542319.76</v>
      </c>
      <c r="M874"/>
      <c r="N874"/>
    </row>
    <row r="875" spans="1:14" s="146" customFormat="1" ht="17.100000000000001" customHeight="1" x14ac:dyDescent="0.25">
      <c r="A875" s="519"/>
      <c r="B875" s="499"/>
      <c r="C875" s="499"/>
      <c r="D875" s="153" t="s">
        <v>15</v>
      </c>
      <c r="F875" s="100"/>
      <c r="G875" s="109"/>
      <c r="H875" s="110">
        <f>SUM(H872:H874)</f>
        <v>1441794.32</v>
      </c>
      <c r="I875" s="110">
        <f>SUM(I872:I874)</f>
        <v>565022.64</v>
      </c>
      <c r="J875" s="110">
        <f>SUM(J872:J874)</f>
        <v>2142319.7599999998</v>
      </c>
      <c r="K875" s="10"/>
      <c r="L875" s="10"/>
      <c r="M875"/>
      <c r="N875"/>
    </row>
    <row r="876" spans="1:14" s="146" customFormat="1" ht="17.45" customHeight="1" x14ac:dyDescent="0.25">
      <c r="A876" s="519"/>
      <c r="B876" s="499"/>
      <c r="C876" s="499"/>
      <c r="D876" s="38"/>
      <c r="E876" s="199"/>
      <c r="F876" s="381"/>
      <c r="G876" s="101"/>
      <c r="H876" s="102"/>
      <c r="I876" s="101"/>
      <c r="J876" s="101"/>
      <c r="K876" s="10"/>
      <c r="L876" s="10"/>
      <c r="M876"/>
      <c r="N876"/>
    </row>
    <row r="877" spans="1:14" s="146" customFormat="1" ht="17.45" customHeight="1" x14ac:dyDescent="0.25">
      <c r="A877" s="519"/>
      <c r="B877" s="499"/>
      <c r="C877" s="499"/>
      <c r="D877" s="38"/>
      <c r="E877" s="199"/>
      <c r="F877" s="381"/>
      <c r="G877" s="101"/>
      <c r="H877" s="102"/>
      <c r="I877" s="101"/>
      <c r="J877" s="101"/>
      <c r="K877" s="10"/>
      <c r="L877" s="10"/>
      <c r="M877"/>
      <c r="N877"/>
    </row>
    <row r="878" spans="1:14" s="146" customFormat="1" ht="17.45" customHeight="1" thickBot="1" x14ac:dyDescent="0.3">
      <c r="A878" s="187"/>
      <c r="B878" s="413"/>
      <c r="C878" s="413"/>
      <c r="D878" s="358"/>
      <c r="E878" s="430"/>
      <c r="F878" s="414"/>
      <c r="G878" s="219"/>
      <c r="H878" s="220"/>
      <c r="I878" s="219"/>
      <c r="J878" s="219"/>
      <c r="K878" s="10"/>
      <c r="L878" s="10"/>
      <c r="M878"/>
      <c r="N878"/>
    </row>
    <row r="879" spans="1:14" s="146" customFormat="1" ht="17.45" customHeight="1" x14ac:dyDescent="0.25">
      <c r="A879" s="499"/>
      <c r="B879" s="499"/>
      <c r="C879" s="499"/>
      <c r="D879" s="38"/>
      <c r="E879" s="199"/>
      <c r="F879" s="381"/>
      <c r="G879" s="141"/>
      <c r="H879" s="122"/>
      <c r="I879" s="141"/>
      <c r="J879" s="141"/>
      <c r="K879" s="10"/>
      <c r="L879" s="10"/>
      <c r="M879"/>
      <c r="N879"/>
    </row>
    <row r="880" spans="1:14" s="146" customFormat="1" ht="17.45" customHeight="1" x14ac:dyDescent="0.25">
      <c r="A880" s="499"/>
      <c r="B880" s="499"/>
      <c r="C880" s="499"/>
      <c r="D880" s="38"/>
      <c r="E880" s="199"/>
      <c r="F880" s="381"/>
      <c r="G880" s="141"/>
      <c r="H880" s="122"/>
      <c r="I880" s="141"/>
      <c r="J880" s="141"/>
      <c r="K880" s="10"/>
      <c r="L880" s="10"/>
      <c r="M880"/>
      <c r="N880"/>
    </row>
    <row r="881" spans="1:14" s="146" customFormat="1" ht="17.45" customHeight="1" x14ac:dyDescent="0.25">
      <c r="A881" s="499"/>
      <c r="B881" s="499"/>
      <c r="C881" s="499"/>
      <c r="D881" s="38"/>
      <c r="E881" s="199"/>
      <c r="F881" s="381"/>
      <c r="G881" s="141"/>
      <c r="H881" s="122"/>
      <c r="I881" s="141"/>
      <c r="J881" s="141"/>
      <c r="K881" s="10"/>
      <c r="L881" s="10"/>
      <c r="M881"/>
      <c r="N881"/>
    </row>
    <row r="882" spans="1:14" s="146" customFormat="1" ht="17.45" customHeight="1" x14ac:dyDescent="0.25">
      <c r="A882" s="499"/>
      <c r="B882" s="499"/>
      <c r="C882" s="499"/>
      <c r="D882" s="38"/>
      <c r="E882" s="199"/>
      <c r="F882" s="381"/>
      <c r="G882" s="141"/>
      <c r="H882" s="122"/>
      <c r="I882" s="141"/>
      <c r="J882" s="141"/>
      <c r="K882" s="10"/>
      <c r="L882" s="10"/>
      <c r="M882"/>
      <c r="N882"/>
    </row>
    <row r="883" spans="1:14" s="146" customFormat="1" ht="17.45" customHeight="1" x14ac:dyDescent="0.25">
      <c r="A883" s="499"/>
      <c r="B883" s="499"/>
      <c r="C883" s="499"/>
      <c r="D883" s="38"/>
      <c r="E883" s="199"/>
      <c r="F883" s="381"/>
      <c r="G883" s="141"/>
      <c r="H883" s="122"/>
      <c r="I883" s="141"/>
      <c r="J883" s="141"/>
      <c r="K883" s="10"/>
      <c r="L883" s="10"/>
      <c r="M883"/>
      <c r="N883"/>
    </row>
    <row r="884" spans="1:14" s="146" customFormat="1" ht="17.45" customHeight="1" x14ac:dyDescent="0.25">
      <c r="A884" s="499"/>
      <c r="B884" s="499"/>
      <c r="C884" s="499"/>
      <c r="D884" s="38"/>
      <c r="E884" s="199"/>
      <c r="F884" s="381"/>
      <c r="G884" s="141"/>
      <c r="H884" s="122"/>
      <c r="I884" s="141"/>
      <c r="J884" s="141"/>
      <c r="K884" s="10"/>
      <c r="L884" s="10"/>
      <c r="M884"/>
      <c r="N884"/>
    </row>
    <row r="885" spans="1:14" ht="18" customHeight="1" x14ac:dyDescent="0.25">
      <c r="A885" s="8" t="s">
        <v>112</v>
      </c>
    </row>
    <row r="886" spans="1:14" ht="18" customHeight="1" x14ac:dyDescent="0.25">
      <c r="A886" s="8" t="s">
        <v>1027</v>
      </c>
    </row>
    <row r="887" spans="1:14" ht="18" customHeight="1" x14ac:dyDescent="0.25">
      <c r="A887" s="1636" t="s">
        <v>113</v>
      </c>
      <c r="B887" s="1636"/>
      <c r="C887" s="1636"/>
      <c r="D887" s="1636"/>
      <c r="E887" s="1636"/>
      <c r="F887" s="1636"/>
      <c r="G887" s="1636"/>
      <c r="H887" s="1636"/>
      <c r="I887" s="1636"/>
      <c r="J887" s="1636"/>
    </row>
    <row r="888" spans="1:14" s="7" customFormat="1" ht="18" customHeight="1" x14ac:dyDescent="0.25">
      <c r="A888" s="1624" t="s">
        <v>114</v>
      </c>
      <c r="B888" s="1624"/>
      <c r="C888" s="1624"/>
      <c r="D888" s="1624"/>
      <c r="E888" s="1624"/>
      <c r="F888" s="1624"/>
      <c r="G888" s="1624"/>
      <c r="H888" s="1624"/>
      <c r="I888" s="1624"/>
      <c r="J888" s="1624"/>
      <c r="K888" s="6"/>
      <c r="L888" s="6"/>
    </row>
    <row r="889" spans="1:14" ht="12" customHeight="1" thickBot="1" x14ac:dyDescent="0.3">
      <c r="A889" s="41"/>
      <c r="B889" s="41"/>
      <c r="C889" s="41"/>
      <c r="D889" s="63"/>
      <c r="E889" s="41"/>
      <c r="F889" s="41"/>
    </row>
    <row r="890" spans="1:14" ht="63.75" customHeight="1" thickBot="1" x14ac:dyDescent="0.3">
      <c r="A890" s="1625" t="s">
        <v>115</v>
      </c>
      <c r="B890" s="1626"/>
      <c r="C890" s="1626"/>
      <c r="D890" s="1626"/>
      <c r="E890" s="1626"/>
      <c r="F890" s="93" t="s">
        <v>116</v>
      </c>
      <c r="G890" s="130" t="s">
        <v>117</v>
      </c>
      <c r="H890" s="130" t="s">
        <v>118</v>
      </c>
      <c r="I890" s="130" t="s">
        <v>119</v>
      </c>
      <c r="J890" s="130" t="s">
        <v>120</v>
      </c>
    </row>
    <row r="891" spans="1:14" s="146" customFormat="1" ht="18" x14ac:dyDescent="0.25">
      <c r="A891" s="519"/>
      <c r="B891" s="499"/>
      <c r="C891" s="499"/>
      <c r="D891" s="540" t="s">
        <v>1120</v>
      </c>
      <c r="E891" s="199"/>
      <c r="F891" s="100"/>
      <c r="G891" s="101"/>
      <c r="H891" s="102"/>
      <c r="I891" s="101"/>
      <c r="J891" s="101"/>
      <c r="K891" s="10"/>
      <c r="L891" s="10">
        <v>1099037.76</v>
      </c>
      <c r="M891"/>
      <c r="N891"/>
    </row>
    <row r="892" spans="1:14" s="146" customFormat="1" ht="18" x14ac:dyDescent="0.25">
      <c r="A892" s="519"/>
      <c r="B892" s="499"/>
      <c r="C892" s="499"/>
      <c r="D892" s="36" t="s">
        <v>1121</v>
      </c>
      <c r="E892" s="511"/>
      <c r="F892" s="100"/>
      <c r="G892" s="101"/>
      <c r="H892" s="102"/>
      <c r="I892" s="101"/>
      <c r="J892" s="101"/>
      <c r="K892" s="10"/>
      <c r="L892" s="10">
        <v>150000</v>
      </c>
      <c r="M892"/>
      <c r="N892"/>
    </row>
    <row r="893" spans="1:14" s="146" customFormat="1" ht="17.45" customHeight="1" x14ac:dyDescent="0.25">
      <c r="A893" s="519"/>
      <c r="B893" s="499"/>
      <c r="C893" s="499"/>
      <c r="D893" s="516" t="s">
        <v>1122</v>
      </c>
      <c r="E893" s="3"/>
      <c r="F893" s="100"/>
      <c r="G893" s="101">
        <v>0</v>
      </c>
      <c r="H893" s="102">
        <v>30000</v>
      </c>
      <c r="I893" s="101"/>
      <c r="J893" s="101"/>
      <c r="K893" s="10"/>
      <c r="L893" s="10">
        <v>6750</v>
      </c>
      <c r="M893"/>
      <c r="N893"/>
    </row>
    <row r="894" spans="1:14" s="146" customFormat="1" ht="17.45" customHeight="1" x14ac:dyDescent="0.25">
      <c r="A894" s="519"/>
      <c r="B894" s="499"/>
      <c r="C894" s="499"/>
      <c r="D894" s="516" t="s">
        <v>1123</v>
      </c>
      <c r="E894" s="3"/>
      <c r="F894" s="100"/>
      <c r="G894" s="101">
        <v>0</v>
      </c>
      <c r="H894" s="102">
        <v>100000</v>
      </c>
      <c r="I894" s="101"/>
      <c r="J894" s="101"/>
      <c r="K894" s="10"/>
      <c r="L894" s="10">
        <v>68400</v>
      </c>
      <c r="M894"/>
      <c r="N894"/>
    </row>
    <row r="895" spans="1:14" s="146" customFormat="1" ht="35.25" customHeight="1" x14ac:dyDescent="0.25">
      <c r="A895" s="519"/>
      <c r="B895" s="499"/>
      <c r="C895" s="499"/>
      <c r="D895" s="1623" t="s">
        <v>1124</v>
      </c>
      <c r="E895" s="1623"/>
      <c r="F895" s="100"/>
      <c r="G895" s="101"/>
      <c r="H895" s="102">
        <v>20000</v>
      </c>
      <c r="I895" s="101"/>
      <c r="J895" s="101"/>
      <c r="K895" s="10"/>
      <c r="L895" s="10">
        <v>77000</v>
      </c>
      <c r="M895"/>
      <c r="N895"/>
    </row>
    <row r="896" spans="1:14" s="146" customFormat="1" ht="17.45" customHeight="1" x14ac:dyDescent="0.25">
      <c r="A896" s="519"/>
      <c r="B896" s="499"/>
      <c r="C896" s="499"/>
      <c r="D896" s="516" t="s">
        <v>1125</v>
      </c>
      <c r="E896" s="3"/>
      <c r="F896" s="100"/>
      <c r="G896" s="101">
        <v>99390</v>
      </c>
      <c r="H896" s="102">
        <v>200000</v>
      </c>
      <c r="I896" s="101">
        <v>10210</v>
      </c>
      <c r="J896" s="101">
        <v>201100</v>
      </c>
      <c r="K896" s="10"/>
      <c r="L896" s="10">
        <f>SUM(L891:L895)</f>
        <v>1401187.76</v>
      </c>
      <c r="M896"/>
      <c r="N896"/>
    </row>
    <row r="897" spans="1:14" s="146" customFormat="1" ht="17.45" customHeight="1" x14ac:dyDescent="0.25">
      <c r="A897" s="519"/>
      <c r="B897" s="499"/>
      <c r="C897" s="499"/>
      <c r="D897" s="516" t="s">
        <v>1126</v>
      </c>
      <c r="E897" s="3"/>
      <c r="F897" s="100"/>
      <c r="G897" s="101"/>
      <c r="H897" s="102"/>
      <c r="I897" s="101"/>
      <c r="J897" s="101">
        <v>40000</v>
      </c>
      <c r="K897" s="10"/>
      <c r="L897" s="10">
        <v>600000</v>
      </c>
      <c r="M897"/>
      <c r="N897"/>
    </row>
    <row r="898" spans="1:14" s="146" customFormat="1" ht="17.45" customHeight="1" x14ac:dyDescent="0.25">
      <c r="A898" s="519"/>
      <c r="B898" s="499"/>
      <c r="C898" s="499"/>
      <c r="D898" s="516" t="s">
        <v>1127</v>
      </c>
      <c r="E898" s="3"/>
      <c r="F898" s="100"/>
      <c r="G898" s="101">
        <v>0</v>
      </c>
      <c r="H898" s="102">
        <v>40000</v>
      </c>
      <c r="I898" s="101"/>
      <c r="J898" s="101"/>
      <c r="K898" s="10"/>
      <c r="L898" s="10"/>
      <c r="M898"/>
      <c r="N898"/>
    </row>
    <row r="899" spans="1:14" s="146" customFormat="1" ht="17.45" customHeight="1" x14ac:dyDescent="0.25">
      <c r="A899" s="519"/>
      <c r="B899" s="499"/>
      <c r="C899" s="499"/>
      <c r="D899" s="516" t="s">
        <v>1128</v>
      </c>
      <c r="E899" s="3"/>
      <c r="F899" s="100"/>
      <c r="G899" s="101">
        <v>0</v>
      </c>
      <c r="H899" s="102">
        <v>80000</v>
      </c>
      <c r="I899" s="101"/>
      <c r="J899" s="101"/>
      <c r="K899" s="10"/>
      <c r="L899" s="10"/>
      <c r="M899"/>
      <c r="N899"/>
    </row>
    <row r="900" spans="1:14" s="146" customFormat="1" ht="17.45" customHeight="1" x14ac:dyDescent="0.25">
      <c r="A900" s="519"/>
      <c r="B900" s="499"/>
      <c r="C900" s="499"/>
      <c r="D900" s="516" t="s">
        <v>1129</v>
      </c>
      <c r="E900" s="3"/>
      <c r="F900" s="100"/>
      <c r="G900" s="101">
        <v>29500</v>
      </c>
      <c r="H900" s="102">
        <v>50000</v>
      </c>
      <c r="I900" s="101"/>
      <c r="J900" s="101"/>
      <c r="K900" s="10"/>
      <c r="L900" s="10"/>
      <c r="M900"/>
      <c r="N900"/>
    </row>
    <row r="901" spans="1:14" s="146" customFormat="1" ht="17.45" customHeight="1" x14ac:dyDescent="0.25">
      <c r="A901" s="519"/>
      <c r="B901" s="499"/>
      <c r="C901" s="499"/>
      <c r="D901" s="516" t="s">
        <v>1130</v>
      </c>
      <c r="E901" s="3"/>
      <c r="F901" s="100"/>
      <c r="G901" s="101">
        <v>0</v>
      </c>
      <c r="H901" s="102">
        <v>100000</v>
      </c>
      <c r="I901" s="101"/>
      <c r="J901" s="101"/>
      <c r="K901" s="10"/>
      <c r="L901" s="10"/>
      <c r="M901"/>
      <c r="N901"/>
    </row>
    <row r="902" spans="1:14" s="146" customFormat="1" ht="17.45" customHeight="1" x14ac:dyDescent="0.25">
      <c r="A902" s="519"/>
      <c r="B902" s="499"/>
      <c r="C902" s="499"/>
      <c r="D902" s="516" t="s">
        <v>1131</v>
      </c>
      <c r="E902" s="3"/>
      <c r="F902" s="100"/>
      <c r="G902" s="101">
        <v>0</v>
      </c>
      <c r="H902" s="102">
        <v>50000</v>
      </c>
      <c r="I902" s="101"/>
      <c r="J902" s="101"/>
      <c r="K902" s="10"/>
      <c r="L902" s="10"/>
      <c r="M902"/>
      <c r="N902"/>
    </row>
    <row r="903" spans="1:14" s="146" customFormat="1" ht="17.45" customHeight="1" x14ac:dyDescent="0.25">
      <c r="A903" s="519"/>
      <c r="B903" s="499"/>
      <c r="C903" s="499"/>
      <c r="D903" s="516" t="s">
        <v>1132</v>
      </c>
      <c r="E903" s="3"/>
      <c r="F903" s="100"/>
      <c r="G903" s="101">
        <v>0</v>
      </c>
      <c r="H903" s="102">
        <v>27000</v>
      </c>
      <c r="I903" s="101"/>
      <c r="J903" s="101">
        <v>27000</v>
      </c>
      <c r="K903" s="10"/>
      <c r="L903" s="10"/>
      <c r="M903"/>
      <c r="N903"/>
    </row>
    <row r="904" spans="1:14" s="146" customFormat="1" ht="17.45" customHeight="1" x14ac:dyDescent="0.25">
      <c r="A904" s="519"/>
      <c r="B904" s="499"/>
      <c r="C904" s="499"/>
      <c r="D904" s="516" t="s">
        <v>1133</v>
      </c>
      <c r="E904" s="125"/>
      <c r="F904" s="100"/>
      <c r="G904" s="101"/>
      <c r="H904" s="102">
        <v>25000</v>
      </c>
      <c r="I904" s="101"/>
      <c r="J904" s="101">
        <v>25000</v>
      </c>
      <c r="K904" s="10"/>
      <c r="L904" s="10"/>
      <c r="M904"/>
      <c r="N904"/>
    </row>
    <row r="905" spans="1:14" s="146" customFormat="1" ht="17.45" customHeight="1" x14ac:dyDescent="0.25">
      <c r="A905" s="519"/>
      <c r="B905" s="499"/>
      <c r="C905" s="499"/>
      <c r="D905" s="516" t="s">
        <v>1134</v>
      </c>
      <c r="E905" s="125"/>
      <c r="F905" s="100"/>
      <c r="G905" s="101"/>
      <c r="H905" s="102"/>
      <c r="I905" s="101"/>
      <c r="J905" s="101">
        <v>189000</v>
      </c>
      <c r="K905" s="10"/>
      <c r="L905" s="10"/>
      <c r="M905"/>
      <c r="N905"/>
    </row>
    <row r="906" spans="1:14" s="146" customFormat="1" ht="17.45" customHeight="1" x14ac:dyDescent="0.25">
      <c r="A906" s="519"/>
      <c r="B906" s="499"/>
      <c r="C906" s="499"/>
      <c r="D906" s="516" t="s">
        <v>1135</v>
      </c>
      <c r="E906" s="125"/>
      <c r="F906" s="100"/>
      <c r="G906" s="101"/>
      <c r="H906" s="102"/>
      <c r="I906" s="101"/>
      <c r="J906" s="101">
        <v>108945</v>
      </c>
      <c r="K906" s="10"/>
      <c r="L906" s="10"/>
      <c r="M906"/>
      <c r="N906"/>
    </row>
    <row r="907" spans="1:14" s="146" customFormat="1" ht="17.45" customHeight="1" x14ac:dyDescent="0.25">
      <c r="A907" s="519"/>
      <c r="B907" s="499"/>
      <c r="C907" s="499"/>
      <c r="D907" s="516" t="s">
        <v>1136</v>
      </c>
      <c r="E907" s="125"/>
      <c r="F907" s="100"/>
      <c r="G907" s="101"/>
      <c r="H907" s="102">
        <v>100000</v>
      </c>
      <c r="I907" s="101"/>
      <c r="J907" s="101"/>
      <c r="K907" s="10"/>
      <c r="L907" s="10"/>
      <c r="M907"/>
      <c r="N907"/>
    </row>
    <row r="908" spans="1:14" s="146" customFormat="1" ht="17.45" customHeight="1" x14ac:dyDescent="0.25">
      <c r="A908" s="519"/>
      <c r="B908" s="499"/>
      <c r="C908" s="499"/>
      <c r="D908" s="516"/>
      <c r="E908" s="125"/>
      <c r="F908" s="100"/>
      <c r="G908" s="101"/>
      <c r="H908" s="102"/>
      <c r="I908" s="101"/>
      <c r="J908" s="101"/>
      <c r="K908" s="10"/>
      <c r="L908" s="10"/>
      <c r="M908"/>
      <c r="N908"/>
    </row>
    <row r="909" spans="1:14" s="146" customFormat="1" ht="18" x14ac:dyDescent="0.25">
      <c r="A909" s="519"/>
      <c r="B909" s="499"/>
      <c r="C909" s="499"/>
      <c r="D909" s="36" t="s">
        <v>1138</v>
      </c>
      <c r="E909" s="511"/>
      <c r="F909" s="100"/>
      <c r="G909" s="101"/>
      <c r="H909" s="102"/>
      <c r="I909" s="101"/>
      <c r="J909" s="101"/>
      <c r="K909" s="10"/>
      <c r="L909" s="10"/>
      <c r="M909"/>
      <c r="N909"/>
    </row>
    <row r="910" spans="1:14" s="146" customFormat="1" ht="18" x14ac:dyDescent="0.25">
      <c r="A910" s="519"/>
      <c r="B910" s="499"/>
      <c r="C910" s="499"/>
      <c r="D910" s="38" t="s">
        <v>1139</v>
      </c>
      <c r="E910" s="511"/>
      <c r="F910" s="100"/>
      <c r="G910" s="101">
        <v>0</v>
      </c>
      <c r="H910" s="102">
        <v>0</v>
      </c>
      <c r="I910" s="101">
        <v>0</v>
      </c>
      <c r="J910" s="101">
        <v>200000</v>
      </c>
      <c r="K910" s="10"/>
      <c r="L910" s="10"/>
      <c r="M910"/>
      <c r="N910"/>
    </row>
    <row r="911" spans="1:14" s="146" customFormat="1" ht="36" customHeight="1" x14ac:dyDescent="0.25">
      <c r="A911" s="519"/>
      <c r="B911" s="499"/>
      <c r="C911" s="499"/>
      <c r="D911" s="1623" t="s">
        <v>1140</v>
      </c>
      <c r="E911" s="1623"/>
      <c r="F911" s="100"/>
      <c r="G911" s="101">
        <v>0</v>
      </c>
      <c r="H911" s="102">
        <v>20000</v>
      </c>
      <c r="I911" s="101"/>
      <c r="J911" s="101">
        <v>20000</v>
      </c>
      <c r="K911" s="10"/>
      <c r="L911" s="10"/>
      <c r="M911"/>
      <c r="N911"/>
    </row>
    <row r="912" spans="1:14" s="146" customFormat="1" ht="18" x14ac:dyDescent="0.25">
      <c r="A912" s="519"/>
      <c r="B912" s="499"/>
      <c r="C912" s="499"/>
      <c r="D912" s="516" t="s">
        <v>1141</v>
      </c>
      <c r="E912" s="3"/>
      <c r="F912" s="100"/>
      <c r="G912" s="101">
        <v>0</v>
      </c>
      <c r="H912" s="102">
        <v>80000</v>
      </c>
      <c r="I912" s="101">
        <v>0</v>
      </c>
      <c r="J912" s="101"/>
      <c r="K912" s="10"/>
      <c r="L912" s="10"/>
      <c r="M912"/>
      <c r="N912"/>
    </row>
    <row r="913" spans="1:14" s="146" customFormat="1" ht="18" x14ac:dyDescent="0.25">
      <c r="A913" s="519"/>
      <c r="B913" s="499"/>
      <c r="C913" s="499"/>
      <c r="D913" s="516" t="s">
        <v>1142</v>
      </c>
      <c r="E913" s="3"/>
      <c r="F913" s="100"/>
      <c r="G913" s="101">
        <v>498450</v>
      </c>
      <c r="H913" s="102">
        <v>500000</v>
      </c>
      <c r="I913" s="101">
        <v>0</v>
      </c>
      <c r="J913" s="101">
        <v>2000000</v>
      </c>
      <c r="K913" s="10"/>
      <c r="L913" s="10"/>
      <c r="M913"/>
      <c r="N913"/>
    </row>
    <row r="914" spans="1:14" s="146" customFormat="1" ht="18" x14ac:dyDescent="0.25">
      <c r="A914" s="519"/>
      <c r="B914" s="499"/>
      <c r="C914" s="499"/>
      <c r="D914" s="516" t="s">
        <v>1143</v>
      </c>
      <c r="E914" s="3"/>
      <c r="F914" s="100"/>
      <c r="G914" s="101">
        <v>99750</v>
      </c>
      <c r="H914" s="102">
        <v>80000</v>
      </c>
      <c r="I914" s="101">
        <v>0</v>
      </c>
      <c r="J914" s="101"/>
      <c r="K914" s="10"/>
      <c r="L914" s="10"/>
      <c r="M914"/>
      <c r="N914"/>
    </row>
    <row r="915" spans="1:14" s="146" customFormat="1" ht="18" x14ac:dyDescent="0.25">
      <c r="A915" s="519"/>
      <c r="B915" s="499"/>
      <c r="C915" s="499"/>
      <c r="D915" s="516" t="s">
        <v>1144</v>
      </c>
      <c r="E915" s="3"/>
      <c r="F915" s="100"/>
      <c r="G915" s="101">
        <v>0</v>
      </c>
      <c r="H915" s="102">
        <v>0</v>
      </c>
      <c r="I915" s="101">
        <v>0</v>
      </c>
      <c r="J915" s="101"/>
      <c r="K915" s="10"/>
      <c r="L915" s="10"/>
      <c r="M915"/>
      <c r="N915"/>
    </row>
    <row r="916" spans="1:14" s="146" customFormat="1" ht="18" x14ac:dyDescent="0.25">
      <c r="A916" s="519"/>
      <c r="B916" s="499"/>
      <c r="C916" s="499"/>
      <c r="D916" s="516" t="s">
        <v>1145</v>
      </c>
      <c r="E916" s="3"/>
      <c r="F916" s="100"/>
      <c r="G916" s="101"/>
      <c r="H916" s="102">
        <v>800000</v>
      </c>
      <c r="I916" s="101">
        <v>0</v>
      </c>
      <c r="J916" s="101">
        <v>800000</v>
      </c>
      <c r="K916" s="10"/>
      <c r="L916" s="10"/>
      <c r="M916"/>
      <c r="N916"/>
    </row>
    <row r="917" spans="1:14" s="146" customFormat="1" ht="37.5" customHeight="1" x14ac:dyDescent="0.25">
      <c r="A917" s="519"/>
      <c r="B917" s="499"/>
      <c r="C917" s="499"/>
      <c r="D917" s="1623" t="s">
        <v>1146</v>
      </c>
      <c r="E917" s="1623"/>
      <c r="F917" s="100"/>
      <c r="G917" s="101">
        <v>0</v>
      </c>
      <c r="H917" s="102">
        <v>70000</v>
      </c>
      <c r="I917" s="101">
        <v>0</v>
      </c>
      <c r="J917" s="101"/>
      <c r="K917" s="10"/>
      <c r="L917" s="10"/>
      <c r="M917"/>
      <c r="N917"/>
    </row>
    <row r="918" spans="1:14" s="146" customFormat="1" ht="18" x14ac:dyDescent="0.25">
      <c r="A918" s="519"/>
      <c r="B918" s="499"/>
      <c r="C918" s="499"/>
      <c r="D918" s="1639" t="s">
        <v>1147</v>
      </c>
      <c r="E918" s="1639"/>
      <c r="F918" s="100"/>
      <c r="G918" s="101">
        <v>181000</v>
      </c>
      <c r="H918" s="102">
        <v>200000</v>
      </c>
      <c r="I918" s="101">
        <v>14000</v>
      </c>
      <c r="J918" s="101">
        <v>300000</v>
      </c>
      <c r="K918" s="10"/>
      <c r="L918" s="10"/>
      <c r="M918"/>
      <c r="N918"/>
    </row>
    <row r="919" spans="1:14" s="146" customFormat="1" ht="18" x14ac:dyDescent="0.25">
      <c r="A919" s="519"/>
      <c r="B919" s="499"/>
      <c r="C919" s="499"/>
      <c r="D919" s="516" t="s">
        <v>1148</v>
      </c>
      <c r="E919" s="3"/>
      <c r="F919" s="100"/>
      <c r="G919" s="101">
        <v>0</v>
      </c>
      <c r="H919" s="102">
        <v>50000</v>
      </c>
      <c r="I919" s="101">
        <v>10000</v>
      </c>
      <c r="J919" s="101">
        <v>50000</v>
      </c>
      <c r="K919" s="10"/>
      <c r="L919" s="10"/>
      <c r="M919"/>
      <c r="N919"/>
    </row>
    <row r="920" spans="1:14" s="146" customFormat="1" ht="18" x14ac:dyDescent="0.25">
      <c r="A920" s="519"/>
      <c r="B920" s="499"/>
      <c r="C920" s="499"/>
      <c r="D920" s="516" t="s">
        <v>1149</v>
      </c>
      <c r="E920" s="3"/>
      <c r="F920" s="100"/>
      <c r="G920" s="101">
        <v>0</v>
      </c>
      <c r="H920" s="102">
        <v>100000</v>
      </c>
      <c r="I920" s="101">
        <v>0</v>
      </c>
      <c r="J920" s="101">
        <v>500000</v>
      </c>
      <c r="K920" s="10"/>
      <c r="L920" s="10"/>
      <c r="M920"/>
      <c r="N920"/>
    </row>
    <row r="921" spans="1:14" s="146" customFormat="1" ht="18" x14ac:dyDescent="0.25">
      <c r="A921" s="519"/>
      <c r="B921" s="499"/>
      <c r="C921" s="499"/>
      <c r="D921" s="516" t="s">
        <v>1150</v>
      </c>
      <c r="E921" s="3"/>
      <c r="F921" s="100"/>
      <c r="G921" s="101">
        <v>128752</v>
      </c>
      <c r="H921" s="102">
        <v>0</v>
      </c>
      <c r="I921" s="101"/>
      <c r="J921" s="101"/>
      <c r="K921" s="10"/>
      <c r="L921" s="10"/>
      <c r="M921"/>
      <c r="N921"/>
    </row>
    <row r="922" spans="1:14" ht="18" x14ac:dyDescent="0.25">
      <c r="A922" s="519"/>
      <c r="B922" s="499"/>
      <c r="C922" s="499"/>
      <c r="D922" s="516" t="s">
        <v>1151</v>
      </c>
      <c r="E922" s="3"/>
      <c r="F922" s="100"/>
      <c r="G922" s="101"/>
      <c r="H922" s="102">
        <v>3000000</v>
      </c>
      <c r="I922" s="101">
        <v>0</v>
      </c>
      <c r="J922" s="101"/>
    </row>
    <row r="923" spans="1:14" ht="18" x14ac:dyDescent="0.25">
      <c r="A923" s="519"/>
      <c r="B923" s="499"/>
      <c r="C923" s="499"/>
      <c r="D923" s="38" t="s">
        <v>1152</v>
      </c>
      <c r="E923" s="199"/>
      <c r="F923" s="100"/>
      <c r="G923" s="101">
        <v>1477220</v>
      </c>
      <c r="H923" s="102">
        <v>500000</v>
      </c>
      <c r="I923" s="101">
        <v>0</v>
      </c>
      <c r="J923" s="101">
        <v>500000</v>
      </c>
    </row>
    <row r="924" spans="1:14" s="191" customFormat="1" ht="18" x14ac:dyDescent="0.25">
      <c r="A924" s="433"/>
      <c r="B924" s="435"/>
      <c r="C924" s="435"/>
      <c r="D924" s="240" t="s">
        <v>1153</v>
      </c>
      <c r="E924" s="434"/>
      <c r="F924" s="437"/>
      <c r="G924" s="438">
        <v>3426500</v>
      </c>
      <c r="H924" s="439">
        <v>3783500</v>
      </c>
      <c r="I924" s="438">
        <v>1431550</v>
      </c>
      <c r="J924" s="438">
        <v>2979000</v>
      </c>
      <c r="K924" s="10"/>
      <c r="L924" s="10"/>
    </row>
    <row r="925" spans="1:14" s="191" customFormat="1" ht="18" x14ac:dyDescent="0.25">
      <c r="A925" s="433"/>
      <c r="B925" s="435"/>
      <c r="C925" s="435"/>
      <c r="D925" s="240" t="s">
        <v>1154</v>
      </c>
      <c r="E925" s="434"/>
      <c r="F925" s="437"/>
      <c r="G925" s="438">
        <v>473000</v>
      </c>
      <c r="H925" s="439">
        <v>529000</v>
      </c>
      <c r="I925" s="438">
        <v>193500</v>
      </c>
      <c r="J925" s="438">
        <v>474000</v>
      </c>
      <c r="K925" s="10"/>
      <c r="L925" s="10"/>
    </row>
    <row r="926" spans="1:14" s="191" customFormat="1" ht="18" x14ac:dyDescent="0.25">
      <c r="A926" s="433"/>
      <c r="B926" s="435"/>
      <c r="C926" s="435"/>
      <c r="D926" s="240" t="s">
        <v>1155</v>
      </c>
      <c r="E926" s="434"/>
      <c r="F926" s="437"/>
      <c r="G926" s="440">
        <v>717000</v>
      </c>
      <c r="H926" s="441">
        <v>793500</v>
      </c>
      <c r="I926" s="440">
        <v>282375</v>
      </c>
      <c r="J926" s="440">
        <v>639000</v>
      </c>
      <c r="K926" s="10"/>
      <c r="L926" s="10"/>
    </row>
    <row r="927" spans="1:14" ht="18" x14ac:dyDescent="0.25">
      <c r="A927" s="519"/>
      <c r="B927" s="499"/>
      <c r="C927" s="499"/>
      <c r="D927" s="153" t="s">
        <v>15</v>
      </c>
      <c r="F927" s="100"/>
      <c r="G927" s="119">
        <f>SUM(G892:G926)</f>
        <v>7130562</v>
      </c>
      <c r="H927" s="150">
        <f>SUM(H892:H926)</f>
        <v>11328000</v>
      </c>
      <c r="I927" s="119">
        <f>SUM(I892:I926)</f>
        <v>1941635</v>
      </c>
      <c r="J927" s="119">
        <f>SUM(J892:J926)</f>
        <v>9053045</v>
      </c>
    </row>
    <row r="928" spans="1:14" ht="18" x14ac:dyDescent="0.25">
      <c r="A928" s="519"/>
      <c r="B928" s="499"/>
      <c r="C928" s="499"/>
      <c r="D928" s="513"/>
      <c r="E928" s="153"/>
      <c r="F928" s="100"/>
      <c r="G928" s="155"/>
      <c r="H928" s="156"/>
      <c r="I928" s="155"/>
      <c r="J928" s="155"/>
    </row>
    <row r="929" spans="1:14" ht="18" x14ac:dyDescent="0.25">
      <c r="A929" s="519"/>
      <c r="B929" s="499"/>
      <c r="C929" s="499"/>
      <c r="D929" s="540" t="s">
        <v>1156</v>
      </c>
      <c r="E929" s="199"/>
      <c r="F929" s="100"/>
      <c r="G929" s="101"/>
      <c r="H929" s="102"/>
      <c r="I929" s="101"/>
      <c r="J929" s="101"/>
    </row>
    <row r="930" spans="1:14" ht="18" x14ac:dyDescent="0.25">
      <c r="A930" s="519"/>
      <c r="B930" s="499"/>
      <c r="C930" s="499"/>
      <c r="D930" s="442" t="s">
        <v>1157</v>
      </c>
      <c r="E930" s="199"/>
      <c r="F930" s="100"/>
      <c r="G930" s="101"/>
      <c r="H930" s="443">
        <v>10750000</v>
      </c>
      <c r="I930" s="101"/>
      <c r="J930" s="101"/>
      <c r="L930" s="141"/>
    </row>
    <row r="931" spans="1:14" ht="18" x14ac:dyDescent="0.25">
      <c r="A931" s="519"/>
      <c r="B931" s="499"/>
      <c r="C931" s="499"/>
      <c r="D931" s="38" t="s">
        <v>1158</v>
      </c>
      <c r="E931" s="499"/>
      <c r="F931" s="100"/>
      <c r="G931" s="101">
        <v>4484515.96</v>
      </c>
      <c r="H931" s="102">
        <v>4279800</v>
      </c>
      <c r="I931" s="101">
        <v>1870404.48</v>
      </c>
      <c r="J931" s="101">
        <v>4531591.68</v>
      </c>
      <c r="K931" s="444"/>
      <c r="L931" s="141"/>
    </row>
    <row r="932" spans="1:14" ht="18" x14ac:dyDescent="0.25">
      <c r="A932" s="519"/>
      <c r="B932" s="499"/>
      <c r="C932" s="499"/>
      <c r="D932" s="38" t="s">
        <v>1159</v>
      </c>
      <c r="E932" s="499"/>
      <c r="F932" s="100"/>
      <c r="G932" s="101">
        <v>40000</v>
      </c>
      <c r="H932" s="102">
        <v>200000</v>
      </c>
      <c r="I932" s="101">
        <v>20000</v>
      </c>
      <c r="J932" s="101"/>
      <c r="K932" s="444"/>
      <c r="L932" s="445"/>
    </row>
    <row r="933" spans="1:14" ht="36" customHeight="1" x14ac:dyDescent="0.25">
      <c r="A933" s="519"/>
      <c r="B933" s="499"/>
      <c r="C933" s="499"/>
      <c r="D933" s="1623" t="s">
        <v>1160</v>
      </c>
      <c r="E933" s="1623"/>
      <c r="F933" s="100"/>
      <c r="G933" s="101"/>
      <c r="H933" s="102">
        <v>400000</v>
      </c>
      <c r="I933" s="101"/>
      <c r="J933" s="101">
        <v>400000</v>
      </c>
      <c r="L933" s="445"/>
    </row>
    <row r="934" spans="1:14" ht="18" x14ac:dyDescent="0.25">
      <c r="A934" s="519"/>
      <c r="B934" s="499"/>
      <c r="C934" s="499"/>
      <c r="D934" s="38" t="s">
        <v>1161</v>
      </c>
      <c r="E934" s="499"/>
      <c r="F934" s="100"/>
      <c r="G934" s="101">
        <v>226272</v>
      </c>
      <c r="H934" s="102">
        <v>0</v>
      </c>
      <c r="I934" s="101"/>
      <c r="J934" s="101"/>
      <c r="L934" s="445"/>
    </row>
    <row r="935" spans="1:14" ht="39" customHeight="1" x14ac:dyDescent="0.25">
      <c r="A935" s="519"/>
      <c r="B935" s="499"/>
      <c r="C935" s="499"/>
      <c r="D935" s="1637" t="s">
        <v>1162</v>
      </c>
      <c r="E935" s="1637"/>
      <c r="F935" s="100"/>
      <c r="G935" s="101">
        <v>5609293</v>
      </c>
      <c r="H935" s="102">
        <v>0</v>
      </c>
      <c r="I935" s="101"/>
      <c r="J935" s="101">
        <v>15000000</v>
      </c>
      <c r="L935" s="445"/>
    </row>
    <row r="936" spans="1:14" ht="18" x14ac:dyDescent="0.25">
      <c r="A936" s="519"/>
      <c r="B936" s="499"/>
      <c r="C936" s="499"/>
      <c r="D936" s="536" t="s">
        <v>1163</v>
      </c>
      <c r="E936" s="507"/>
      <c r="F936" s="100"/>
      <c r="G936" s="101">
        <v>1000000</v>
      </c>
      <c r="H936" s="102"/>
      <c r="I936" s="101"/>
      <c r="J936" s="101"/>
      <c r="L936" s="445"/>
    </row>
    <row r="937" spans="1:14" ht="18" x14ac:dyDescent="0.25">
      <c r="A937" s="519"/>
      <c r="B937" s="499"/>
      <c r="C937" s="499"/>
      <c r="D937" s="38"/>
      <c r="E937" s="499"/>
      <c r="F937" s="100"/>
      <c r="G937" s="105"/>
      <c r="H937" s="106"/>
      <c r="I937" s="105"/>
      <c r="J937" s="105"/>
      <c r="L937" s="445"/>
    </row>
    <row r="938" spans="1:14" ht="18" x14ac:dyDescent="0.25">
      <c r="A938" s="519"/>
      <c r="B938" s="499"/>
      <c r="C938" s="499"/>
      <c r="D938" s="153" t="s">
        <v>200</v>
      </c>
      <c r="F938" s="100"/>
      <c r="G938" s="315">
        <f>SUM(G931:G937)</f>
        <v>11360080.960000001</v>
      </c>
      <c r="H938" s="150">
        <f>SUM(H930:H937)</f>
        <v>15629800</v>
      </c>
      <c r="I938" s="119">
        <f>SUM(I930:I937)</f>
        <v>1890404.48</v>
      </c>
      <c r="J938" s="119">
        <f>SUM(J931:J937)</f>
        <v>19931591.68</v>
      </c>
      <c r="L938" s="445"/>
    </row>
    <row r="939" spans="1:14" ht="18" x14ac:dyDescent="0.25">
      <c r="A939" s="519"/>
      <c r="B939" s="499"/>
      <c r="C939" s="499"/>
      <c r="D939" s="153"/>
      <c r="F939" s="100"/>
      <c r="G939" s="189"/>
      <c r="H939" s="156"/>
      <c r="I939" s="155"/>
      <c r="J939" s="155"/>
      <c r="L939" s="445"/>
    </row>
    <row r="940" spans="1:14" ht="18" x14ac:dyDescent="0.25">
      <c r="A940" s="519"/>
      <c r="B940" s="499"/>
      <c r="C940" s="499"/>
      <c r="D940" s="36" t="s">
        <v>1164</v>
      </c>
      <c r="E940" s="499"/>
      <c r="F940" s="100"/>
      <c r="G940" s="101"/>
      <c r="H940" s="102"/>
      <c r="I940" s="101"/>
      <c r="J940" s="101"/>
      <c r="L940" s="445">
        <f>741305374*1%</f>
        <v>7413053.7400000002</v>
      </c>
    </row>
    <row r="941" spans="1:14" ht="18" x14ac:dyDescent="0.25">
      <c r="A941" s="519"/>
      <c r="B941" s="499"/>
      <c r="C941" s="499"/>
      <c r="D941" s="38" t="s">
        <v>1165</v>
      </c>
      <c r="E941" s="199"/>
      <c r="F941" s="100"/>
      <c r="G941" s="101"/>
      <c r="H941" s="102"/>
      <c r="I941" s="101"/>
      <c r="J941" s="101"/>
      <c r="L941" s="445"/>
    </row>
    <row r="942" spans="1:14" ht="36.75" customHeight="1" x14ac:dyDescent="0.25">
      <c r="A942" s="519"/>
      <c r="B942" s="499"/>
      <c r="C942" s="499"/>
      <c r="D942" s="1623" t="s">
        <v>1166</v>
      </c>
      <c r="E942" s="1623"/>
      <c r="F942" s="100"/>
      <c r="G942" s="101">
        <v>20920.830000000002</v>
      </c>
      <c r="H942" s="102">
        <v>50000</v>
      </c>
      <c r="I942" s="101">
        <v>7245.5</v>
      </c>
      <c r="J942" s="101">
        <v>50000</v>
      </c>
    </row>
    <row r="943" spans="1:14" s="146" customFormat="1" ht="18" x14ac:dyDescent="0.25">
      <c r="A943" s="519"/>
      <c r="B943" s="499"/>
      <c r="C943" s="499"/>
      <c r="D943" s="38" t="s">
        <v>1167</v>
      </c>
      <c r="E943" s="199"/>
      <c r="F943" s="100"/>
      <c r="G943" s="101"/>
      <c r="H943" s="102">
        <v>595103.21</v>
      </c>
      <c r="I943" s="101"/>
      <c r="J943" s="101">
        <v>600000</v>
      </c>
      <c r="K943" s="10"/>
      <c r="L943" s="10"/>
      <c r="M943"/>
      <c r="N943"/>
    </row>
    <row r="944" spans="1:14" s="146" customFormat="1" ht="18" customHeight="1" thickBot="1" x14ac:dyDescent="0.3">
      <c r="A944" s="187"/>
      <c r="B944" s="413"/>
      <c r="C944" s="413"/>
      <c r="D944" s="508"/>
      <c r="E944" s="508"/>
      <c r="F944" s="308"/>
      <c r="G944" s="219"/>
      <c r="H944" s="220"/>
      <c r="I944" s="219"/>
      <c r="J944" s="219"/>
      <c r="K944" s="10"/>
      <c r="L944" s="10"/>
      <c r="M944"/>
      <c r="N944"/>
    </row>
    <row r="945" spans="1:14" s="146" customFormat="1" ht="18" customHeight="1" x14ac:dyDescent="0.25">
      <c r="A945" s="499"/>
      <c r="B945" s="499"/>
      <c r="C945" s="499"/>
      <c r="D945" s="504"/>
      <c r="E945" s="504"/>
      <c r="F945" s="381"/>
      <c r="G945" s="141"/>
      <c r="H945" s="122"/>
      <c r="I945" s="141"/>
      <c r="J945" s="141"/>
      <c r="K945" s="10"/>
      <c r="L945" s="10"/>
      <c r="M945"/>
      <c r="N945"/>
    </row>
    <row r="946" spans="1:14" s="146" customFormat="1" ht="18" customHeight="1" x14ac:dyDescent="0.25">
      <c r="A946" s="499"/>
      <c r="B946" s="499"/>
      <c r="C946" s="499"/>
      <c r="D946" s="504"/>
      <c r="E946" s="504"/>
      <c r="F946" s="381"/>
      <c r="G946" s="141"/>
      <c r="H946" s="122"/>
      <c r="I946" s="141"/>
      <c r="J946" s="141"/>
      <c r="K946" s="10"/>
      <c r="L946" s="10"/>
      <c r="M946"/>
      <c r="N946"/>
    </row>
    <row r="947" spans="1:14" ht="18" customHeight="1" x14ac:dyDescent="0.25">
      <c r="A947" s="235" t="s">
        <v>112</v>
      </c>
      <c r="B947" s="235"/>
      <c r="C947" s="235"/>
      <c r="D947" s="51"/>
      <c r="E947" s="235"/>
      <c r="F947" s="235"/>
      <c r="G947" s="160"/>
      <c r="H947" s="161"/>
      <c r="I947" s="160"/>
      <c r="J947" s="160"/>
    </row>
    <row r="948" spans="1:14" ht="18" customHeight="1" x14ac:dyDescent="0.25">
      <c r="A948" s="8" t="s">
        <v>1049</v>
      </c>
    </row>
    <row r="949" spans="1:14" ht="18" customHeight="1" x14ac:dyDescent="0.25">
      <c r="A949" s="1636" t="s">
        <v>113</v>
      </c>
      <c r="B949" s="1636"/>
      <c r="C949" s="1636"/>
      <c r="D949" s="1636"/>
      <c r="E949" s="1636"/>
      <c r="F949" s="1636"/>
      <c r="G949" s="1636"/>
      <c r="H949" s="1636"/>
      <c r="I949" s="1636"/>
      <c r="J949" s="1636"/>
    </row>
    <row r="950" spans="1:14" s="7" customFormat="1" ht="18" customHeight="1" x14ac:dyDescent="0.25">
      <c r="A950" s="1624" t="s">
        <v>114</v>
      </c>
      <c r="B950" s="1624"/>
      <c r="C950" s="1624"/>
      <c r="D950" s="1624"/>
      <c r="E950" s="1624"/>
      <c r="F950" s="1624"/>
      <c r="G950" s="1624"/>
      <c r="H950" s="1624"/>
      <c r="I950" s="1624"/>
      <c r="J950" s="1624"/>
      <c r="K950" s="6"/>
      <c r="L950" s="6"/>
    </row>
    <row r="951" spans="1:14" ht="18.75" thickBot="1" x14ac:dyDescent="0.3">
      <c r="A951" s="41"/>
      <c r="B951" s="41"/>
      <c r="C951" s="41"/>
      <c r="D951" s="63"/>
      <c r="E951" s="41"/>
      <c r="F951" s="41"/>
    </row>
    <row r="952" spans="1:14" ht="61.5" customHeight="1" thickBot="1" x14ac:dyDescent="0.3">
      <c r="A952" s="1625" t="s">
        <v>115</v>
      </c>
      <c r="B952" s="1626"/>
      <c r="C952" s="1626"/>
      <c r="D952" s="1626"/>
      <c r="E952" s="1626"/>
      <c r="F952" s="93" t="s">
        <v>116</v>
      </c>
      <c r="G952" s="130" t="s">
        <v>117</v>
      </c>
      <c r="H952" s="130" t="s">
        <v>118</v>
      </c>
      <c r="I952" s="130" t="s">
        <v>119</v>
      </c>
      <c r="J952" s="130" t="s">
        <v>120</v>
      </c>
    </row>
    <row r="953" spans="1:14" s="146" customFormat="1" ht="19.5" customHeight="1" x14ac:dyDescent="0.25">
      <c r="A953" s="519"/>
      <c r="B953" s="499"/>
      <c r="C953" s="499"/>
      <c r="D953" s="36" t="s">
        <v>1175</v>
      </c>
      <c r="E953" s="504"/>
      <c r="F953" s="100"/>
      <c r="G953" s="101"/>
      <c r="H953" s="102"/>
      <c r="I953" s="101"/>
      <c r="J953" s="101"/>
      <c r="K953" s="10"/>
      <c r="L953" s="10"/>
      <c r="M953"/>
      <c r="N953"/>
    </row>
    <row r="954" spans="1:14" s="146" customFormat="1" ht="18" x14ac:dyDescent="0.25">
      <c r="A954" s="519"/>
      <c r="B954" s="499"/>
      <c r="C954" s="499"/>
      <c r="D954" s="38" t="s">
        <v>1168</v>
      </c>
      <c r="E954" s="199"/>
      <c r="F954" s="100"/>
      <c r="G954" s="101">
        <v>0</v>
      </c>
      <c r="H954" s="102">
        <v>900000</v>
      </c>
      <c r="I954" s="101"/>
      <c r="J954" s="101"/>
      <c r="K954" s="10"/>
      <c r="L954" s="10"/>
      <c r="M954"/>
      <c r="N954"/>
    </row>
    <row r="955" spans="1:14" s="146" customFormat="1" ht="18" x14ac:dyDescent="0.25">
      <c r="A955" s="519"/>
      <c r="B955" s="499"/>
      <c r="C955" s="499"/>
      <c r="D955" s="38" t="s">
        <v>1169</v>
      </c>
      <c r="E955" s="199"/>
      <c r="F955" s="100"/>
      <c r="G955" s="101">
        <v>0</v>
      </c>
      <c r="H955" s="102">
        <v>300000</v>
      </c>
      <c r="I955" s="101"/>
      <c r="J955" s="102">
        <v>300000</v>
      </c>
      <c r="K955" s="10"/>
      <c r="L955" s="10"/>
      <c r="M955"/>
      <c r="N955"/>
    </row>
    <row r="956" spans="1:14" s="146" customFormat="1" ht="18" x14ac:dyDescent="0.25">
      <c r="A956" s="519"/>
      <c r="B956" s="499"/>
      <c r="C956" s="499"/>
      <c r="D956" s="38" t="s">
        <v>1170</v>
      </c>
      <c r="E956" s="199"/>
      <c r="F956" s="100"/>
      <c r="G956" s="101"/>
      <c r="H956" s="102"/>
      <c r="I956" s="101"/>
      <c r="J956" s="102"/>
      <c r="K956" s="10"/>
      <c r="L956" s="10"/>
      <c r="M956"/>
      <c r="N956"/>
    </row>
    <row r="957" spans="1:14" s="146" customFormat="1" ht="18" x14ac:dyDescent="0.25">
      <c r="A957" s="519"/>
      <c r="B957" s="499"/>
      <c r="C957" s="499"/>
      <c r="D957" s="38" t="s">
        <v>1171</v>
      </c>
      <c r="E957" s="199"/>
      <c r="F957" s="100"/>
      <c r="G957" s="101">
        <v>551000</v>
      </c>
      <c r="H957" s="102">
        <v>700000</v>
      </c>
      <c r="I957" s="101"/>
      <c r="J957" s="102">
        <v>1000000</v>
      </c>
      <c r="K957" s="10"/>
      <c r="L957" s="10"/>
      <c r="M957"/>
      <c r="N957"/>
    </row>
    <row r="958" spans="1:14" s="146" customFormat="1" ht="18" x14ac:dyDescent="0.25">
      <c r="A958" s="519"/>
      <c r="B958" s="499"/>
      <c r="C958" s="499"/>
      <c r="D958" s="38" t="s">
        <v>1172</v>
      </c>
      <c r="E958" s="199"/>
      <c r="F958" s="100"/>
      <c r="G958" s="101">
        <v>69350</v>
      </c>
      <c r="H958" s="102">
        <v>350000</v>
      </c>
      <c r="I958" s="101"/>
      <c r="J958" s="101">
        <v>350000</v>
      </c>
      <c r="K958" s="10"/>
      <c r="L958" s="10"/>
      <c r="M958"/>
      <c r="N958"/>
    </row>
    <row r="959" spans="1:14" s="146" customFormat="1" ht="36.75" customHeight="1" x14ac:dyDescent="0.25">
      <c r="A959" s="519"/>
      <c r="B959" s="499"/>
      <c r="C959" s="499"/>
      <c r="D959" s="1623" t="s">
        <v>1173</v>
      </c>
      <c r="E959" s="1623"/>
      <c r="F959" s="100"/>
      <c r="G959" s="101">
        <v>0</v>
      </c>
      <c r="H959" s="102">
        <v>500000</v>
      </c>
      <c r="I959" s="101">
        <v>472606</v>
      </c>
      <c r="J959" s="101">
        <v>700000</v>
      </c>
      <c r="K959" s="10"/>
      <c r="L959" s="10"/>
      <c r="M959"/>
      <c r="N959"/>
    </row>
    <row r="960" spans="1:14" s="146" customFormat="1" ht="18" x14ac:dyDescent="0.25">
      <c r="A960" s="519"/>
      <c r="B960" s="499"/>
      <c r="C960" s="499"/>
      <c r="D960" s="38" t="s">
        <v>1176</v>
      </c>
      <c r="E960" s="199"/>
      <c r="F960" s="100"/>
      <c r="G960" s="101"/>
      <c r="H960" s="102"/>
      <c r="I960" s="101"/>
      <c r="J960" s="101"/>
      <c r="K960" s="10"/>
      <c r="L960" s="10"/>
      <c r="M960"/>
      <c r="N960"/>
    </row>
    <row r="961" spans="1:14" s="146" customFormat="1" ht="36" customHeight="1" x14ac:dyDescent="0.25">
      <c r="A961" s="519"/>
      <c r="B961" s="499"/>
      <c r="C961" s="499"/>
      <c r="D961" s="1623" t="s">
        <v>1177</v>
      </c>
      <c r="E961" s="1623"/>
      <c r="F961" s="100"/>
      <c r="G961" s="101">
        <v>3000</v>
      </c>
      <c r="H961" s="102">
        <v>500000</v>
      </c>
      <c r="I961" s="101">
        <v>10000</v>
      </c>
      <c r="J961" s="101">
        <v>100000</v>
      </c>
      <c r="K961" s="10"/>
      <c r="L961" s="10"/>
      <c r="M961"/>
      <c r="N961"/>
    </row>
    <row r="962" spans="1:14" s="146" customFormat="1" ht="18" x14ac:dyDescent="0.25">
      <c r="A962" s="519"/>
      <c r="B962" s="499"/>
      <c r="C962" s="499"/>
      <c r="D962" s="38" t="s">
        <v>1178</v>
      </c>
      <c r="E962" s="199"/>
      <c r="F962" s="100"/>
      <c r="G962" s="101">
        <v>0</v>
      </c>
      <c r="H962" s="102">
        <v>200000</v>
      </c>
      <c r="I962" s="101"/>
      <c r="J962" s="101">
        <v>200000</v>
      </c>
      <c r="K962" s="10"/>
      <c r="L962" s="10"/>
      <c r="M962"/>
      <c r="N962"/>
    </row>
    <row r="963" spans="1:14" s="146" customFormat="1" ht="36.75" customHeight="1" x14ac:dyDescent="0.25">
      <c r="A963" s="519"/>
      <c r="B963" s="499"/>
      <c r="C963" s="499"/>
      <c r="D963" s="1623" t="s">
        <v>1179</v>
      </c>
      <c r="E963" s="1623"/>
      <c r="F963" s="100"/>
      <c r="G963" s="101">
        <v>2941.33</v>
      </c>
      <c r="H963" s="102">
        <v>150000</v>
      </c>
      <c r="I963" s="101"/>
      <c r="J963" s="101">
        <v>150000</v>
      </c>
      <c r="K963" s="10"/>
      <c r="L963" s="10"/>
      <c r="M963"/>
      <c r="N963"/>
    </row>
    <row r="964" spans="1:14" s="146" customFormat="1" ht="18" x14ac:dyDescent="0.25">
      <c r="A964" s="519"/>
      <c r="B964" s="499"/>
      <c r="C964" s="499"/>
      <c r="D964" s="38" t="s">
        <v>1180</v>
      </c>
      <c r="E964" s="199"/>
      <c r="F964" s="100"/>
      <c r="G964" s="101"/>
      <c r="H964" s="102">
        <v>200000</v>
      </c>
      <c r="I964" s="101"/>
      <c r="J964" s="101">
        <v>200000</v>
      </c>
      <c r="K964" s="10"/>
      <c r="L964" s="10"/>
      <c r="M964"/>
      <c r="N964"/>
    </row>
    <row r="965" spans="1:14" s="146" customFormat="1" ht="18" customHeight="1" x14ac:dyDescent="0.25">
      <c r="A965" s="519"/>
      <c r="B965" s="499"/>
      <c r="C965" s="499"/>
      <c r="D965" s="1634" t="s">
        <v>1181</v>
      </c>
      <c r="E965" s="1634"/>
      <c r="F965" s="100"/>
      <c r="G965" s="101"/>
      <c r="H965" s="102">
        <v>1000000</v>
      </c>
      <c r="I965" s="101"/>
      <c r="J965" s="101">
        <v>1000000</v>
      </c>
      <c r="K965" s="10"/>
      <c r="L965" s="10"/>
      <c r="M965"/>
      <c r="N965"/>
    </row>
    <row r="966" spans="1:14" s="146" customFormat="1" ht="36.75" customHeight="1" x14ac:dyDescent="0.25">
      <c r="A966" s="519"/>
      <c r="B966" s="499"/>
      <c r="C966" s="499"/>
      <c r="D966" s="1634" t="s">
        <v>1182</v>
      </c>
      <c r="E966" s="1634"/>
      <c r="F966" s="100"/>
      <c r="G966" s="101"/>
      <c r="H966" s="102">
        <v>100000</v>
      </c>
      <c r="I966" s="101"/>
      <c r="J966" s="105">
        <v>100000</v>
      </c>
      <c r="K966" s="10"/>
      <c r="L966" s="10" t="s">
        <v>1183</v>
      </c>
      <c r="M966"/>
      <c r="N966"/>
    </row>
    <row r="967" spans="1:14" s="146" customFormat="1" ht="18" x14ac:dyDescent="0.25">
      <c r="A967" s="519"/>
      <c r="B967" s="499"/>
      <c r="C967" s="499"/>
      <c r="D967" s="153" t="s">
        <v>200</v>
      </c>
      <c r="F967" s="100"/>
      <c r="G967" s="119">
        <f>SUM(G941:G966)</f>
        <v>647212.15999999992</v>
      </c>
      <c r="H967" s="150">
        <f>SUM(H941:H966)</f>
        <v>5545103.21</v>
      </c>
      <c r="I967" s="119">
        <f>SUM(I941:I966)</f>
        <v>489851.5</v>
      </c>
      <c r="J967" s="119">
        <f>SUM(J941:J966)</f>
        <v>4750000</v>
      </c>
      <c r="K967" s="446">
        <f>L967*1%</f>
        <v>7413053.7400000002</v>
      </c>
      <c r="L967" s="586">
        <v>741305374</v>
      </c>
      <c r="M967"/>
      <c r="N967"/>
    </row>
    <row r="968" spans="1:14" s="146" customFormat="1" ht="18" x14ac:dyDescent="0.25">
      <c r="A968" s="519"/>
      <c r="B968" s="499"/>
      <c r="C968" s="499"/>
      <c r="D968" s="38"/>
      <c r="E968" s="153"/>
      <c r="F968" s="100"/>
      <c r="G968" s="155"/>
      <c r="H968" s="156"/>
      <c r="I968" s="155"/>
      <c r="J968" s="155"/>
      <c r="K968" s="10">
        <f>K967-J967</f>
        <v>2663053.7400000002</v>
      </c>
      <c r="L968" s="10"/>
      <c r="M968"/>
      <c r="N968"/>
    </row>
    <row r="969" spans="1:14" s="146" customFormat="1" ht="18" x14ac:dyDescent="0.25">
      <c r="A969" s="519"/>
      <c r="B969" s="499"/>
      <c r="C969" s="499"/>
      <c r="D969" s="152" t="s">
        <v>1184</v>
      </c>
      <c r="E969" s="152"/>
      <c r="F969" s="100"/>
      <c r="G969" s="101"/>
      <c r="H969" s="102"/>
      <c r="I969" s="101"/>
      <c r="J969" s="101"/>
      <c r="K969" s="10">
        <f>857363458.65*0.5%</f>
        <v>4286817.2932500001</v>
      </c>
      <c r="L969" s="10"/>
      <c r="M969"/>
      <c r="N969"/>
    </row>
    <row r="970" spans="1:14" s="146" customFormat="1" ht="18" x14ac:dyDescent="0.25">
      <c r="A970" s="519"/>
      <c r="B970" s="499"/>
      <c r="C970" s="499"/>
      <c r="D970" s="38" t="s">
        <v>1185</v>
      </c>
      <c r="E970" s="199"/>
      <c r="F970" s="100"/>
      <c r="G970" s="101">
        <v>596760</v>
      </c>
      <c r="H970" s="102">
        <v>0</v>
      </c>
      <c r="I970" s="101"/>
      <c r="J970" s="101"/>
      <c r="K970" s="10"/>
      <c r="L970" s="10"/>
      <c r="M970"/>
      <c r="N970"/>
    </row>
    <row r="971" spans="1:14" s="146" customFormat="1" ht="18.75" customHeight="1" x14ac:dyDescent="0.25">
      <c r="A971" s="519"/>
      <c r="B971" s="499"/>
      <c r="C971" s="499"/>
      <c r="D971" s="506" t="s">
        <v>1186</v>
      </c>
      <c r="E971" s="509"/>
      <c r="F971" s="100"/>
      <c r="G971" s="101"/>
      <c r="H971" s="102">
        <v>20000</v>
      </c>
      <c r="I971" s="101"/>
      <c r="J971" s="101"/>
      <c r="K971" s="10"/>
      <c r="L971" s="10"/>
      <c r="M971"/>
      <c r="N971"/>
    </row>
    <row r="972" spans="1:14" s="146" customFormat="1" ht="18.75" customHeight="1" x14ac:dyDescent="0.25">
      <c r="A972" s="519"/>
      <c r="B972" s="499"/>
      <c r="C972" s="499"/>
      <c r="D972" s="528" t="s">
        <v>1187</v>
      </c>
      <c r="E972" s="509"/>
      <c r="F972" s="100"/>
      <c r="G972" s="101"/>
      <c r="H972" s="102">
        <v>25000</v>
      </c>
      <c r="I972" s="101"/>
      <c r="J972" s="101">
        <v>25000</v>
      </c>
      <c r="K972" s="10"/>
      <c r="L972" s="10"/>
      <c r="M972"/>
      <c r="N972"/>
    </row>
    <row r="973" spans="1:14" s="146" customFormat="1" ht="18.75" customHeight="1" x14ac:dyDescent="0.25">
      <c r="A973" s="519"/>
      <c r="B973" s="499"/>
      <c r="C973" s="499"/>
      <c r="D973" s="528" t="s">
        <v>1188</v>
      </c>
      <c r="E973" s="509"/>
      <c r="F973" s="100"/>
      <c r="G973" s="101"/>
      <c r="H973" s="102">
        <v>270000</v>
      </c>
      <c r="I973" s="101">
        <v>135000</v>
      </c>
      <c r="J973" s="101">
        <v>270000</v>
      </c>
      <c r="K973" s="10"/>
      <c r="L973" s="10"/>
      <c r="M973"/>
      <c r="N973"/>
    </row>
    <row r="974" spans="1:14" s="146" customFormat="1" ht="18.75" customHeight="1" x14ac:dyDescent="0.25">
      <c r="A974" s="519"/>
      <c r="B974" s="499"/>
      <c r="C974" s="499"/>
      <c r="D974" s="528" t="s">
        <v>1189</v>
      </c>
      <c r="E974" s="509"/>
      <c r="F974" s="100"/>
      <c r="G974" s="101"/>
      <c r="H974" s="102"/>
      <c r="I974" s="101"/>
      <c r="J974" s="101">
        <v>65000</v>
      </c>
      <c r="K974" s="10"/>
      <c r="L974" s="10"/>
      <c r="M974"/>
      <c r="N974"/>
    </row>
    <row r="975" spans="1:14" s="146" customFormat="1" ht="18.75" customHeight="1" x14ac:dyDescent="0.25">
      <c r="A975" s="519"/>
      <c r="B975" s="499"/>
      <c r="C975" s="499"/>
      <c r="D975" s="528" t="s">
        <v>1190</v>
      </c>
      <c r="E975" s="509"/>
      <c r="F975" s="100"/>
      <c r="G975" s="101"/>
      <c r="H975" s="102">
        <v>60000</v>
      </c>
      <c r="I975" s="101"/>
      <c r="J975" s="101">
        <v>60000</v>
      </c>
      <c r="K975" s="10"/>
      <c r="L975" s="10"/>
      <c r="M975"/>
      <c r="N975"/>
    </row>
    <row r="976" spans="1:14" s="146" customFormat="1" ht="18.75" customHeight="1" x14ac:dyDescent="0.25">
      <c r="A976" s="519"/>
      <c r="B976" s="499"/>
      <c r="C976" s="499"/>
      <c r="D976" s="1634" t="s">
        <v>1191</v>
      </c>
      <c r="E976" s="1634"/>
      <c r="F976" s="100"/>
      <c r="G976" s="101"/>
      <c r="H976" s="102">
        <v>600000</v>
      </c>
      <c r="I976" s="101"/>
      <c r="J976" s="101">
        <v>600000</v>
      </c>
      <c r="K976" s="10"/>
      <c r="L976" s="10"/>
      <c r="M976"/>
      <c r="N976"/>
    </row>
    <row r="977" spans="1:14" s="146" customFormat="1" ht="37.5" customHeight="1" x14ac:dyDescent="0.25">
      <c r="A977" s="519"/>
      <c r="B977" s="499"/>
      <c r="C977" s="499"/>
      <c r="D977" s="1623" t="s">
        <v>1192</v>
      </c>
      <c r="E977" s="1623"/>
      <c r="F977" s="100"/>
      <c r="G977" s="101">
        <v>0</v>
      </c>
      <c r="H977" s="102">
        <v>65000</v>
      </c>
      <c r="I977" s="101"/>
      <c r="J977" s="101"/>
      <c r="K977" s="10"/>
      <c r="L977" s="10"/>
      <c r="M977"/>
      <c r="N977"/>
    </row>
    <row r="978" spans="1:14" s="146" customFormat="1" ht="33.75" customHeight="1" x14ac:dyDescent="0.25">
      <c r="A978" s="519"/>
      <c r="B978" s="499"/>
      <c r="C978" s="499"/>
      <c r="D978" s="1638" t="s">
        <v>1193</v>
      </c>
      <c r="E978" s="1638"/>
      <c r="F978" s="205"/>
      <c r="G978" s="102">
        <v>800000</v>
      </c>
      <c r="H978" s="102">
        <v>750000</v>
      </c>
      <c r="I978" s="102">
        <v>654000</v>
      </c>
      <c r="J978" s="102">
        <v>1500000</v>
      </c>
      <c r="K978" s="10"/>
      <c r="L978" s="10"/>
      <c r="M978"/>
      <c r="N978"/>
    </row>
    <row r="979" spans="1:14" s="146" customFormat="1" ht="21" customHeight="1" x14ac:dyDescent="0.25">
      <c r="A979" s="519"/>
      <c r="B979" s="499"/>
      <c r="C979" s="499"/>
      <c r="D979" s="1623" t="s">
        <v>1194</v>
      </c>
      <c r="E979" s="1623"/>
      <c r="F979" s="100"/>
      <c r="G979" s="101">
        <v>72000</v>
      </c>
      <c r="H979" s="102">
        <v>200000</v>
      </c>
      <c r="I979" s="101">
        <v>41000</v>
      </c>
      <c r="J979" s="101">
        <v>200000</v>
      </c>
      <c r="K979" s="10"/>
      <c r="L979" s="10"/>
      <c r="M979"/>
      <c r="N979"/>
    </row>
    <row r="980" spans="1:14" s="146" customFormat="1" ht="19.5" customHeight="1" x14ac:dyDescent="0.25">
      <c r="A980" s="519"/>
      <c r="B980" s="499"/>
      <c r="C980" s="499"/>
      <c r="D980" s="1623" t="s">
        <v>1195</v>
      </c>
      <c r="E980" s="1623"/>
      <c r="F980" s="100"/>
      <c r="G980" s="101">
        <v>690000</v>
      </c>
      <c r="H980" s="102">
        <v>3000000</v>
      </c>
      <c r="I980" s="101"/>
      <c r="J980" s="101"/>
      <c r="K980" s="10"/>
      <c r="L980" s="10"/>
      <c r="M980"/>
      <c r="N980"/>
    </row>
    <row r="981" spans="1:14" s="146" customFormat="1" ht="19.5" customHeight="1" x14ac:dyDescent="0.25">
      <c r="A981" s="519"/>
      <c r="B981" s="499"/>
      <c r="C981" s="499"/>
      <c r="D981" s="516" t="s">
        <v>1196</v>
      </c>
      <c r="E981" s="504"/>
      <c r="F981" s="100"/>
      <c r="G981" s="101"/>
      <c r="H981" s="102"/>
      <c r="I981" s="101"/>
      <c r="J981" s="101">
        <v>3000000</v>
      </c>
      <c r="K981" s="10"/>
      <c r="L981" s="10"/>
      <c r="M981"/>
      <c r="N981"/>
    </row>
    <row r="982" spans="1:14" s="146" customFormat="1" ht="38.25" customHeight="1" x14ac:dyDescent="0.25">
      <c r="A982" s="519"/>
      <c r="B982" s="499"/>
      <c r="C982" s="499"/>
      <c r="D982" s="1622" t="s">
        <v>1197</v>
      </c>
      <c r="E982" s="1622"/>
      <c r="F982" s="100"/>
      <c r="G982" s="101"/>
      <c r="H982" s="102">
        <v>10000</v>
      </c>
      <c r="I982" s="101"/>
      <c r="J982" s="101">
        <v>10000</v>
      </c>
      <c r="K982" s="10"/>
      <c r="L982" s="10"/>
      <c r="M982"/>
      <c r="N982"/>
    </row>
    <row r="983" spans="1:14" s="146" customFormat="1" ht="18.75" customHeight="1" x14ac:dyDescent="0.25">
      <c r="A983" s="519"/>
      <c r="B983" s="499"/>
      <c r="C983" s="499"/>
      <c r="D983" s="180" t="s">
        <v>1198</v>
      </c>
      <c r="E983" s="505"/>
      <c r="F983" s="100"/>
      <c r="G983" s="101"/>
      <c r="H983" s="102">
        <v>60000</v>
      </c>
      <c r="I983" s="101"/>
      <c r="J983" s="101"/>
      <c r="K983" s="10"/>
      <c r="L983" s="10"/>
      <c r="M983"/>
      <c r="N983"/>
    </row>
    <row r="984" spans="1:14" s="146" customFormat="1" ht="18" x14ac:dyDescent="0.25">
      <c r="A984" s="519"/>
      <c r="B984" s="499"/>
      <c r="C984" s="499"/>
      <c r="D984" s="38" t="s">
        <v>1199</v>
      </c>
      <c r="E984" s="199"/>
      <c r="F984" s="100"/>
      <c r="G984" s="101"/>
      <c r="H984" s="102"/>
      <c r="I984" s="101"/>
      <c r="J984" s="101"/>
      <c r="K984" s="10"/>
      <c r="L984" s="10"/>
      <c r="M984"/>
      <c r="N984"/>
    </row>
    <row r="985" spans="1:14" s="146" customFormat="1" ht="18" x14ac:dyDescent="0.25">
      <c r="A985" s="519"/>
      <c r="B985" s="499"/>
      <c r="C985" s="499"/>
      <c r="D985" s="38" t="s">
        <v>1200</v>
      </c>
      <c r="E985" s="199"/>
      <c r="F985" s="100"/>
      <c r="G985" s="105">
        <v>65729.5</v>
      </c>
      <c r="H985" s="106"/>
      <c r="I985" s="105"/>
      <c r="J985" s="105"/>
      <c r="K985" s="10"/>
      <c r="L985" s="10"/>
      <c r="M985"/>
      <c r="N985"/>
    </row>
    <row r="986" spans="1:14" s="146" customFormat="1" ht="18" x14ac:dyDescent="0.25">
      <c r="A986" s="519"/>
      <c r="B986" s="499"/>
      <c r="C986" s="499"/>
      <c r="D986" s="153" t="s">
        <v>200</v>
      </c>
      <c r="F986" s="100"/>
      <c r="G986" s="119">
        <f>SUM(G970:G985)</f>
        <v>2224489.5</v>
      </c>
      <c r="H986" s="150">
        <f>SUM(H970:H985)</f>
        <v>5060000</v>
      </c>
      <c r="I986" s="119">
        <f>SUM(I970:I985)</f>
        <v>830000</v>
      </c>
      <c r="J986" s="119">
        <f>SUM(J970:J985)</f>
        <v>5730000</v>
      </c>
      <c r="K986" s="156">
        <f>11645609.39</f>
        <v>11645609.390000001</v>
      </c>
      <c r="L986" s="446">
        <f>K988*0.5%</f>
        <v>3764754.91695</v>
      </c>
      <c r="M986"/>
      <c r="N986"/>
    </row>
    <row r="987" spans="1:14" s="146" customFormat="1" ht="18" x14ac:dyDescent="0.25">
      <c r="A987" s="519"/>
      <c r="B987" s="499"/>
      <c r="C987" s="499"/>
      <c r="D987" s="513"/>
      <c r="E987" s="153"/>
      <c r="F987" s="100"/>
      <c r="G987" s="155"/>
      <c r="H987" s="156"/>
      <c r="I987" s="155"/>
      <c r="J987" s="155"/>
      <c r="K987" s="10">
        <v>741305374</v>
      </c>
      <c r="L987" s="10"/>
      <c r="M987"/>
      <c r="N987"/>
    </row>
    <row r="988" spans="1:14" s="146" customFormat="1" ht="18" x14ac:dyDescent="0.25">
      <c r="A988" s="519"/>
      <c r="B988" s="499"/>
      <c r="C988" s="499"/>
      <c r="D988" s="36" t="s">
        <v>1201</v>
      </c>
      <c r="E988" s="184"/>
      <c r="F988" s="100"/>
      <c r="G988" s="101"/>
      <c r="H988" s="102"/>
      <c r="I988" s="101"/>
      <c r="J988" s="101"/>
      <c r="K988" s="10">
        <f>SUM(K986:K987)</f>
        <v>752950983.38999999</v>
      </c>
      <c r="L988" s="10"/>
      <c r="M988"/>
      <c r="N988"/>
    </row>
    <row r="989" spans="1:14" s="146" customFormat="1" ht="18" x14ac:dyDescent="0.25">
      <c r="A989" s="519"/>
      <c r="B989" s="499"/>
      <c r="C989" s="499"/>
      <c r="D989" s="516" t="s">
        <v>1202</v>
      </c>
      <c r="E989" s="3"/>
      <c r="F989" s="100"/>
      <c r="G989" s="101">
        <v>254241.76</v>
      </c>
      <c r="H989" s="102">
        <v>3321095</v>
      </c>
      <c r="I989" s="101">
        <v>290409.59000000003</v>
      </c>
      <c r="J989" s="101"/>
      <c r="K989" s="203"/>
      <c r="L989" s="10"/>
      <c r="M989"/>
      <c r="N989"/>
    </row>
    <row r="990" spans="1:14" s="146" customFormat="1" ht="36.75" customHeight="1" x14ac:dyDescent="0.25">
      <c r="A990" s="519"/>
      <c r="B990" s="499"/>
      <c r="C990" s="499"/>
      <c r="D990" s="1637" t="s">
        <v>1203</v>
      </c>
      <c r="E990" s="1637"/>
      <c r="F990" s="100"/>
      <c r="G990" s="101">
        <v>185000</v>
      </c>
      <c r="H990" s="102"/>
      <c r="I990" s="101"/>
      <c r="J990" s="101"/>
      <c r="K990" s="10"/>
      <c r="L990" s="10"/>
      <c r="M990"/>
      <c r="N990"/>
    </row>
    <row r="991" spans="1:14" s="146" customFormat="1" ht="36.75" customHeight="1" x14ac:dyDescent="0.25">
      <c r="A991" s="519"/>
      <c r="B991" s="499"/>
      <c r="C991" s="499"/>
      <c r="D991" s="1637" t="s">
        <v>1204</v>
      </c>
      <c r="E991" s="1637"/>
      <c r="F991" s="100"/>
      <c r="G991" s="101"/>
      <c r="H991" s="102"/>
      <c r="I991" s="101"/>
      <c r="J991" s="101"/>
      <c r="K991" s="10"/>
      <c r="L991" s="10"/>
      <c r="M991"/>
      <c r="N991"/>
    </row>
    <row r="992" spans="1:14" s="146" customFormat="1" ht="18" customHeight="1" x14ac:dyDescent="0.25">
      <c r="A992" s="519"/>
      <c r="B992" s="499"/>
      <c r="C992" s="499"/>
      <c r="D992" s="536" t="s">
        <v>1205</v>
      </c>
      <c r="E992" s="507"/>
      <c r="F992" s="100"/>
      <c r="G992" s="101"/>
      <c r="H992" s="102"/>
      <c r="I992" s="101"/>
      <c r="J992" s="102">
        <v>50000</v>
      </c>
      <c r="K992" s="10"/>
      <c r="L992" s="10"/>
      <c r="M992"/>
      <c r="N992"/>
    </row>
    <row r="993" spans="1:14" s="146" customFormat="1" ht="18" customHeight="1" x14ac:dyDescent="0.25">
      <c r="A993" s="519"/>
      <c r="B993" s="499"/>
      <c r="C993" s="499"/>
      <c r="D993" s="536" t="s">
        <v>1206</v>
      </c>
      <c r="E993" s="507"/>
      <c r="F993" s="100"/>
      <c r="G993" s="101"/>
      <c r="H993" s="102"/>
      <c r="I993" s="101"/>
      <c r="J993" s="102">
        <v>50000</v>
      </c>
      <c r="K993" s="10"/>
      <c r="L993" s="10"/>
      <c r="M993"/>
      <c r="N993"/>
    </row>
    <row r="994" spans="1:14" s="146" customFormat="1" ht="18" customHeight="1" x14ac:dyDescent="0.25">
      <c r="A994" s="519"/>
      <c r="B994" s="499"/>
      <c r="C994" s="499"/>
      <c r="D994" s="536" t="s">
        <v>1207</v>
      </c>
      <c r="E994" s="507"/>
      <c r="F994" s="100"/>
      <c r="G994" s="101"/>
      <c r="H994" s="102"/>
      <c r="I994" s="101"/>
      <c r="J994" s="102">
        <v>50000</v>
      </c>
      <c r="K994" s="10"/>
      <c r="L994" s="10"/>
      <c r="M994"/>
      <c r="N994"/>
    </row>
    <row r="995" spans="1:14" s="146" customFormat="1" ht="18" customHeight="1" x14ac:dyDescent="0.25">
      <c r="A995" s="519"/>
      <c r="B995" s="499"/>
      <c r="C995" s="499"/>
      <c r="D995" s="536" t="s">
        <v>1208</v>
      </c>
      <c r="E995" s="507"/>
      <c r="F995" s="100"/>
      <c r="G995" s="101"/>
      <c r="H995" s="102"/>
      <c r="I995" s="101"/>
      <c r="J995" s="102">
        <v>58246</v>
      </c>
      <c r="K995" s="10"/>
      <c r="L995" s="10"/>
      <c r="M995"/>
      <c r="N995"/>
    </row>
    <row r="996" spans="1:14" s="146" customFormat="1" ht="18" customHeight="1" x14ac:dyDescent="0.25">
      <c r="A996" s="519"/>
      <c r="B996" s="499"/>
      <c r="C996" s="499"/>
      <c r="D996" s="536" t="s">
        <v>1209</v>
      </c>
      <c r="E996" s="507"/>
      <c r="F996" s="100"/>
      <c r="G996" s="101"/>
      <c r="H996" s="102"/>
      <c r="I996" s="101"/>
      <c r="J996" s="102">
        <v>38165</v>
      </c>
      <c r="K996" s="10"/>
      <c r="L996" s="10"/>
      <c r="M996"/>
      <c r="N996"/>
    </row>
    <row r="997" spans="1:14" s="146" customFormat="1" ht="18" customHeight="1" x14ac:dyDescent="0.25">
      <c r="A997" s="519"/>
      <c r="B997" s="499"/>
      <c r="C997" s="499"/>
      <c r="D997" s="536" t="s">
        <v>1210</v>
      </c>
      <c r="E997" s="507"/>
      <c r="F997" s="100"/>
      <c r="G997" s="101"/>
      <c r="H997" s="102"/>
      <c r="I997" s="101"/>
      <c r="J997" s="102">
        <v>50000</v>
      </c>
      <c r="K997" s="10"/>
      <c r="L997" s="10"/>
      <c r="M997"/>
      <c r="N997"/>
    </row>
    <row r="998" spans="1:14" s="146" customFormat="1" ht="18" customHeight="1" x14ac:dyDescent="0.25">
      <c r="A998" s="519"/>
      <c r="B998" s="499"/>
      <c r="C998" s="499"/>
      <c r="D998" s="536" t="s">
        <v>1211</v>
      </c>
      <c r="E998" s="507"/>
      <c r="F998" s="100"/>
      <c r="G998" s="101"/>
      <c r="H998" s="102"/>
      <c r="I998" s="101"/>
      <c r="J998" s="102">
        <v>96000</v>
      </c>
      <c r="K998" s="10"/>
      <c r="L998" s="10"/>
      <c r="M998"/>
      <c r="N998"/>
    </row>
    <row r="999" spans="1:14" s="146" customFormat="1" ht="18" customHeight="1" x14ac:dyDescent="0.25">
      <c r="A999" s="519"/>
      <c r="B999" s="499"/>
      <c r="C999" s="499"/>
      <c r="D999" s="536" t="s">
        <v>1212</v>
      </c>
      <c r="E999" s="507"/>
      <c r="F999" s="100"/>
      <c r="G999" s="101"/>
      <c r="H999" s="102"/>
      <c r="I999" s="101"/>
      <c r="J999" s="102">
        <v>400000</v>
      </c>
      <c r="K999" s="10"/>
      <c r="L999" s="10"/>
      <c r="M999"/>
      <c r="N999"/>
    </row>
    <row r="1000" spans="1:14" s="146" customFormat="1" ht="18" customHeight="1" x14ac:dyDescent="0.25">
      <c r="A1000" s="519"/>
      <c r="B1000" s="499"/>
      <c r="C1000" s="499"/>
      <c r="D1000" s="536" t="s">
        <v>1213</v>
      </c>
      <c r="E1000" s="507"/>
      <c r="F1000" s="100"/>
      <c r="G1000" s="101"/>
      <c r="H1000" s="102"/>
      <c r="I1000" s="101"/>
      <c r="J1000" s="101">
        <v>100000</v>
      </c>
      <c r="K1000" s="10"/>
      <c r="L1000" s="10"/>
      <c r="M1000"/>
      <c r="N1000"/>
    </row>
    <row r="1001" spans="1:14" s="146" customFormat="1" ht="18" customHeight="1" thickBot="1" x14ac:dyDescent="0.3">
      <c r="A1001" s="187"/>
      <c r="B1001" s="413"/>
      <c r="C1001" s="413"/>
      <c r="D1001" s="447"/>
      <c r="E1001" s="448"/>
      <c r="F1001" s="308"/>
      <c r="G1001" s="219"/>
      <c r="H1001" s="220"/>
      <c r="I1001" s="219"/>
      <c r="J1001" s="219"/>
      <c r="K1001" s="10"/>
      <c r="L1001" s="10"/>
      <c r="M1001"/>
      <c r="N1001"/>
    </row>
    <row r="1002" spans="1:14" s="146" customFormat="1" ht="18" customHeight="1" x14ac:dyDescent="0.25">
      <c r="A1002" s="499"/>
      <c r="B1002" s="499"/>
      <c r="C1002" s="499"/>
      <c r="D1002" s="536"/>
      <c r="E1002" s="507"/>
      <c r="F1002" s="381"/>
      <c r="G1002" s="141"/>
      <c r="H1002" s="122"/>
      <c r="I1002" s="141"/>
      <c r="J1002" s="141"/>
      <c r="K1002" s="10"/>
      <c r="L1002" s="10"/>
      <c r="M1002"/>
      <c r="N1002"/>
    </row>
    <row r="1003" spans="1:14" s="146" customFormat="1" ht="18" customHeight="1" x14ac:dyDescent="0.25">
      <c r="A1003" s="499"/>
      <c r="B1003" s="499"/>
      <c r="C1003" s="499"/>
      <c r="D1003" s="536"/>
      <c r="E1003" s="507"/>
      <c r="F1003" s="381"/>
      <c r="G1003" s="141"/>
      <c r="H1003" s="122"/>
      <c r="I1003" s="141"/>
      <c r="J1003" s="141"/>
      <c r="K1003" s="10"/>
      <c r="L1003" s="10"/>
      <c r="M1003"/>
      <c r="N1003"/>
    </row>
    <row r="1004" spans="1:14" ht="18" customHeight="1" x14ac:dyDescent="0.25">
      <c r="A1004" s="235" t="s">
        <v>112</v>
      </c>
      <c r="B1004" s="235"/>
      <c r="C1004" s="235"/>
      <c r="D1004" s="51"/>
      <c r="E1004" s="235"/>
      <c r="F1004" s="235"/>
      <c r="G1004" s="160"/>
      <c r="H1004" s="161"/>
      <c r="I1004" s="160"/>
      <c r="J1004" s="160"/>
    </row>
    <row r="1005" spans="1:14" ht="18" customHeight="1" x14ac:dyDescent="0.25">
      <c r="A1005" s="8" t="s">
        <v>1098</v>
      </c>
    </row>
    <row r="1006" spans="1:14" ht="18" customHeight="1" x14ac:dyDescent="0.25">
      <c r="A1006" s="1636" t="s">
        <v>113</v>
      </c>
      <c r="B1006" s="1636"/>
      <c r="C1006" s="1636"/>
      <c r="D1006" s="1636"/>
      <c r="E1006" s="1636"/>
      <c r="F1006" s="1636"/>
      <c r="G1006" s="1636"/>
      <c r="H1006" s="1636"/>
      <c r="I1006" s="1636"/>
      <c r="J1006" s="1636"/>
    </row>
    <row r="1007" spans="1:14" s="7" customFormat="1" ht="18" customHeight="1" x14ac:dyDescent="0.25">
      <c r="A1007" s="1624" t="s">
        <v>114</v>
      </c>
      <c r="B1007" s="1624"/>
      <c r="C1007" s="1624"/>
      <c r="D1007" s="1624"/>
      <c r="E1007" s="1624"/>
      <c r="F1007" s="1624"/>
      <c r="G1007" s="1624"/>
      <c r="H1007" s="1624"/>
      <c r="I1007" s="1624"/>
      <c r="J1007" s="1624"/>
      <c r="K1007" s="6"/>
      <c r="L1007" s="6"/>
    </row>
    <row r="1008" spans="1:14" ht="18.75" thickBot="1" x14ac:dyDescent="0.3">
      <c r="A1008" s="41"/>
      <c r="B1008" s="41"/>
      <c r="C1008" s="41"/>
      <c r="D1008" s="63"/>
      <c r="E1008" s="41"/>
      <c r="F1008" s="41"/>
    </row>
    <row r="1009" spans="1:14" ht="63" customHeight="1" thickBot="1" x14ac:dyDescent="0.3">
      <c r="A1009" s="1625" t="s">
        <v>115</v>
      </c>
      <c r="B1009" s="1626"/>
      <c r="C1009" s="1626"/>
      <c r="D1009" s="1626"/>
      <c r="E1009" s="1626"/>
      <c r="F1009" s="93" t="s">
        <v>116</v>
      </c>
      <c r="G1009" s="130" t="s">
        <v>117</v>
      </c>
      <c r="H1009" s="130" t="s">
        <v>118</v>
      </c>
      <c r="I1009" s="130" t="s">
        <v>119</v>
      </c>
      <c r="J1009" s="130" t="s">
        <v>120</v>
      </c>
    </row>
    <row r="1010" spans="1:14" s="146" customFormat="1" ht="18" x14ac:dyDescent="0.25">
      <c r="A1010" s="519"/>
      <c r="B1010" s="499"/>
      <c r="C1010" s="499"/>
      <c r="D1010" s="36" t="s">
        <v>1215</v>
      </c>
      <c r="E1010" s="184"/>
      <c r="F1010" s="100"/>
      <c r="G1010" s="101"/>
      <c r="H1010" s="102"/>
      <c r="I1010" s="101"/>
      <c r="J1010" s="209"/>
      <c r="K1010" s="10"/>
      <c r="L1010" s="10"/>
      <c r="M1010"/>
      <c r="N1010"/>
    </row>
    <row r="1011" spans="1:14" s="146" customFormat="1" ht="18" customHeight="1" x14ac:dyDescent="0.25">
      <c r="A1011" s="519"/>
      <c r="B1011" s="499"/>
      <c r="C1011" s="499"/>
      <c r="D1011" s="536" t="s">
        <v>1216</v>
      </c>
      <c r="E1011" s="507"/>
      <c r="F1011" s="100"/>
      <c r="G1011" s="101"/>
      <c r="H1011" s="102"/>
      <c r="I1011" s="101"/>
      <c r="J1011" s="101">
        <v>100000</v>
      </c>
      <c r="K1011" s="10"/>
      <c r="L1011" s="10"/>
      <c r="M1011"/>
      <c r="N1011"/>
    </row>
    <row r="1012" spans="1:14" s="146" customFormat="1" ht="36.75" customHeight="1" x14ac:dyDescent="0.25">
      <c r="A1012" s="519"/>
      <c r="B1012" s="499"/>
      <c r="C1012" s="499"/>
      <c r="D1012" s="1637" t="s">
        <v>1217</v>
      </c>
      <c r="E1012" s="1637"/>
      <c r="F1012" s="100"/>
      <c r="G1012" s="101"/>
      <c r="H1012" s="102"/>
      <c r="I1012" s="101"/>
      <c r="J1012" s="101">
        <v>600000</v>
      </c>
      <c r="K1012" s="10"/>
      <c r="L1012" s="10"/>
      <c r="M1012"/>
      <c r="N1012"/>
    </row>
    <row r="1013" spans="1:14" s="146" customFormat="1" ht="18" customHeight="1" x14ac:dyDescent="0.25">
      <c r="A1013" s="519"/>
      <c r="B1013" s="499"/>
      <c r="C1013" s="499"/>
      <c r="D1013" s="536" t="s">
        <v>1218</v>
      </c>
      <c r="E1013" s="507"/>
      <c r="F1013" s="100"/>
      <c r="G1013" s="101"/>
      <c r="H1013" s="102"/>
      <c r="I1013" s="101"/>
      <c r="J1013" s="101">
        <v>10000</v>
      </c>
      <c r="K1013" s="10"/>
      <c r="L1013" s="10"/>
      <c r="M1013"/>
      <c r="N1013"/>
    </row>
    <row r="1014" spans="1:14" s="146" customFormat="1" ht="37.5" customHeight="1" x14ac:dyDescent="0.25">
      <c r="A1014" s="519"/>
      <c r="B1014" s="499"/>
      <c r="C1014" s="499"/>
      <c r="D1014" s="1637" t="s">
        <v>1219</v>
      </c>
      <c r="E1014" s="1637"/>
      <c r="F1014" s="100"/>
      <c r="G1014" s="101"/>
      <c r="H1014" s="102"/>
      <c r="I1014" s="101"/>
      <c r="J1014" s="101">
        <v>180000</v>
      </c>
      <c r="K1014" s="10"/>
      <c r="L1014" s="10"/>
      <c r="M1014"/>
      <c r="N1014"/>
    </row>
    <row r="1015" spans="1:14" s="146" customFormat="1" ht="18" customHeight="1" x14ac:dyDescent="0.25">
      <c r="A1015" s="519"/>
      <c r="B1015" s="499"/>
      <c r="C1015" s="499"/>
      <c r="D1015" s="536" t="s">
        <v>1220</v>
      </c>
      <c r="E1015" s="507"/>
      <c r="F1015" s="100"/>
      <c r="G1015" s="101"/>
      <c r="H1015" s="102"/>
      <c r="I1015" s="101"/>
      <c r="J1015" s="102">
        <v>600000</v>
      </c>
      <c r="K1015" s="10"/>
      <c r="L1015" s="10"/>
      <c r="M1015"/>
      <c r="N1015"/>
    </row>
    <row r="1016" spans="1:14" s="146" customFormat="1" ht="18" customHeight="1" x14ac:dyDescent="0.25">
      <c r="A1016" s="519"/>
      <c r="B1016" s="499"/>
      <c r="C1016" s="499"/>
      <c r="D1016" s="536" t="s">
        <v>1221</v>
      </c>
      <c r="E1016" s="507"/>
      <c r="F1016" s="100"/>
      <c r="G1016" s="101"/>
      <c r="H1016" s="102"/>
      <c r="I1016" s="101"/>
      <c r="J1016" s="101">
        <v>25000</v>
      </c>
      <c r="K1016" s="10"/>
      <c r="L1016" s="10"/>
      <c r="M1016"/>
      <c r="N1016"/>
    </row>
    <row r="1017" spans="1:14" s="146" customFormat="1" ht="18" customHeight="1" x14ac:dyDescent="0.25">
      <c r="A1017" s="519"/>
      <c r="B1017" s="499"/>
      <c r="C1017" s="499"/>
      <c r="D1017" s="536" t="s">
        <v>1222</v>
      </c>
      <c r="E1017" s="507"/>
      <c r="F1017" s="100"/>
      <c r="G1017" s="101"/>
      <c r="H1017" s="102"/>
      <c r="I1017" s="101"/>
      <c r="J1017" s="101">
        <v>250000</v>
      </c>
      <c r="K1017" s="10"/>
      <c r="L1017" s="10"/>
      <c r="M1017"/>
      <c r="N1017"/>
    </row>
    <row r="1018" spans="1:14" s="146" customFormat="1" ht="18" customHeight="1" x14ac:dyDescent="0.25">
      <c r="A1018" s="519"/>
      <c r="B1018" s="499"/>
      <c r="C1018" s="499"/>
      <c r="D1018" s="536" t="s">
        <v>1223</v>
      </c>
      <c r="E1018" s="507"/>
      <c r="F1018" s="100"/>
      <c r="G1018" s="101"/>
      <c r="H1018" s="102"/>
      <c r="I1018" s="101"/>
      <c r="J1018" s="102">
        <v>200000</v>
      </c>
      <c r="K1018" s="10"/>
      <c r="L1018" s="10"/>
      <c r="M1018"/>
      <c r="N1018"/>
    </row>
    <row r="1019" spans="1:14" s="146" customFormat="1" ht="36.75" customHeight="1" x14ac:dyDescent="0.25">
      <c r="A1019" s="519"/>
      <c r="B1019" s="499"/>
      <c r="C1019" s="499"/>
      <c r="D1019" s="1637" t="s">
        <v>1224</v>
      </c>
      <c r="E1019" s="1637"/>
      <c r="F1019" s="100"/>
      <c r="G1019" s="101"/>
      <c r="H1019" s="102"/>
      <c r="I1019" s="101"/>
      <c r="J1019" s="102">
        <v>50000</v>
      </c>
      <c r="K1019" s="10"/>
      <c r="L1019" s="10"/>
      <c r="M1019"/>
      <c r="N1019"/>
    </row>
    <row r="1020" spans="1:14" s="146" customFormat="1" ht="18" customHeight="1" x14ac:dyDescent="0.25">
      <c r="A1020" s="519"/>
      <c r="B1020" s="499"/>
      <c r="C1020" s="499"/>
      <c r="D1020" s="536" t="s">
        <v>1225</v>
      </c>
      <c r="E1020" s="507"/>
      <c r="F1020" s="100"/>
      <c r="G1020" s="101"/>
      <c r="H1020" s="102"/>
      <c r="I1020" s="101"/>
      <c r="J1020" s="105">
        <v>50000</v>
      </c>
      <c r="K1020" s="10"/>
      <c r="L1020" s="10"/>
      <c r="M1020"/>
      <c r="N1020"/>
    </row>
    <row r="1021" spans="1:14" s="146" customFormat="1" ht="18" x14ac:dyDescent="0.25">
      <c r="A1021" s="519"/>
      <c r="B1021" s="499"/>
      <c r="C1021" s="499"/>
      <c r="D1021" s="153" t="s">
        <v>200</v>
      </c>
      <c r="F1021" s="100"/>
      <c r="G1021" s="119">
        <f>SUM(G989:G1014)</f>
        <v>439241.76</v>
      </c>
      <c r="H1021" s="150">
        <f>SUM(H989:H1014)</f>
        <v>3321095</v>
      </c>
      <c r="I1021" s="119">
        <f>SUM(I989:I1014)</f>
        <v>290409.59000000003</v>
      </c>
      <c r="J1021" s="119">
        <f>SUM(J989:J1020)</f>
        <v>2957411</v>
      </c>
      <c r="K1021" s="10">
        <f>752950983.39</f>
        <v>752950983.38999999</v>
      </c>
      <c r="L1021" s="446">
        <f>K1021*0.5%</f>
        <v>3764754.91695</v>
      </c>
      <c r="M1021"/>
      <c r="N1021"/>
    </row>
    <row r="1022" spans="1:14" s="146" customFormat="1" ht="18" x14ac:dyDescent="0.25">
      <c r="A1022" s="519"/>
      <c r="B1022" s="499"/>
      <c r="C1022" s="499"/>
      <c r="D1022" s="513"/>
      <c r="E1022" s="153"/>
      <c r="F1022" s="100"/>
      <c r="G1022" s="155"/>
      <c r="H1022" s="156"/>
      <c r="I1022" s="155"/>
      <c r="J1022" s="155"/>
      <c r="K1022" s="10"/>
      <c r="L1022" s="10">
        <f>L1021-J1021</f>
        <v>807343.91694999998</v>
      </c>
      <c r="M1022"/>
      <c r="N1022"/>
    </row>
    <row r="1023" spans="1:14" s="146" customFormat="1" ht="18" x14ac:dyDescent="0.25">
      <c r="A1023" s="519"/>
      <c r="B1023" s="499"/>
      <c r="C1023" s="499"/>
      <c r="D1023" s="369" t="s">
        <v>1226</v>
      </c>
      <c r="E1023" s="153"/>
      <c r="F1023" s="100"/>
      <c r="G1023" s="155"/>
      <c r="H1023" s="156"/>
      <c r="I1023" s="155"/>
      <c r="J1023" s="155"/>
      <c r="K1023" s="10"/>
      <c r="L1023" s="10"/>
      <c r="M1023"/>
      <c r="N1023"/>
    </row>
    <row r="1024" spans="1:14" s="146" customFormat="1" ht="18" x14ac:dyDescent="0.25">
      <c r="A1024" s="519"/>
      <c r="B1024" s="499"/>
      <c r="C1024" s="499"/>
      <c r="D1024" s="536" t="s">
        <v>1227</v>
      </c>
      <c r="E1024" s="153"/>
      <c r="F1024" s="100"/>
      <c r="G1024" s="155"/>
      <c r="H1024" s="156"/>
      <c r="I1024" s="155"/>
      <c r="J1024" s="101">
        <v>50000</v>
      </c>
      <c r="K1024" s="10"/>
      <c r="L1024" s="10"/>
      <c r="M1024"/>
      <c r="N1024"/>
    </row>
    <row r="1025" spans="1:14" s="146" customFormat="1" ht="18" x14ac:dyDescent="0.25">
      <c r="A1025" s="519"/>
      <c r="B1025" s="499"/>
      <c r="C1025" s="499"/>
      <c r="D1025" s="153" t="s">
        <v>200</v>
      </c>
      <c r="F1025" s="100"/>
      <c r="G1025" s="119"/>
      <c r="H1025" s="150"/>
      <c r="I1025" s="119"/>
      <c r="J1025" s="119">
        <f>SUM(J1024:J1024)</f>
        <v>50000</v>
      </c>
      <c r="K1025" s="10"/>
      <c r="L1025" s="10"/>
      <c r="M1025"/>
      <c r="N1025"/>
    </row>
    <row r="1026" spans="1:14" s="146" customFormat="1" ht="18" x14ac:dyDescent="0.25">
      <c r="A1026" s="519"/>
      <c r="B1026" s="499"/>
      <c r="C1026" s="499"/>
      <c r="D1026" s="513"/>
      <c r="E1026" s="153"/>
      <c r="F1026" s="100"/>
      <c r="G1026" s="155"/>
      <c r="H1026" s="156"/>
      <c r="I1026" s="155"/>
      <c r="J1026" s="155"/>
      <c r="K1026" s="10"/>
      <c r="L1026" s="10"/>
      <c r="M1026"/>
      <c r="N1026"/>
    </row>
    <row r="1027" spans="1:14" s="146" customFormat="1" ht="18" x14ac:dyDescent="0.25">
      <c r="A1027" s="519"/>
      <c r="B1027" s="499"/>
      <c r="C1027" s="499"/>
      <c r="D1027" s="36" t="s">
        <v>1228</v>
      </c>
      <c r="E1027" s="450"/>
      <c r="F1027" s="100"/>
      <c r="G1027" s="101"/>
      <c r="H1027" s="102"/>
      <c r="I1027" s="101"/>
      <c r="J1027" s="101"/>
      <c r="K1027" s="10"/>
      <c r="L1027" s="10"/>
      <c r="M1027"/>
      <c r="N1027"/>
    </row>
    <row r="1028" spans="1:14" s="146" customFormat="1" ht="18" x14ac:dyDescent="0.25">
      <c r="A1028" s="519"/>
      <c r="B1028" s="499"/>
      <c r="C1028" s="499"/>
      <c r="D1028" s="536" t="s">
        <v>1229</v>
      </c>
      <c r="E1028" s="157"/>
      <c r="F1028" s="100"/>
      <c r="G1028" s="101">
        <v>0</v>
      </c>
      <c r="H1028" s="102">
        <v>30000</v>
      </c>
      <c r="I1028" s="101"/>
      <c r="J1028" s="101">
        <v>30000</v>
      </c>
      <c r="K1028" s="10"/>
      <c r="L1028" s="10"/>
      <c r="M1028"/>
      <c r="N1028"/>
    </row>
    <row r="1029" spans="1:14" s="146" customFormat="1" ht="18" x14ac:dyDescent="0.25">
      <c r="A1029" s="519"/>
      <c r="B1029" s="499"/>
      <c r="C1029" s="499"/>
      <c r="D1029" s="536" t="s">
        <v>1230</v>
      </c>
      <c r="E1029" s="157"/>
      <c r="F1029" s="100"/>
      <c r="G1029" s="101"/>
      <c r="H1029" s="102">
        <v>30000</v>
      </c>
      <c r="I1029" s="101">
        <v>11900</v>
      </c>
      <c r="J1029" s="101">
        <v>30000</v>
      </c>
      <c r="K1029" s="10"/>
      <c r="L1029" s="10"/>
      <c r="M1029"/>
      <c r="N1029"/>
    </row>
    <row r="1030" spans="1:14" s="146" customFormat="1" ht="18" x14ac:dyDescent="0.25">
      <c r="A1030" s="519"/>
      <c r="B1030" s="499"/>
      <c r="C1030" s="499"/>
      <c r="D1030" s="536" t="s">
        <v>1231</v>
      </c>
      <c r="E1030" s="157"/>
      <c r="F1030" s="100"/>
      <c r="G1030" s="101">
        <v>0</v>
      </c>
      <c r="H1030" s="102">
        <v>30000</v>
      </c>
      <c r="I1030" s="101">
        <v>6750</v>
      </c>
      <c r="J1030" s="101">
        <v>30000</v>
      </c>
      <c r="K1030" s="10"/>
      <c r="L1030" s="10"/>
      <c r="M1030"/>
      <c r="N1030"/>
    </row>
    <row r="1031" spans="1:14" s="146" customFormat="1" ht="18" x14ac:dyDescent="0.25">
      <c r="A1031" s="519"/>
      <c r="B1031" s="499"/>
      <c r="C1031" s="499"/>
      <c r="D1031" s="536" t="s">
        <v>1232</v>
      </c>
      <c r="E1031" s="157"/>
      <c r="F1031" s="100"/>
      <c r="G1031" s="101"/>
      <c r="H1031" s="102">
        <v>20000</v>
      </c>
      <c r="I1031" s="101"/>
      <c r="J1031" s="101">
        <v>20000</v>
      </c>
      <c r="K1031" s="10"/>
      <c r="L1031" s="10"/>
      <c r="M1031"/>
      <c r="N1031"/>
    </row>
    <row r="1032" spans="1:14" s="146" customFormat="1" ht="18" x14ac:dyDescent="0.25">
      <c r="A1032" s="519"/>
      <c r="B1032" s="499"/>
      <c r="C1032" s="499"/>
      <c r="D1032" s="536" t="s">
        <v>1233</v>
      </c>
      <c r="E1032" s="157"/>
      <c r="F1032" s="100"/>
      <c r="G1032" s="101"/>
      <c r="H1032" s="102"/>
      <c r="I1032" s="101"/>
      <c r="J1032" s="101">
        <v>20000</v>
      </c>
      <c r="K1032" s="10"/>
      <c r="L1032" s="10"/>
      <c r="M1032"/>
      <c r="N1032"/>
    </row>
    <row r="1033" spans="1:14" s="146" customFormat="1" ht="18" x14ac:dyDescent="0.25">
      <c r="A1033" s="519"/>
      <c r="B1033" s="499"/>
      <c r="C1033" s="499"/>
      <c r="D1033" s="536" t="s">
        <v>1234</v>
      </c>
      <c r="E1033" s="157"/>
      <c r="F1033" s="100"/>
      <c r="G1033" s="101"/>
      <c r="H1033" s="102"/>
      <c r="I1033" s="101"/>
      <c r="J1033" s="101">
        <v>50000</v>
      </c>
      <c r="K1033" s="10"/>
      <c r="L1033" s="10"/>
      <c r="M1033"/>
      <c r="N1033"/>
    </row>
    <row r="1034" spans="1:14" s="146" customFormat="1" ht="18" x14ac:dyDescent="0.25">
      <c r="A1034" s="519"/>
      <c r="B1034" s="499"/>
      <c r="C1034" s="499"/>
      <c r="D1034" s="536" t="s">
        <v>1235</v>
      </c>
      <c r="E1034" s="157"/>
      <c r="F1034" s="100"/>
      <c r="G1034" s="105">
        <v>0</v>
      </c>
      <c r="H1034" s="106">
        <v>100000</v>
      </c>
      <c r="I1034" s="105"/>
      <c r="J1034" s="105">
        <v>100000</v>
      </c>
      <c r="K1034" s="10"/>
      <c r="L1034" s="10"/>
      <c r="M1034"/>
      <c r="N1034"/>
    </row>
    <row r="1035" spans="1:14" s="146" customFormat="1" ht="18" x14ac:dyDescent="0.25">
      <c r="A1035" s="519"/>
      <c r="B1035" s="499"/>
      <c r="C1035" s="499"/>
      <c r="D1035" s="153" t="s">
        <v>200</v>
      </c>
      <c r="F1035" s="100"/>
      <c r="G1035" s="119">
        <f>SUM(G1028:G1034)</f>
        <v>0</v>
      </c>
      <c r="H1035" s="150">
        <f>SUM(H1028:H1034)</f>
        <v>210000</v>
      </c>
      <c r="I1035" s="119">
        <f>SUM(I1028:I1034)</f>
        <v>18650</v>
      </c>
      <c r="J1035" s="119">
        <f>SUM(J1028:J1034)</f>
        <v>280000</v>
      </c>
      <c r="K1035" s="10"/>
      <c r="L1035" s="10"/>
      <c r="M1035"/>
      <c r="N1035"/>
    </row>
    <row r="1036" spans="1:14" ht="18.75" thickBot="1" x14ac:dyDescent="0.3">
      <c r="A1036" s="519"/>
      <c r="B1036" s="499"/>
      <c r="C1036" s="499"/>
      <c r="D1036" s="496" t="s">
        <v>15</v>
      </c>
      <c r="F1036" s="308"/>
      <c r="G1036" s="123">
        <f>G1035+G1021+G986+G967+G938</f>
        <v>14671024.380000001</v>
      </c>
      <c r="H1036" s="158">
        <f>H1035+H1021+H986+H967+H938</f>
        <v>29765998.210000001</v>
      </c>
      <c r="I1036" s="123">
        <f>I1035+I1021+I986+I967+I938</f>
        <v>3519315.5700000003</v>
      </c>
      <c r="J1036" s="123">
        <f>J1035+J1021+J986+J967+J938+J1025</f>
        <v>33699002.68</v>
      </c>
    </row>
    <row r="1037" spans="1:14" ht="18" x14ac:dyDescent="0.25">
      <c r="A1037" s="519"/>
      <c r="B1037" s="499"/>
      <c r="C1037" s="499"/>
      <c r="D1037" s="513"/>
      <c r="E1037" s="496"/>
      <c r="F1037" s="100"/>
      <c r="G1037" s="155"/>
      <c r="H1037" s="156"/>
      <c r="I1037" s="155"/>
      <c r="J1037" s="155"/>
    </row>
    <row r="1038" spans="1:14" ht="18" x14ac:dyDescent="0.25">
      <c r="A1038" s="519"/>
      <c r="B1038" s="499"/>
      <c r="C1038" s="499"/>
      <c r="D1038" s="36" t="s">
        <v>1236</v>
      </c>
      <c r="E1038" s="199"/>
      <c r="F1038" s="100"/>
      <c r="G1038" s="101"/>
      <c r="H1038" s="102"/>
      <c r="I1038" s="101"/>
      <c r="J1038" s="101"/>
    </row>
    <row r="1039" spans="1:14" s="146" customFormat="1" ht="18" x14ac:dyDescent="0.25">
      <c r="A1039" s="519"/>
      <c r="B1039" s="499"/>
      <c r="C1039" s="499"/>
      <c r="D1039" s="38" t="s">
        <v>1237</v>
      </c>
      <c r="E1039" s="157"/>
      <c r="F1039" s="100"/>
      <c r="G1039" s="101">
        <v>0</v>
      </c>
      <c r="H1039" s="102">
        <v>2000000</v>
      </c>
      <c r="I1039" s="101">
        <v>1191282.5</v>
      </c>
      <c r="J1039" s="101">
        <v>2000000</v>
      </c>
      <c r="K1039" s="10"/>
      <c r="L1039" s="10"/>
      <c r="M1039"/>
      <c r="N1039"/>
    </row>
    <row r="1040" spans="1:14" s="146" customFormat="1" ht="18" x14ac:dyDescent="0.25">
      <c r="A1040" s="519"/>
      <c r="B1040" s="499"/>
      <c r="C1040" s="499"/>
      <c r="D1040" s="38" t="s">
        <v>1238</v>
      </c>
      <c r="E1040" s="157"/>
      <c r="F1040" s="100"/>
      <c r="G1040" s="101">
        <v>0</v>
      </c>
      <c r="H1040" s="102">
        <v>100000</v>
      </c>
      <c r="I1040" s="101"/>
      <c r="J1040" s="101">
        <v>150000</v>
      </c>
      <c r="K1040" s="10"/>
      <c r="L1040" s="10"/>
      <c r="M1040"/>
      <c r="N1040"/>
    </row>
    <row r="1041" spans="1:14" s="146" customFormat="1" ht="18" x14ac:dyDescent="0.25">
      <c r="A1041" s="519"/>
      <c r="B1041" s="499"/>
      <c r="C1041" s="499"/>
      <c r="D1041" s="38" t="s">
        <v>1239</v>
      </c>
      <c r="E1041" s="157"/>
      <c r="F1041" s="100"/>
      <c r="G1041" s="102">
        <v>0</v>
      </c>
      <c r="H1041" s="102">
        <v>300000</v>
      </c>
      <c r="I1041" s="101"/>
      <c r="J1041" s="101">
        <v>500000</v>
      </c>
      <c r="K1041" s="10"/>
      <c r="L1041" s="10"/>
      <c r="M1041"/>
      <c r="N1041"/>
    </row>
    <row r="1042" spans="1:14" s="146" customFormat="1" ht="18" x14ac:dyDescent="0.25">
      <c r="A1042" s="519"/>
      <c r="B1042" s="499"/>
      <c r="C1042" s="499"/>
      <c r="D1042" s="38" t="s">
        <v>1240</v>
      </c>
      <c r="E1042" s="157"/>
      <c r="F1042" s="100"/>
      <c r="G1042" s="102">
        <v>487344</v>
      </c>
      <c r="H1042" s="102">
        <v>500000</v>
      </c>
      <c r="I1042" s="101"/>
      <c r="J1042" s="101">
        <v>500000</v>
      </c>
      <c r="K1042" s="10"/>
      <c r="L1042" s="10"/>
      <c r="M1042"/>
      <c r="N1042"/>
    </row>
    <row r="1043" spans="1:14" s="313" customFormat="1" ht="18" customHeight="1" x14ac:dyDescent="0.25">
      <c r="A1043" s="173"/>
      <c r="B1043" s="505"/>
      <c r="C1043" s="505"/>
      <c r="D1043" s="528" t="s">
        <v>1241</v>
      </c>
      <c r="E1043" s="509"/>
      <c r="F1043" s="423"/>
      <c r="G1043" s="102"/>
      <c r="H1043" s="102"/>
      <c r="I1043" s="101"/>
      <c r="J1043" s="101">
        <v>260000</v>
      </c>
      <c r="K1043" s="193"/>
      <c r="L1043" s="193"/>
      <c r="M1043" s="179"/>
      <c r="N1043" s="179"/>
    </row>
    <row r="1044" spans="1:14" s="313" customFormat="1" ht="18" customHeight="1" x14ac:dyDescent="0.25">
      <c r="A1044" s="173"/>
      <c r="B1044" s="505"/>
      <c r="C1044" s="505"/>
      <c r="D1044" s="528" t="s">
        <v>1242</v>
      </c>
      <c r="E1044" s="509"/>
      <c r="F1044" s="423"/>
      <c r="G1044" s="102"/>
      <c r="H1044" s="102"/>
      <c r="I1044" s="101"/>
      <c r="J1044" s="101">
        <v>200000</v>
      </c>
      <c r="K1044" s="193"/>
      <c r="L1044" s="193"/>
      <c r="M1044" s="179"/>
      <c r="N1044" s="179"/>
    </row>
    <row r="1045" spans="1:14" s="313" customFormat="1" ht="18" customHeight="1" x14ac:dyDescent="0.25">
      <c r="A1045" s="173"/>
      <c r="B1045" s="505"/>
      <c r="C1045" s="505"/>
      <c r="D1045" s="528" t="s">
        <v>1243</v>
      </c>
      <c r="E1045" s="509"/>
      <c r="F1045" s="423"/>
      <c r="G1045" s="102"/>
      <c r="H1045" s="102"/>
      <c r="I1045" s="101"/>
      <c r="J1045" s="101">
        <v>100000</v>
      </c>
      <c r="K1045" s="193"/>
      <c r="L1045" s="193"/>
      <c r="M1045" s="179"/>
      <c r="N1045" s="179"/>
    </row>
    <row r="1046" spans="1:14" s="313" customFormat="1" ht="18.75" customHeight="1" x14ac:dyDescent="0.25">
      <c r="A1046" s="173"/>
      <c r="B1046" s="505"/>
      <c r="C1046" s="505"/>
      <c r="D1046" s="1628" t="s">
        <v>1244</v>
      </c>
      <c r="E1046" s="1628"/>
      <c r="F1046" s="423"/>
      <c r="G1046" s="102"/>
      <c r="H1046" s="102"/>
      <c r="I1046" s="101"/>
      <c r="J1046" s="101">
        <v>500000</v>
      </c>
      <c r="K1046" s="193"/>
      <c r="L1046" s="193"/>
      <c r="M1046" s="179"/>
      <c r="N1046" s="179"/>
    </row>
    <row r="1047" spans="1:14" s="146" customFormat="1" ht="18" x14ac:dyDescent="0.25">
      <c r="A1047" s="519"/>
      <c r="B1047" s="499"/>
      <c r="C1047" s="499"/>
      <c r="D1047" s="38" t="s">
        <v>1371</v>
      </c>
      <c r="E1047" s="157"/>
      <c r="F1047" s="100"/>
      <c r="G1047" s="102">
        <v>158363.5</v>
      </c>
      <c r="H1047" s="102">
        <v>0</v>
      </c>
      <c r="I1047" s="101"/>
      <c r="J1047" s="101">
        <v>1600000</v>
      </c>
      <c r="K1047" s="10"/>
      <c r="L1047" s="10"/>
      <c r="M1047"/>
      <c r="N1047"/>
    </row>
    <row r="1048" spans="1:14" s="313" customFormat="1" ht="18" customHeight="1" x14ac:dyDescent="0.25">
      <c r="A1048" s="173"/>
      <c r="B1048" s="505"/>
      <c r="C1048" s="505"/>
      <c r="D1048" s="528" t="s">
        <v>1245</v>
      </c>
      <c r="E1048" s="509"/>
      <c r="F1048" s="423"/>
      <c r="G1048" s="102"/>
      <c r="H1048" s="102"/>
      <c r="I1048" s="101"/>
      <c r="J1048" s="101">
        <v>400000</v>
      </c>
      <c r="K1048" s="193"/>
      <c r="L1048" s="193"/>
      <c r="M1048" s="179"/>
      <c r="N1048" s="179"/>
    </row>
    <row r="1049" spans="1:14" s="146" customFormat="1" ht="18" x14ac:dyDescent="0.25">
      <c r="A1049" s="519"/>
      <c r="B1049" s="499"/>
      <c r="C1049" s="499"/>
      <c r="D1049" s="38" t="s">
        <v>1246</v>
      </c>
      <c r="E1049" s="157"/>
      <c r="F1049" s="100"/>
      <c r="G1049" s="102">
        <v>29936170</v>
      </c>
      <c r="H1049" s="102">
        <v>0</v>
      </c>
      <c r="I1049" s="101"/>
      <c r="J1049" s="101">
        <v>41000000</v>
      </c>
      <c r="K1049" s="10"/>
      <c r="L1049" s="10"/>
      <c r="M1049"/>
      <c r="N1049"/>
    </row>
    <row r="1050" spans="1:14" s="313" customFormat="1" ht="18" customHeight="1" x14ac:dyDescent="0.25">
      <c r="A1050" s="173"/>
      <c r="B1050" s="505"/>
      <c r="C1050" s="505"/>
      <c r="D1050" s="528" t="s">
        <v>1247</v>
      </c>
      <c r="E1050" s="509"/>
      <c r="F1050" s="423"/>
      <c r="G1050" s="102"/>
      <c r="H1050" s="102"/>
      <c r="I1050" s="101"/>
      <c r="J1050" s="101">
        <v>20000000</v>
      </c>
      <c r="K1050" s="193"/>
      <c r="L1050" s="193"/>
      <c r="M1050" s="179"/>
      <c r="N1050" s="179"/>
    </row>
    <row r="1051" spans="1:14" s="313" customFormat="1" ht="18" customHeight="1" x14ac:dyDescent="0.25">
      <c r="A1051" s="173"/>
      <c r="B1051" s="505"/>
      <c r="C1051" s="505"/>
      <c r="D1051" s="528" t="s">
        <v>1248</v>
      </c>
      <c r="E1051" s="509"/>
      <c r="F1051" s="423"/>
      <c r="G1051" s="102"/>
      <c r="H1051" s="102"/>
      <c r="I1051" s="101"/>
      <c r="J1051" s="101">
        <v>2000000</v>
      </c>
      <c r="K1051" s="193"/>
      <c r="L1051" s="193"/>
      <c r="M1051" s="179"/>
      <c r="N1051" s="179"/>
    </row>
    <row r="1052" spans="1:14" s="146" customFormat="1" ht="36" customHeight="1" x14ac:dyDescent="0.25">
      <c r="A1052" s="519"/>
      <c r="B1052" s="499"/>
      <c r="C1052" s="499"/>
      <c r="D1052" s="1623" t="s">
        <v>1249</v>
      </c>
      <c r="E1052" s="1623"/>
      <c r="F1052" s="100"/>
      <c r="G1052" s="102">
        <v>988763.25</v>
      </c>
      <c r="H1052" s="102">
        <v>0</v>
      </c>
      <c r="I1052" s="101"/>
      <c r="J1052" s="101">
        <v>2000000</v>
      </c>
      <c r="K1052" s="10"/>
      <c r="L1052" s="10"/>
      <c r="M1052"/>
      <c r="N1052"/>
    </row>
    <row r="1053" spans="1:14" s="146" customFormat="1" ht="18" x14ac:dyDescent="0.25">
      <c r="A1053" s="519"/>
      <c r="B1053" s="499"/>
      <c r="C1053" s="499"/>
      <c r="D1053" s="38" t="s">
        <v>1250</v>
      </c>
      <c r="E1053" s="157"/>
      <c r="F1053" s="100"/>
      <c r="G1053" s="102"/>
      <c r="H1053" s="102"/>
      <c r="I1053" s="101"/>
      <c r="J1053" s="101"/>
      <c r="K1053" s="10"/>
      <c r="L1053" s="10"/>
      <c r="M1053"/>
      <c r="N1053"/>
    </row>
    <row r="1054" spans="1:14" s="146" customFormat="1" ht="18" x14ac:dyDescent="0.25">
      <c r="A1054" s="519"/>
      <c r="B1054" s="499"/>
      <c r="C1054" s="499"/>
      <c r="D1054" s="38" t="s">
        <v>1251</v>
      </c>
      <c r="E1054" s="157"/>
      <c r="F1054" s="100"/>
      <c r="G1054" s="102">
        <v>2137440</v>
      </c>
      <c r="H1054" s="102">
        <v>0</v>
      </c>
      <c r="I1054" s="101"/>
      <c r="J1054" s="101"/>
      <c r="K1054" s="10"/>
      <c r="L1054" s="10"/>
      <c r="M1054"/>
      <c r="N1054"/>
    </row>
    <row r="1055" spans="1:14" s="146" customFormat="1" ht="18" x14ac:dyDescent="0.25">
      <c r="A1055" s="519"/>
      <c r="B1055" s="499"/>
      <c r="C1055" s="499"/>
      <c r="D1055" s="38" t="s">
        <v>1252</v>
      </c>
      <c r="E1055" s="157"/>
      <c r="F1055" s="100"/>
      <c r="G1055" s="102">
        <v>0</v>
      </c>
      <c r="H1055" s="102">
        <v>0</v>
      </c>
      <c r="I1055" s="101"/>
      <c r="J1055" s="101"/>
      <c r="K1055" s="10"/>
      <c r="L1055" s="10"/>
      <c r="M1055"/>
      <c r="N1055"/>
    </row>
    <row r="1056" spans="1:14" s="146" customFormat="1" ht="18" x14ac:dyDescent="0.25">
      <c r="A1056" s="519"/>
      <c r="B1056" s="499"/>
      <c r="C1056" s="499"/>
      <c r="D1056" s="38" t="s">
        <v>1253</v>
      </c>
      <c r="E1056" s="157"/>
      <c r="F1056" s="100"/>
      <c r="G1056" s="102">
        <v>4060000</v>
      </c>
      <c r="H1056" s="102">
        <v>5000000</v>
      </c>
      <c r="I1056" s="101">
        <v>4000000</v>
      </c>
      <c r="J1056" s="101"/>
      <c r="K1056" s="10"/>
      <c r="L1056" s="10"/>
      <c r="M1056"/>
      <c r="N1056"/>
    </row>
    <row r="1057" spans="1:14" s="146" customFormat="1" ht="21" customHeight="1" x14ac:dyDescent="0.25">
      <c r="A1057" s="519"/>
      <c r="B1057" s="499"/>
      <c r="C1057" s="499"/>
      <c r="D1057" s="1634" t="s">
        <v>1254</v>
      </c>
      <c r="E1057" s="1634"/>
      <c r="F1057" s="100"/>
      <c r="G1057" s="102">
        <v>6577175</v>
      </c>
      <c r="H1057" s="102">
        <v>10000000</v>
      </c>
      <c r="I1057" s="101"/>
      <c r="J1057" s="101"/>
      <c r="K1057" s="10"/>
      <c r="L1057" s="10"/>
      <c r="M1057"/>
      <c r="N1057"/>
    </row>
    <row r="1058" spans="1:14" s="146" customFormat="1" ht="36.75" customHeight="1" x14ac:dyDescent="0.25">
      <c r="A1058" s="519"/>
      <c r="B1058" s="499"/>
      <c r="C1058" s="499"/>
      <c r="D1058" s="1623" t="s">
        <v>1255</v>
      </c>
      <c r="E1058" s="1623"/>
      <c r="F1058" s="100"/>
      <c r="G1058" s="102">
        <v>1093880</v>
      </c>
      <c r="H1058" s="102">
        <v>3000000</v>
      </c>
      <c r="I1058" s="101"/>
      <c r="J1058" s="101"/>
      <c r="K1058" s="10"/>
      <c r="L1058" s="10"/>
      <c r="M1058"/>
      <c r="N1058"/>
    </row>
    <row r="1059" spans="1:14" s="146" customFormat="1" ht="18" x14ac:dyDescent="0.25">
      <c r="A1059" s="519"/>
      <c r="B1059" s="499"/>
      <c r="C1059" s="499"/>
      <c r="D1059" s="38" t="s">
        <v>1256</v>
      </c>
      <c r="E1059" s="199"/>
      <c r="F1059" s="100"/>
      <c r="G1059" s="102"/>
      <c r="H1059" s="102">
        <v>700000</v>
      </c>
      <c r="I1059" s="101"/>
      <c r="J1059" s="101"/>
      <c r="K1059" s="10"/>
      <c r="L1059" s="10"/>
      <c r="M1059"/>
      <c r="N1059"/>
    </row>
    <row r="1060" spans="1:14" s="146" customFormat="1" ht="36.75" customHeight="1" x14ac:dyDescent="0.25">
      <c r="A1060" s="519"/>
      <c r="B1060" s="499"/>
      <c r="C1060" s="499"/>
      <c r="D1060" s="1623" t="s">
        <v>1257</v>
      </c>
      <c r="E1060" s="1623"/>
      <c r="F1060" s="100"/>
      <c r="G1060" s="102">
        <v>5139255</v>
      </c>
      <c r="H1060" s="102">
        <v>5000000</v>
      </c>
      <c r="I1060" s="101"/>
      <c r="J1060" s="101"/>
      <c r="K1060" s="10"/>
      <c r="L1060" s="10"/>
      <c r="M1060"/>
      <c r="N1060"/>
    </row>
    <row r="1061" spans="1:14" s="146" customFormat="1" ht="18" x14ac:dyDescent="0.25">
      <c r="A1061" s="519"/>
      <c r="B1061" s="499"/>
      <c r="C1061" s="499"/>
      <c r="D1061" s="153" t="s">
        <v>15</v>
      </c>
      <c r="F1061" s="100"/>
      <c r="G1061" s="315">
        <f>SUM(G1039:G1060)</f>
        <v>50578390.75</v>
      </c>
      <c r="H1061" s="150">
        <f>SUM(H1039:H1060)</f>
        <v>26600000</v>
      </c>
      <c r="I1061" s="119">
        <f>SUM(I1039:I1060)</f>
        <v>5191282.5</v>
      </c>
      <c r="J1061" s="119">
        <f>SUM(J1039:J1060)</f>
        <v>71210000</v>
      </c>
      <c r="K1061" s="10"/>
      <c r="L1061" s="10"/>
      <c r="M1061"/>
      <c r="N1061"/>
    </row>
    <row r="1062" spans="1:14" s="146" customFormat="1" ht="18" customHeight="1" thickBot="1" x14ac:dyDescent="0.3">
      <c r="A1062" s="187"/>
      <c r="B1062" s="413"/>
      <c r="C1062" s="413"/>
      <c r="D1062" s="1635"/>
      <c r="E1062" s="1635"/>
      <c r="F1062" s="308"/>
      <c r="G1062" s="219"/>
      <c r="H1062" s="220"/>
      <c r="I1062" s="219"/>
      <c r="J1062" s="219"/>
      <c r="K1062" s="10"/>
      <c r="L1062" s="10"/>
      <c r="M1062"/>
      <c r="N1062"/>
    </row>
    <row r="1063" spans="1:14" s="146" customFormat="1" ht="18" customHeight="1" x14ac:dyDescent="0.25">
      <c r="A1063" s="499"/>
      <c r="B1063" s="499"/>
      <c r="C1063" s="499"/>
      <c r="D1063" s="504"/>
      <c r="E1063" s="504"/>
      <c r="F1063" s="381"/>
      <c r="G1063" s="141"/>
      <c r="H1063" s="122"/>
      <c r="I1063" s="141"/>
      <c r="J1063" s="141"/>
      <c r="K1063" s="10"/>
      <c r="L1063" s="10"/>
      <c r="M1063"/>
      <c r="N1063"/>
    </row>
    <row r="1064" spans="1:14" s="146" customFormat="1" ht="18" customHeight="1" x14ac:dyDescent="0.25">
      <c r="A1064" s="499"/>
      <c r="B1064" s="499"/>
      <c r="C1064" s="499"/>
      <c r="D1064" s="504"/>
      <c r="E1064" s="504"/>
      <c r="F1064" s="381"/>
      <c r="G1064" s="141"/>
      <c r="H1064" s="122"/>
      <c r="I1064" s="141"/>
      <c r="J1064" s="141"/>
      <c r="K1064" s="10"/>
      <c r="L1064" s="10"/>
      <c r="M1064"/>
      <c r="N1064"/>
    </row>
    <row r="1065" spans="1:14" ht="18" customHeight="1" x14ac:dyDescent="0.25">
      <c r="A1065" s="235" t="s">
        <v>112</v>
      </c>
      <c r="B1065" s="235"/>
      <c r="C1065" s="235"/>
      <c r="D1065" s="51"/>
      <c r="E1065" s="235"/>
      <c r="F1065" s="235"/>
      <c r="G1065" s="160"/>
      <c r="H1065" s="161"/>
      <c r="I1065" s="160"/>
      <c r="J1065" s="160"/>
    </row>
    <row r="1066" spans="1:14" ht="18" customHeight="1" x14ac:dyDescent="0.25">
      <c r="A1066" s="8" t="s">
        <v>1137</v>
      </c>
    </row>
    <row r="1067" spans="1:14" ht="18" customHeight="1" x14ac:dyDescent="0.25">
      <c r="A1067" s="1636" t="s">
        <v>113</v>
      </c>
      <c r="B1067" s="1636"/>
      <c r="C1067" s="1636"/>
      <c r="D1067" s="1636"/>
      <c r="E1067" s="1636"/>
      <c r="F1067" s="1636"/>
      <c r="G1067" s="1636"/>
      <c r="H1067" s="1636"/>
      <c r="I1067" s="1636"/>
      <c r="J1067" s="1636"/>
    </row>
    <row r="1068" spans="1:14" s="7" customFormat="1" ht="18" customHeight="1" x14ac:dyDescent="0.25">
      <c r="A1068" s="1624" t="s">
        <v>114</v>
      </c>
      <c r="B1068" s="1624"/>
      <c r="C1068" s="1624"/>
      <c r="D1068" s="1624"/>
      <c r="E1068" s="1624"/>
      <c r="F1068" s="1624"/>
      <c r="G1068" s="1624"/>
      <c r="H1068" s="1624"/>
      <c r="I1068" s="1624"/>
      <c r="J1068" s="1624"/>
      <c r="K1068" s="6"/>
      <c r="L1068" s="6"/>
    </row>
    <row r="1069" spans="1:14" ht="18.75" thickBot="1" x14ac:dyDescent="0.3">
      <c r="A1069" s="41"/>
      <c r="B1069" s="41"/>
      <c r="C1069" s="41"/>
      <c r="D1069" s="63"/>
      <c r="E1069" s="41"/>
      <c r="F1069" s="41"/>
    </row>
    <row r="1070" spans="1:14" ht="63.75" customHeight="1" thickBot="1" x14ac:dyDescent="0.3">
      <c r="A1070" s="1625" t="s">
        <v>115</v>
      </c>
      <c r="B1070" s="1626"/>
      <c r="C1070" s="1626"/>
      <c r="D1070" s="1626"/>
      <c r="E1070" s="1626"/>
      <c r="F1070" s="93" t="s">
        <v>116</v>
      </c>
      <c r="G1070" s="130" t="s">
        <v>117</v>
      </c>
      <c r="H1070" s="130" t="s">
        <v>118</v>
      </c>
      <c r="I1070" s="130" t="s">
        <v>119</v>
      </c>
      <c r="J1070" s="130" t="s">
        <v>120</v>
      </c>
    </row>
    <row r="1071" spans="1:14" s="146" customFormat="1" ht="18" x14ac:dyDescent="0.25">
      <c r="A1071" s="519"/>
      <c r="B1071" s="499"/>
      <c r="C1071" s="499"/>
      <c r="D1071" s="36" t="s">
        <v>1336</v>
      </c>
      <c r="E1071" s="199"/>
      <c r="F1071" s="100"/>
      <c r="G1071" s="101"/>
      <c r="H1071" s="102"/>
      <c r="I1071" s="101"/>
      <c r="J1071" s="101"/>
      <c r="K1071" s="10"/>
      <c r="L1071" s="10"/>
      <c r="M1071"/>
      <c r="N1071"/>
    </row>
    <row r="1072" spans="1:14" s="146" customFormat="1" ht="35.25" customHeight="1" x14ac:dyDescent="0.25">
      <c r="A1072" s="519"/>
      <c r="B1072" s="499"/>
      <c r="C1072" s="499"/>
      <c r="D1072" s="1628" t="s">
        <v>1372</v>
      </c>
      <c r="E1072" s="1628"/>
      <c r="F1072" s="100"/>
      <c r="G1072" s="101"/>
      <c r="H1072" s="102"/>
      <c r="I1072" s="101"/>
      <c r="J1072" s="101">
        <v>8000000</v>
      </c>
      <c r="K1072" s="10"/>
      <c r="L1072" s="10"/>
      <c r="M1072"/>
      <c r="N1072"/>
    </row>
    <row r="1073" spans="1:14" s="146" customFormat="1" ht="42" customHeight="1" x14ac:dyDescent="0.25">
      <c r="A1073" s="519"/>
      <c r="B1073" s="499"/>
      <c r="C1073" s="499"/>
      <c r="D1073" s="1628" t="s">
        <v>1258</v>
      </c>
      <c r="E1073" s="1628"/>
      <c r="F1073" s="100"/>
      <c r="G1073" s="101"/>
      <c r="H1073" s="102"/>
      <c r="I1073" s="101"/>
      <c r="J1073" s="101">
        <v>1000000</v>
      </c>
      <c r="K1073" s="10"/>
      <c r="L1073" s="10"/>
      <c r="M1073"/>
      <c r="N1073"/>
    </row>
    <row r="1074" spans="1:14" s="146" customFormat="1" ht="18" x14ac:dyDescent="0.25">
      <c r="A1074" s="519"/>
      <c r="B1074" s="499"/>
      <c r="C1074" s="499"/>
      <c r="D1074" s="153" t="s">
        <v>15</v>
      </c>
      <c r="F1074" s="100"/>
      <c r="G1074" s="119">
        <f>SUM(G1073:G1073)</f>
        <v>0</v>
      </c>
      <c r="H1074" s="119">
        <f>SUM(H1073:H1073)</f>
        <v>0</v>
      </c>
      <c r="I1074" s="119">
        <f>SUM(I1073:I1073)</f>
        <v>0</v>
      </c>
      <c r="J1074" s="119">
        <f>SUM(J1072:J1073)</f>
        <v>9000000</v>
      </c>
      <c r="K1074" s="10"/>
      <c r="L1074" s="10"/>
      <c r="M1074"/>
      <c r="N1074"/>
    </row>
    <row r="1075" spans="1:14" s="146" customFormat="1" ht="18" x14ac:dyDescent="0.25">
      <c r="A1075" s="519"/>
      <c r="B1075" s="499"/>
      <c r="C1075" s="499"/>
      <c r="D1075" s="38"/>
      <c r="E1075" s="153"/>
      <c r="F1075" s="100"/>
      <c r="G1075" s="155"/>
      <c r="H1075" s="156"/>
      <c r="I1075" s="155"/>
      <c r="J1075" s="155"/>
      <c r="K1075" s="10"/>
      <c r="L1075" s="10"/>
      <c r="M1075"/>
      <c r="N1075"/>
    </row>
    <row r="1076" spans="1:14" ht="18" x14ac:dyDescent="0.25">
      <c r="A1076" s="519"/>
      <c r="B1076" s="499"/>
      <c r="C1076" s="499"/>
      <c r="D1076" s="36" t="s">
        <v>1373</v>
      </c>
      <c r="E1076" s="199"/>
      <c r="F1076" s="100"/>
      <c r="G1076" s="101"/>
      <c r="H1076" s="102"/>
      <c r="I1076" s="101"/>
      <c r="J1076" s="101"/>
    </row>
    <row r="1077" spans="1:14" ht="36.75" customHeight="1" x14ac:dyDescent="0.25">
      <c r="A1077" s="519"/>
      <c r="B1077" s="499"/>
      <c r="C1077" s="499"/>
      <c r="D1077" s="1629" t="s">
        <v>1259</v>
      </c>
      <c r="E1077" s="1630"/>
      <c r="F1077" s="100"/>
      <c r="G1077" s="101">
        <v>0</v>
      </c>
      <c r="H1077" s="102">
        <v>2971000</v>
      </c>
      <c r="I1077" s="101">
        <v>0</v>
      </c>
      <c r="J1077" s="105"/>
    </row>
    <row r="1078" spans="1:14" ht="18" x14ac:dyDescent="0.25">
      <c r="A1078" s="519"/>
      <c r="B1078" s="499"/>
      <c r="C1078" s="499"/>
      <c r="D1078" s="153" t="s">
        <v>15</v>
      </c>
      <c r="F1078" s="100"/>
      <c r="G1078" s="119">
        <f>SUM(G1077:G1077)</f>
        <v>0</v>
      </c>
      <c r="H1078" s="150">
        <f>SUM(H1077:H1077)</f>
        <v>2971000</v>
      </c>
      <c r="I1078" s="119">
        <f>SUM(I1077:I1077)</f>
        <v>0</v>
      </c>
      <c r="J1078" s="119">
        <f>SUM(J1077:J1077)</f>
        <v>0</v>
      </c>
    </row>
    <row r="1079" spans="1:14" s="146" customFormat="1" ht="22.5" customHeight="1" x14ac:dyDescent="0.25">
      <c r="A1079" s="527"/>
      <c r="B1079" s="513"/>
      <c r="C1079" s="513"/>
      <c r="D1079" s="1632" t="s">
        <v>1374</v>
      </c>
      <c r="E1079" s="1632"/>
      <c r="F1079" s="205"/>
      <c r="G1079" s="360">
        <f>G1078+G1074+G1061+G1036+G927+G869+G832+G795+G782+G774+G749+G744+G739+G720+G702+G690+G672+G636+G627+G600+G566+G497+G450+G422+G402+G373+G362+G345+G875+G682+G474</f>
        <v>102348524.19</v>
      </c>
      <c r="H1079" s="360">
        <f>H1078+H1074+H1061+H1036+H927+H869+H832+H795+H782+H774+H749+H744+H739+H720+H702+H690+H672+H636+H627+H600+H566+H497+H450+H422+H402+H373+H362+H345+H875+H682+H474</f>
        <v>183522159.26000002</v>
      </c>
      <c r="I1079" s="360">
        <f>I1078+I1074+I1061+I1036+I927+I869+I832+I795+I782+I774+I749+I744+I739+I720+I702+I690+I672+I636+I627+I600+I566+I497+I450+I422+I402+I373+I362+I345+I875+I682+I474</f>
        <v>18252259.880000003</v>
      </c>
      <c r="J1079" s="360">
        <f>J1078+J1074+J1061+J1036+J927+J869+J832+J795+J782+J774+J749+J744+J739+J720+J702+J690+J672+J636+J627+J600+J566+J497+J450+J422+J402+J373+J362+J345+J875+J682+J474+J490</f>
        <v>228996244.69999999</v>
      </c>
      <c r="K1079" s="10"/>
      <c r="L1079" s="10">
        <v>232320641.91999999</v>
      </c>
    </row>
    <row r="1080" spans="1:14" s="146" customFormat="1" ht="19.5" customHeight="1" x14ac:dyDescent="0.25">
      <c r="A1080" s="519"/>
      <c r="B1080" s="499"/>
      <c r="C1080" s="499"/>
      <c r="D1080" s="152" t="s">
        <v>1375</v>
      </c>
      <c r="E1080" s="152"/>
      <c r="F1080" s="301"/>
      <c r="G1080" s="315" t="e">
        <f>G1079+G288+G279+G257+G245+G231+G96+#REF!+G236</f>
        <v>#REF!</v>
      </c>
      <c r="H1080" s="315" t="e">
        <f>H1079+H288+H279+H257+H245+H231+H96+#REF!+H236</f>
        <v>#REF!</v>
      </c>
      <c r="I1080" s="315" t="e">
        <f>I1079+I288+I279+I257+I245+I231+I96+#REF!+I236</f>
        <v>#REF!</v>
      </c>
      <c r="J1080" s="315" t="e">
        <f>J1079+J288+J279+J257+J245+J231+J96+#REF!+J236</f>
        <v>#REF!</v>
      </c>
      <c r="K1080" s="10"/>
      <c r="L1080" s="10"/>
      <c r="M1080"/>
      <c r="N1080"/>
    </row>
    <row r="1081" spans="1:14" s="146" customFormat="1" ht="18.75" thickBot="1" x14ac:dyDescent="0.3">
      <c r="A1081" s="187"/>
      <c r="B1081" s="413"/>
      <c r="C1081" s="413"/>
      <c r="D1081" s="318"/>
      <c r="E1081" s="498"/>
      <c r="F1081" s="392"/>
      <c r="G1081" s="452"/>
      <c r="H1081" s="183"/>
      <c r="I1081" s="182"/>
      <c r="J1081" s="182"/>
      <c r="K1081" s="10"/>
      <c r="L1081" s="10"/>
      <c r="M1081"/>
      <c r="N1081"/>
    </row>
    <row r="1082" spans="1:14" s="146" customFormat="1" ht="18" x14ac:dyDescent="0.25">
      <c r="A1082" s="499"/>
      <c r="B1082" s="499"/>
      <c r="C1082" s="499"/>
      <c r="D1082" s="513"/>
      <c r="E1082" s="499"/>
      <c r="F1082" s="381"/>
      <c r="G1082" s="141"/>
      <c r="H1082" s="122"/>
      <c r="I1082" s="141"/>
      <c r="J1082" s="141"/>
      <c r="K1082" s="10"/>
      <c r="L1082" s="10"/>
      <c r="M1082"/>
      <c r="N1082"/>
    </row>
    <row r="1083" spans="1:14" s="146" customFormat="1" ht="18" x14ac:dyDescent="0.25">
      <c r="A1083" s="499"/>
      <c r="B1083" s="499"/>
      <c r="C1083" s="499"/>
      <c r="D1083" s="513"/>
      <c r="E1083" s="499"/>
      <c r="F1083" s="381"/>
      <c r="G1083" s="141"/>
      <c r="H1083" s="122"/>
      <c r="I1083" s="141"/>
      <c r="J1083" s="141"/>
      <c r="K1083" s="10"/>
      <c r="L1083" s="10"/>
      <c r="M1083"/>
      <c r="N1083"/>
    </row>
    <row r="1084" spans="1:14" s="146" customFormat="1" ht="18" x14ac:dyDescent="0.25">
      <c r="A1084" s="499"/>
      <c r="B1084" s="499"/>
      <c r="C1084" s="499"/>
      <c r="D1084" s="513"/>
      <c r="E1084" s="499"/>
      <c r="F1084" s="381"/>
      <c r="G1084" s="141"/>
      <c r="H1084" s="122"/>
      <c r="I1084" s="141"/>
      <c r="J1084" s="141"/>
      <c r="K1084" s="10"/>
      <c r="L1084" s="10"/>
      <c r="M1084"/>
      <c r="N1084"/>
    </row>
    <row r="1085" spans="1:14" s="146" customFormat="1" ht="18" x14ac:dyDescent="0.25">
      <c r="A1085" s="499"/>
      <c r="B1085" s="499"/>
      <c r="C1085" s="499"/>
      <c r="D1085" s="513"/>
      <c r="E1085" s="499"/>
      <c r="F1085" s="381"/>
      <c r="G1085" s="141"/>
      <c r="H1085" s="122"/>
      <c r="I1085" s="141"/>
      <c r="J1085" s="141"/>
      <c r="K1085" s="10"/>
      <c r="L1085" s="10"/>
      <c r="M1085"/>
      <c r="N1085"/>
    </row>
    <row r="1086" spans="1:14" s="146" customFormat="1" ht="18" x14ac:dyDescent="0.25">
      <c r="A1086" s="499"/>
      <c r="B1086" s="499"/>
      <c r="C1086" s="499"/>
      <c r="D1086" s="513"/>
      <c r="E1086" s="499"/>
      <c r="F1086" s="381"/>
      <c r="G1086" s="141"/>
      <c r="H1086" s="122"/>
      <c r="I1086" s="141"/>
      <c r="J1086" s="141"/>
      <c r="K1086" s="10"/>
      <c r="L1086" s="10"/>
      <c r="M1086"/>
      <c r="N1086"/>
    </row>
    <row r="1087" spans="1:14" s="146" customFormat="1" ht="18" x14ac:dyDescent="0.25">
      <c r="A1087" s="499"/>
      <c r="B1087" s="499"/>
      <c r="C1087" s="499"/>
      <c r="D1087" s="513"/>
      <c r="E1087" s="499"/>
      <c r="F1087" s="381"/>
      <c r="G1087" s="141"/>
      <c r="H1087" s="122"/>
      <c r="I1087" s="141"/>
      <c r="J1087" s="141"/>
      <c r="K1087" s="10"/>
      <c r="L1087" s="10"/>
      <c r="M1087"/>
      <c r="N1087"/>
    </row>
    <row r="1088" spans="1:14" s="146" customFormat="1" ht="18" x14ac:dyDescent="0.25">
      <c r="A1088" s="499"/>
      <c r="B1088" s="499"/>
      <c r="C1088" s="499"/>
      <c r="D1088" s="513"/>
      <c r="E1088" s="499"/>
      <c r="F1088" s="381"/>
      <c r="G1088" s="141"/>
      <c r="H1088" s="122"/>
      <c r="I1088" s="141"/>
      <c r="J1088" s="141"/>
      <c r="K1088" s="10"/>
      <c r="L1088" s="10"/>
      <c r="M1088"/>
      <c r="N1088"/>
    </row>
    <row r="1089" spans="1:14" s="146" customFormat="1" ht="18" x14ac:dyDescent="0.25">
      <c r="A1089" s="499"/>
      <c r="B1089" s="499"/>
      <c r="C1089" s="499"/>
      <c r="D1089" s="513"/>
      <c r="E1089" s="499"/>
      <c r="F1089" s="381"/>
      <c r="G1089" s="141"/>
      <c r="H1089" s="122"/>
      <c r="I1089" s="141"/>
      <c r="J1089" s="141"/>
      <c r="K1089" s="10"/>
      <c r="L1089" s="10"/>
      <c r="M1089"/>
      <c r="N1089"/>
    </row>
    <row r="1090" spans="1:14" s="146" customFormat="1" ht="18" x14ac:dyDescent="0.25">
      <c r="A1090" s="499"/>
      <c r="B1090" s="499"/>
      <c r="C1090" s="499"/>
      <c r="D1090" s="513"/>
      <c r="E1090" s="499"/>
      <c r="F1090" s="381"/>
      <c r="G1090" s="141"/>
      <c r="H1090" s="122"/>
      <c r="I1090" s="141"/>
      <c r="J1090" s="141"/>
      <c r="K1090" s="10"/>
      <c r="L1090" s="10"/>
      <c r="M1090"/>
      <c r="N1090"/>
    </row>
    <row r="1091" spans="1:14" s="146" customFormat="1" ht="18" x14ac:dyDescent="0.25">
      <c r="A1091" s="499"/>
      <c r="B1091" s="499"/>
      <c r="C1091" s="499"/>
      <c r="D1091" s="513"/>
      <c r="E1091" s="499"/>
      <c r="F1091" s="381"/>
      <c r="G1091" s="141"/>
      <c r="H1091" s="122"/>
      <c r="I1091" s="141"/>
      <c r="J1091" s="141"/>
      <c r="K1091" s="10"/>
      <c r="L1091" s="10"/>
      <c r="M1091"/>
      <c r="N1091"/>
    </row>
    <row r="1092" spans="1:14" s="146" customFormat="1" ht="18" x14ac:dyDescent="0.25">
      <c r="A1092" s="499"/>
      <c r="B1092" s="499"/>
      <c r="C1092" s="499"/>
      <c r="D1092" s="513"/>
      <c r="E1092" s="499"/>
      <c r="F1092" s="381"/>
      <c r="G1092" s="141"/>
      <c r="H1092" s="122"/>
      <c r="I1092" s="141"/>
      <c r="J1092" s="141"/>
      <c r="K1092" s="10"/>
      <c r="L1092" s="10"/>
      <c r="M1092"/>
      <c r="N1092"/>
    </row>
    <row r="1093" spans="1:14" s="146" customFormat="1" ht="18" x14ac:dyDescent="0.25">
      <c r="A1093" s="499"/>
      <c r="B1093" s="499"/>
      <c r="C1093" s="499"/>
      <c r="D1093" s="513"/>
      <c r="E1093" s="499"/>
      <c r="F1093" s="381"/>
      <c r="G1093" s="141"/>
      <c r="H1093" s="122"/>
      <c r="I1093" s="141"/>
      <c r="J1093" s="141"/>
      <c r="K1093" s="10"/>
      <c r="L1093" s="10"/>
      <c r="M1093"/>
      <c r="N1093"/>
    </row>
    <row r="1094" spans="1:14" s="146" customFormat="1" ht="18" x14ac:dyDescent="0.25">
      <c r="A1094" s="499"/>
      <c r="B1094" s="499"/>
      <c r="C1094" s="499"/>
      <c r="D1094" s="513"/>
      <c r="E1094" s="499"/>
      <c r="F1094" s="381"/>
      <c r="G1094" s="141"/>
      <c r="H1094" s="122"/>
      <c r="I1094" s="141"/>
      <c r="J1094" s="141"/>
      <c r="K1094" s="10"/>
      <c r="L1094" s="10"/>
      <c r="M1094"/>
      <c r="N1094"/>
    </row>
    <row r="1095" spans="1:14" s="146" customFormat="1" ht="18" x14ac:dyDescent="0.25">
      <c r="A1095" s="499"/>
      <c r="B1095" s="499"/>
      <c r="C1095" s="499"/>
      <c r="D1095" s="513"/>
      <c r="E1095" s="499"/>
      <c r="F1095" s="381"/>
      <c r="G1095" s="141"/>
      <c r="H1095" s="122"/>
      <c r="I1095" s="141"/>
      <c r="J1095" s="141"/>
      <c r="K1095" s="10"/>
      <c r="L1095" s="10"/>
      <c r="M1095"/>
      <c r="N1095"/>
    </row>
    <row r="1096" spans="1:14" s="146" customFormat="1" ht="18" x14ac:dyDescent="0.25">
      <c r="A1096" s="499"/>
      <c r="B1096" s="499"/>
      <c r="C1096" s="499"/>
      <c r="D1096" s="513"/>
      <c r="E1096" s="499"/>
      <c r="F1096" s="381"/>
      <c r="G1096" s="141"/>
      <c r="H1096" s="122"/>
      <c r="I1096" s="141"/>
      <c r="J1096" s="141"/>
      <c r="K1096" s="10"/>
      <c r="L1096" s="10"/>
      <c r="M1096"/>
      <c r="N1096"/>
    </row>
    <row r="1097" spans="1:14" s="146" customFormat="1" ht="18" x14ac:dyDescent="0.25">
      <c r="A1097" s="499"/>
      <c r="B1097" s="499"/>
      <c r="C1097" s="499"/>
      <c r="D1097" s="513"/>
      <c r="E1097" s="499"/>
      <c r="F1097" s="381"/>
      <c r="G1097" s="141"/>
      <c r="H1097" s="122"/>
      <c r="I1097" s="141"/>
      <c r="J1097" s="141"/>
      <c r="K1097" s="10"/>
      <c r="L1097" s="10"/>
      <c r="M1097"/>
      <c r="N1097"/>
    </row>
    <row r="1098" spans="1:14" s="146" customFormat="1" ht="18" x14ac:dyDescent="0.25">
      <c r="A1098" s="499"/>
      <c r="B1098" s="499"/>
      <c r="C1098" s="499"/>
      <c r="D1098" s="513"/>
      <c r="E1098" s="499"/>
      <c r="F1098" s="381"/>
      <c r="G1098" s="141"/>
      <c r="H1098" s="122"/>
      <c r="I1098" s="141"/>
      <c r="J1098" s="141"/>
      <c r="K1098" s="10"/>
      <c r="L1098" s="10"/>
      <c r="M1098"/>
      <c r="N1098"/>
    </row>
    <row r="1099" spans="1:14" s="146" customFormat="1" ht="18" x14ac:dyDescent="0.25">
      <c r="A1099" s="499"/>
      <c r="B1099" s="499"/>
      <c r="C1099" s="499"/>
      <c r="D1099" s="513"/>
      <c r="E1099" s="499"/>
      <c r="F1099" s="381"/>
      <c r="G1099" s="141"/>
      <c r="H1099" s="122"/>
      <c r="I1099" s="141"/>
      <c r="J1099" s="141"/>
      <c r="K1099" s="10"/>
      <c r="L1099" s="10"/>
      <c r="M1099"/>
      <c r="N1099"/>
    </row>
    <row r="1100" spans="1:14" s="146" customFormat="1" ht="18" x14ac:dyDescent="0.25">
      <c r="A1100" s="499"/>
      <c r="B1100" s="499"/>
      <c r="C1100" s="499"/>
      <c r="D1100" s="513"/>
      <c r="E1100" s="499"/>
      <c r="F1100" s="381"/>
      <c r="G1100" s="141"/>
      <c r="H1100" s="122"/>
      <c r="I1100" s="141"/>
      <c r="J1100" s="141"/>
      <c r="K1100" s="10"/>
      <c r="L1100" s="10"/>
      <c r="M1100"/>
      <c r="N1100"/>
    </row>
    <row r="1101" spans="1:14" s="146" customFormat="1" ht="18" x14ac:dyDescent="0.25">
      <c r="A1101" s="499"/>
      <c r="B1101" s="499"/>
      <c r="C1101" s="499"/>
      <c r="D1101" s="513"/>
      <c r="E1101" s="499"/>
      <c r="F1101" s="381"/>
      <c r="G1101" s="141"/>
      <c r="H1101" s="122"/>
      <c r="I1101" s="141"/>
      <c r="J1101" s="141"/>
      <c r="K1101" s="10"/>
      <c r="L1101" s="10"/>
      <c r="M1101"/>
      <c r="N1101"/>
    </row>
    <row r="1102" spans="1:14" s="146" customFormat="1" ht="18" x14ac:dyDescent="0.25">
      <c r="A1102" s="499"/>
      <c r="B1102" s="499"/>
      <c r="C1102" s="499"/>
      <c r="D1102" s="513"/>
      <c r="E1102" s="499"/>
      <c r="F1102" s="381"/>
      <c r="G1102" s="141"/>
      <c r="H1102" s="122"/>
      <c r="I1102" s="141"/>
      <c r="J1102" s="141"/>
      <c r="K1102" s="10"/>
      <c r="L1102" s="10"/>
      <c r="M1102"/>
      <c r="N1102"/>
    </row>
    <row r="1103" spans="1:14" s="146" customFormat="1" ht="18" x14ac:dyDescent="0.25">
      <c r="A1103" s="499"/>
      <c r="B1103" s="499"/>
      <c r="C1103" s="499"/>
      <c r="D1103" s="513"/>
      <c r="E1103" s="499"/>
      <c r="F1103" s="381"/>
      <c r="G1103" s="141"/>
      <c r="H1103" s="122"/>
      <c r="I1103" s="141"/>
      <c r="J1103" s="141"/>
      <c r="K1103" s="10"/>
      <c r="L1103" s="10"/>
      <c r="M1103"/>
      <c r="N1103"/>
    </row>
    <row r="1104" spans="1:14" s="146" customFormat="1" ht="18" x14ac:dyDescent="0.25">
      <c r="A1104" s="499"/>
      <c r="B1104" s="499"/>
      <c r="C1104" s="499"/>
      <c r="D1104" s="513"/>
      <c r="E1104" s="499"/>
      <c r="F1104" s="381"/>
      <c r="G1104" s="141"/>
      <c r="H1104" s="122"/>
      <c r="I1104" s="141"/>
      <c r="J1104" s="141"/>
      <c r="K1104" s="10"/>
      <c r="L1104" s="10"/>
      <c r="M1104"/>
      <c r="N1104"/>
    </row>
    <row r="1105" spans="1:14" s="146" customFormat="1" ht="18" x14ac:dyDescent="0.25">
      <c r="A1105" s="499"/>
      <c r="B1105" s="499"/>
      <c r="C1105" s="499"/>
      <c r="D1105" s="513"/>
      <c r="E1105" s="499"/>
      <c r="F1105" s="381"/>
      <c r="G1105" s="141"/>
      <c r="H1105" s="122"/>
      <c r="I1105" s="141"/>
      <c r="J1105" s="141"/>
      <c r="K1105" s="10"/>
      <c r="L1105" s="10"/>
      <c r="M1105"/>
      <c r="N1105"/>
    </row>
    <row r="1106" spans="1:14" s="146" customFormat="1" ht="18" x14ac:dyDescent="0.25">
      <c r="A1106" s="499"/>
      <c r="B1106" s="499"/>
      <c r="C1106" s="499"/>
      <c r="D1106" s="513"/>
      <c r="E1106" s="499"/>
      <c r="F1106" s="381"/>
      <c r="G1106" s="141"/>
      <c r="H1106" s="122"/>
      <c r="I1106" s="141"/>
      <c r="J1106" s="141"/>
      <c r="K1106" s="10"/>
      <c r="L1106" s="10"/>
      <c r="M1106"/>
      <c r="N1106"/>
    </row>
    <row r="1107" spans="1:14" s="146" customFormat="1" ht="18" x14ac:dyDescent="0.25">
      <c r="A1107" s="499"/>
      <c r="B1107" s="499"/>
      <c r="C1107" s="499"/>
      <c r="D1107" s="513"/>
      <c r="E1107" s="499"/>
      <c r="F1107" s="381"/>
      <c r="G1107" s="141"/>
      <c r="H1107" s="122"/>
      <c r="I1107" s="141"/>
      <c r="J1107" s="141"/>
      <c r="K1107" s="10"/>
      <c r="L1107" s="10"/>
      <c r="M1107"/>
      <c r="N1107"/>
    </row>
    <row r="1108" spans="1:14" s="146" customFormat="1" ht="18" x14ac:dyDescent="0.25">
      <c r="A1108" s="499"/>
      <c r="B1108" s="499"/>
      <c r="C1108" s="499"/>
      <c r="D1108" s="513"/>
      <c r="E1108" s="499"/>
      <c r="F1108" s="381"/>
      <c r="G1108" s="141"/>
      <c r="H1108" s="122"/>
      <c r="I1108" s="141"/>
      <c r="J1108" s="141"/>
      <c r="K1108" s="10"/>
      <c r="L1108" s="10"/>
      <c r="M1108"/>
      <c r="N1108"/>
    </row>
    <row r="1109" spans="1:14" s="146" customFormat="1" ht="18" x14ac:dyDescent="0.25">
      <c r="A1109" s="499"/>
      <c r="B1109" s="499"/>
      <c r="C1109" s="499"/>
      <c r="D1109" s="513"/>
      <c r="E1109" s="499"/>
      <c r="F1109" s="381"/>
      <c r="G1109" s="141"/>
      <c r="H1109" s="122"/>
      <c r="I1109" s="141"/>
      <c r="J1109" s="141"/>
      <c r="K1109" s="10"/>
      <c r="L1109" s="10"/>
      <c r="M1109"/>
      <c r="N1109"/>
    </row>
    <row r="1110" spans="1:14" s="146" customFormat="1" ht="18" x14ac:dyDescent="0.25">
      <c r="A1110" s="499"/>
      <c r="B1110" s="499"/>
      <c r="C1110" s="499"/>
      <c r="D1110" s="513"/>
      <c r="E1110" s="499"/>
      <c r="F1110" s="381"/>
      <c r="G1110" s="141"/>
      <c r="H1110" s="122"/>
      <c r="I1110" s="141"/>
      <c r="J1110" s="141"/>
      <c r="K1110" s="10"/>
      <c r="L1110" s="10"/>
      <c r="M1110"/>
      <c r="N1110"/>
    </row>
    <row r="1111" spans="1:14" s="146" customFormat="1" ht="18" x14ac:dyDescent="0.25">
      <c r="A1111" s="499"/>
      <c r="B1111" s="499"/>
      <c r="C1111" s="499"/>
      <c r="D1111" s="513"/>
      <c r="E1111" s="499"/>
      <c r="F1111" s="381"/>
      <c r="G1111" s="141"/>
      <c r="H1111" s="122"/>
      <c r="I1111" s="141"/>
      <c r="J1111" s="141"/>
      <c r="K1111" s="10"/>
      <c r="L1111" s="10"/>
      <c r="M1111"/>
      <c r="N1111"/>
    </row>
    <row r="1112" spans="1:14" s="146" customFormat="1" ht="18" x14ac:dyDescent="0.25">
      <c r="A1112" s="499"/>
      <c r="B1112" s="499"/>
      <c r="C1112" s="499"/>
      <c r="D1112" s="513"/>
      <c r="E1112" s="499"/>
      <c r="F1112" s="381"/>
      <c r="G1112" s="141"/>
      <c r="H1112" s="122"/>
      <c r="I1112" s="141"/>
      <c r="J1112" s="141"/>
      <c r="K1112" s="10"/>
      <c r="L1112" s="10"/>
      <c r="M1112"/>
      <c r="N1112"/>
    </row>
    <row r="1113" spans="1:14" s="146" customFormat="1" ht="18" x14ac:dyDescent="0.25">
      <c r="A1113" s="499"/>
      <c r="B1113" s="499"/>
      <c r="C1113" s="499"/>
      <c r="D1113" s="513"/>
      <c r="E1113" s="499"/>
      <c r="F1113" s="381"/>
      <c r="G1113" s="141"/>
      <c r="H1113" s="122"/>
      <c r="I1113" s="141"/>
      <c r="J1113" s="141"/>
      <c r="K1113" s="10"/>
      <c r="L1113" s="10"/>
      <c r="M1113"/>
      <c r="N1113"/>
    </row>
    <row r="1114" spans="1:14" s="146" customFormat="1" ht="18" x14ac:dyDescent="0.25">
      <c r="A1114" s="499"/>
      <c r="B1114" s="499"/>
      <c r="C1114" s="499"/>
      <c r="D1114" s="513"/>
      <c r="E1114" s="499"/>
      <c r="F1114" s="381"/>
      <c r="G1114" s="141"/>
      <c r="H1114" s="122"/>
      <c r="I1114" s="141"/>
      <c r="J1114" s="141"/>
      <c r="K1114" s="10"/>
      <c r="L1114" s="10"/>
      <c r="M1114"/>
      <c r="N1114"/>
    </row>
    <row r="1115" spans="1:14" s="146" customFormat="1" ht="18" x14ac:dyDescent="0.25">
      <c r="A1115" s="499"/>
      <c r="B1115" s="499"/>
      <c r="C1115" s="499"/>
      <c r="D1115" s="513"/>
      <c r="E1115" s="499"/>
      <c r="F1115" s="381"/>
      <c r="G1115" s="141"/>
      <c r="H1115" s="122"/>
      <c r="I1115" s="141"/>
      <c r="J1115" s="141"/>
      <c r="K1115" s="10"/>
      <c r="L1115" s="10"/>
      <c r="M1115"/>
      <c r="N1115"/>
    </row>
    <row r="1116" spans="1:14" s="146" customFormat="1" ht="18" x14ac:dyDescent="0.25">
      <c r="A1116" s="499"/>
      <c r="B1116" s="499"/>
      <c r="C1116" s="499"/>
      <c r="D1116" s="513"/>
      <c r="E1116" s="499"/>
      <c r="F1116" s="381"/>
      <c r="G1116" s="141"/>
      <c r="H1116" s="122"/>
      <c r="I1116" s="141"/>
      <c r="J1116" s="141"/>
      <c r="K1116" s="10"/>
      <c r="L1116" s="10"/>
      <c r="M1116"/>
      <c r="N1116"/>
    </row>
    <row r="1117" spans="1:14" s="146" customFormat="1" ht="18" x14ac:dyDescent="0.25">
      <c r="A1117" s="499"/>
      <c r="B1117" s="499"/>
      <c r="C1117" s="499"/>
      <c r="D1117" s="513"/>
      <c r="E1117" s="499"/>
      <c r="F1117" s="381"/>
      <c r="G1117" s="141"/>
      <c r="H1117" s="122"/>
      <c r="I1117" s="141"/>
      <c r="J1117" s="141"/>
      <c r="K1117" s="10"/>
      <c r="L1117" s="10"/>
      <c r="M1117"/>
      <c r="N1117"/>
    </row>
    <row r="1118" spans="1:14" s="146" customFormat="1" ht="18" x14ac:dyDescent="0.25">
      <c r="A1118" s="499"/>
      <c r="B1118" s="499"/>
      <c r="C1118" s="499"/>
      <c r="D1118" s="513"/>
      <c r="E1118" s="499"/>
      <c r="F1118" s="381"/>
      <c r="G1118" s="141"/>
      <c r="H1118" s="122"/>
      <c r="I1118" s="141"/>
      <c r="J1118" s="141"/>
      <c r="K1118" s="10"/>
      <c r="L1118" s="10"/>
      <c r="M1118"/>
      <c r="N1118"/>
    </row>
    <row r="1119" spans="1:14" s="146" customFormat="1" ht="18" x14ac:dyDescent="0.25">
      <c r="A1119" s="499"/>
      <c r="B1119" s="499"/>
      <c r="C1119" s="499"/>
      <c r="D1119" s="513"/>
      <c r="E1119" s="499"/>
      <c r="F1119" s="381"/>
      <c r="G1119" s="141"/>
      <c r="H1119" s="122"/>
      <c r="I1119" s="141"/>
      <c r="J1119" s="141"/>
      <c r="K1119" s="10"/>
      <c r="L1119" s="10"/>
      <c r="M1119"/>
      <c r="N1119"/>
    </row>
    <row r="1120" spans="1:14" s="146" customFormat="1" ht="18" x14ac:dyDescent="0.25">
      <c r="A1120" s="499"/>
      <c r="B1120" s="499"/>
      <c r="C1120" s="499"/>
      <c r="D1120" s="513"/>
      <c r="E1120" s="499"/>
      <c r="F1120" s="381"/>
      <c r="G1120" s="141"/>
      <c r="H1120" s="122"/>
      <c r="I1120" s="141"/>
      <c r="J1120" s="141"/>
      <c r="K1120" s="10"/>
      <c r="L1120" s="10"/>
      <c r="M1120"/>
      <c r="N1120"/>
    </row>
    <row r="1121" spans="1:14" s="146" customFormat="1" ht="18" x14ac:dyDescent="0.25">
      <c r="A1121" s="499"/>
      <c r="B1121" s="499"/>
      <c r="C1121" s="499"/>
      <c r="D1121" s="513"/>
      <c r="E1121" s="499"/>
      <c r="F1121" s="381"/>
      <c r="G1121" s="141"/>
      <c r="H1121" s="122"/>
      <c r="I1121" s="141"/>
      <c r="J1121" s="141"/>
      <c r="K1121" s="10"/>
      <c r="L1121" s="10"/>
      <c r="M1121"/>
      <c r="N1121"/>
    </row>
    <row r="1122" spans="1:14" s="146" customFormat="1" ht="18" x14ac:dyDescent="0.25">
      <c r="A1122" s="499"/>
      <c r="B1122" s="499"/>
      <c r="C1122" s="499"/>
      <c r="D1122" s="513"/>
      <c r="E1122" s="499"/>
      <c r="F1122" s="381"/>
      <c r="G1122" s="141"/>
      <c r="H1122" s="122"/>
      <c r="I1122" s="141"/>
      <c r="J1122" s="141"/>
      <c r="K1122" s="10"/>
      <c r="L1122" s="10"/>
      <c r="M1122"/>
      <c r="N1122"/>
    </row>
    <row r="1123" spans="1:14" s="146" customFormat="1" ht="18" x14ac:dyDescent="0.25">
      <c r="A1123" s="499"/>
      <c r="B1123" s="499"/>
      <c r="C1123" s="499"/>
      <c r="D1123" s="513"/>
      <c r="E1123" s="499"/>
      <c r="F1123" s="381"/>
      <c r="G1123" s="141"/>
      <c r="H1123" s="122"/>
      <c r="I1123" s="141"/>
      <c r="J1123" s="141"/>
      <c r="K1123" s="10"/>
      <c r="L1123" s="10"/>
      <c r="M1123"/>
      <c r="N1123"/>
    </row>
    <row r="1124" spans="1:14" s="146" customFormat="1" ht="18" x14ac:dyDescent="0.25">
      <c r="A1124" s="499"/>
      <c r="B1124" s="499"/>
      <c r="C1124" s="499"/>
      <c r="D1124" s="513"/>
      <c r="E1124" s="499"/>
      <c r="F1124" s="381"/>
      <c r="G1124" s="141"/>
      <c r="H1124" s="122"/>
      <c r="I1124" s="141"/>
      <c r="J1124" s="141"/>
      <c r="K1124" s="10"/>
      <c r="L1124" s="10"/>
      <c r="M1124"/>
      <c r="N1124"/>
    </row>
    <row r="1125" spans="1:14" s="146" customFormat="1" ht="18" x14ac:dyDescent="0.25">
      <c r="A1125" s="499"/>
      <c r="B1125" s="499"/>
      <c r="C1125" s="499"/>
      <c r="D1125" s="513"/>
      <c r="E1125" s="499"/>
      <c r="F1125" s="381"/>
      <c r="G1125" s="141"/>
      <c r="H1125" s="122"/>
      <c r="I1125" s="141"/>
      <c r="J1125" s="141"/>
      <c r="K1125" s="10"/>
      <c r="L1125" s="10"/>
      <c r="M1125"/>
      <c r="N1125"/>
    </row>
    <row r="1126" spans="1:14" s="146" customFormat="1" ht="18" x14ac:dyDescent="0.25">
      <c r="A1126" s="499"/>
      <c r="B1126" s="499"/>
      <c r="C1126" s="499"/>
      <c r="D1126" s="513"/>
      <c r="E1126" s="499"/>
      <c r="F1126" s="381"/>
      <c r="G1126" s="141"/>
      <c r="H1126" s="122"/>
      <c r="I1126" s="141"/>
      <c r="J1126" s="141"/>
      <c r="K1126" s="10"/>
      <c r="L1126" s="10"/>
      <c r="M1126"/>
      <c r="N1126"/>
    </row>
    <row r="1127" spans="1:14" s="146" customFormat="1" ht="18" x14ac:dyDescent="0.25">
      <c r="A1127" s="499"/>
      <c r="B1127" s="499"/>
      <c r="C1127" s="499"/>
      <c r="D1127" s="513"/>
      <c r="E1127" s="499"/>
      <c r="F1127" s="381"/>
      <c r="G1127" s="141"/>
      <c r="H1127" s="122"/>
      <c r="I1127" s="141"/>
      <c r="J1127" s="141"/>
      <c r="K1127" s="10"/>
      <c r="L1127" s="10"/>
      <c r="M1127"/>
      <c r="N1127"/>
    </row>
    <row r="1128" spans="1:14" ht="18" customHeight="1" x14ac:dyDescent="0.25">
      <c r="A1128" s="8" t="s">
        <v>112</v>
      </c>
    </row>
    <row r="1129" spans="1:14" ht="18" customHeight="1" x14ac:dyDescent="0.25">
      <c r="A1129" s="8" t="s">
        <v>1174</v>
      </c>
    </row>
    <row r="1130" spans="1:14" ht="18" customHeight="1" x14ac:dyDescent="0.25"/>
    <row r="1131" spans="1:14" ht="18" customHeight="1" x14ac:dyDescent="0.25">
      <c r="A1131" s="1636" t="s">
        <v>113</v>
      </c>
      <c r="B1131" s="1636"/>
      <c r="C1131" s="1636"/>
      <c r="D1131" s="1636"/>
      <c r="E1131" s="1636"/>
      <c r="F1131" s="1636"/>
      <c r="G1131" s="1636"/>
      <c r="H1131" s="1636"/>
      <c r="I1131" s="1636"/>
      <c r="J1131" s="1636"/>
    </row>
    <row r="1132" spans="1:14" s="7" customFormat="1" ht="18" customHeight="1" x14ac:dyDescent="0.25">
      <c r="A1132" s="1624" t="s">
        <v>114</v>
      </c>
      <c r="B1132" s="1624"/>
      <c r="C1132" s="1624"/>
      <c r="D1132" s="1624"/>
      <c r="E1132" s="1624"/>
      <c r="F1132" s="1624"/>
      <c r="G1132" s="1624"/>
      <c r="H1132" s="1624"/>
      <c r="I1132" s="1624"/>
      <c r="J1132" s="1624"/>
      <c r="K1132" s="6"/>
      <c r="L1132" s="6"/>
    </row>
    <row r="1133" spans="1:14" ht="15" customHeight="1" x14ac:dyDescent="0.25">
      <c r="D1133" s="44"/>
      <c r="E1133" s="125"/>
      <c r="F1133" s="380"/>
      <c r="G1133" s="160"/>
      <c r="H1133" s="161"/>
      <c r="I1133" s="160"/>
      <c r="J1133" s="160"/>
    </row>
    <row r="1134" spans="1:14" ht="18" customHeight="1" thickBot="1" x14ac:dyDescent="0.3">
      <c r="A1134" s="1" t="s">
        <v>1261</v>
      </c>
      <c r="B1134" s="1"/>
      <c r="C1134" s="1"/>
      <c r="D1134" s="44"/>
      <c r="E1134" s="125"/>
      <c r="F1134" s="380"/>
      <c r="G1134" s="160"/>
      <c r="H1134" s="161"/>
      <c r="I1134" s="160"/>
      <c r="J1134" s="453"/>
    </row>
    <row r="1135" spans="1:14" s="146" customFormat="1" ht="63" customHeight="1" thickBot="1" x14ac:dyDescent="0.3">
      <c r="A1135" s="1655" t="s">
        <v>115</v>
      </c>
      <c r="B1135" s="1655"/>
      <c r="C1135" s="1655"/>
      <c r="D1135" s="1655"/>
      <c r="E1135" s="1655"/>
      <c r="F1135" s="93" t="s">
        <v>116</v>
      </c>
      <c r="G1135" s="130" t="s">
        <v>117</v>
      </c>
      <c r="H1135" s="130" t="s">
        <v>118</v>
      </c>
      <c r="I1135" s="130" t="s">
        <v>119</v>
      </c>
      <c r="J1135" s="130" t="s">
        <v>120</v>
      </c>
      <c r="K1135" s="10"/>
      <c r="L1135" s="10"/>
      <c r="M1135"/>
      <c r="N1135"/>
    </row>
    <row r="1136" spans="1:14" s="146" customFormat="1" ht="18" x14ac:dyDescent="0.25">
      <c r="A1136" s="1670" t="s">
        <v>121</v>
      </c>
      <c r="B1136" s="1670"/>
      <c r="C1136" s="1670"/>
      <c r="D1136" s="1670"/>
      <c r="E1136" s="1670"/>
      <c r="F1136" s="454"/>
      <c r="G1136" s="209"/>
      <c r="H1136" s="210"/>
      <c r="I1136" s="209"/>
      <c r="J1136" s="209"/>
      <c r="K1136" s="10"/>
      <c r="L1136" s="10"/>
      <c r="M1136"/>
      <c r="N1136"/>
    </row>
    <row r="1137" spans="1:14" s="146" customFormat="1" ht="18" x14ac:dyDescent="0.25">
      <c r="A1137" s="495"/>
      <c r="B1137" s="496"/>
      <c r="C1137" s="496"/>
      <c r="D1137" s="1621" t="s">
        <v>122</v>
      </c>
      <c r="E1137" s="1666"/>
      <c r="F1137" s="376"/>
      <c r="G1137" s="101"/>
      <c r="H1137" s="102"/>
      <c r="I1137" s="101"/>
      <c r="J1137" s="101"/>
      <c r="K1137" s="10"/>
      <c r="L1137" s="10"/>
      <c r="M1137"/>
      <c r="N1137"/>
    </row>
    <row r="1138" spans="1:14" s="146" customFormat="1" ht="18" x14ac:dyDescent="0.25">
      <c r="A1138" s="519"/>
      <c r="B1138" s="499" t="s">
        <v>123</v>
      </c>
      <c r="C1138" s="502" t="s">
        <v>1388</v>
      </c>
      <c r="D1138" s="1602" t="s">
        <v>124</v>
      </c>
      <c r="E1138" s="1603"/>
      <c r="F1138" s="100" t="s">
        <v>125</v>
      </c>
      <c r="G1138" s="101">
        <v>2065820.82</v>
      </c>
      <c r="H1138" s="102">
        <v>2925708</v>
      </c>
      <c r="I1138" s="101">
        <v>1282836.69</v>
      </c>
      <c r="J1138" s="101">
        <v>3171624</v>
      </c>
      <c r="K1138" s="10"/>
      <c r="L1138" s="10"/>
      <c r="M1138"/>
      <c r="N1138"/>
    </row>
    <row r="1139" spans="1:14" s="146" customFormat="1" ht="18" x14ac:dyDescent="0.25">
      <c r="A1139" s="519"/>
      <c r="B1139" s="499" t="s">
        <v>123</v>
      </c>
      <c r="C1139" s="502" t="s">
        <v>1388</v>
      </c>
      <c r="D1139" s="1602" t="s">
        <v>126</v>
      </c>
      <c r="E1139" s="1603"/>
      <c r="F1139" s="100" t="s">
        <v>127</v>
      </c>
      <c r="G1139" s="101">
        <v>587673.22</v>
      </c>
      <c r="H1139" s="102">
        <v>749880</v>
      </c>
      <c r="I1139" s="101">
        <v>273088.09999999998</v>
      </c>
      <c r="J1139" s="101">
        <v>813600</v>
      </c>
      <c r="K1139" s="10"/>
      <c r="L1139" s="10"/>
      <c r="M1139"/>
      <c r="N1139"/>
    </row>
    <row r="1140" spans="1:14" s="146" customFormat="1" ht="15" customHeight="1" x14ac:dyDescent="0.25">
      <c r="A1140" s="519"/>
      <c r="B1140" s="499" t="s">
        <v>123</v>
      </c>
      <c r="C1140" s="502" t="s">
        <v>1388</v>
      </c>
      <c r="D1140" s="513" t="s">
        <v>128</v>
      </c>
      <c r="E1140" s="499"/>
      <c r="F1140" s="100" t="s">
        <v>125</v>
      </c>
      <c r="G1140" s="101"/>
      <c r="H1140" s="102">
        <v>2009</v>
      </c>
      <c r="I1140" s="101"/>
      <c r="J1140" s="101">
        <v>2513.38</v>
      </c>
      <c r="K1140" s="10"/>
      <c r="L1140" s="10"/>
      <c r="M1140"/>
      <c r="N1140"/>
    </row>
    <row r="1141" spans="1:14" s="146" customFormat="1" ht="18" x14ac:dyDescent="0.25">
      <c r="A1141" s="519"/>
      <c r="B1141" s="499" t="s">
        <v>123</v>
      </c>
      <c r="C1141" s="502" t="s">
        <v>1388</v>
      </c>
      <c r="D1141" s="1602" t="s">
        <v>129</v>
      </c>
      <c r="E1141" s="1603"/>
      <c r="F1141" s="103" t="s">
        <v>130</v>
      </c>
      <c r="G1141" s="101">
        <v>395727.31</v>
      </c>
      <c r="H1141" s="102">
        <v>576000</v>
      </c>
      <c r="I1141" s="101">
        <v>241909.09</v>
      </c>
      <c r="J1141" s="101">
        <v>576000</v>
      </c>
      <c r="K1141" s="10"/>
      <c r="L1141" s="10"/>
      <c r="M1141"/>
      <c r="N1141"/>
    </row>
    <row r="1142" spans="1:14" s="146" customFormat="1" ht="18" x14ac:dyDescent="0.25">
      <c r="A1142" s="519"/>
      <c r="B1142" s="499" t="s">
        <v>123</v>
      </c>
      <c r="C1142" s="502" t="s">
        <v>1388</v>
      </c>
      <c r="D1142" s="1602" t="s">
        <v>135</v>
      </c>
      <c r="E1142" s="1603"/>
      <c r="F1142" s="100" t="s">
        <v>136</v>
      </c>
      <c r="G1142" s="101">
        <v>244412.07</v>
      </c>
      <c r="H1142" s="102">
        <v>606092.16</v>
      </c>
      <c r="I1142" s="101">
        <v>172549.97</v>
      </c>
      <c r="J1142" s="101">
        <v>1336195.2</v>
      </c>
      <c r="K1142" s="10"/>
      <c r="L1142" s="10"/>
      <c r="M1142"/>
      <c r="N1142"/>
    </row>
    <row r="1143" spans="1:14" s="146" customFormat="1" ht="18" x14ac:dyDescent="0.25">
      <c r="A1143" s="519"/>
      <c r="B1143" s="499" t="s">
        <v>123</v>
      </c>
      <c r="C1143" s="502" t="s">
        <v>1388</v>
      </c>
      <c r="D1143" s="1602" t="s">
        <v>137</v>
      </c>
      <c r="E1143" s="1603"/>
      <c r="F1143" s="100" t="s">
        <v>138</v>
      </c>
      <c r="G1143" s="101">
        <v>84000</v>
      </c>
      <c r="H1143" s="102">
        <v>144000</v>
      </c>
      <c r="I1143" s="101">
        <v>108000</v>
      </c>
      <c r="J1143" s="101">
        <v>144000</v>
      </c>
      <c r="K1143" s="10"/>
      <c r="L1143" s="10"/>
      <c r="M1143"/>
      <c r="N1143"/>
    </row>
    <row r="1144" spans="1:14" s="146" customFormat="1" ht="18" customHeight="1" x14ac:dyDescent="0.25">
      <c r="A1144" s="519"/>
      <c r="B1144" s="499" t="s">
        <v>123</v>
      </c>
      <c r="C1144" s="502" t="s">
        <v>1388</v>
      </c>
      <c r="D1144" s="1602" t="s">
        <v>139</v>
      </c>
      <c r="E1144" s="1603"/>
      <c r="F1144" s="100" t="s">
        <v>140</v>
      </c>
      <c r="G1144" s="101">
        <v>213863</v>
      </c>
      <c r="H1144" s="102">
        <v>306425</v>
      </c>
      <c r="I1144" s="101">
        <v>233314</v>
      </c>
      <c r="J1144" s="101">
        <v>332297</v>
      </c>
      <c r="K1144" s="10"/>
      <c r="L1144" s="10"/>
      <c r="M1144"/>
      <c r="N1144"/>
    </row>
    <row r="1145" spans="1:14" s="146" customFormat="1" ht="18" x14ac:dyDescent="0.25">
      <c r="A1145" s="519"/>
      <c r="B1145" s="499" t="s">
        <v>123</v>
      </c>
      <c r="C1145" s="502" t="s">
        <v>1388</v>
      </c>
      <c r="D1145" s="1602" t="s">
        <v>141</v>
      </c>
      <c r="E1145" s="1603"/>
      <c r="F1145" s="100" t="s">
        <v>142</v>
      </c>
      <c r="G1145" s="101">
        <v>214025</v>
      </c>
      <c r="H1145" s="102">
        <v>306425</v>
      </c>
      <c r="I1145" s="101"/>
      <c r="J1145" s="101">
        <v>332384</v>
      </c>
      <c r="K1145" s="10"/>
      <c r="L1145" s="10"/>
      <c r="M1145"/>
      <c r="N1145"/>
    </row>
    <row r="1146" spans="1:14" s="146" customFormat="1" ht="18" x14ac:dyDescent="0.25">
      <c r="A1146" s="519"/>
      <c r="B1146" s="499" t="s">
        <v>123</v>
      </c>
      <c r="C1146" s="502" t="s">
        <v>1388</v>
      </c>
      <c r="D1146" s="1602" t="s">
        <v>143</v>
      </c>
      <c r="E1146" s="1603"/>
      <c r="F1146" s="100" t="s">
        <v>144</v>
      </c>
      <c r="G1146" s="101">
        <v>90000</v>
      </c>
      <c r="H1146" s="102">
        <v>120000</v>
      </c>
      <c r="I1146" s="101"/>
      <c r="J1146" s="101">
        <v>120000</v>
      </c>
      <c r="K1146" s="10"/>
      <c r="L1146" s="10"/>
      <c r="M1146"/>
      <c r="N1146"/>
    </row>
    <row r="1147" spans="1:14" s="146" customFormat="1" ht="18" x14ac:dyDescent="0.25">
      <c r="A1147" s="519"/>
      <c r="B1147" s="499" t="s">
        <v>123</v>
      </c>
      <c r="C1147" s="502" t="s">
        <v>1388</v>
      </c>
      <c r="D1147" s="1602" t="s">
        <v>145</v>
      </c>
      <c r="E1147" s="1603"/>
      <c r="F1147" s="100" t="s">
        <v>146</v>
      </c>
      <c r="G1147" s="101">
        <v>90000</v>
      </c>
      <c r="H1147" s="102">
        <v>120000</v>
      </c>
      <c r="I1147" s="101"/>
      <c r="J1147" s="101">
        <v>120000</v>
      </c>
      <c r="K1147" s="10"/>
      <c r="L1147" s="10"/>
      <c r="M1147"/>
      <c r="N1147"/>
    </row>
    <row r="1148" spans="1:14" s="146" customFormat="1" ht="18" x14ac:dyDescent="0.25">
      <c r="A1148" s="519"/>
      <c r="B1148" s="499" t="s">
        <v>123</v>
      </c>
      <c r="C1148" s="502" t="s">
        <v>1388</v>
      </c>
      <c r="D1148" s="513" t="s">
        <v>149</v>
      </c>
      <c r="E1148" s="499"/>
      <c r="F1148" s="100" t="s">
        <v>150</v>
      </c>
      <c r="G1148" s="101">
        <v>232312.5</v>
      </c>
      <c r="H1148" s="102">
        <v>0</v>
      </c>
      <c r="I1148" s="101"/>
      <c r="J1148" s="101"/>
      <c r="K1148" s="10"/>
      <c r="L1148" s="10"/>
      <c r="M1148"/>
      <c r="N1148"/>
    </row>
    <row r="1149" spans="1:14" s="146" customFormat="1" ht="18" x14ac:dyDescent="0.25">
      <c r="A1149" s="519"/>
      <c r="B1149" s="499" t="s">
        <v>123</v>
      </c>
      <c r="C1149" s="502" t="s">
        <v>1388</v>
      </c>
      <c r="D1149" s="1602" t="s">
        <v>151</v>
      </c>
      <c r="E1149" s="1603"/>
      <c r="F1149" s="100" t="s">
        <v>148</v>
      </c>
      <c r="G1149" s="101">
        <v>180000</v>
      </c>
      <c r="H1149" s="102"/>
      <c r="I1149" s="101"/>
      <c r="J1149" s="101"/>
      <c r="K1149" s="10"/>
      <c r="L1149" s="10"/>
      <c r="M1149"/>
      <c r="N1149"/>
    </row>
    <row r="1150" spans="1:14" s="146" customFormat="1" ht="18" x14ac:dyDescent="0.25">
      <c r="A1150" s="519"/>
      <c r="B1150" s="499" t="s">
        <v>123</v>
      </c>
      <c r="C1150" s="502" t="s">
        <v>1388</v>
      </c>
      <c r="D1150" s="513" t="s">
        <v>231</v>
      </c>
      <c r="E1150" s="499"/>
      <c r="F1150" s="100" t="s">
        <v>232</v>
      </c>
      <c r="G1150" s="101"/>
      <c r="H1150" s="102">
        <v>10000</v>
      </c>
      <c r="I1150" s="101"/>
      <c r="J1150" s="101">
        <v>5000</v>
      </c>
      <c r="K1150" s="10"/>
      <c r="L1150" s="10"/>
      <c r="M1150"/>
      <c r="N1150"/>
    </row>
    <row r="1151" spans="1:14" s="146" customFormat="1" ht="18" x14ac:dyDescent="0.25">
      <c r="A1151" s="519"/>
      <c r="B1151" s="499" t="s">
        <v>123</v>
      </c>
      <c r="C1151" s="502" t="s">
        <v>1388</v>
      </c>
      <c r="D1151" s="536" t="s">
        <v>147</v>
      </c>
      <c r="E1151" s="499"/>
      <c r="F1151" s="100" t="s">
        <v>148</v>
      </c>
      <c r="G1151" s="101"/>
      <c r="H1151" s="102"/>
      <c r="I1151" s="101"/>
      <c r="J1151" s="101">
        <v>72000</v>
      </c>
      <c r="K1151" s="10"/>
      <c r="L1151" s="10"/>
      <c r="M1151"/>
      <c r="N1151"/>
    </row>
    <row r="1152" spans="1:14" s="146" customFormat="1" ht="18" customHeight="1" x14ac:dyDescent="0.25">
      <c r="A1152" s="519"/>
      <c r="B1152" s="499" t="s">
        <v>123</v>
      </c>
      <c r="C1152" s="502" t="s">
        <v>1388</v>
      </c>
      <c r="D1152" s="1611" t="s">
        <v>152</v>
      </c>
      <c r="E1152" s="1611"/>
      <c r="F1152" s="100"/>
      <c r="G1152" s="101"/>
      <c r="H1152" s="102">
        <v>205766.2</v>
      </c>
      <c r="I1152" s="101"/>
      <c r="J1152" s="101"/>
      <c r="K1152" s="10"/>
      <c r="L1152" s="10"/>
      <c r="M1152"/>
      <c r="N1152"/>
    </row>
    <row r="1153" spans="1:14" s="146" customFormat="1" ht="18" x14ac:dyDescent="0.25">
      <c r="A1153" s="519"/>
      <c r="B1153" s="499" t="s">
        <v>123</v>
      </c>
      <c r="C1153" s="502" t="s">
        <v>1388</v>
      </c>
      <c r="D1153" s="1602" t="s">
        <v>153</v>
      </c>
      <c r="E1153" s="1603"/>
      <c r="F1153" s="100" t="s">
        <v>154</v>
      </c>
      <c r="G1153" s="101">
        <v>286241.37</v>
      </c>
      <c r="H1153" s="102">
        <v>441311.64</v>
      </c>
      <c r="I1153" s="101">
        <v>184897.96</v>
      </c>
      <c r="J1153" s="101">
        <v>478528.48</v>
      </c>
      <c r="K1153" s="10"/>
      <c r="L1153" s="10"/>
      <c r="M1153"/>
      <c r="N1153"/>
    </row>
    <row r="1154" spans="1:14" s="146" customFormat="1" ht="18" x14ac:dyDescent="0.25">
      <c r="A1154" s="519"/>
      <c r="B1154" s="499" t="s">
        <v>123</v>
      </c>
      <c r="C1154" s="502" t="s">
        <v>1388</v>
      </c>
      <c r="D1154" s="1602" t="s">
        <v>155</v>
      </c>
      <c r="E1154" s="1603"/>
      <c r="F1154" s="100" t="s">
        <v>156</v>
      </c>
      <c r="G1154" s="101">
        <v>19600</v>
      </c>
      <c r="H1154" s="102">
        <v>28800</v>
      </c>
      <c r="I1154" s="101">
        <v>15005.92</v>
      </c>
      <c r="J1154" s="101">
        <v>28800</v>
      </c>
      <c r="K1154" s="10"/>
      <c r="L1154" s="10"/>
      <c r="M1154"/>
      <c r="N1154"/>
    </row>
    <row r="1155" spans="1:14" s="146" customFormat="1" ht="18" x14ac:dyDescent="0.25">
      <c r="A1155" s="519"/>
      <c r="B1155" s="499" t="s">
        <v>123</v>
      </c>
      <c r="C1155" s="502" t="s">
        <v>1388</v>
      </c>
      <c r="D1155" s="1602" t="s">
        <v>157</v>
      </c>
      <c r="E1155" s="1603"/>
      <c r="F1155" s="100" t="s">
        <v>158</v>
      </c>
      <c r="G1155" s="101">
        <v>35484.800000000003</v>
      </c>
      <c r="H1155" s="102">
        <v>64357.95</v>
      </c>
      <c r="I1155" s="101">
        <v>23869.67</v>
      </c>
      <c r="J1155" s="101">
        <v>159880.53</v>
      </c>
      <c r="K1155" s="10"/>
      <c r="L1155" s="10"/>
      <c r="M1155"/>
      <c r="N1155"/>
    </row>
    <row r="1156" spans="1:14" s="146" customFormat="1" ht="18" x14ac:dyDescent="0.25">
      <c r="A1156" s="519"/>
      <c r="B1156" s="499" t="s">
        <v>123</v>
      </c>
      <c r="C1156" s="502" t="s">
        <v>1388</v>
      </c>
      <c r="D1156" s="1602" t="s">
        <v>159</v>
      </c>
      <c r="E1156" s="1603"/>
      <c r="F1156" s="100" t="s">
        <v>160</v>
      </c>
      <c r="G1156" s="105">
        <v>19604.32</v>
      </c>
      <c r="H1156" s="106">
        <v>28800</v>
      </c>
      <c r="I1156" s="105">
        <v>12400</v>
      </c>
      <c r="J1156" s="105">
        <v>28800</v>
      </c>
      <c r="K1156" s="10"/>
      <c r="L1156" s="10"/>
      <c r="M1156"/>
      <c r="N1156"/>
    </row>
    <row r="1157" spans="1:14" s="146" customFormat="1" ht="18" x14ac:dyDescent="0.25">
      <c r="A1157" s="519"/>
      <c r="B1157" s="499"/>
      <c r="C1157" s="499"/>
      <c r="D1157" s="1621" t="s">
        <v>161</v>
      </c>
      <c r="E1157" s="1666"/>
      <c r="F1157" s="376"/>
      <c r="G1157" s="119">
        <f>SUM(G1138:G1156)</f>
        <v>4758764.41</v>
      </c>
      <c r="H1157" s="150">
        <f>SUM(H1138:H1156)</f>
        <v>6635574.9500000002</v>
      </c>
      <c r="I1157" s="119">
        <f>SUM(I1138:I1156)</f>
        <v>2547871.4</v>
      </c>
      <c r="J1157" s="119">
        <f>SUM(J1138:J1156)</f>
        <v>7721622.5900000008</v>
      </c>
      <c r="K1157" s="10"/>
      <c r="L1157" s="10"/>
      <c r="M1157"/>
      <c r="N1157"/>
    </row>
    <row r="1158" spans="1:14" s="146" customFormat="1" ht="18" x14ac:dyDescent="0.25">
      <c r="A1158" s="519"/>
      <c r="B1158" s="499"/>
      <c r="C1158" s="499"/>
      <c r="D1158" s="496"/>
      <c r="E1158" s="493"/>
      <c r="F1158" s="376"/>
      <c r="G1158" s="155"/>
      <c r="H1158" s="156"/>
      <c r="I1158" s="155"/>
      <c r="J1158" s="155"/>
      <c r="K1158" s="10"/>
      <c r="L1158" s="10"/>
      <c r="M1158"/>
      <c r="N1158"/>
    </row>
    <row r="1159" spans="1:14" s="146" customFormat="1" ht="18" x14ac:dyDescent="0.25">
      <c r="A1159" s="495"/>
      <c r="B1159" s="496"/>
      <c r="C1159" s="496"/>
      <c r="D1159" s="1621" t="s">
        <v>162</v>
      </c>
      <c r="E1159" s="1666"/>
      <c r="F1159" s="376"/>
      <c r="G1159" s="101"/>
      <c r="H1159" s="102"/>
      <c r="I1159" s="101"/>
      <c r="J1159" s="101"/>
      <c r="K1159" s="10"/>
      <c r="L1159" s="10"/>
      <c r="M1159"/>
      <c r="N1159"/>
    </row>
    <row r="1160" spans="1:14" s="229" customFormat="1" ht="18" customHeight="1" x14ac:dyDescent="0.25">
      <c r="A1160" s="154"/>
      <c r="B1160" s="499" t="s">
        <v>163</v>
      </c>
      <c r="C1160" s="502" t="s">
        <v>1388</v>
      </c>
      <c r="D1160" s="44" t="s">
        <v>168</v>
      </c>
      <c r="E1160" s="125"/>
      <c r="F1160" s="100" t="s">
        <v>169</v>
      </c>
      <c r="G1160" s="101">
        <v>73940</v>
      </c>
      <c r="H1160" s="102">
        <v>92706</v>
      </c>
      <c r="I1160" s="101">
        <v>48916.5</v>
      </c>
      <c r="J1160" s="101">
        <v>96656</v>
      </c>
      <c r="K1160" s="207"/>
      <c r="L1160" s="207"/>
      <c r="M1160" s="212"/>
      <c r="N1160" s="212"/>
    </row>
    <row r="1161" spans="1:14" s="229" customFormat="1" ht="18" customHeight="1" x14ac:dyDescent="0.25">
      <c r="A1161" s="154"/>
      <c r="B1161" s="499" t="s">
        <v>163</v>
      </c>
      <c r="C1161" s="502" t="s">
        <v>1388</v>
      </c>
      <c r="D1161" s="44" t="s">
        <v>172</v>
      </c>
      <c r="E1161" s="125"/>
      <c r="F1161" s="100" t="s">
        <v>173</v>
      </c>
      <c r="G1161" s="101">
        <v>781124.36</v>
      </c>
      <c r="H1161" s="102">
        <v>1525050</v>
      </c>
      <c r="I1161" s="101">
        <v>312132.07</v>
      </c>
      <c r="J1161" s="101">
        <v>1503330</v>
      </c>
      <c r="K1161" s="207"/>
      <c r="L1161" s="207"/>
      <c r="M1161" s="212"/>
      <c r="N1161" s="212"/>
    </row>
    <row r="1162" spans="1:14" s="229" customFormat="1" ht="18" customHeight="1" x14ac:dyDescent="0.25">
      <c r="A1162" s="154"/>
      <c r="B1162" s="499" t="s">
        <v>163</v>
      </c>
      <c r="C1162" s="502" t="s">
        <v>1388</v>
      </c>
      <c r="D1162" s="44" t="s">
        <v>170</v>
      </c>
      <c r="E1162" s="125"/>
      <c r="F1162" s="100" t="s">
        <v>171</v>
      </c>
      <c r="G1162" s="101"/>
      <c r="H1162" s="102"/>
      <c r="I1162" s="101"/>
      <c r="J1162" s="101">
        <f>1962843+2077629.21-8800</f>
        <v>4031672.21</v>
      </c>
      <c r="K1162" s="207">
        <f>2119431.45+10097.76</f>
        <v>2129529.21</v>
      </c>
      <c r="L1162" s="207"/>
      <c r="M1162" s="212"/>
      <c r="N1162" s="212"/>
    </row>
    <row r="1163" spans="1:14" s="229" customFormat="1" ht="18" customHeight="1" x14ac:dyDescent="0.25">
      <c r="A1163" s="154"/>
      <c r="B1163" s="499" t="s">
        <v>163</v>
      </c>
      <c r="C1163" s="502" t="s">
        <v>1388</v>
      </c>
      <c r="D1163" s="44" t="s">
        <v>1262</v>
      </c>
      <c r="E1163" s="125"/>
      <c r="F1163" s="100" t="s">
        <v>171</v>
      </c>
      <c r="G1163" s="101">
        <v>0</v>
      </c>
      <c r="H1163" s="102">
        <v>589392.97</v>
      </c>
      <c r="I1163" s="101"/>
      <c r="J1163" s="101"/>
      <c r="K1163" s="207">
        <f>K1162-51900</f>
        <v>2077629.21</v>
      </c>
      <c r="L1163" s="207"/>
      <c r="M1163" s="212"/>
      <c r="N1163" s="212"/>
    </row>
    <row r="1164" spans="1:14" s="229" customFormat="1" ht="18" customHeight="1" x14ac:dyDescent="0.25">
      <c r="A1164" s="154"/>
      <c r="B1164" s="499" t="s">
        <v>163</v>
      </c>
      <c r="C1164" s="502" t="s">
        <v>1388</v>
      </c>
      <c r="D1164" s="44" t="s">
        <v>1263</v>
      </c>
      <c r="E1164" s="125"/>
      <c r="F1164" s="100" t="s">
        <v>171</v>
      </c>
      <c r="G1164" s="101">
        <v>0</v>
      </c>
      <c r="H1164" s="102">
        <v>64000</v>
      </c>
      <c r="I1164" s="101"/>
      <c r="J1164" s="101"/>
      <c r="K1164" s="207"/>
      <c r="L1164" s="207"/>
      <c r="M1164" s="212"/>
      <c r="N1164" s="212"/>
    </row>
    <row r="1165" spans="1:14" s="229" customFormat="1" ht="18" customHeight="1" x14ac:dyDescent="0.25">
      <c r="A1165" s="154"/>
      <c r="B1165" s="499" t="s">
        <v>163</v>
      </c>
      <c r="C1165" s="502" t="s">
        <v>1388</v>
      </c>
      <c r="D1165" s="536" t="s">
        <v>1264</v>
      </c>
      <c r="E1165" s="502"/>
      <c r="F1165" s="100" t="s">
        <v>171</v>
      </c>
      <c r="G1165" s="101">
        <v>962500</v>
      </c>
      <c r="H1165" s="102">
        <v>995100</v>
      </c>
      <c r="I1165" s="101"/>
      <c r="J1165" s="101"/>
      <c r="K1165" s="207"/>
      <c r="L1165" s="207"/>
      <c r="M1165" s="212"/>
      <c r="N1165" s="212"/>
    </row>
    <row r="1166" spans="1:14" s="229" customFormat="1" ht="18" customHeight="1" x14ac:dyDescent="0.25">
      <c r="A1166" s="154"/>
      <c r="B1166" s="499" t="s">
        <v>163</v>
      </c>
      <c r="C1166" s="502" t="s">
        <v>1388</v>
      </c>
      <c r="D1166" s="44" t="s">
        <v>174</v>
      </c>
      <c r="E1166" s="125"/>
      <c r="F1166" s="100" t="s">
        <v>171</v>
      </c>
      <c r="G1166" s="101">
        <v>819442</v>
      </c>
      <c r="H1166" s="102">
        <v>330364</v>
      </c>
      <c r="I1166" s="101"/>
      <c r="J1166" s="101"/>
      <c r="K1166" s="207"/>
      <c r="L1166" s="207"/>
      <c r="M1166" s="212"/>
      <c r="N1166" s="212"/>
    </row>
    <row r="1167" spans="1:14" s="229" customFormat="1" ht="18" customHeight="1" x14ac:dyDescent="0.25">
      <c r="A1167" s="154"/>
      <c r="B1167" s="499" t="s">
        <v>163</v>
      </c>
      <c r="C1167" s="502" t="s">
        <v>1388</v>
      </c>
      <c r="D1167" s="44" t="s">
        <v>384</v>
      </c>
      <c r="E1167" s="125"/>
      <c r="F1167" s="100" t="s">
        <v>385</v>
      </c>
      <c r="G1167" s="101">
        <v>1246510.8</v>
      </c>
      <c r="H1167" s="102">
        <v>1500000</v>
      </c>
      <c r="I1167" s="101">
        <v>700334.34</v>
      </c>
      <c r="J1167" s="101">
        <v>1500000</v>
      </c>
      <c r="K1167" s="207"/>
      <c r="L1167" s="207"/>
      <c r="M1167" s="212"/>
      <c r="N1167" s="212"/>
    </row>
    <row r="1168" spans="1:14" s="229" customFormat="1" ht="18" customHeight="1" x14ac:dyDescent="0.25">
      <c r="A1168" s="154"/>
      <c r="B1168" s="499" t="s">
        <v>163</v>
      </c>
      <c r="C1168" s="502" t="s">
        <v>1388</v>
      </c>
      <c r="D1168" s="44" t="s">
        <v>178</v>
      </c>
      <c r="E1168" s="125"/>
      <c r="F1168" s="100"/>
      <c r="G1168" s="101"/>
      <c r="H1168" s="102"/>
      <c r="I1168" s="101"/>
      <c r="J1168" s="101">
        <v>30000</v>
      </c>
      <c r="K1168" s="207"/>
      <c r="L1168" s="207"/>
      <c r="M1168" s="212"/>
      <c r="N1168" s="212"/>
    </row>
    <row r="1169" spans="1:14" s="229" customFormat="1" ht="18" customHeight="1" x14ac:dyDescent="0.25">
      <c r="A1169" s="154"/>
      <c r="B1169" s="499" t="s">
        <v>163</v>
      </c>
      <c r="C1169" s="502" t="s">
        <v>1388</v>
      </c>
      <c r="D1169" s="44" t="s">
        <v>1265</v>
      </c>
      <c r="E1169" s="125"/>
      <c r="F1169" s="100" t="s">
        <v>179</v>
      </c>
      <c r="G1169" s="101">
        <v>24192</v>
      </c>
      <c r="H1169" s="102">
        <v>30000</v>
      </c>
      <c r="I1169" s="101">
        <v>14112</v>
      </c>
      <c r="J1169" s="101"/>
      <c r="K1169" s="207"/>
      <c r="L1169" s="207"/>
      <c r="M1169" s="212"/>
      <c r="N1169" s="212"/>
    </row>
    <row r="1170" spans="1:14" s="229" customFormat="1" ht="18" customHeight="1" x14ac:dyDescent="0.25">
      <c r="A1170" s="154"/>
      <c r="B1170" s="499" t="s">
        <v>163</v>
      </c>
      <c r="C1170" s="502" t="s">
        <v>1388</v>
      </c>
      <c r="D1170" s="44" t="s">
        <v>1266</v>
      </c>
      <c r="E1170" s="125"/>
      <c r="F1170" s="100" t="s">
        <v>308</v>
      </c>
      <c r="G1170" s="101">
        <v>337991</v>
      </c>
      <c r="H1170" s="102">
        <v>2000000</v>
      </c>
      <c r="I1170" s="101">
        <v>231060</v>
      </c>
      <c r="J1170" s="101">
        <v>1000000</v>
      </c>
      <c r="K1170" s="207"/>
      <c r="L1170" s="207"/>
      <c r="M1170" s="212"/>
      <c r="N1170" s="212"/>
    </row>
    <row r="1171" spans="1:14" s="229" customFormat="1" ht="18" customHeight="1" x14ac:dyDescent="0.25">
      <c r="A1171" s="154"/>
      <c r="B1171" s="499" t="s">
        <v>163</v>
      </c>
      <c r="C1171" s="502" t="s">
        <v>1388</v>
      </c>
      <c r="D1171" s="44" t="s">
        <v>186</v>
      </c>
      <c r="E1171" s="125"/>
      <c r="F1171" s="100" t="s">
        <v>187</v>
      </c>
      <c r="G1171" s="101">
        <v>84240</v>
      </c>
      <c r="H1171" s="102">
        <v>100000</v>
      </c>
      <c r="I1171" s="101"/>
      <c r="J1171" s="101">
        <v>100000</v>
      </c>
      <c r="K1171" s="207"/>
      <c r="L1171" s="207"/>
      <c r="M1171" s="212"/>
      <c r="N1171" s="212"/>
    </row>
    <row r="1172" spans="1:14" s="229" customFormat="1" ht="18" customHeight="1" x14ac:dyDescent="0.25">
      <c r="A1172" s="154"/>
      <c r="B1172" s="499" t="s">
        <v>163</v>
      </c>
      <c r="C1172" s="502" t="s">
        <v>1388</v>
      </c>
      <c r="D1172" s="44" t="s">
        <v>1267</v>
      </c>
      <c r="E1172" s="125"/>
      <c r="F1172" s="100" t="s">
        <v>356</v>
      </c>
      <c r="G1172" s="101">
        <v>0</v>
      </c>
      <c r="H1172" s="102">
        <v>185000</v>
      </c>
      <c r="I1172" s="101"/>
      <c r="J1172" s="101">
        <v>100000</v>
      </c>
      <c r="K1172" s="207"/>
      <c r="L1172" s="207"/>
      <c r="M1172" s="212"/>
      <c r="N1172" s="212"/>
    </row>
    <row r="1173" spans="1:14" s="229" customFormat="1" ht="18" customHeight="1" x14ac:dyDescent="0.25">
      <c r="A1173" s="154"/>
      <c r="B1173" s="499" t="s">
        <v>163</v>
      </c>
      <c r="C1173" s="502" t="s">
        <v>1388</v>
      </c>
      <c r="D1173" s="44" t="s">
        <v>1268</v>
      </c>
      <c r="E1173" s="125"/>
      <c r="F1173" s="100" t="s">
        <v>189</v>
      </c>
      <c r="G1173" s="101"/>
      <c r="H1173" s="102">
        <v>234000</v>
      </c>
      <c r="I1173" s="101"/>
      <c r="J1173" s="101">
        <v>200000</v>
      </c>
      <c r="K1173" s="207"/>
      <c r="L1173" s="207"/>
      <c r="M1173" s="212"/>
      <c r="N1173" s="212"/>
    </row>
    <row r="1174" spans="1:14" s="229" customFormat="1" ht="18" customHeight="1" x14ac:dyDescent="0.25">
      <c r="A1174" s="154"/>
      <c r="B1174" s="499" t="s">
        <v>163</v>
      </c>
      <c r="C1174" s="502" t="s">
        <v>1388</v>
      </c>
      <c r="D1174" s="44" t="s">
        <v>198</v>
      </c>
      <c r="E1174" s="125"/>
      <c r="F1174" s="100" t="s">
        <v>199</v>
      </c>
      <c r="G1174" s="105">
        <v>1302470.25</v>
      </c>
      <c r="H1174" s="106">
        <v>1607030</v>
      </c>
      <c r="I1174" s="105">
        <v>587500.54</v>
      </c>
      <c r="J1174" s="105">
        <v>1768634.16</v>
      </c>
      <c r="K1174" s="207"/>
      <c r="L1174" s="207"/>
      <c r="M1174" s="212"/>
      <c r="N1174" s="212"/>
    </row>
    <row r="1175" spans="1:14" s="146" customFormat="1" ht="18" customHeight="1" x14ac:dyDescent="0.25">
      <c r="A1175" s="519"/>
      <c r="B1175" s="499"/>
      <c r="C1175" s="499"/>
      <c r="D1175" s="1621" t="s">
        <v>200</v>
      </c>
      <c r="E1175" s="1666"/>
      <c r="F1175" s="376"/>
      <c r="G1175" s="119">
        <f>SUM(G1160:G1174)</f>
        <v>5632410.4100000001</v>
      </c>
      <c r="H1175" s="150">
        <f>SUM(H1160:H1174)</f>
        <v>9252642.9699999988</v>
      </c>
      <c r="I1175" s="119">
        <f>SUM(I1160:I1174)</f>
        <v>1894055.45</v>
      </c>
      <c r="J1175" s="119">
        <f>SUM(J1160:J1174)</f>
        <v>10330292.370000001</v>
      </c>
      <c r="K1175" s="10"/>
      <c r="L1175" s="10"/>
      <c r="M1175"/>
      <c r="N1175"/>
    </row>
    <row r="1176" spans="1:14" s="146" customFormat="1" ht="18" customHeight="1" x14ac:dyDescent="0.25">
      <c r="A1176" s="519"/>
      <c r="B1176" s="499"/>
      <c r="C1176" s="499"/>
      <c r="D1176" s="496"/>
      <c r="E1176" s="496"/>
      <c r="F1176" s="376"/>
      <c r="G1176" s="155"/>
      <c r="H1176" s="156"/>
      <c r="I1176" s="155"/>
      <c r="J1176" s="155"/>
      <c r="K1176" s="10"/>
      <c r="L1176" s="10"/>
      <c r="M1176"/>
      <c r="N1176"/>
    </row>
    <row r="1177" spans="1:14" s="146" customFormat="1" ht="18" customHeight="1" x14ac:dyDescent="0.25">
      <c r="A1177" s="519"/>
      <c r="B1177" s="499"/>
      <c r="C1177" s="499"/>
      <c r="D1177" s="496"/>
      <c r="E1177" s="496"/>
      <c r="F1177" s="376"/>
      <c r="G1177" s="155"/>
      <c r="H1177" s="156"/>
      <c r="I1177" s="155"/>
      <c r="J1177" s="155"/>
      <c r="K1177" s="10"/>
      <c r="L1177" s="10"/>
      <c r="M1177"/>
      <c r="N1177"/>
    </row>
    <row r="1178" spans="1:14" s="146" customFormat="1" ht="18" customHeight="1" x14ac:dyDescent="0.25">
      <c r="A1178" s="519"/>
      <c r="B1178" s="499"/>
      <c r="C1178" s="499"/>
      <c r="D1178" s="496"/>
      <c r="E1178" s="496"/>
      <c r="F1178" s="376"/>
      <c r="G1178" s="155"/>
      <c r="H1178" s="156"/>
      <c r="I1178" s="155"/>
      <c r="J1178" s="155"/>
      <c r="K1178" s="10"/>
      <c r="L1178" s="10"/>
      <c r="M1178"/>
      <c r="N1178"/>
    </row>
    <row r="1179" spans="1:14" s="146" customFormat="1" ht="18" customHeight="1" x14ac:dyDescent="0.25">
      <c r="A1179" s="519"/>
      <c r="B1179" s="499"/>
      <c r="C1179" s="499"/>
      <c r="D1179" s="496"/>
      <c r="E1179" s="496"/>
      <c r="F1179" s="376"/>
      <c r="G1179" s="155"/>
      <c r="H1179" s="156"/>
      <c r="I1179" s="155"/>
      <c r="J1179" s="155"/>
      <c r="K1179" s="10"/>
      <c r="L1179" s="10"/>
      <c r="M1179"/>
      <c r="N1179"/>
    </row>
    <row r="1180" spans="1:14" s="146" customFormat="1" ht="18" customHeight="1" x14ac:dyDescent="0.25">
      <c r="A1180" s="519"/>
      <c r="B1180" s="499"/>
      <c r="C1180" s="499"/>
      <c r="D1180" s="496"/>
      <c r="E1180" s="496"/>
      <c r="F1180" s="376"/>
      <c r="G1180" s="155"/>
      <c r="H1180" s="156"/>
      <c r="I1180" s="155"/>
      <c r="J1180" s="155"/>
      <c r="K1180" s="10"/>
      <c r="L1180" s="10"/>
      <c r="M1180"/>
      <c r="N1180"/>
    </row>
    <row r="1181" spans="1:14" s="146" customFormat="1" ht="18" customHeight="1" x14ac:dyDescent="0.25">
      <c r="A1181" s="519"/>
      <c r="B1181" s="499"/>
      <c r="C1181" s="499"/>
      <c r="D1181" s="496"/>
      <c r="E1181" s="496"/>
      <c r="F1181" s="376"/>
      <c r="G1181" s="155"/>
      <c r="H1181" s="156"/>
      <c r="I1181" s="155"/>
      <c r="J1181" s="155"/>
      <c r="K1181" s="10"/>
      <c r="L1181" s="10"/>
      <c r="M1181"/>
      <c r="N1181"/>
    </row>
    <row r="1182" spans="1:14" s="146" customFormat="1" ht="18" customHeight="1" x14ac:dyDescent="0.25">
      <c r="A1182" s="519"/>
      <c r="B1182" s="499"/>
      <c r="C1182" s="499"/>
      <c r="D1182" s="496"/>
      <c r="E1182" s="496"/>
      <c r="F1182" s="376"/>
      <c r="G1182" s="155"/>
      <c r="H1182" s="156"/>
      <c r="I1182" s="155"/>
      <c r="J1182" s="155"/>
      <c r="K1182" s="10"/>
      <c r="L1182" s="10"/>
      <c r="M1182"/>
      <c r="N1182"/>
    </row>
    <row r="1183" spans="1:14" s="146" customFormat="1" ht="18" customHeight="1" thickBot="1" x14ac:dyDescent="0.3">
      <c r="A1183" s="187"/>
      <c r="B1183" s="413"/>
      <c r="C1183" s="413"/>
      <c r="D1183" s="498"/>
      <c r="E1183" s="498"/>
      <c r="F1183" s="378"/>
      <c r="G1183" s="182"/>
      <c r="H1183" s="183"/>
      <c r="I1183" s="182"/>
      <c r="J1183" s="182"/>
      <c r="K1183" s="10"/>
      <c r="L1183" s="10"/>
      <c r="M1183"/>
      <c r="N1183"/>
    </row>
    <row r="1184" spans="1:14" s="146" customFormat="1" ht="18" customHeight="1" x14ac:dyDescent="0.25">
      <c r="A1184" s="499"/>
      <c r="B1184" s="499"/>
      <c r="C1184" s="499"/>
      <c r="D1184" s="496"/>
      <c r="E1184" s="496"/>
      <c r="F1184" s="380"/>
      <c r="G1184" s="126"/>
      <c r="H1184" s="127"/>
      <c r="I1184" s="126"/>
      <c r="J1184" s="126"/>
      <c r="K1184" s="10"/>
      <c r="L1184" s="10"/>
      <c r="M1184"/>
      <c r="N1184"/>
    </row>
    <row r="1185" spans="1:14" s="146" customFormat="1" ht="18" customHeight="1" x14ac:dyDescent="0.25">
      <c r="A1185" s="499"/>
      <c r="B1185" s="499"/>
      <c r="C1185" s="499"/>
      <c r="D1185" s="496"/>
      <c r="E1185" s="496"/>
      <c r="F1185" s="380"/>
      <c r="G1185" s="126"/>
      <c r="H1185" s="127"/>
      <c r="I1185" s="126"/>
      <c r="J1185" s="126"/>
      <c r="K1185" s="10"/>
      <c r="L1185" s="10"/>
      <c r="M1185"/>
      <c r="N1185"/>
    </row>
    <row r="1186" spans="1:14" s="146" customFormat="1" ht="18" customHeight="1" x14ac:dyDescent="0.25">
      <c r="A1186" s="499"/>
      <c r="B1186" s="499"/>
      <c r="C1186" s="499"/>
      <c r="D1186" s="496"/>
      <c r="E1186" s="496"/>
      <c r="F1186" s="380"/>
      <c r="G1186" s="126"/>
      <c r="H1186" s="127"/>
      <c r="I1186" s="126"/>
      <c r="J1186" s="126"/>
      <c r="K1186" s="10"/>
      <c r="L1186" s="10"/>
      <c r="M1186"/>
      <c r="N1186"/>
    </row>
    <row r="1187" spans="1:14" s="146" customFormat="1" ht="18" customHeight="1" x14ac:dyDescent="0.25">
      <c r="A1187" s="499"/>
      <c r="B1187" s="499"/>
      <c r="C1187" s="499"/>
      <c r="D1187" s="496"/>
      <c r="E1187" s="496"/>
      <c r="F1187" s="380"/>
      <c r="G1187" s="126"/>
      <c r="H1187" s="127"/>
      <c r="I1187" s="126"/>
      <c r="J1187" s="126"/>
      <c r="K1187" s="10"/>
      <c r="L1187" s="10"/>
      <c r="M1187"/>
      <c r="N1187"/>
    </row>
    <row r="1188" spans="1:14" s="146" customFormat="1" ht="18" customHeight="1" x14ac:dyDescent="0.25">
      <c r="A1188" s="499"/>
      <c r="B1188" s="499"/>
      <c r="C1188" s="499"/>
      <c r="D1188" s="496"/>
      <c r="E1188" s="496"/>
      <c r="F1188" s="380"/>
      <c r="G1188" s="126"/>
      <c r="H1188" s="127"/>
      <c r="I1188" s="126"/>
      <c r="J1188" s="126"/>
      <c r="K1188" s="10"/>
      <c r="L1188" s="10"/>
      <c r="M1188"/>
      <c r="N1188"/>
    </row>
    <row r="1189" spans="1:14" s="146" customFormat="1" ht="18" customHeight="1" x14ac:dyDescent="0.25">
      <c r="A1189" s="499"/>
      <c r="B1189" s="499"/>
      <c r="C1189" s="499"/>
      <c r="D1189" s="496"/>
      <c r="E1189" s="496"/>
      <c r="F1189" s="380"/>
      <c r="G1189" s="126"/>
      <c r="H1189" s="127"/>
      <c r="I1189" s="126"/>
      <c r="J1189" s="126"/>
      <c r="K1189" s="10"/>
      <c r="L1189" s="10"/>
      <c r="M1189"/>
      <c r="N1189"/>
    </row>
    <row r="1190" spans="1:14" s="146" customFormat="1" ht="18" customHeight="1" x14ac:dyDescent="0.25">
      <c r="A1190" s="499"/>
      <c r="B1190" s="499"/>
      <c r="C1190" s="499"/>
      <c r="D1190" s="496"/>
      <c r="E1190" s="496"/>
      <c r="F1190" s="380"/>
      <c r="G1190" s="126"/>
      <c r="H1190" s="127"/>
      <c r="I1190" s="126"/>
      <c r="J1190" s="126"/>
      <c r="K1190" s="10"/>
      <c r="L1190" s="10"/>
      <c r="M1190"/>
      <c r="N1190"/>
    </row>
    <row r="1191" spans="1:14" s="146" customFormat="1" ht="18" customHeight="1" x14ac:dyDescent="0.25">
      <c r="A1191" s="499"/>
      <c r="B1191" s="499"/>
      <c r="C1191" s="499"/>
      <c r="D1191" s="496"/>
      <c r="E1191" s="496"/>
      <c r="F1191" s="380"/>
      <c r="G1191" s="126"/>
      <c r="H1191" s="127"/>
      <c r="I1191" s="126"/>
      <c r="J1191" s="126"/>
      <c r="K1191" s="10"/>
      <c r="L1191" s="10"/>
      <c r="M1191"/>
      <c r="N1191"/>
    </row>
    <row r="1192" spans="1:14" s="146" customFormat="1" ht="18" customHeight="1" x14ac:dyDescent="0.25">
      <c r="A1192" s="499"/>
      <c r="B1192" s="499"/>
      <c r="C1192" s="499"/>
      <c r="D1192" s="496"/>
      <c r="E1192" s="496"/>
      <c r="F1192" s="380"/>
      <c r="G1192" s="126"/>
      <c r="H1192" s="127"/>
      <c r="I1192" s="126"/>
      <c r="J1192" s="126"/>
      <c r="K1192" s="10"/>
      <c r="L1192" s="10"/>
      <c r="M1192"/>
      <c r="N1192"/>
    </row>
    <row r="1193" spans="1:14" s="146" customFormat="1" ht="18" customHeight="1" x14ac:dyDescent="0.25">
      <c r="A1193" s="499"/>
      <c r="B1193" s="499"/>
      <c r="C1193" s="499"/>
      <c r="D1193" s="496"/>
      <c r="E1193" s="496"/>
      <c r="F1193" s="380"/>
      <c r="G1193" s="126"/>
      <c r="H1193" s="127"/>
      <c r="I1193" s="126"/>
      <c r="J1193" s="126"/>
      <c r="K1193" s="10"/>
      <c r="L1193" s="10"/>
      <c r="M1193"/>
      <c r="N1193"/>
    </row>
    <row r="1194" spans="1:14" s="146" customFormat="1" ht="18" customHeight="1" x14ac:dyDescent="0.25">
      <c r="A1194" s="499"/>
      <c r="B1194" s="499"/>
      <c r="C1194" s="499"/>
      <c r="D1194" s="496"/>
      <c r="E1194" s="496"/>
      <c r="F1194" s="380"/>
      <c r="G1194" s="126"/>
      <c r="H1194" s="127"/>
      <c r="I1194" s="126"/>
      <c r="J1194" s="126"/>
      <c r="K1194" s="10"/>
      <c r="L1194" s="10"/>
      <c r="M1194"/>
      <c r="N1194"/>
    </row>
    <row r="1195" spans="1:14" s="146" customFormat="1" ht="18" customHeight="1" x14ac:dyDescent="0.25">
      <c r="A1195" s="499"/>
      <c r="B1195" s="499"/>
      <c r="C1195" s="499"/>
      <c r="D1195" s="496"/>
      <c r="E1195" s="496"/>
      <c r="F1195" s="380"/>
      <c r="G1195" s="126"/>
      <c r="H1195" s="127"/>
      <c r="I1195" s="126"/>
      <c r="J1195" s="126"/>
      <c r="K1195" s="10"/>
      <c r="L1195" s="10"/>
      <c r="M1195"/>
      <c r="N1195"/>
    </row>
    <row r="1196" spans="1:14" ht="18" customHeight="1" x14ac:dyDescent="0.25">
      <c r="A1196" s="8" t="s">
        <v>112</v>
      </c>
    </row>
    <row r="1197" spans="1:14" ht="18" customHeight="1" x14ac:dyDescent="0.25">
      <c r="A1197" s="8" t="s">
        <v>1214</v>
      </c>
    </row>
    <row r="1198" spans="1:14" ht="18" customHeight="1" x14ac:dyDescent="0.25">
      <c r="A1198" s="235"/>
      <c r="B1198" s="235"/>
      <c r="C1198" s="235"/>
      <c r="D1198" s="51"/>
      <c r="E1198" s="235"/>
      <c r="F1198" s="235"/>
      <c r="G1198" s="160"/>
      <c r="H1198" s="161"/>
      <c r="I1198" s="160"/>
      <c r="J1198" s="160"/>
    </row>
    <row r="1199" spans="1:14" ht="18" customHeight="1" x14ac:dyDescent="0.25">
      <c r="A1199" s="1687" t="s">
        <v>113</v>
      </c>
      <c r="B1199" s="1687"/>
      <c r="C1199" s="1687"/>
      <c r="D1199" s="1687"/>
      <c r="E1199" s="1687"/>
      <c r="F1199" s="1687"/>
      <c r="G1199" s="1687"/>
      <c r="H1199" s="1687"/>
      <c r="I1199" s="1687"/>
      <c r="J1199" s="1687"/>
    </row>
    <row r="1200" spans="1:14" s="7" customFormat="1" ht="18" customHeight="1" x14ac:dyDescent="0.25">
      <c r="A1200" s="1686" t="s">
        <v>114</v>
      </c>
      <c r="B1200" s="1686"/>
      <c r="C1200" s="1686"/>
      <c r="D1200" s="1686"/>
      <c r="E1200" s="1686"/>
      <c r="F1200" s="1686"/>
      <c r="G1200" s="1686"/>
      <c r="H1200" s="1686"/>
      <c r="I1200" s="1686"/>
      <c r="J1200" s="1686"/>
      <c r="K1200" s="6"/>
      <c r="L1200" s="6"/>
    </row>
    <row r="1201" spans="1:14" ht="15" customHeight="1" x14ac:dyDescent="0.25">
      <c r="A1201" s="235"/>
      <c r="B1201" s="235"/>
      <c r="C1201" s="235"/>
      <c r="D1201" s="44"/>
      <c r="E1201" s="125"/>
      <c r="F1201" s="380"/>
      <c r="G1201" s="160"/>
      <c r="H1201" s="161"/>
      <c r="I1201" s="160"/>
      <c r="J1201" s="160"/>
    </row>
    <row r="1202" spans="1:14" ht="18" customHeight="1" thickBot="1" x14ac:dyDescent="0.3">
      <c r="A1202" s="587" t="s">
        <v>1261</v>
      </c>
      <c r="B1202" s="587"/>
      <c r="C1202" s="587"/>
      <c r="D1202" s="215"/>
      <c r="E1202" s="216"/>
      <c r="F1202" s="379"/>
      <c r="G1202" s="453"/>
      <c r="H1202" s="588"/>
      <c r="I1202" s="453"/>
      <c r="J1202" s="453"/>
    </row>
    <row r="1203" spans="1:14" s="146" customFormat="1" ht="62.25" customHeight="1" thickBot="1" x14ac:dyDescent="0.3">
      <c r="A1203" s="1655" t="s">
        <v>115</v>
      </c>
      <c r="B1203" s="1655"/>
      <c r="C1203" s="1655"/>
      <c r="D1203" s="1655"/>
      <c r="E1203" s="1655"/>
      <c r="F1203" s="93" t="s">
        <v>116</v>
      </c>
      <c r="G1203" s="130" t="s">
        <v>117</v>
      </c>
      <c r="H1203" s="130" t="s">
        <v>118</v>
      </c>
      <c r="I1203" s="130" t="s">
        <v>119</v>
      </c>
      <c r="J1203" s="130" t="s">
        <v>120</v>
      </c>
      <c r="K1203" s="10"/>
      <c r="L1203" s="10"/>
      <c r="M1203"/>
      <c r="N1203"/>
    </row>
    <row r="1204" spans="1:14" s="146" customFormat="1" ht="18" customHeight="1" x14ac:dyDescent="0.25">
      <c r="A1204" s="519"/>
      <c r="B1204" s="499"/>
      <c r="C1204" s="499"/>
      <c r="D1204" s="496"/>
      <c r="E1204" s="496"/>
      <c r="F1204" s="376"/>
      <c r="G1204" s="155"/>
      <c r="H1204" s="156"/>
      <c r="I1204" s="155"/>
      <c r="J1204" s="155"/>
      <c r="K1204" s="10"/>
      <c r="L1204" s="10"/>
      <c r="M1204"/>
      <c r="N1204"/>
    </row>
    <row r="1205" spans="1:14" s="146" customFormat="1" ht="18" customHeight="1" x14ac:dyDescent="0.25">
      <c r="A1205" s="1667" t="s">
        <v>799</v>
      </c>
      <c r="B1205" s="1620"/>
      <c r="C1205" s="1620"/>
      <c r="D1205" s="1620"/>
      <c r="E1205" s="1620"/>
      <c r="F1205" s="376"/>
      <c r="G1205" s="101"/>
      <c r="H1205" s="102"/>
      <c r="I1205" s="101"/>
      <c r="J1205" s="101"/>
      <c r="K1205" s="10"/>
      <c r="L1205" s="10"/>
      <c r="M1205"/>
      <c r="N1205"/>
    </row>
    <row r="1206" spans="1:14" s="146" customFormat="1" ht="18" customHeight="1" x14ac:dyDescent="0.25">
      <c r="A1206" s="495"/>
      <c r="B1206" s="499" t="s">
        <v>201</v>
      </c>
      <c r="C1206" s="502" t="s">
        <v>1388</v>
      </c>
      <c r="D1206" s="536" t="s">
        <v>203</v>
      </c>
      <c r="E1206" s="499"/>
      <c r="F1206" s="376"/>
      <c r="G1206" s="101"/>
      <c r="H1206" s="102"/>
      <c r="I1206" s="101"/>
      <c r="J1206" s="101">
        <v>75000</v>
      </c>
      <c r="K1206" s="10"/>
      <c r="L1206" s="10"/>
      <c r="M1206"/>
      <c r="N1206"/>
    </row>
    <row r="1207" spans="1:14" s="313" customFormat="1" ht="47.25" customHeight="1" x14ac:dyDescent="0.25">
      <c r="A1207" s="332"/>
      <c r="B1207" s="499" t="s">
        <v>201</v>
      </c>
      <c r="C1207" s="502" t="s">
        <v>1388</v>
      </c>
      <c r="D1207" s="1622" t="s">
        <v>1269</v>
      </c>
      <c r="E1207" s="1622"/>
      <c r="F1207" s="238"/>
      <c r="G1207" s="101"/>
      <c r="H1207" s="102"/>
      <c r="I1207" s="101"/>
      <c r="J1207" s="101">
        <v>160000</v>
      </c>
      <c r="K1207" s="193"/>
      <c r="L1207" s="193"/>
      <c r="M1207" s="179"/>
      <c r="N1207" s="179"/>
    </row>
    <row r="1208" spans="1:14" s="313" customFormat="1" ht="18" customHeight="1" x14ac:dyDescent="0.25">
      <c r="A1208" s="332"/>
      <c r="B1208" s="499" t="s">
        <v>201</v>
      </c>
      <c r="C1208" s="502" t="s">
        <v>1388</v>
      </c>
      <c r="D1208" s="528" t="s">
        <v>1270</v>
      </c>
      <c r="E1208" s="505"/>
      <c r="F1208" s="238"/>
      <c r="G1208" s="101"/>
      <c r="H1208" s="102"/>
      <c r="I1208" s="101"/>
      <c r="J1208" s="101">
        <v>35000</v>
      </c>
      <c r="K1208" s="193"/>
      <c r="L1208" s="193"/>
      <c r="M1208" s="179"/>
      <c r="N1208" s="179"/>
    </row>
    <row r="1209" spans="1:14" s="313" customFormat="1" ht="18" customHeight="1" x14ac:dyDescent="0.25">
      <c r="A1209" s="332"/>
      <c r="B1209" s="499" t="s">
        <v>201</v>
      </c>
      <c r="C1209" s="502" t="s">
        <v>1388</v>
      </c>
      <c r="D1209" s="528" t="s">
        <v>1271</v>
      </c>
      <c r="E1209" s="505"/>
      <c r="F1209" s="238"/>
      <c r="G1209" s="101"/>
      <c r="H1209" s="102"/>
      <c r="I1209" s="101"/>
      <c r="J1209" s="101">
        <v>14000</v>
      </c>
      <c r="K1209" s="193"/>
      <c r="L1209" s="193"/>
      <c r="M1209" s="179"/>
      <c r="N1209" s="179"/>
    </row>
    <row r="1210" spans="1:14" s="313" customFormat="1" ht="18" customHeight="1" x14ac:dyDescent="0.25">
      <c r="A1210" s="332"/>
      <c r="B1210" s="499" t="s">
        <v>201</v>
      </c>
      <c r="C1210" s="502" t="s">
        <v>1388</v>
      </c>
      <c r="D1210" s="528" t="s">
        <v>1272</v>
      </c>
      <c r="E1210" s="505"/>
      <c r="F1210" s="238"/>
      <c r="G1210" s="101"/>
      <c r="H1210" s="102"/>
      <c r="I1210" s="101"/>
      <c r="J1210" s="101">
        <v>75000</v>
      </c>
      <c r="K1210" s="193"/>
      <c r="L1210" s="193"/>
      <c r="M1210" s="179"/>
      <c r="N1210" s="179"/>
    </row>
    <row r="1211" spans="1:14" s="313" customFormat="1" ht="63.75" customHeight="1" x14ac:dyDescent="0.25">
      <c r="A1211" s="332"/>
      <c r="B1211" s="499" t="s">
        <v>201</v>
      </c>
      <c r="C1211" s="502" t="s">
        <v>1388</v>
      </c>
      <c r="D1211" s="1622" t="s">
        <v>1273</v>
      </c>
      <c r="E1211" s="1622"/>
      <c r="F1211" s="238"/>
      <c r="G1211" s="101"/>
      <c r="H1211" s="102"/>
      <c r="I1211" s="101"/>
      <c r="J1211" s="101">
        <v>26000</v>
      </c>
      <c r="K1211" s="193"/>
      <c r="L1211" s="193"/>
      <c r="M1211" s="179"/>
      <c r="N1211" s="179"/>
    </row>
    <row r="1212" spans="1:14" s="146" customFormat="1" ht="18" customHeight="1" x14ac:dyDescent="0.25">
      <c r="A1212" s="495"/>
      <c r="B1212" s="499" t="s">
        <v>201</v>
      </c>
      <c r="C1212" s="502" t="s">
        <v>1388</v>
      </c>
      <c r="D1212" s="536" t="s">
        <v>1274</v>
      </c>
      <c r="E1212" s="499"/>
      <c r="F1212" s="376"/>
      <c r="G1212" s="101">
        <v>0</v>
      </c>
      <c r="H1212" s="102">
        <v>70000</v>
      </c>
      <c r="I1212" s="101"/>
      <c r="J1212" s="101"/>
      <c r="K1212" s="10"/>
      <c r="L1212" s="10"/>
      <c r="M1212"/>
      <c r="N1212"/>
    </row>
    <row r="1213" spans="1:14" s="146" customFormat="1" ht="18" customHeight="1" x14ac:dyDescent="0.25">
      <c r="A1213" s="495"/>
      <c r="B1213" s="499" t="s">
        <v>201</v>
      </c>
      <c r="C1213" s="502" t="s">
        <v>1388</v>
      </c>
      <c r="D1213" s="536" t="s">
        <v>1275</v>
      </c>
      <c r="E1213" s="496"/>
      <c r="F1213" s="376"/>
      <c r="G1213" s="101">
        <v>0</v>
      </c>
      <c r="H1213" s="102">
        <v>20000</v>
      </c>
      <c r="I1213" s="101"/>
      <c r="J1213" s="101"/>
      <c r="K1213" s="10"/>
      <c r="L1213" s="10"/>
      <c r="M1213"/>
      <c r="N1213"/>
    </row>
    <row r="1214" spans="1:14" s="146" customFormat="1" ht="18" customHeight="1" x14ac:dyDescent="0.25">
      <c r="A1214" s="495"/>
      <c r="B1214" s="499" t="s">
        <v>201</v>
      </c>
      <c r="C1214" s="502" t="s">
        <v>1388</v>
      </c>
      <c r="D1214" s="536" t="s">
        <v>1276</v>
      </c>
      <c r="E1214" s="496"/>
      <c r="F1214" s="376"/>
      <c r="G1214" s="101">
        <v>0</v>
      </c>
      <c r="H1214" s="102">
        <v>70000</v>
      </c>
      <c r="I1214" s="101"/>
      <c r="J1214" s="101"/>
      <c r="K1214" s="10"/>
      <c r="L1214" s="10"/>
      <c r="M1214"/>
      <c r="N1214"/>
    </row>
    <row r="1215" spans="1:14" s="146" customFormat="1" ht="39.75" customHeight="1" x14ac:dyDescent="0.25">
      <c r="A1215" s="495"/>
      <c r="B1215" s="499" t="s">
        <v>201</v>
      </c>
      <c r="C1215" s="502" t="s">
        <v>1388</v>
      </c>
      <c r="D1215" s="1611" t="s">
        <v>1277</v>
      </c>
      <c r="E1215" s="1611"/>
      <c r="F1215" s="376"/>
      <c r="G1215" s="101">
        <v>0</v>
      </c>
      <c r="H1215" s="102">
        <v>120000</v>
      </c>
      <c r="I1215" s="101"/>
      <c r="J1215" s="101"/>
      <c r="K1215" s="10"/>
      <c r="L1215" s="10"/>
      <c r="M1215"/>
      <c r="N1215"/>
    </row>
    <row r="1216" spans="1:14" s="146" customFormat="1" ht="18" customHeight="1" x14ac:dyDescent="0.25">
      <c r="A1216" s="495"/>
      <c r="B1216" s="499" t="s">
        <v>201</v>
      </c>
      <c r="C1216" s="502" t="s">
        <v>1388</v>
      </c>
      <c r="D1216" s="536" t="s">
        <v>1278</v>
      </c>
      <c r="E1216" s="496"/>
      <c r="F1216" s="376"/>
      <c r="G1216" s="101">
        <v>0</v>
      </c>
      <c r="H1216" s="102">
        <v>12000</v>
      </c>
      <c r="I1216" s="101"/>
      <c r="J1216" s="101"/>
      <c r="K1216" s="10"/>
      <c r="L1216" s="10"/>
      <c r="M1216"/>
      <c r="N1216"/>
    </row>
    <row r="1217" spans="1:14" s="313" customFormat="1" ht="36.75" customHeight="1" x14ac:dyDescent="0.25">
      <c r="A1217" s="332"/>
      <c r="B1217" s="499" t="s">
        <v>201</v>
      </c>
      <c r="C1217" s="502" t="s">
        <v>1388</v>
      </c>
      <c r="D1217" s="1622" t="s">
        <v>1279</v>
      </c>
      <c r="E1217" s="1622"/>
      <c r="F1217" s="238"/>
      <c r="G1217" s="101">
        <v>0</v>
      </c>
      <c r="H1217" s="102">
        <v>100000</v>
      </c>
      <c r="I1217" s="101"/>
      <c r="J1217" s="101"/>
      <c r="K1217" s="193"/>
      <c r="L1217" s="193"/>
      <c r="M1217" s="179"/>
      <c r="N1217" s="179"/>
    </row>
    <row r="1218" spans="1:14" s="146" customFormat="1" ht="36.75" customHeight="1" x14ac:dyDescent="0.25">
      <c r="A1218" s="495"/>
      <c r="B1218" s="499" t="s">
        <v>201</v>
      </c>
      <c r="C1218" s="502" t="s">
        <v>1388</v>
      </c>
      <c r="D1218" s="1623" t="s">
        <v>1280</v>
      </c>
      <c r="E1218" s="1623"/>
      <c r="F1218" s="376"/>
      <c r="G1218" s="101">
        <v>49500</v>
      </c>
      <c r="H1218" s="102"/>
      <c r="I1218" s="101"/>
      <c r="J1218" s="101"/>
      <c r="K1218" s="10"/>
      <c r="L1218" s="10"/>
      <c r="M1218"/>
      <c r="N1218"/>
    </row>
    <row r="1219" spans="1:14" s="146" customFormat="1" ht="18" customHeight="1" x14ac:dyDescent="0.25">
      <c r="A1219" s="495"/>
      <c r="B1219" s="499" t="s">
        <v>201</v>
      </c>
      <c r="C1219" s="502" t="s">
        <v>1388</v>
      </c>
      <c r="D1219" s="38" t="s">
        <v>1281</v>
      </c>
      <c r="E1219" s="199"/>
      <c r="F1219" s="376"/>
      <c r="G1219" s="101">
        <v>14800</v>
      </c>
      <c r="H1219" s="102"/>
      <c r="I1219" s="101"/>
      <c r="J1219" s="101"/>
      <c r="K1219" s="10"/>
      <c r="L1219" s="10"/>
      <c r="M1219"/>
      <c r="N1219"/>
    </row>
    <row r="1220" spans="1:14" s="146" customFormat="1" ht="18" customHeight="1" x14ac:dyDescent="0.25">
      <c r="A1220" s="495"/>
      <c r="B1220" s="499" t="s">
        <v>201</v>
      </c>
      <c r="C1220" s="502" t="s">
        <v>1388</v>
      </c>
      <c r="D1220" s="38" t="s">
        <v>1282</v>
      </c>
      <c r="E1220" s="199"/>
      <c r="F1220" s="376"/>
      <c r="G1220" s="101">
        <v>14850</v>
      </c>
      <c r="H1220" s="102"/>
      <c r="I1220" s="101"/>
      <c r="J1220" s="105"/>
      <c r="K1220" s="10"/>
      <c r="L1220" s="10"/>
      <c r="M1220"/>
      <c r="N1220"/>
    </row>
    <row r="1221" spans="1:14" ht="15.75" customHeight="1" x14ac:dyDescent="0.25">
      <c r="A1221" s="495"/>
      <c r="B1221" s="496"/>
      <c r="C1221" s="496"/>
      <c r="D1221" s="496" t="s">
        <v>200</v>
      </c>
      <c r="F1221" s="376"/>
      <c r="G1221" s="119">
        <f>SUM(G1218:G1220)</f>
        <v>79150</v>
      </c>
      <c r="H1221" s="150">
        <f>SUM(H1212:H1220)</f>
        <v>392000</v>
      </c>
      <c r="I1221" s="119">
        <f>SUM(I1218:I1220)</f>
        <v>0</v>
      </c>
      <c r="J1221" s="119">
        <f>SUM(J1206:J1220)</f>
        <v>385000</v>
      </c>
    </row>
    <row r="1222" spans="1:14" ht="15.75" customHeight="1" thickBot="1" x14ac:dyDescent="0.3">
      <c r="A1222" s="495"/>
      <c r="B1222" s="496"/>
      <c r="C1222" s="496"/>
      <c r="D1222" s="496" t="s">
        <v>15</v>
      </c>
      <c r="F1222" s="456"/>
      <c r="G1222" s="457">
        <f>SUM(G1221+G1175+G1157)</f>
        <v>10470324.82</v>
      </c>
      <c r="H1222" s="158">
        <f>SUM(H1221+H1175+H1157)</f>
        <v>16280217.919999998</v>
      </c>
      <c r="I1222" s="123">
        <f>SUM(I1221+I1175+I1157)</f>
        <v>4441926.8499999996</v>
      </c>
      <c r="J1222" s="123">
        <f>SUM(J1221+J1175+J1157)</f>
        <v>18436914.960000001</v>
      </c>
    </row>
    <row r="1223" spans="1:14" ht="15.75" customHeight="1" x14ac:dyDescent="0.25">
      <c r="A1223" s="495"/>
      <c r="B1223" s="496"/>
      <c r="C1223" s="496"/>
      <c r="E1223" s="496"/>
      <c r="F1223" s="380"/>
      <c r="G1223" s="189"/>
      <c r="H1223" s="156"/>
      <c r="I1223" s="155"/>
      <c r="J1223" s="155"/>
    </row>
    <row r="1224" spans="1:14" ht="15.75" customHeight="1" x14ac:dyDescent="0.25">
      <c r="A1224" s="495"/>
      <c r="B1224" s="496"/>
      <c r="C1224" s="496"/>
      <c r="D1224" s="543"/>
      <c r="E1224" s="496"/>
      <c r="F1224" s="380"/>
      <c r="G1224" s="189"/>
      <c r="H1224" s="156"/>
      <c r="I1224" s="155"/>
      <c r="J1224" s="155"/>
    </row>
    <row r="1225" spans="1:14" ht="15.75" customHeight="1" x14ac:dyDescent="0.25">
      <c r="A1225" s="495"/>
      <c r="B1225" s="496"/>
      <c r="C1225" s="496"/>
      <c r="D1225" s="543"/>
      <c r="E1225" s="496"/>
      <c r="F1225" s="380"/>
      <c r="G1225" s="189"/>
      <c r="H1225" s="156"/>
      <c r="I1225" s="155"/>
      <c r="J1225" s="155"/>
    </row>
    <row r="1226" spans="1:14" ht="15.75" customHeight="1" x14ac:dyDescent="0.25">
      <c r="A1226" s="495"/>
      <c r="B1226" s="496"/>
      <c r="C1226" s="496"/>
      <c r="D1226" s="543"/>
      <c r="E1226" s="496"/>
      <c r="F1226" s="380"/>
      <c r="G1226" s="189"/>
      <c r="H1226" s="156"/>
      <c r="I1226" s="155"/>
      <c r="J1226" s="155"/>
    </row>
    <row r="1227" spans="1:14" ht="15.75" customHeight="1" x14ac:dyDescent="0.25">
      <c r="A1227" s="495"/>
      <c r="B1227" s="496"/>
      <c r="C1227" s="496"/>
      <c r="D1227" s="543"/>
      <c r="E1227" s="496"/>
      <c r="F1227" s="380"/>
      <c r="G1227" s="189"/>
      <c r="H1227" s="156"/>
      <c r="I1227" s="155"/>
      <c r="J1227" s="155"/>
    </row>
    <row r="1228" spans="1:14" ht="15.75" customHeight="1" x14ac:dyDescent="0.25">
      <c r="A1228" s="495"/>
      <c r="B1228" s="496"/>
      <c r="C1228" s="496"/>
      <c r="D1228" s="543"/>
      <c r="E1228" s="496"/>
      <c r="F1228" s="380"/>
      <c r="G1228" s="189"/>
      <c r="H1228" s="156"/>
      <c r="I1228" s="155"/>
      <c r="J1228" s="155"/>
    </row>
    <row r="1229" spans="1:14" ht="15.75" customHeight="1" x14ac:dyDescent="0.25">
      <c r="A1229" s="495"/>
      <c r="B1229" s="496"/>
      <c r="C1229" s="496"/>
      <c r="D1229" s="543"/>
      <c r="E1229" s="496"/>
      <c r="F1229" s="380"/>
      <c r="G1229" s="189"/>
      <c r="H1229" s="156"/>
      <c r="I1229" s="155"/>
      <c r="J1229" s="155"/>
    </row>
    <row r="1230" spans="1:14" s="458" customFormat="1" ht="15.75" customHeight="1" x14ac:dyDescent="0.25">
      <c r="A1230" s="495"/>
      <c r="B1230" s="496"/>
      <c r="C1230" s="496"/>
      <c r="D1230" s="543"/>
      <c r="E1230" s="496"/>
      <c r="F1230" s="380"/>
      <c r="G1230" s="189"/>
      <c r="H1230" s="156"/>
      <c r="I1230" s="155"/>
      <c r="J1230" s="155"/>
      <c r="K1230" s="10"/>
      <c r="L1230" s="10"/>
      <c r="M1230"/>
      <c r="N1230"/>
    </row>
    <row r="1231" spans="1:14" s="458" customFormat="1" ht="15.75" customHeight="1" x14ac:dyDescent="0.25">
      <c r="A1231" s="495"/>
      <c r="B1231" s="496"/>
      <c r="C1231" s="496"/>
      <c r="D1231" s="543"/>
      <c r="E1231" s="496"/>
      <c r="F1231" s="380"/>
      <c r="G1231" s="189"/>
      <c r="H1231" s="156"/>
      <c r="I1231" s="155"/>
      <c r="J1231" s="155"/>
      <c r="K1231" s="10"/>
      <c r="L1231" s="10"/>
      <c r="M1231"/>
      <c r="N1231"/>
    </row>
    <row r="1232" spans="1:14" s="458" customFormat="1" ht="15.75" customHeight="1" x14ac:dyDescent="0.25">
      <c r="A1232" s="495"/>
      <c r="B1232" s="496"/>
      <c r="C1232" s="496"/>
      <c r="D1232" s="543"/>
      <c r="E1232" s="496"/>
      <c r="F1232" s="380"/>
      <c r="G1232" s="189"/>
      <c r="H1232" s="156"/>
      <c r="I1232" s="155"/>
      <c r="J1232" s="155"/>
      <c r="K1232" s="10"/>
      <c r="L1232" s="10"/>
      <c r="M1232"/>
      <c r="N1232"/>
    </row>
    <row r="1233" spans="1:14" s="458" customFormat="1" ht="15.75" customHeight="1" x14ac:dyDescent="0.25">
      <c r="A1233" s="495"/>
      <c r="B1233" s="496"/>
      <c r="C1233" s="496"/>
      <c r="D1233" s="543"/>
      <c r="E1233" s="496"/>
      <c r="F1233" s="380"/>
      <c r="G1233" s="189"/>
      <c r="H1233" s="156"/>
      <c r="I1233" s="155"/>
      <c r="J1233" s="155"/>
      <c r="K1233" s="10"/>
      <c r="L1233" s="10"/>
      <c r="M1233"/>
      <c r="N1233"/>
    </row>
    <row r="1234" spans="1:14" s="458" customFormat="1" ht="15.75" customHeight="1" x14ac:dyDescent="0.25">
      <c r="A1234" s="495"/>
      <c r="B1234" s="496"/>
      <c r="C1234" s="496"/>
      <c r="D1234" s="543"/>
      <c r="E1234" s="496"/>
      <c r="F1234" s="380"/>
      <c r="G1234" s="189"/>
      <c r="H1234" s="156"/>
      <c r="I1234" s="155"/>
      <c r="J1234" s="155"/>
      <c r="K1234" s="10"/>
      <c r="L1234" s="10"/>
      <c r="M1234"/>
      <c r="N1234"/>
    </row>
    <row r="1235" spans="1:14" s="458" customFormat="1" ht="15.75" customHeight="1" x14ac:dyDescent="0.25">
      <c r="A1235" s="495"/>
      <c r="B1235" s="496"/>
      <c r="C1235" s="496"/>
      <c r="D1235" s="543"/>
      <c r="E1235" s="496"/>
      <c r="F1235" s="380"/>
      <c r="G1235" s="189"/>
      <c r="H1235" s="156"/>
      <c r="I1235" s="155"/>
      <c r="J1235" s="155"/>
      <c r="K1235" s="10"/>
      <c r="L1235" s="10"/>
      <c r="M1235"/>
      <c r="N1235"/>
    </row>
    <row r="1236" spans="1:14" s="458" customFormat="1" ht="15.75" customHeight="1" x14ac:dyDescent="0.25">
      <c r="A1236" s="495"/>
      <c r="B1236" s="496"/>
      <c r="C1236" s="496"/>
      <c r="D1236" s="543"/>
      <c r="E1236" s="496"/>
      <c r="F1236" s="380"/>
      <c r="G1236" s="189"/>
      <c r="H1236" s="156"/>
      <c r="I1236" s="155"/>
      <c r="J1236" s="155"/>
      <c r="K1236" s="10"/>
      <c r="L1236" s="10"/>
      <c r="M1236"/>
      <c r="N1236"/>
    </row>
    <row r="1237" spans="1:14" s="458" customFormat="1" ht="15.75" customHeight="1" x14ac:dyDescent="0.25">
      <c r="A1237" s="495"/>
      <c r="B1237" s="496"/>
      <c r="C1237" s="496"/>
      <c r="D1237" s="543"/>
      <c r="E1237" s="496"/>
      <c r="F1237" s="380"/>
      <c r="G1237" s="189"/>
      <c r="H1237" s="156"/>
      <c r="I1237" s="155"/>
      <c r="J1237" s="155"/>
      <c r="K1237" s="10"/>
      <c r="L1237" s="10"/>
      <c r="M1237"/>
      <c r="N1237"/>
    </row>
    <row r="1238" spans="1:14" s="458" customFormat="1" ht="15.75" customHeight="1" x14ac:dyDescent="0.25">
      <c r="A1238" s="495"/>
      <c r="B1238" s="496"/>
      <c r="C1238" s="496"/>
      <c r="D1238" s="543"/>
      <c r="E1238" s="496"/>
      <c r="F1238" s="380"/>
      <c r="G1238" s="189"/>
      <c r="H1238" s="156"/>
      <c r="I1238" s="155"/>
      <c r="J1238" s="155"/>
      <c r="K1238" s="10"/>
      <c r="L1238" s="10"/>
      <c r="M1238"/>
      <c r="N1238"/>
    </row>
    <row r="1239" spans="1:14" s="458" customFormat="1" ht="15.75" customHeight="1" x14ac:dyDescent="0.25">
      <c r="A1239" s="495"/>
      <c r="B1239" s="496"/>
      <c r="C1239" s="496"/>
      <c r="D1239" s="543"/>
      <c r="E1239" s="496"/>
      <c r="F1239" s="380"/>
      <c r="G1239" s="189"/>
      <c r="H1239" s="156"/>
      <c r="I1239" s="155"/>
      <c r="J1239" s="155"/>
      <c r="K1239" s="10"/>
      <c r="L1239" s="10"/>
      <c r="M1239"/>
      <c r="N1239"/>
    </row>
    <row r="1240" spans="1:14" s="458" customFormat="1" ht="15.75" customHeight="1" x14ac:dyDescent="0.25">
      <c r="A1240" s="495"/>
      <c r="B1240" s="496"/>
      <c r="C1240" s="496"/>
      <c r="D1240" s="543"/>
      <c r="E1240" s="496"/>
      <c r="F1240" s="380"/>
      <c r="G1240" s="189"/>
      <c r="H1240" s="156"/>
      <c r="I1240" s="155"/>
      <c r="J1240" s="155"/>
      <c r="K1240" s="10"/>
      <c r="L1240" s="10"/>
      <c r="M1240"/>
      <c r="N1240"/>
    </row>
    <row r="1241" spans="1:14" s="458" customFormat="1" ht="15.75" customHeight="1" x14ac:dyDescent="0.25">
      <c r="A1241" s="495"/>
      <c r="B1241" s="496"/>
      <c r="C1241" s="496"/>
      <c r="D1241" s="543"/>
      <c r="E1241" s="496"/>
      <c r="F1241" s="380"/>
      <c r="G1241" s="189"/>
      <c r="H1241" s="156"/>
      <c r="I1241" s="155"/>
      <c r="J1241" s="155"/>
      <c r="K1241" s="10"/>
      <c r="L1241" s="10"/>
      <c r="M1241"/>
      <c r="N1241"/>
    </row>
    <row r="1242" spans="1:14" s="458" customFormat="1" ht="15.75" customHeight="1" x14ac:dyDescent="0.25">
      <c r="A1242" s="495"/>
      <c r="B1242" s="496"/>
      <c r="C1242" s="496"/>
      <c r="D1242" s="543"/>
      <c r="E1242" s="496"/>
      <c r="F1242" s="380"/>
      <c r="G1242" s="189"/>
      <c r="H1242" s="156"/>
      <c r="I1242" s="155"/>
      <c r="J1242" s="155"/>
      <c r="K1242" s="10"/>
      <c r="L1242" s="10"/>
      <c r="M1242"/>
      <c r="N1242"/>
    </row>
    <row r="1243" spans="1:14" s="458" customFormat="1" ht="15.75" customHeight="1" x14ac:dyDescent="0.25">
      <c r="A1243" s="495"/>
      <c r="B1243" s="496"/>
      <c r="C1243" s="496"/>
      <c r="D1243" s="543"/>
      <c r="E1243" s="496"/>
      <c r="F1243" s="380"/>
      <c r="G1243" s="189"/>
      <c r="H1243" s="156"/>
      <c r="I1243" s="155"/>
      <c r="J1243" s="155"/>
      <c r="K1243" s="10"/>
      <c r="L1243" s="10"/>
      <c r="M1243"/>
      <c r="N1243"/>
    </row>
    <row r="1244" spans="1:14" s="458" customFormat="1" ht="15.75" customHeight="1" x14ac:dyDescent="0.25">
      <c r="A1244" s="495"/>
      <c r="B1244" s="496"/>
      <c r="C1244" s="496"/>
      <c r="D1244" s="543"/>
      <c r="E1244" s="496"/>
      <c r="F1244" s="380"/>
      <c r="G1244" s="189"/>
      <c r="H1244" s="156"/>
      <c r="I1244" s="155"/>
      <c r="J1244" s="155"/>
      <c r="K1244" s="10"/>
      <c r="L1244" s="10"/>
      <c r="M1244"/>
      <c r="N1244"/>
    </row>
    <row r="1245" spans="1:14" s="458" customFormat="1" ht="15.75" customHeight="1" thickBot="1" x14ac:dyDescent="0.3">
      <c r="A1245" s="497"/>
      <c r="B1245" s="498"/>
      <c r="C1245" s="498"/>
      <c r="D1245" s="228"/>
      <c r="E1245" s="498"/>
      <c r="F1245" s="379"/>
      <c r="G1245" s="452"/>
      <c r="H1245" s="183"/>
      <c r="I1245" s="182"/>
      <c r="J1245" s="182"/>
      <c r="K1245" s="10"/>
      <c r="L1245" s="10"/>
      <c r="M1245"/>
      <c r="N1245"/>
    </row>
    <row r="1246" spans="1:14" ht="15.75" customHeight="1" x14ac:dyDescent="0.25">
      <c r="A1246" s="496"/>
      <c r="B1246" s="496"/>
      <c r="C1246" s="496"/>
      <c r="D1246" s="543"/>
      <c r="E1246" s="496"/>
      <c r="F1246" s="380"/>
      <c r="G1246" s="323"/>
      <c r="H1246" s="127"/>
      <c r="I1246" s="126"/>
      <c r="J1246" s="126"/>
    </row>
    <row r="1247" spans="1:14" ht="15.75" customHeight="1" x14ac:dyDescent="0.25">
      <c r="A1247" s="496"/>
      <c r="B1247" s="496"/>
      <c r="C1247" s="496"/>
      <c r="D1247" s="543"/>
      <c r="E1247" s="496"/>
      <c r="F1247" s="380"/>
      <c r="G1247" s="323"/>
      <c r="H1247" s="127"/>
      <c r="I1247" s="126"/>
      <c r="J1247" s="126"/>
    </row>
    <row r="1248" spans="1:14" ht="15.75" customHeight="1" x14ac:dyDescent="0.25">
      <c r="A1248" s="496"/>
      <c r="B1248" s="496"/>
      <c r="C1248" s="496"/>
      <c r="D1248" s="543"/>
      <c r="E1248" s="496"/>
      <c r="F1248" s="380"/>
      <c r="G1248" s="323"/>
      <c r="H1248" s="127"/>
      <c r="I1248" s="126"/>
      <c r="J1248" s="126"/>
    </row>
    <row r="1249" spans="1:14" ht="15.75" customHeight="1" x14ac:dyDescent="0.25">
      <c r="A1249" s="496"/>
      <c r="B1249" s="496"/>
      <c r="C1249" s="496"/>
      <c r="D1249" s="543"/>
      <c r="E1249" s="496"/>
      <c r="F1249" s="380"/>
      <c r="G1249" s="323"/>
      <c r="H1249" s="127"/>
      <c r="I1249" s="126"/>
      <c r="J1249" s="126"/>
    </row>
    <row r="1250" spans="1:14" ht="15.75" customHeight="1" x14ac:dyDescent="0.25">
      <c r="A1250" s="496"/>
      <c r="B1250" s="496"/>
      <c r="C1250" s="496"/>
      <c r="D1250" s="543"/>
      <c r="E1250" s="496"/>
      <c r="F1250" s="380"/>
      <c r="G1250" s="323"/>
      <c r="H1250" s="127"/>
      <c r="I1250" s="126"/>
      <c r="J1250" s="126"/>
    </row>
    <row r="1251" spans="1:14" ht="15.75" customHeight="1" x14ac:dyDescent="0.25">
      <c r="A1251" s="496"/>
      <c r="B1251" s="496"/>
      <c r="C1251" s="496"/>
      <c r="D1251" s="543"/>
      <c r="E1251" s="496"/>
      <c r="F1251" s="380"/>
      <c r="G1251" s="323"/>
      <c r="H1251" s="127"/>
      <c r="I1251" s="126"/>
      <c r="J1251" s="126"/>
    </row>
    <row r="1252" spans="1:14" ht="15.75" customHeight="1" x14ac:dyDescent="0.25">
      <c r="A1252" s="496"/>
      <c r="B1252" s="496"/>
      <c r="C1252" s="496"/>
      <c r="D1252" s="543"/>
      <c r="E1252" s="496"/>
      <c r="F1252" s="380"/>
      <c r="G1252" s="323"/>
      <c r="H1252" s="127"/>
      <c r="I1252" s="126"/>
      <c r="J1252" s="126"/>
    </row>
    <row r="1253" spans="1:14" ht="15.75" customHeight="1" x14ac:dyDescent="0.25">
      <c r="A1253" s="496"/>
      <c r="B1253" s="496"/>
      <c r="C1253" s="496"/>
      <c r="D1253" s="543"/>
      <c r="E1253" s="496"/>
      <c r="F1253" s="380"/>
      <c r="G1253" s="323"/>
      <c r="H1253" s="127"/>
      <c r="I1253" s="126"/>
      <c r="J1253" s="126"/>
    </row>
    <row r="1254" spans="1:14" ht="15.75" customHeight="1" x14ac:dyDescent="0.25">
      <c r="A1254" s="496"/>
      <c r="B1254" s="496"/>
      <c r="C1254" s="496"/>
      <c r="D1254" s="543"/>
      <c r="E1254" s="496"/>
      <c r="F1254" s="380"/>
      <c r="G1254" s="323"/>
      <c r="H1254" s="127"/>
      <c r="I1254" s="126"/>
      <c r="J1254" s="126"/>
    </row>
    <row r="1255" spans="1:14" ht="15.75" customHeight="1" x14ac:dyDescent="0.25">
      <c r="A1255" s="496"/>
      <c r="B1255" s="496"/>
      <c r="C1255" s="496"/>
      <c r="D1255" s="543"/>
      <c r="E1255" s="496"/>
      <c r="F1255" s="380"/>
      <c r="G1255" s="323"/>
      <c r="H1255" s="127"/>
      <c r="I1255" s="126"/>
      <c r="J1255" s="126"/>
    </row>
    <row r="1256" spans="1:14" ht="15.75" customHeight="1" x14ac:dyDescent="0.25">
      <c r="A1256" s="496"/>
      <c r="B1256" s="496"/>
      <c r="C1256" s="496"/>
      <c r="D1256" s="543"/>
      <c r="E1256" s="496"/>
      <c r="F1256" s="380"/>
      <c r="G1256" s="323"/>
      <c r="H1256" s="127"/>
      <c r="I1256" s="126"/>
      <c r="J1256" s="126"/>
    </row>
    <row r="1257" spans="1:14" ht="15.75" customHeight="1" x14ac:dyDescent="0.25">
      <c r="A1257" s="496"/>
      <c r="B1257" s="496"/>
      <c r="C1257" s="496"/>
      <c r="D1257" s="543"/>
      <c r="E1257" s="496"/>
      <c r="F1257" s="380"/>
      <c r="G1257" s="323"/>
      <c r="H1257" s="127"/>
      <c r="I1257" s="126"/>
      <c r="J1257" s="126"/>
    </row>
    <row r="1258" spans="1:14" ht="15.75" customHeight="1" x14ac:dyDescent="0.25">
      <c r="A1258" s="496"/>
      <c r="B1258" s="496"/>
      <c r="C1258" s="496"/>
      <c r="D1258" s="543"/>
      <c r="E1258" s="496"/>
      <c r="F1258" s="380"/>
      <c r="G1258" s="323"/>
      <c r="H1258" s="127"/>
      <c r="I1258" s="126"/>
      <c r="J1258" s="126"/>
    </row>
    <row r="1259" spans="1:14" ht="15.75" customHeight="1" x14ac:dyDescent="0.25">
      <c r="A1259" s="496"/>
      <c r="B1259" s="496"/>
      <c r="C1259" s="496"/>
      <c r="D1259" s="543"/>
      <c r="E1259" s="496"/>
      <c r="F1259" s="380"/>
      <c r="G1259" s="323"/>
      <c r="H1259" s="127"/>
      <c r="I1259" s="126"/>
      <c r="J1259" s="126"/>
    </row>
    <row r="1260" spans="1:14" ht="18" customHeight="1" x14ac:dyDescent="0.25">
      <c r="A1260" s="8" t="s">
        <v>112</v>
      </c>
    </row>
    <row r="1261" spans="1:14" ht="18" customHeight="1" x14ac:dyDescent="0.25">
      <c r="A1261" s="8" t="s">
        <v>1376</v>
      </c>
    </row>
    <row r="1262" spans="1:14" ht="18" customHeight="1" x14ac:dyDescent="0.25">
      <c r="A1262" s="1636" t="s">
        <v>113</v>
      </c>
      <c r="B1262" s="1636"/>
      <c r="C1262" s="1636"/>
      <c r="D1262" s="1636"/>
      <c r="E1262" s="1636"/>
      <c r="F1262" s="1636"/>
      <c r="G1262" s="1636"/>
      <c r="H1262" s="1636"/>
      <c r="I1262" s="1636"/>
      <c r="J1262" s="1636"/>
    </row>
    <row r="1263" spans="1:14" s="7" customFormat="1" ht="18" customHeight="1" x14ac:dyDescent="0.25">
      <c r="A1263" s="1624" t="s">
        <v>114</v>
      </c>
      <c r="B1263" s="1624"/>
      <c r="C1263" s="1624"/>
      <c r="D1263" s="1624"/>
      <c r="E1263" s="1624"/>
      <c r="F1263" s="1624"/>
      <c r="G1263" s="1624"/>
      <c r="H1263" s="1624"/>
      <c r="I1263" s="1624"/>
      <c r="J1263" s="1624"/>
      <c r="K1263" s="6"/>
      <c r="L1263" s="6"/>
    </row>
    <row r="1264" spans="1:14" s="146" customFormat="1" ht="18" x14ac:dyDescent="0.25">
      <c r="A1264" s="3"/>
      <c r="B1264" s="3"/>
      <c r="C1264" s="3"/>
      <c r="D1264" s="2"/>
      <c r="E1264" s="8"/>
      <c r="F1264" s="3"/>
      <c r="G1264" s="4"/>
      <c r="H1264" s="5"/>
      <c r="I1264" s="4"/>
      <c r="J1264" s="4"/>
      <c r="K1264" s="10"/>
      <c r="L1264" s="10"/>
      <c r="M1264"/>
      <c r="N1264"/>
    </row>
    <row r="1265" spans="1:14" s="146" customFormat="1" ht="18.75" thickBot="1" x14ac:dyDescent="0.3">
      <c r="A1265" s="1" t="s">
        <v>1283</v>
      </c>
      <c r="B1265" s="1"/>
      <c r="C1265" s="1"/>
      <c r="D1265" s="2"/>
      <c r="E1265" s="3"/>
      <c r="F1265" s="3"/>
      <c r="G1265" s="4"/>
      <c r="H1265" s="5"/>
      <c r="I1265" s="4"/>
      <c r="J1265" s="4"/>
      <c r="K1265" s="10"/>
      <c r="L1265" s="10"/>
      <c r="M1265"/>
      <c r="N1265"/>
    </row>
    <row r="1266" spans="1:14" s="146" customFormat="1" ht="67.5" customHeight="1" thickBot="1" x14ac:dyDescent="0.3">
      <c r="A1266" s="1655" t="s">
        <v>115</v>
      </c>
      <c r="B1266" s="1655"/>
      <c r="C1266" s="1655"/>
      <c r="D1266" s="1655"/>
      <c r="E1266" s="1655"/>
      <c r="F1266" s="93" t="s">
        <v>116</v>
      </c>
      <c r="G1266" s="130" t="s">
        <v>117</v>
      </c>
      <c r="H1266" s="130" t="s">
        <v>118</v>
      </c>
      <c r="I1266" s="130" t="s">
        <v>119</v>
      </c>
      <c r="J1266" s="130" t="s">
        <v>120</v>
      </c>
      <c r="K1266" s="10"/>
      <c r="L1266" s="10"/>
      <c r="M1266"/>
      <c r="N1266"/>
    </row>
    <row r="1267" spans="1:14" s="146" customFormat="1" ht="18" x14ac:dyDescent="0.25">
      <c r="A1267" s="1670" t="s">
        <v>121</v>
      </c>
      <c r="B1267" s="1670"/>
      <c r="C1267" s="1670"/>
      <c r="D1267" s="1670"/>
      <c r="E1267" s="1670"/>
      <c r="F1267" s="94"/>
      <c r="G1267" s="95"/>
      <c r="H1267" s="96"/>
      <c r="I1267" s="95"/>
      <c r="J1267" s="95"/>
      <c r="K1267" s="10"/>
      <c r="L1267" s="10"/>
      <c r="M1267"/>
      <c r="N1267"/>
    </row>
    <row r="1268" spans="1:14" s="146" customFormat="1" ht="18" x14ac:dyDescent="0.25">
      <c r="A1268" s="495"/>
      <c r="B1268" s="496"/>
      <c r="C1268" s="496"/>
      <c r="D1268" s="1621" t="s">
        <v>122</v>
      </c>
      <c r="E1268" s="1666"/>
      <c r="F1268" s="97"/>
      <c r="G1268" s="98"/>
      <c r="H1268" s="99"/>
      <c r="I1268" s="98"/>
      <c r="J1268" s="98"/>
      <c r="K1268" s="10"/>
      <c r="L1268" s="10"/>
      <c r="M1268"/>
      <c r="N1268"/>
    </row>
    <row r="1269" spans="1:14" s="146" customFormat="1" ht="18" x14ac:dyDescent="0.25">
      <c r="A1269" s="519"/>
      <c r="B1269" s="499" t="s">
        <v>123</v>
      </c>
      <c r="C1269" s="502" t="s">
        <v>1388</v>
      </c>
      <c r="D1269" s="1602" t="s">
        <v>124</v>
      </c>
      <c r="E1269" s="1603"/>
      <c r="F1269" s="100" t="s">
        <v>125</v>
      </c>
      <c r="G1269" s="101">
        <v>1068489.1399999999</v>
      </c>
      <c r="H1269" s="102">
        <v>1192644</v>
      </c>
      <c r="I1269" s="101">
        <v>594210.67000000004</v>
      </c>
      <c r="J1269" s="101">
        <v>1296300</v>
      </c>
      <c r="K1269" s="10"/>
      <c r="L1269" s="10"/>
      <c r="M1269"/>
      <c r="N1269"/>
    </row>
    <row r="1270" spans="1:14" s="146" customFormat="1" ht="18" x14ac:dyDescent="0.25">
      <c r="A1270" s="519"/>
      <c r="B1270" s="499" t="s">
        <v>123</v>
      </c>
      <c r="C1270" s="502" t="s">
        <v>1388</v>
      </c>
      <c r="D1270" s="1602" t="s">
        <v>126</v>
      </c>
      <c r="E1270" s="1603"/>
      <c r="F1270" s="100" t="s">
        <v>127</v>
      </c>
      <c r="G1270" s="101">
        <v>444155.57</v>
      </c>
      <c r="H1270" s="102">
        <v>499920</v>
      </c>
      <c r="I1270" s="101">
        <v>201978.22</v>
      </c>
      <c r="J1270" s="101">
        <v>542400</v>
      </c>
      <c r="K1270" s="10"/>
      <c r="L1270" s="10"/>
      <c r="M1270"/>
      <c r="N1270"/>
    </row>
    <row r="1271" spans="1:14" s="146" customFormat="1" ht="18" x14ac:dyDescent="0.25">
      <c r="A1271" s="519"/>
      <c r="B1271" s="499" t="s">
        <v>123</v>
      </c>
      <c r="C1271" s="502" t="s">
        <v>1388</v>
      </c>
      <c r="D1271" s="1614" t="s">
        <v>128</v>
      </c>
      <c r="E1271" s="1615"/>
      <c r="F1271" s="100" t="s">
        <v>125</v>
      </c>
      <c r="G1271" s="101"/>
      <c r="H1271" s="102"/>
      <c r="I1271" s="101"/>
      <c r="J1271" s="101">
        <v>6453.63</v>
      </c>
      <c r="K1271" s="10"/>
      <c r="L1271" s="10"/>
      <c r="M1271"/>
      <c r="N1271"/>
    </row>
    <row r="1272" spans="1:14" s="146" customFormat="1" ht="18" customHeight="1" x14ac:dyDescent="0.25">
      <c r="A1272" s="519"/>
      <c r="B1272" s="499" t="s">
        <v>123</v>
      </c>
      <c r="C1272" s="502" t="s">
        <v>1388</v>
      </c>
      <c r="D1272" s="1602" t="s">
        <v>129</v>
      </c>
      <c r="E1272" s="1603"/>
      <c r="F1272" s="103" t="s">
        <v>130</v>
      </c>
      <c r="G1272" s="101">
        <v>213181.73</v>
      </c>
      <c r="H1272" s="102">
        <v>288000</v>
      </c>
      <c r="I1272" s="101">
        <v>126272.71</v>
      </c>
      <c r="J1272" s="101">
        <v>288000</v>
      </c>
      <c r="K1272" s="10"/>
      <c r="L1272" s="10"/>
      <c r="M1272"/>
      <c r="N1272"/>
    </row>
    <row r="1273" spans="1:14" s="146" customFormat="1" ht="18" x14ac:dyDescent="0.25">
      <c r="A1273" s="519"/>
      <c r="B1273" s="499" t="s">
        <v>123</v>
      </c>
      <c r="C1273" s="502" t="s">
        <v>1388</v>
      </c>
      <c r="D1273" s="1602" t="s">
        <v>135</v>
      </c>
      <c r="E1273" s="1603"/>
      <c r="F1273" s="100" t="s">
        <v>136</v>
      </c>
      <c r="G1273" s="101">
        <v>209605.68</v>
      </c>
      <c r="H1273" s="102">
        <v>289431.96000000002</v>
      </c>
      <c r="I1273" s="101">
        <v>95244.65</v>
      </c>
      <c r="J1273" s="101">
        <v>486384.24</v>
      </c>
      <c r="K1273" s="10"/>
      <c r="L1273" s="10"/>
      <c r="M1273"/>
      <c r="N1273"/>
    </row>
    <row r="1274" spans="1:14" s="146" customFormat="1" ht="18" x14ac:dyDescent="0.25">
      <c r="A1274" s="519"/>
      <c r="B1274" s="499" t="s">
        <v>123</v>
      </c>
      <c r="C1274" s="502" t="s">
        <v>1388</v>
      </c>
      <c r="D1274" s="1602" t="s">
        <v>137</v>
      </c>
      <c r="E1274" s="1603"/>
      <c r="F1274" s="100" t="s">
        <v>138</v>
      </c>
      <c r="G1274" s="101">
        <v>42000</v>
      </c>
      <c r="H1274" s="102">
        <v>72000</v>
      </c>
      <c r="I1274" s="101">
        <v>60000</v>
      </c>
      <c r="J1274" s="101">
        <v>72000</v>
      </c>
      <c r="K1274" s="10"/>
      <c r="L1274" s="10"/>
      <c r="M1274"/>
      <c r="N1274"/>
    </row>
    <row r="1275" spans="1:14" s="146" customFormat="1" ht="18" customHeight="1" x14ac:dyDescent="0.25">
      <c r="A1275" s="519"/>
      <c r="B1275" s="499" t="s">
        <v>123</v>
      </c>
      <c r="C1275" s="502" t="s">
        <v>1388</v>
      </c>
      <c r="D1275" s="1602" t="s">
        <v>139</v>
      </c>
      <c r="E1275" s="1603"/>
      <c r="F1275" s="100" t="s">
        <v>140</v>
      </c>
      <c r="G1275" s="101">
        <v>120217</v>
      </c>
      <c r="H1275" s="102">
        <v>141047</v>
      </c>
      <c r="I1275" s="101">
        <v>112418</v>
      </c>
      <c r="J1275" s="101">
        <v>153894</v>
      </c>
      <c r="K1275" s="10"/>
      <c r="L1275" s="10"/>
      <c r="M1275"/>
      <c r="N1275"/>
    </row>
    <row r="1276" spans="1:14" ht="18" x14ac:dyDescent="0.25">
      <c r="A1276" s="519"/>
      <c r="B1276" s="499" t="s">
        <v>123</v>
      </c>
      <c r="C1276" s="502" t="s">
        <v>1388</v>
      </c>
      <c r="D1276" s="1602" t="s">
        <v>141</v>
      </c>
      <c r="E1276" s="1603"/>
      <c r="F1276" s="100" t="s">
        <v>142</v>
      </c>
      <c r="G1276" s="101">
        <v>120217</v>
      </c>
      <c r="H1276" s="102">
        <v>141047</v>
      </c>
      <c r="I1276" s="101"/>
      <c r="J1276" s="101">
        <v>153894</v>
      </c>
    </row>
    <row r="1277" spans="1:14" ht="18" x14ac:dyDescent="0.25">
      <c r="A1277" s="519"/>
      <c r="B1277" s="499" t="s">
        <v>123</v>
      </c>
      <c r="C1277" s="502" t="s">
        <v>1388</v>
      </c>
      <c r="D1277" s="1602" t="s">
        <v>143</v>
      </c>
      <c r="E1277" s="1603"/>
      <c r="F1277" s="100" t="s">
        <v>144</v>
      </c>
      <c r="G1277" s="101">
        <v>50000</v>
      </c>
      <c r="H1277" s="102">
        <v>60000</v>
      </c>
      <c r="I1277" s="101"/>
      <c r="J1277" s="101">
        <v>60000</v>
      </c>
    </row>
    <row r="1278" spans="1:14" ht="18" x14ac:dyDescent="0.25">
      <c r="A1278" s="519"/>
      <c r="B1278" s="499" t="s">
        <v>123</v>
      </c>
      <c r="C1278" s="502" t="s">
        <v>1388</v>
      </c>
      <c r="D1278" s="1602" t="s">
        <v>145</v>
      </c>
      <c r="E1278" s="1603"/>
      <c r="F1278" s="100" t="s">
        <v>146</v>
      </c>
      <c r="G1278" s="101">
        <v>50000</v>
      </c>
      <c r="H1278" s="102">
        <v>60000</v>
      </c>
      <c r="I1278" s="101"/>
      <c r="J1278" s="101">
        <v>60000</v>
      </c>
    </row>
    <row r="1279" spans="1:14" ht="18" x14ac:dyDescent="0.25">
      <c r="A1279" s="519"/>
      <c r="B1279" s="499" t="s">
        <v>123</v>
      </c>
      <c r="C1279" s="502" t="s">
        <v>1388</v>
      </c>
      <c r="D1279" s="513" t="s">
        <v>231</v>
      </c>
      <c r="E1279" s="499"/>
      <c r="F1279" s="100" t="s">
        <v>232</v>
      </c>
      <c r="G1279" s="101">
        <v>0</v>
      </c>
      <c r="H1279" s="102">
        <v>0</v>
      </c>
      <c r="I1279" s="101"/>
      <c r="J1279" s="101">
        <v>5000</v>
      </c>
    </row>
    <row r="1280" spans="1:14" ht="18" x14ac:dyDescent="0.25">
      <c r="A1280" s="519"/>
      <c r="B1280" s="499" t="s">
        <v>123</v>
      </c>
      <c r="C1280" s="502" t="s">
        <v>1388</v>
      </c>
      <c r="D1280" s="536" t="s">
        <v>147</v>
      </c>
      <c r="E1280" s="499"/>
      <c r="F1280" s="100" t="s">
        <v>148</v>
      </c>
      <c r="G1280" s="101"/>
      <c r="H1280" s="102"/>
      <c r="I1280" s="101"/>
      <c r="J1280" s="101">
        <v>36000</v>
      </c>
    </row>
    <row r="1281" spans="1:14" s="146" customFormat="1" ht="18" x14ac:dyDescent="0.25">
      <c r="A1281" s="519"/>
      <c r="B1281" s="499" t="s">
        <v>123</v>
      </c>
      <c r="C1281" s="502" t="s">
        <v>1388</v>
      </c>
      <c r="D1281" s="1611" t="s">
        <v>210</v>
      </c>
      <c r="E1281" s="1611"/>
      <c r="F1281" s="100" t="s">
        <v>464</v>
      </c>
      <c r="G1281" s="101">
        <v>36400</v>
      </c>
      <c r="H1281" s="102">
        <v>54000</v>
      </c>
      <c r="I1281" s="101">
        <v>5850</v>
      </c>
      <c r="J1281" s="101">
        <v>54000</v>
      </c>
      <c r="K1281" s="10"/>
      <c r="L1281" s="10"/>
      <c r="M1281"/>
      <c r="N1281"/>
    </row>
    <row r="1282" spans="1:14" s="146" customFormat="1" ht="18" x14ac:dyDescent="0.25">
      <c r="A1282" s="519"/>
      <c r="B1282" s="499" t="s">
        <v>123</v>
      </c>
      <c r="C1282" s="502" t="s">
        <v>1388</v>
      </c>
      <c r="D1282" s="1611" t="s">
        <v>211</v>
      </c>
      <c r="E1282" s="1611"/>
      <c r="F1282" s="100" t="s">
        <v>212</v>
      </c>
      <c r="G1282" s="101">
        <v>5195.84</v>
      </c>
      <c r="H1282" s="102">
        <v>5400</v>
      </c>
      <c r="I1282" s="101">
        <v>866.02</v>
      </c>
      <c r="J1282" s="101">
        <v>5400</v>
      </c>
      <c r="K1282" s="10"/>
      <c r="L1282" s="10"/>
      <c r="M1282"/>
      <c r="N1282"/>
    </row>
    <row r="1283" spans="1:14" s="146" customFormat="1" ht="18" x14ac:dyDescent="0.25">
      <c r="A1283" s="519"/>
      <c r="B1283" s="499" t="s">
        <v>123</v>
      </c>
      <c r="C1283" s="502" t="s">
        <v>1388</v>
      </c>
      <c r="D1283" s="513" t="s">
        <v>149</v>
      </c>
      <c r="E1283" s="499"/>
      <c r="F1283" s="100" t="s">
        <v>150</v>
      </c>
      <c r="G1283" s="101">
        <v>273885</v>
      </c>
      <c r="H1283" s="102">
        <v>128862</v>
      </c>
      <c r="I1283" s="101">
        <v>22450</v>
      </c>
      <c r="J1283" s="101">
        <v>140918.82</v>
      </c>
      <c r="K1283" s="10"/>
      <c r="L1283" s="10"/>
      <c r="M1283"/>
      <c r="N1283"/>
    </row>
    <row r="1284" spans="1:14" s="146" customFormat="1" ht="18" x14ac:dyDescent="0.25">
      <c r="A1284" s="519"/>
      <c r="B1284" s="499" t="s">
        <v>123</v>
      </c>
      <c r="C1284" s="502" t="s">
        <v>1388</v>
      </c>
      <c r="D1284" s="1611" t="s">
        <v>1284</v>
      </c>
      <c r="E1284" s="1611"/>
      <c r="F1284" s="100" t="s">
        <v>136</v>
      </c>
      <c r="G1284" s="101">
        <v>0</v>
      </c>
      <c r="H1284" s="102">
        <v>137324.85</v>
      </c>
      <c r="I1284" s="101"/>
      <c r="J1284" s="101">
        <v>154854.26</v>
      </c>
      <c r="K1284" s="10"/>
      <c r="L1284" s="10"/>
      <c r="M1284"/>
      <c r="N1284"/>
    </row>
    <row r="1285" spans="1:14" s="146" customFormat="1" ht="18" x14ac:dyDescent="0.25">
      <c r="A1285" s="519"/>
      <c r="B1285" s="499" t="s">
        <v>123</v>
      </c>
      <c r="C1285" s="502" t="s">
        <v>1388</v>
      </c>
      <c r="D1285" s="1602" t="s">
        <v>151</v>
      </c>
      <c r="E1285" s="1603"/>
      <c r="F1285" s="100" t="s">
        <v>148</v>
      </c>
      <c r="G1285" s="101">
        <v>100000</v>
      </c>
      <c r="H1285" s="102"/>
      <c r="I1285" s="101"/>
      <c r="J1285" s="101"/>
      <c r="K1285" s="10"/>
      <c r="L1285" s="10"/>
      <c r="M1285"/>
      <c r="N1285"/>
    </row>
    <row r="1286" spans="1:14" ht="18" customHeight="1" x14ac:dyDescent="0.25">
      <c r="A1286" s="519"/>
      <c r="B1286" s="499" t="s">
        <v>123</v>
      </c>
      <c r="C1286" s="502" t="s">
        <v>1388</v>
      </c>
      <c r="D1286" s="1611" t="s">
        <v>152</v>
      </c>
      <c r="E1286" s="1611"/>
      <c r="F1286" s="100"/>
      <c r="G1286" s="101">
        <v>0</v>
      </c>
      <c r="H1286" s="102">
        <v>109325.55</v>
      </c>
      <c r="I1286" s="101"/>
      <c r="J1286" s="101"/>
    </row>
    <row r="1287" spans="1:14" ht="18" x14ac:dyDescent="0.25">
      <c r="A1287" s="519"/>
      <c r="B1287" s="499" t="s">
        <v>123</v>
      </c>
      <c r="C1287" s="502" t="s">
        <v>1388</v>
      </c>
      <c r="D1287" s="1602" t="s">
        <v>153</v>
      </c>
      <c r="E1287" s="1603"/>
      <c r="F1287" s="100" t="s">
        <v>154</v>
      </c>
      <c r="G1287" s="101">
        <v>156975.67000000001</v>
      </c>
      <c r="H1287" s="102">
        <v>203107.68</v>
      </c>
      <c r="I1287" s="101">
        <v>96713</v>
      </c>
      <c r="J1287" s="101">
        <v>221418.44</v>
      </c>
    </row>
    <row r="1288" spans="1:14" ht="18" x14ac:dyDescent="0.25">
      <c r="A1288" s="519"/>
      <c r="B1288" s="499" t="s">
        <v>123</v>
      </c>
      <c r="C1288" s="502" t="s">
        <v>1388</v>
      </c>
      <c r="D1288" s="1602" t="s">
        <v>155</v>
      </c>
      <c r="E1288" s="1603"/>
      <c r="F1288" s="100" t="s">
        <v>156</v>
      </c>
      <c r="G1288" s="101">
        <v>10600</v>
      </c>
      <c r="H1288" s="102">
        <v>14400</v>
      </c>
      <c r="I1288" s="101">
        <v>6600</v>
      </c>
      <c r="J1288" s="101">
        <v>14400</v>
      </c>
    </row>
    <row r="1289" spans="1:14" ht="18" x14ac:dyDescent="0.25">
      <c r="A1289" s="519"/>
      <c r="B1289" s="499" t="s">
        <v>123</v>
      </c>
      <c r="C1289" s="502" t="s">
        <v>1388</v>
      </c>
      <c r="D1289" s="1602" t="s">
        <v>157</v>
      </c>
      <c r="E1289" s="1603"/>
      <c r="F1289" s="100" t="s">
        <v>158</v>
      </c>
      <c r="G1289" s="101">
        <v>19528.5</v>
      </c>
      <c r="H1289" s="102">
        <v>29619.81</v>
      </c>
      <c r="I1289" s="101">
        <v>12391.59</v>
      </c>
      <c r="J1289" s="101">
        <v>73926.149999999994</v>
      </c>
    </row>
    <row r="1290" spans="1:14" ht="18" x14ac:dyDescent="0.25">
      <c r="A1290" s="519"/>
      <c r="B1290" s="499" t="s">
        <v>123</v>
      </c>
      <c r="C1290" s="502" t="s">
        <v>1388</v>
      </c>
      <c r="D1290" s="1602" t="s">
        <v>159</v>
      </c>
      <c r="E1290" s="1603"/>
      <c r="F1290" s="100" t="s">
        <v>160</v>
      </c>
      <c r="G1290" s="101">
        <v>10603.24</v>
      </c>
      <c r="H1290" s="102">
        <v>14400</v>
      </c>
      <c r="I1290" s="101">
        <v>6600</v>
      </c>
      <c r="J1290" s="105">
        <v>14400</v>
      </c>
    </row>
    <row r="1291" spans="1:14" ht="18" x14ac:dyDescent="0.25">
      <c r="A1291" s="519"/>
      <c r="B1291" s="499"/>
      <c r="C1291" s="502"/>
      <c r="D1291" s="1621" t="s">
        <v>200</v>
      </c>
      <c r="E1291" s="1666"/>
      <c r="F1291" s="376"/>
      <c r="G1291" s="119">
        <f>SUM(G1269:G1290)</f>
        <v>2931054.37</v>
      </c>
      <c r="H1291" s="150">
        <f>SUM(H1269:H1290)</f>
        <v>3440529.85</v>
      </c>
      <c r="I1291" s="119">
        <f>SUM(I1269:I1290)</f>
        <v>1341594.8600000001</v>
      </c>
      <c r="J1291" s="119">
        <f>SUM(J1269:J1290)</f>
        <v>3839643.54</v>
      </c>
      <c r="K1291" s="10">
        <f>J1291-3353259.28</f>
        <v>486384.26000000024</v>
      </c>
    </row>
    <row r="1292" spans="1:14" ht="18" x14ac:dyDescent="0.25">
      <c r="A1292" s="519"/>
      <c r="B1292" s="499"/>
      <c r="C1292" s="499"/>
      <c r="D1292" s="496"/>
      <c r="E1292" s="493"/>
      <c r="F1292" s="376"/>
      <c r="G1292" s="155"/>
      <c r="H1292" s="156"/>
      <c r="I1292" s="155"/>
      <c r="J1292" s="155"/>
    </row>
    <row r="1293" spans="1:14" ht="18" x14ac:dyDescent="0.25">
      <c r="A1293" s="495"/>
      <c r="B1293" s="496"/>
      <c r="C1293" s="496"/>
      <c r="D1293" s="1621" t="s">
        <v>162</v>
      </c>
      <c r="E1293" s="1666"/>
      <c r="F1293" s="376"/>
      <c r="G1293" s="101"/>
      <c r="H1293" s="102"/>
      <c r="I1293" s="101"/>
      <c r="J1293" s="101"/>
    </row>
    <row r="1294" spans="1:14" s="212" customFormat="1" ht="18" customHeight="1" x14ac:dyDescent="0.25">
      <c r="A1294" s="154"/>
      <c r="B1294" s="499" t="s">
        <v>163</v>
      </c>
      <c r="C1294" s="502" t="s">
        <v>1388</v>
      </c>
      <c r="D1294" s="44" t="s">
        <v>164</v>
      </c>
      <c r="E1294" s="125"/>
      <c r="F1294" s="100" t="s">
        <v>165</v>
      </c>
      <c r="G1294" s="101">
        <v>1950</v>
      </c>
      <c r="H1294" s="102">
        <v>30000</v>
      </c>
      <c r="I1294" s="101"/>
      <c r="J1294" s="101">
        <v>30000</v>
      </c>
      <c r="K1294" s="207"/>
      <c r="L1294" s="207"/>
    </row>
    <row r="1295" spans="1:14" s="212" customFormat="1" ht="18" customHeight="1" x14ac:dyDescent="0.25">
      <c r="A1295" s="154"/>
      <c r="B1295" s="499" t="s">
        <v>163</v>
      </c>
      <c r="C1295" s="502" t="s">
        <v>1388</v>
      </c>
      <c r="D1295" s="44" t="s">
        <v>384</v>
      </c>
      <c r="E1295" s="125"/>
      <c r="F1295" s="100" t="s">
        <v>1285</v>
      </c>
      <c r="G1295" s="101">
        <v>65429.38</v>
      </c>
      <c r="H1295" s="102">
        <v>50000</v>
      </c>
      <c r="I1295" s="101">
        <v>24794.44</v>
      </c>
      <c r="J1295" s="101">
        <v>50000</v>
      </c>
      <c r="K1295" s="207"/>
      <c r="L1295" s="207"/>
    </row>
    <row r="1296" spans="1:14" s="212" customFormat="1" ht="18" customHeight="1" x14ac:dyDescent="0.25">
      <c r="A1296" s="154"/>
      <c r="B1296" s="499" t="s">
        <v>163</v>
      </c>
      <c r="C1296" s="502" t="s">
        <v>1388</v>
      </c>
      <c r="D1296" s="44" t="s">
        <v>168</v>
      </c>
      <c r="E1296" s="125"/>
      <c r="F1296" s="100" t="s">
        <v>169</v>
      </c>
      <c r="G1296" s="101">
        <v>41492</v>
      </c>
      <c r="H1296" s="102">
        <v>55000.5</v>
      </c>
      <c r="I1296" s="101">
        <v>32996</v>
      </c>
      <c r="J1296" s="101">
        <v>55000</v>
      </c>
      <c r="K1296" s="207"/>
      <c r="L1296" s="207"/>
    </row>
    <row r="1297" spans="1:12" s="212" customFormat="1" ht="18" customHeight="1" x14ac:dyDescent="0.25">
      <c r="A1297" s="154"/>
      <c r="B1297" s="499" t="s">
        <v>163</v>
      </c>
      <c r="C1297" s="502" t="s">
        <v>1388</v>
      </c>
      <c r="D1297" s="44" t="s">
        <v>172</v>
      </c>
      <c r="E1297" s="125"/>
      <c r="F1297" s="100" t="s">
        <v>173</v>
      </c>
      <c r="G1297" s="101">
        <v>62762.55</v>
      </c>
      <c r="H1297" s="102">
        <v>280010</v>
      </c>
      <c r="I1297" s="101">
        <v>76160.5</v>
      </c>
      <c r="J1297" s="101">
        <v>280010</v>
      </c>
      <c r="K1297" s="207"/>
      <c r="L1297" s="207"/>
    </row>
    <row r="1298" spans="1:12" s="212" customFormat="1" ht="18" customHeight="1" x14ac:dyDescent="0.25">
      <c r="A1298" s="154"/>
      <c r="B1298" s="499" t="s">
        <v>163</v>
      </c>
      <c r="C1298" s="502" t="s">
        <v>1388</v>
      </c>
      <c r="D1298" s="44" t="s">
        <v>174</v>
      </c>
      <c r="E1298" s="125"/>
      <c r="F1298" s="100" t="s">
        <v>171</v>
      </c>
      <c r="G1298" s="101">
        <v>19062</v>
      </c>
      <c r="H1298" s="102">
        <v>100001</v>
      </c>
      <c r="I1298" s="101"/>
      <c r="J1298" s="101"/>
      <c r="K1298" s="207"/>
      <c r="L1298" s="207"/>
    </row>
    <row r="1299" spans="1:12" s="212" customFormat="1" ht="18" customHeight="1" x14ac:dyDescent="0.25">
      <c r="A1299" s="154"/>
      <c r="B1299" s="499" t="s">
        <v>163</v>
      </c>
      <c r="C1299" s="502" t="s">
        <v>1388</v>
      </c>
      <c r="D1299" s="44" t="s">
        <v>213</v>
      </c>
      <c r="E1299" s="125"/>
      <c r="F1299" s="100" t="s">
        <v>171</v>
      </c>
      <c r="G1299" s="101"/>
      <c r="H1299" s="102"/>
      <c r="I1299" s="101"/>
      <c r="J1299" s="101">
        <f>200100+300000</f>
        <v>500100</v>
      </c>
      <c r="K1299" s="207"/>
      <c r="L1299" s="207"/>
    </row>
    <row r="1300" spans="1:12" s="212" customFormat="1" ht="18" customHeight="1" x14ac:dyDescent="0.25">
      <c r="A1300" s="154"/>
      <c r="B1300" s="499" t="s">
        <v>163</v>
      </c>
      <c r="C1300" s="502" t="s">
        <v>1388</v>
      </c>
      <c r="D1300" s="44" t="s">
        <v>1286</v>
      </c>
      <c r="E1300" s="125"/>
      <c r="F1300" s="100" t="s">
        <v>171</v>
      </c>
      <c r="G1300" s="101">
        <v>28270</v>
      </c>
      <c r="H1300" s="102">
        <v>100100</v>
      </c>
      <c r="I1300" s="101"/>
      <c r="J1300" s="101"/>
      <c r="K1300" s="207"/>
      <c r="L1300" s="207"/>
    </row>
    <row r="1301" spans="1:12" s="212" customFormat="1" ht="18" customHeight="1" x14ac:dyDescent="0.25">
      <c r="A1301" s="154"/>
      <c r="B1301" s="499" t="s">
        <v>163</v>
      </c>
      <c r="C1301" s="502" t="s">
        <v>1388</v>
      </c>
      <c r="D1301" s="44" t="s">
        <v>182</v>
      </c>
      <c r="E1301" s="125"/>
      <c r="F1301" s="100" t="s">
        <v>183</v>
      </c>
      <c r="G1301" s="101"/>
      <c r="H1301" s="102">
        <v>42000</v>
      </c>
      <c r="I1301" s="101"/>
      <c r="J1301" s="101">
        <v>42000</v>
      </c>
      <c r="K1301" s="207"/>
      <c r="L1301" s="207"/>
    </row>
    <row r="1302" spans="1:12" s="212" customFormat="1" ht="18" customHeight="1" x14ac:dyDescent="0.25">
      <c r="A1302" s="154"/>
      <c r="B1302" s="499" t="s">
        <v>163</v>
      </c>
      <c r="C1302" s="502" t="s">
        <v>1388</v>
      </c>
      <c r="D1302" s="44" t="s">
        <v>1287</v>
      </c>
      <c r="E1302" s="125"/>
      <c r="F1302" s="100" t="s">
        <v>308</v>
      </c>
      <c r="G1302" s="101">
        <v>0</v>
      </c>
      <c r="H1302" s="102">
        <v>150000</v>
      </c>
      <c r="I1302" s="101"/>
      <c r="J1302" s="101">
        <v>800000</v>
      </c>
      <c r="K1302" s="207"/>
      <c r="L1302" s="207"/>
    </row>
    <row r="1303" spans="1:12" s="212" customFormat="1" ht="18" customHeight="1" x14ac:dyDescent="0.25">
      <c r="A1303" s="154"/>
      <c r="B1303" s="499" t="s">
        <v>163</v>
      </c>
      <c r="C1303" s="502" t="s">
        <v>1388</v>
      </c>
      <c r="D1303" s="44" t="s">
        <v>1288</v>
      </c>
      <c r="E1303" s="125"/>
      <c r="F1303" s="100" t="s">
        <v>187</v>
      </c>
      <c r="G1303" s="101">
        <v>0</v>
      </c>
      <c r="H1303" s="102">
        <v>80000</v>
      </c>
      <c r="I1303" s="101"/>
      <c r="J1303" s="101">
        <v>90000</v>
      </c>
      <c r="K1303" s="207"/>
      <c r="L1303" s="207"/>
    </row>
    <row r="1304" spans="1:12" s="212" customFormat="1" ht="18" customHeight="1" x14ac:dyDescent="0.25">
      <c r="A1304" s="154"/>
      <c r="B1304" s="499" t="s">
        <v>163</v>
      </c>
      <c r="C1304" s="502" t="s">
        <v>1388</v>
      </c>
      <c r="D1304" s="44" t="s">
        <v>1268</v>
      </c>
      <c r="E1304" s="125"/>
      <c r="F1304" s="100" t="s">
        <v>189</v>
      </c>
      <c r="G1304" s="101">
        <v>0</v>
      </c>
      <c r="H1304" s="102">
        <v>40000</v>
      </c>
      <c r="I1304" s="101"/>
      <c r="J1304" s="101">
        <v>40000</v>
      </c>
      <c r="K1304" s="207"/>
      <c r="L1304" s="207"/>
    </row>
    <row r="1305" spans="1:12" s="212" customFormat="1" ht="18" customHeight="1" x14ac:dyDescent="0.25">
      <c r="A1305" s="154"/>
      <c r="B1305" s="499" t="s">
        <v>163</v>
      </c>
      <c r="C1305" s="502" t="s">
        <v>1388</v>
      </c>
      <c r="D1305" s="44" t="s">
        <v>198</v>
      </c>
      <c r="E1305" s="125"/>
      <c r="F1305" s="100" t="s">
        <v>199</v>
      </c>
      <c r="G1305" s="101">
        <v>0</v>
      </c>
      <c r="H1305" s="102"/>
      <c r="I1305" s="101"/>
      <c r="J1305" s="105">
        <v>442040.64</v>
      </c>
      <c r="K1305" s="207"/>
      <c r="L1305" s="207"/>
    </row>
    <row r="1306" spans="1:12" ht="18" x14ac:dyDescent="0.25">
      <c r="A1306" s="519"/>
      <c r="B1306" s="499"/>
      <c r="C1306" s="499"/>
      <c r="D1306" s="1621" t="s">
        <v>200</v>
      </c>
      <c r="E1306" s="1666"/>
      <c r="F1306" s="97"/>
      <c r="G1306" s="119">
        <f>SUM(G1294:G1305)</f>
        <v>218965.93</v>
      </c>
      <c r="H1306" s="150">
        <f>SUM(H1294:H1305)</f>
        <v>927111.5</v>
      </c>
      <c r="I1306" s="119">
        <f>SUM(I1294:I1305)</f>
        <v>133950.94</v>
      </c>
      <c r="J1306" s="119">
        <f>SUM(J1294:J1305)</f>
        <v>2329150.64</v>
      </c>
    </row>
    <row r="1307" spans="1:12" ht="18" x14ac:dyDescent="0.25">
      <c r="A1307" s="519"/>
      <c r="B1307" s="499"/>
      <c r="C1307" s="499"/>
      <c r="D1307" s="496"/>
      <c r="E1307" s="496"/>
      <c r="F1307" s="97"/>
      <c r="G1307" s="155"/>
      <c r="H1307" s="156"/>
      <c r="I1307" s="155"/>
      <c r="J1307" s="155"/>
    </row>
    <row r="1308" spans="1:12" ht="18" customHeight="1" x14ac:dyDescent="0.25">
      <c r="A1308" s="1667" t="s">
        <v>799</v>
      </c>
      <c r="B1308" s="1620"/>
      <c r="C1308" s="1620"/>
      <c r="D1308" s="1620"/>
      <c r="E1308" s="1620"/>
      <c r="F1308" s="97"/>
      <c r="G1308" s="101"/>
      <c r="H1308" s="102"/>
      <c r="I1308" s="101"/>
      <c r="J1308" s="101"/>
    </row>
    <row r="1309" spans="1:12" s="191" customFormat="1" ht="18" customHeight="1" x14ac:dyDescent="0.25">
      <c r="A1309" s="519"/>
      <c r="B1309" s="499" t="s">
        <v>201</v>
      </c>
      <c r="C1309" s="502" t="s">
        <v>1388</v>
      </c>
      <c r="D1309" s="536" t="s">
        <v>1289</v>
      </c>
      <c r="E1309" s="499"/>
      <c r="F1309" s="97"/>
      <c r="G1309" s="101"/>
      <c r="H1309" s="102"/>
      <c r="I1309" s="101"/>
      <c r="J1309" s="250">
        <v>28000</v>
      </c>
      <c r="K1309" s="10"/>
      <c r="L1309" s="10"/>
    </row>
    <row r="1310" spans="1:12" s="191" customFormat="1" ht="18" customHeight="1" x14ac:dyDescent="0.25">
      <c r="A1310" s="519"/>
      <c r="B1310" s="499" t="s">
        <v>201</v>
      </c>
      <c r="C1310" s="502" t="s">
        <v>1388</v>
      </c>
      <c r="D1310" s="536" t="s">
        <v>1290</v>
      </c>
      <c r="E1310" s="499"/>
      <c r="F1310" s="97"/>
      <c r="G1310" s="101"/>
      <c r="H1310" s="102"/>
      <c r="I1310" s="101"/>
      <c r="J1310" s="250">
        <v>23900</v>
      </c>
      <c r="K1310" s="10"/>
      <c r="L1310" s="10"/>
    </row>
    <row r="1311" spans="1:12" s="208" customFormat="1" ht="18" x14ac:dyDescent="0.25">
      <c r="A1311" s="154"/>
      <c r="B1311" s="499" t="s">
        <v>201</v>
      </c>
      <c r="C1311" s="502" t="s">
        <v>1388</v>
      </c>
      <c r="D1311" s="536" t="s">
        <v>1291</v>
      </c>
      <c r="E1311" s="502"/>
      <c r="F1311" s="97"/>
      <c r="G1311" s="101">
        <v>0</v>
      </c>
      <c r="H1311" s="102">
        <v>20000</v>
      </c>
      <c r="I1311" s="101"/>
      <c r="J1311" s="250"/>
      <c r="K1311" s="207"/>
      <c r="L1311" s="207"/>
    </row>
    <row r="1312" spans="1:12" s="208" customFormat="1" ht="18" x14ac:dyDescent="0.25">
      <c r="A1312" s="154"/>
      <c r="B1312" s="499" t="s">
        <v>201</v>
      </c>
      <c r="C1312" s="502" t="s">
        <v>1388</v>
      </c>
      <c r="D1312" s="536" t="s">
        <v>1292</v>
      </c>
      <c r="E1312" s="502"/>
      <c r="F1312" s="97"/>
      <c r="G1312" s="101">
        <v>0</v>
      </c>
      <c r="H1312" s="102">
        <v>30000</v>
      </c>
      <c r="I1312" s="101"/>
      <c r="J1312" s="250"/>
      <c r="K1312" s="207"/>
      <c r="L1312" s="207"/>
    </row>
    <row r="1313" spans="1:12" s="208" customFormat="1" ht="18" x14ac:dyDescent="0.25">
      <c r="A1313" s="154"/>
      <c r="B1313" s="499" t="s">
        <v>201</v>
      </c>
      <c r="C1313" s="502" t="s">
        <v>1388</v>
      </c>
      <c r="D1313" s="536" t="s">
        <v>1293</v>
      </c>
      <c r="E1313" s="502"/>
      <c r="F1313" s="97"/>
      <c r="G1313" s="101">
        <v>0</v>
      </c>
      <c r="H1313" s="102">
        <v>20000</v>
      </c>
      <c r="I1313" s="101"/>
      <c r="J1313" s="250"/>
      <c r="K1313" s="207"/>
      <c r="L1313" s="207"/>
    </row>
    <row r="1314" spans="1:12" s="208" customFormat="1" ht="18" x14ac:dyDescent="0.25">
      <c r="A1314" s="154"/>
      <c r="B1314" s="499" t="s">
        <v>201</v>
      </c>
      <c r="C1314" s="502" t="s">
        <v>1388</v>
      </c>
      <c r="D1314" s="536" t="s">
        <v>1294</v>
      </c>
      <c r="E1314" s="502"/>
      <c r="F1314" s="97"/>
      <c r="G1314" s="101">
        <v>0</v>
      </c>
      <c r="H1314" s="102">
        <v>30000</v>
      </c>
      <c r="I1314" s="101"/>
      <c r="J1314" s="250"/>
      <c r="K1314" s="207"/>
      <c r="L1314" s="207"/>
    </row>
    <row r="1315" spans="1:12" s="208" customFormat="1" ht="18" x14ac:dyDescent="0.25">
      <c r="A1315" s="154"/>
      <c r="B1315" s="499" t="s">
        <v>201</v>
      </c>
      <c r="C1315" s="502" t="s">
        <v>1388</v>
      </c>
      <c r="D1315" s="536" t="s">
        <v>1295</v>
      </c>
      <c r="E1315" s="502"/>
      <c r="F1315" s="97"/>
      <c r="G1315" s="101">
        <v>0</v>
      </c>
      <c r="H1315" s="102">
        <v>40000</v>
      </c>
      <c r="I1315" s="101"/>
      <c r="J1315" s="250"/>
      <c r="K1315" s="207"/>
      <c r="L1315" s="207"/>
    </row>
    <row r="1316" spans="1:12" s="208" customFormat="1" ht="18" x14ac:dyDescent="0.25">
      <c r="A1316" s="154"/>
      <c r="B1316" s="499" t="s">
        <v>201</v>
      </c>
      <c r="C1316" s="502" t="s">
        <v>1388</v>
      </c>
      <c r="D1316" s="536" t="s">
        <v>1296</v>
      </c>
      <c r="E1316" s="502"/>
      <c r="F1316" s="97"/>
      <c r="G1316" s="101">
        <v>0</v>
      </c>
      <c r="H1316" s="102">
        <v>20000</v>
      </c>
      <c r="I1316" s="101"/>
      <c r="J1316" s="250">
        <v>26000</v>
      </c>
      <c r="K1316" s="207"/>
      <c r="L1316" s="207"/>
    </row>
    <row r="1317" spans="1:12" ht="18" x14ac:dyDescent="0.25">
      <c r="A1317" s="459"/>
      <c r="B1317" s="499" t="s">
        <v>201</v>
      </c>
      <c r="C1317" s="502" t="s">
        <v>1388</v>
      </c>
      <c r="D1317" s="38" t="s">
        <v>1297</v>
      </c>
      <c r="E1317" s="235"/>
      <c r="F1317" s="97"/>
      <c r="G1317" s="101">
        <v>89500</v>
      </c>
      <c r="H1317" s="102">
        <v>0</v>
      </c>
      <c r="I1317" s="101"/>
      <c r="J1317" s="105"/>
    </row>
    <row r="1318" spans="1:12" ht="18" x14ac:dyDescent="0.25">
      <c r="A1318" s="459"/>
      <c r="B1318" s="235"/>
      <c r="C1318" s="235"/>
      <c r="D1318" s="543" t="s">
        <v>200</v>
      </c>
      <c r="E1318" s="235"/>
      <c r="F1318" s="97"/>
      <c r="G1318" s="119">
        <f>SUM(G1311:G1317)</f>
        <v>89500</v>
      </c>
      <c r="H1318" s="150">
        <f>SUM(H1311:H1317)</f>
        <v>160000</v>
      </c>
      <c r="I1318" s="150">
        <f>SUM(I1311:I1317)</f>
        <v>0</v>
      </c>
      <c r="J1318" s="119">
        <f>SUM(J1309:J1317)</f>
        <v>77900</v>
      </c>
    </row>
    <row r="1319" spans="1:12" s="281" customFormat="1" ht="18.75" thickBot="1" x14ac:dyDescent="0.3">
      <c r="A1319" s="460"/>
      <c r="B1319" s="461"/>
      <c r="C1319" s="461"/>
      <c r="D1319" s="263" t="s">
        <v>15</v>
      </c>
      <c r="E1319" s="461"/>
      <c r="F1319" s="462"/>
      <c r="G1319" s="182">
        <f>SUM(G1318+G1306+G1291)</f>
        <v>3239520.3000000003</v>
      </c>
      <c r="H1319" s="183">
        <f>SUM(H1318+H1306+H1291)</f>
        <v>4527641.3499999996</v>
      </c>
      <c r="I1319" s="183">
        <f>SUM(I1318+I1306+I1291)</f>
        <v>1475545.8</v>
      </c>
      <c r="J1319" s="183">
        <f>SUM(J1318+J1306+J1291)</f>
        <v>6246694.1799999997</v>
      </c>
      <c r="K1319" s="280"/>
      <c r="L1319" s="280"/>
    </row>
    <row r="1320" spans="1:12" ht="18" x14ac:dyDescent="0.25">
      <c r="A1320" s="235"/>
      <c r="B1320" s="235"/>
      <c r="C1320" s="235"/>
      <c r="D1320" s="51"/>
      <c r="E1320" s="235"/>
      <c r="F1320" s="125"/>
      <c r="G1320" s="141"/>
      <c r="H1320" s="122"/>
      <c r="I1320" s="141"/>
      <c r="J1320" s="141"/>
    </row>
    <row r="1321" spans="1:12" ht="18" x14ac:dyDescent="0.25">
      <c r="A1321" s="235"/>
      <c r="B1321" s="235"/>
      <c r="C1321" s="235"/>
      <c r="D1321" s="51"/>
      <c r="E1321" s="235"/>
      <c r="F1321" s="125"/>
      <c r="G1321" s="141"/>
      <c r="H1321" s="122"/>
      <c r="I1321" s="141"/>
      <c r="J1321" s="141"/>
    </row>
    <row r="1322" spans="1:12" ht="18" x14ac:dyDescent="0.25">
      <c r="A1322" s="235"/>
      <c r="B1322" s="235"/>
      <c r="C1322" s="235"/>
      <c r="D1322" s="51"/>
      <c r="E1322" s="235"/>
      <c r="F1322" s="125"/>
      <c r="G1322" s="141"/>
      <c r="H1322" s="122"/>
      <c r="I1322" s="141"/>
      <c r="J1322" s="141"/>
    </row>
    <row r="1323" spans="1:12" ht="18" x14ac:dyDescent="0.25">
      <c r="A1323" s="235"/>
      <c r="B1323" s="235"/>
      <c r="C1323" s="235"/>
      <c r="D1323" s="51"/>
      <c r="E1323" s="235"/>
      <c r="F1323" s="125"/>
      <c r="G1323" s="141"/>
      <c r="H1323" s="122"/>
      <c r="I1323" s="141"/>
      <c r="J1323" s="141"/>
    </row>
    <row r="1324" spans="1:12" ht="18" x14ac:dyDescent="0.25">
      <c r="A1324" s="235"/>
      <c r="B1324" s="235"/>
      <c r="C1324" s="235"/>
      <c r="D1324" s="51"/>
      <c r="E1324" s="235"/>
      <c r="F1324" s="125"/>
      <c r="G1324" s="141"/>
      <c r="H1324" s="122"/>
      <c r="I1324" s="141"/>
      <c r="J1324" s="141"/>
    </row>
    <row r="1325" spans="1:12" ht="18" x14ac:dyDescent="0.25">
      <c r="A1325" s="235"/>
      <c r="B1325" s="235"/>
      <c r="C1325" s="235"/>
      <c r="D1325" s="51"/>
      <c r="E1325" s="235"/>
      <c r="F1325" s="125"/>
      <c r="G1325" s="141"/>
      <c r="H1325" s="122"/>
      <c r="I1325" s="141"/>
      <c r="J1325" s="141"/>
    </row>
    <row r="1326" spans="1:12" ht="18" x14ac:dyDescent="0.25">
      <c r="A1326" s="235"/>
      <c r="B1326" s="235"/>
      <c r="C1326" s="235"/>
      <c r="D1326" s="51"/>
      <c r="E1326" s="235"/>
      <c r="F1326" s="125"/>
      <c r="G1326" s="141"/>
      <c r="H1326" s="122"/>
      <c r="I1326" s="141"/>
      <c r="J1326" s="141"/>
    </row>
    <row r="1327" spans="1:12" ht="18" customHeight="1" x14ac:dyDescent="0.25">
      <c r="A1327" s="8" t="s">
        <v>112</v>
      </c>
    </row>
    <row r="1328" spans="1:12" ht="18" customHeight="1" x14ac:dyDescent="0.25">
      <c r="A1328" s="8" t="s">
        <v>1377</v>
      </c>
    </row>
    <row r="1329" spans="1:14" ht="18" customHeight="1" x14ac:dyDescent="0.25">
      <c r="A1329" s="1636" t="s">
        <v>113</v>
      </c>
      <c r="B1329" s="1636"/>
      <c r="C1329" s="1636"/>
      <c r="D1329" s="1636"/>
      <c r="E1329" s="1636"/>
      <c r="F1329" s="1636"/>
      <c r="G1329" s="1636"/>
      <c r="H1329" s="1636"/>
      <c r="I1329" s="1636"/>
      <c r="J1329" s="1636"/>
    </row>
    <row r="1330" spans="1:14" s="7" customFormat="1" ht="18" customHeight="1" x14ac:dyDescent="0.25">
      <c r="A1330" s="1624" t="s">
        <v>114</v>
      </c>
      <c r="B1330" s="1624"/>
      <c r="C1330" s="1624"/>
      <c r="D1330" s="1624"/>
      <c r="E1330" s="1624"/>
      <c r="F1330" s="1624"/>
      <c r="G1330" s="1624"/>
      <c r="H1330" s="1624"/>
      <c r="I1330" s="1624"/>
      <c r="J1330" s="1624"/>
      <c r="K1330" s="6"/>
      <c r="L1330" s="6"/>
    </row>
    <row r="1331" spans="1:14" ht="18" x14ac:dyDescent="0.25">
      <c r="A1331" s="235"/>
      <c r="B1331" s="235"/>
      <c r="C1331" s="235"/>
      <c r="D1331" s="51"/>
      <c r="E1331" s="235"/>
      <c r="F1331" s="125"/>
      <c r="G1331" s="141"/>
      <c r="H1331" s="122"/>
      <c r="I1331" s="141"/>
      <c r="J1331" s="141"/>
    </row>
    <row r="1332" spans="1:14" s="146" customFormat="1" ht="18.75" thickBot="1" x14ac:dyDescent="0.3">
      <c r="A1332" s="1" t="s">
        <v>1298</v>
      </c>
      <c r="B1332" s="1"/>
      <c r="C1332" s="1"/>
      <c r="D1332" s="2"/>
      <c r="E1332" s="3"/>
      <c r="F1332" s="3"/>
      <c r="G1332" s="4"/>
      <c r="H1332" s="5"/>
      <c r="I1332" s="4"/>
      <c r="J1332" s="4"/>
      <c r="K1332" s="10"/>
      <c r="L1332" s="10"/>
      <c r="M1332"/>
      <c r="N1332"/>
    </row>
    <row r="1333" spans="1:14" s="146" customFormat="1" ht="66" customHeight="1" thickBot="1" x14ac:dyDescent="0.3">
      <c r="A1333" s="1655" t="s">
        <v>115</v>
      </c>
      <c r="B1333" s="1655"/>
      <c r="C1333" s="1655"/>
      <c r="D1333" s="1655"/>
      <c r="E1333" s="1655"/>
      <c r="F1333" s="93" t="s">
        <v>116</v>
      </c>
      <c r="G1333" s="130" t="s">
        <v>117</v>
      </c>
      <c r="H1333" s="130" t="s">
        <v>118</v>
      </c>
      <c r="I1333" s="130" t="s">
        <v>119</v>
      </c>
      <c r="J1333" s="130" t="s">
        <v>120</v>
      </c>
      <c r="K1333" s="10"/>
      <c r="L1333" s="10"/>
      <c r="M1333"/>
      <c r="N1333"/>
    </row>
    <row r="1334" spans="1:14" s="146" customFormat="1" ht="18" x14ac:dyDescent="0.25">
      <c r="A1334" s="1670" t="s">
        <v>121</v>
      </c>
      <c r="B1334" s="1670"/>
      <c r="C1334" s="1670"/>
      <c r="D1334" s="1670"/>
      <c r="E1334" s="1670"/>
      <c r="F1334" s="94"/>
      <c r="G1334" s="95"/>
      <c r="H1334" s="96"/>
      <c r="I1334" s="95"/>
      <c r="J1334" s="95"/>
      <c r="K1334" s="10"/>
      <c r="L1334" s="10"/>
      <c r="M1334"/>
      <c r="N1334"/>
    </row>
    <row r="1335" spans="1:14" s="146" customFormat="1" ht="18" x14ac:dyDescent="0.25">
      <c r="A1335" s="495"/>
      <c r="B1335" s="496"/>
      <c r="C1335" s="496"/>
      <c r="D1335" s="1621" t="s">
        <v>122</v>
      </c>
      <c r="E1335" s="1666"/>
      <c r="F1335" s="97"/>
      <c r="G1335" s="98"/>
      <c r="H1335" s="99"/>
      <c r="I1335" s="98"/>
      <c r="J1335" s="98"/>
      <c r="K1335" s="10"/>
      <c r="L1335" s="10"/>
      <c r="M1335"/>
      <c r="N1335"/>
    </row>
    <row r="1336" spans="1:14" s="146" customFormat="1" ht="18" x14ac:dyDescent="0.25">
      <c r="A1336" s="519"/>
      <c r="B1336" s="499" t="s">
        <v>123</v>
      </c>
      <c r="C1336" s="502" t="s">
        <v>1388</v>
      </c>
      <c r="D1336" s="1602" t="s">
        <v>124</v>
      </c>
      <c r="E1336" s="1603"/>
      <c r="F1336" s="100" t="s">
        <v>125</v>
      </c>
      <c r="G1336" s="101">
        <v>2300526</v>
      </c>
      <c r="H1336" s="102">
        <v>2887656</v>
      </c>
      <c r="I1336" s="112">
        <v>1409227.54</v>
      </c>
      <c r="J1336" s="101">
        <v>3160164</v>
      </c>
      <c r="K1336" s="10"/>
      <c r="L1336" s="10"/>
      <c r="M1336"/>
      <c r="N1336"/>
    </row>
    <row r="1337" spans="1:14" s="146" customFormat="1" ht="18" x14ac:dyDescent="0.25">
      <c r="A1337" s="519"/>
      <c r="B1337" s="499" t="s">
        <v>123</v>
      </c>
      <c r="C1337" s="502" t="s">
        <v>1388</v>
      </c>
      <c r="D1337" s="1602" t="s">
        <v>128</v>
      </c>
      <c r="E1337" s="1603"/>
      <c r="F1337" s="100" t="s">
        <v>125</v>
      </c>
      <c r="G1337" s="101"/>
      <c r="H1337" s="102">
        <v>5832</v>
      </c>
      <c r="I1337" s="101"/>
      <c r="J1337" s="101">
        <v>6038.72</v>
      </c>
      <c r="K1337" s="10"/>
      <c r="L1337" s="10"/>
      <c r="M1337"/>
      <c r="N1337"/>
    </row>
    <row r="1338" spans="1:14" s="146" customFormat="1" ht="18" x14ac:dyDescent="0.25">
      <c r="A1338" s="519"/>
      <c r="B1338" s="499" t="s">
        <v>123</v>
      </c>
      <c r="C1338" s="502" t="s">
        <v>1388</v>
      </c>
      <c r="D1338" s="1602" t="s">
        <v>129</v>
      </c>
      <c r="E1338" s="1603"/>
      <c r="F1338" s="103" t="s">
        <v>130</v>
      </c>
      <c r="G1338" s="101">
        <v>335000</v>
      </c>
      <c r="H1338" s="102">
        <v>432000</v>
      </c>
      <c r="I1338" s="101">
        <v>195909.09</v>
      </c>
      <c r="J1338" s="101">
        <v>432000</v>
      </c>
      <c r="K1338" s="10"/>
      <c r="L1338" s="10"/>
      <c r="M1338"/>
      <c r="N1338"/>
    </row>
    <row r="1339" spans="1:14" s="146" customFormat="1" ht="18" x14ac:dyDescent="0.25">
      <c r="A1339" s="519"/>
      <c r="B1339" s="499" t="s">
        <v>123</v>
      </c>
      <c r="C1339" s="502" t="s">
        <v>1388</v>
      </c>
      <c r="D1339" s="1602" t="s">
        <v>135</v>
      </c>
      <c r="E1339" s="1603"/>
      <c r="F1339" s="100" t="s">
        <v>136</v>
      </c>
      <c r="G1339" s="101">
        <v>405422.89</v>
      </c>
      <c r="H1339" s="102">
        <v>527266.36</v>
      </c>
      <c r="I1339" s="101">
        <v>204511.31</v>
      </c>
      <c r="J1339" s="102">
        <v>552447.27</v>
      </c>
      <c r="K1339" s="10"/>
      <c r="L1339" s="10"/>
      <c r="M1339"/>
      <c r="N1339"/>
    </row>
    <row r="1340" spans="1:14" s="146" customFormat="1" ht="18" x14ac:dyDescent="0.25">
      <c r="A1340" s="519"/>
      <c r="B1340" s="499" t="s">
        <v>123</v>
      </c>
      <c r="C1340" s="502" t="s">
        <v>1388</v>
      </c>
      <c r="D1340" s="1602" t="s">
        <v>137</v>
      </c>
      <c r="E1340" s="1603"/>
      <c r="F1340" s="100" t="s">
        <v>138</v>
      </c>
      <c r="G1340" s="101">
        <v>84000</v>
      </c>
      <c r="H1340" s="102">
        <v>108000</v>
      </c>
      <c r="I1340" s="101">
        <v>84000</v>
      </c>
      <c r="J1340" s="101">
        <v>108000</v>
      </c>
      <c r="K1340" s="10"/>
      <c r="L1340" s="10"/>
      <c r="M1340"/>
      <c r="N1340"/>
    </row>
    <row r="1341" spans="1:14" s="146" customFormat="1" ht="18" customHeight="1" x14ac:dyDescent="0.25">
      <c r="A1341" s="519"/>
      <c r="B1341" s="499" t="s">
        <v>123</v>
      </c>
      <c r="C1341" s="502" t="s">
        <v>1388</v>
      </c>
      <c r="D1341" s="1602" t="s">
        <v>139</v>
      </c>
      <c r="E1341" s="1603"/>
      <c r="F1341" s="100" t="s">
        <v>140</v>
      </c>
      <c r="G1341" s="101">
        <v>192228</v>
      </c>
      <c r="H1341" s="102">
        <v>240175</v>
      </c>
      <c r="I1341" s="101">
        <v>201336</v>
      </c>
      <c r="J1341" s="101">
        <v>263980</v>
      </c>
      <c r="K1341" s="10"/>
      <c r="L1341" s="10"/>
      <c r="M1341"/>
      <c r="N1341"/>
    </row>
    <row r="1342" spans="1:14" s="146" customFormat="1" ht="18" x14ac:dyDescent="0.25">
      <c r="A1342" s="519"/>
      <c r="B1342" s="499" t="s">
        <v>123</v>
      </c>
      <c r="C1342" s="502" t="s">
        <v>1388</v>
      </c>
      <c r="D1342" s="1602" t="s">
        <v>141</v>
      </c>
      <c r="E1342" s="1603"/>
      <c r="F1342" s="100" t="s">
        <v>142</v>
      </c>
      <c r="G1342" s="101">
        <v>179065</v>
      </c>
      <c r="H1342" s="102">
        <v>241071</v>
      </c>
      <c r="I1342" s="101"/>
      <c r="J1342" s="101">
        <v>263980</v>
      </c>
      <c r="K1342" s="10"/>
      <c r="L1342" s="10"/>
      <c r="M1342"/>
      <c r="N1342"/>
    </row>
    <row r="1343" spans="1:14" s="146" customFormat="1" ht="18" x14ac:dyDescent="0.25">
      <c r="A1343" s="519"/>
      <c r="B1343" s="499" t="s">
        <v>123</v>
      </c>
      <c r="C1343" s="502" t="s">
        <v>1388</v>
      </c>
      <c r="D1343" s="1602" t="s">
        <v>143</v>
      </c>
      <c r="E1343" s="1603"/>
      <c r="F1343" s="100" t="s">
        <v>144</v>
      </c>
      <c r="G1343" s="101">
        <v>65000</v>
      </c>
      <c r="H1343" s="102">
        <v>90000</v>
      </c>
      <c r="I1343" s="101"/>
      <c r="J1343" s="101">
        <v>90000</v>
      </c>
      <c r="K1343" s="10"/>
      <c r="L1343" s="10"/>
      <c r="M1343"/>
      <c r="N1343"/>
    </row>
    <row r="1344" spans="1:14" s="146" customFormat="1" ht="18" x14ac:dyDescent="0.25">
      <c r="A1344" s="519"/>
      <c r="B1344" s="499" t="s">
        <v>123</v>
      </c>
      <c r="C1344" s="502" t="s">
        <v>1388</v>
      </c>
      <c r="D1344" s="1602" t="s">
        <v>145</v>
      </c>
      <c r="E1344" s="1603"/>
      <c r="F1344" s="100" t="s">
        <v>146</v>
      </c>
      <c r="G1344" s="101">
        <v>70000</v>
      </c>
      <c r="H1344" s="102">
        <v>90000</v>
      </c>
      <c r="I1344" s="101"/>
      <c r="J1344" s="101">
        <v>90000</v>
      </c>
      <c r="K1344" s="10"/>
      <c r="L1344" s="10"/>
      <c r="M1344"/>
      <c r="N1344"/>
    </row>
    <row r="1345" spans="1:14" s="146" customFormat="1" ht="18" x14ac:dyDescent="0.25">
      <c r="A1345" s="519"/>
      <c r="B1345" s="499" t="s">
        <v>123</v>
      </c>
      <c r="C1345" s="502" t="s">
        <v>1388</v>
      </c>
      <c r="D1345" s="537" t="s">
        <v>147</v>
      </c>
      <c r="E1345" s="492"/>
      <c r="F1345" s="100" t="s">
        <v>148</v>
      </c>
      <c r="G1345" s="101"/>
      <c r="H1345" s="102"/>
      <c r="I1345" s="101"/>
      <c r="J1345" s="101">
        <v>54000</v>
      </c>
      <c r="K1345" s="10"/>
      <c r="L1345" s="10"/>
      <c r="M1345"/>
      <c r="N1345"/>
    </row>
    <row r="1346" spans="1:14" s="146" customFormat="1" ht="18" x14ac:dyDescent="0.25">
      <c r="A1346" s="519"/>
      <c r="B1346" s="499" t="s">
        <v>123</v>
      </c>
      <c r="C1346" s="502" t="s">
        <v>1388</v>
      </c>
      <c r="D1346" s="1602" t="s">
        <v>151</v>
      </c>
      <c r="E1346" s="1603"/>
      <c r="F1346" s="100" t="s">
        <v>148</v>
      </c>
      <c r="G1346" s="101">
        <v>140000</v>
      </c>
      <c r="H1346" s="102">
        <v>0</v>
      </c>
      <c r="I1346" s="101"/>
      <c r="J1346" s="101"/>
      <c r="K1346" s="10"/>
      <c r="L1346" s="10"/>
      <c r="M1346"/>
      <c r="N1346"/>
    </row>
    <row r="1347" spans="1:14" s="146" customFormat="1" ht="18" x14ac:dyDescent="0.25">
      <c r="A1347" s="519"/>
      <c r="B1347" s="499" t="s">
        <v>123</v>
      </c>
      <c r="C1347" s="502" t="s">
        <v>1388</v>
      </c>
      <c r="D1347" s="513" t="s">
        <v>149</v>
      </c>
      <c r="E1347" s="499"/>
      <c r="F1347" s="100" t="s">
        <v>150</v>
      </c>
      <c r="G1347" s="101">
        <v>136800</v>
      </c>
      <c r="H1347" s="102">
        <v>0</v>
      </c>
      <c r="I1347" s="101"/>
      <c r="J1347" s="101"/>
      <c r="K1347" s="10"/>
      <c r="L1347" s="10"/>
      <c r="M1347"/>
      <c r="N1347"/>
    </row>
    <row r="1348" spans="1:14" s="146" customFormat="1" ht="18" x14ac:dyDescent="0.25">
      <c r="A1348" s="519"/>
      <c r="B1348" s="499" t="s">
        <v>123</v>
      </c>
      <c r="C1348" s="502" t="s">
        <v>1388</v>
      </c>
      <c r="D1348" s="513" t="s">
        <v>231</v>
      </c>
      <c r="E1348" s="499"/>
      <c r="F1348" s="100" t="s">
        <v>232</v>
      </c>
      <c r="G1348" s="101">
        <v>5000</v>
      </c>
      <c r="H1348" s="102">
        <v>15000</v>
      </c>
      <c r="I1348" s="101"/>
      <c r="J1348" s="101"/>
      <c r="K1348" s="10"/>
      <c r="L1348" s="10"/>
      <c r="M1348"/>
      <c r="N1348"/>
    </row>
    <row r="1349" spans="1:14" s="146" customFormat="1" ht="15" customHeight="1" x14ac:dyDescent="0.25">
      <c r="A1349" s="519"/>
      <c r="B1349" s="499" t="s">
        <v>123</v>
      </c>
      <c r="C1349" s="502" t="s">
        <v>1388</v>
      </c>
      <c r="D1349" s="1611" t="s">
        <v>152</v>
      </c>
      <c r="E1349" s="1611"/>
      <c r="F1349" s="100"/>
      <c r="G1349" s="101">
        <v>0</v>
      </c>
      <c r="H1349" s="102">
        <v>172588.2</v>
      </c>
      <c r="I1349" s="101"/>
      <c r="J1349" s="101"/>
      <c r="K1349" s="10"/>
      <c r="L1349" s="10"/>
      <c r="M1349"/>
      <c r="N1349"/>
    </row>
    <row r="1350" spans="1:14" s="146" customFormat="1" ht="18" x14ac:dyDescent="0.25">
      <c r="A1350" s="519"/>
      <c r="B1350" s="499" t="s">
        <v>123</v>
      </c>
      <c r="C1350" s="502" t="s">
        <v>1388</v>
      </c>
      <c r="D1350" s="1602" t="s">
        <v>153</v>
      </c>
      <c r="E1350" s="1603"/>
      <c r="F1350" s="100" t="s">
        <v>154</v>
      </c>
      <c r="G1350" s="101">
        <v>276063.12</v>
      </c>
      <c r="H1350" s="102">
        <v>347218.56</v>
      </c>
      <c r="I1350" s="101">
        <v>169104.26</v>
      </c>
      <c r="J1350" s="101">
        <v>379944.33</v>
      </c>
      <c r="K1350" s="10"/>
      <c r="L1350" s="10"/>
      <c r="M1350"/>
      <c r="N1350"/>
    </row>
    <row r="1351" spans="1:14" s="146" customFormat="1" ht="18" x14ac:dyDescent="0.25">
      <c r="A1351" s="519"/>
      <c r="B1351" s="499" t="s">
        <v>123</v>
      </c>
      <c r="C1351" s="502" t="s">
        <v>1388</v>
      </c>
      <c r="D1351" s="1602" t="s">
        <v>155</v>
      </c>
      <c r="E1351" s="1603"/>
      <c r="F1351" s="100" t="s">
        <v>156</v>
      </c>
      <c r="G1351" s="101">
        <v>16800</v>
      </c>
      <c r="H1351" s="102">
        <v>21600</v>
      </c>
      <c r="I1351" s="101">
        <v>9800</v>
      </c>
      <c r="J1351" s="101">
        <v>21600</v>
      </c>
      <c r="K1351" s="10"/>
      <c r="L1351" s="10"/>
      <c r="M1351"/>
      <c r="N1351"/>
    </row>
    <row r="1352" spans="1:14" s="146" customFormat="1" ht="18" x14ac:dyDescent="0.25">
      <c r="A1352" s="519"/>
      <c r="B1352" s="499" t="s">
        <v>123</v>
      </c>
      <c r="C1352" s="502" t="s">
        <v>1388</v>
      </c>
      <c r="D1352" s="1602" t="s">
        <v>157</v>
      </c>
      <c r="E1352" s="1603"/>
      <c r="F1352" s="100" t="s">
        <v>158</v>
      </c>
      <c r="G1352" s="101">
        <v>34607.74</v>
      </c>
      <c r="H1352" s="102">
        <v>50639.61</v>
      </c>
      <c r="I1352" s="101">
        <v>21148.86</v>
      </c>
      <c r="J1352" s="101">
        <v>126949.55</v>
      </c>
      <c r="K1352" s="10"/>
      <c r="L1352" s="10"/>
      <c r="M1352"/>
      <c r="N1352"/>
    </row>
    <row r="1353" spans="1:14" s="146" customFormat="1" ht="18" x14ac:dyDescent="0.25">
      <c r="A1353" s="519"/>
      <c r="B1353" s="499" t="s">
        <v>123</v>
      </c>
      <c r="C1353" s="502" t="s">
        <v>1388</v>
      </c>
      <c r="D1353" s="1602" t="s">
        <v>159</v>
      </c>
      <c r="E1353" s="1603"/>
      <c r="F1353" s="100" t="s">
        <v>160</v>
      </c>
      <c r="G1353" s="105">
        <v>16800</v>
      </c>
      <c r="H1353" s="106">
        <v>21600</v>
      </c>
      <c r="I1353" s="105">
        <v>9800</v>
      </c>
      <c r="J1353" s="105">
        <v>21600</v>
      </c>
      <c r="K1353" s="10"/>
      <c r="L1353" s="10"/>
      <c r="M1353"/>
      <c r="N1353"/>
    </row>
    <row r="1354" spans="1:14" s="146" customFormat="1" ht="18" x14ac:dyDescent="0.25">
      <c r="A1354" s="519"/>
      <c r="B1354" s="499"/>
      <c r="C1354" s="499"/>
      <c r="D1354" s="1621" t="s">
        <v>161</v>
      </c>
      <c r="E1354" s="1666"/>
      <c r="F1354" s="376"/>
      <c r="G1354" s="119">
        <f>SUM(G1336:G1353)</f>
        <v>4257312.75</v>
      </c>
      <c r="H1354" s="150">
        <f>SUM(H1336:H1353)</f>
        <v>5250646.7299999995</v>
      </c>
      <c r="I1354" s="119">
        <f>SUM(I1336:I1353)</f>
        <v>2304837.06</v>
      </c>
      <c r="J1354" s="119">
        <f>SUM(J1336:J1353)</f>
        <v>5570703.8700000001</v>
      </c>
      <c r="K1354" s="10"/>
      <c r="L1354" s="10"/>
      <c r="M1354"/>
      <c r="N1354"/>
    </row>
    <row r="1355" spans="1:14" s="146" customFormat="1" ht="18" x14ac:dyDescent="0.25">
      <c r="A1355" s="519"/>
      <c r="B1355" s="499"/>
      <c r="C1355" s="499"/>
      <c r="D1355" s="496"/>
      <c r="E1355" s="493"/>
      <c r="F1355" s="376"/>
      <c r="G1355" s="155"/>
      <c r="H1355" s="156"/>
      <c r="I1355" s="155"/>
      <c r="J1355" s="155"/>
      <c r="K1355" s="10"/>
      <c r="L1355" s="10"/>
      <c r="M1355"/>
      <c r="N1355"/>
    </row>
    <row r="1356" spans="1:14" s="146" customFormat="1" ht="18" x14ac:dyDescent="0.25">
      <c r="A1356" s="495"/>
      <c r="B1356" s="496"/>
      <c r="C1356" s="496"/>
      <c r="D1356" s="1621" t="s">
        <v>162</v>
      </c>
      <c r="E1356" s="1666"/>
      <c r="F1356" s="376"/>
      <c r="G1356" s="101"/>
      <c r="H1356" s="102"/>
      <c r="I1356" s="101"/>
      <c r="J1356" s="101"/>
      <c r="K1356" s="10"/>
      <c r="L1356" s="10"/>
      <c r="M1356"/>
      <c r="N1356"/>
    </row>
    <row r="1357" spans="1:14" s="229" customFormat="1" ht="18" customHeight="1" x14ac:dyDescent="0.25">
      <c r="A1357" s="154"/>
      <c r="B1357" s="499" t="s">
        <v>163</v>
      </c>
      <c r="C1357" s="502" t="s">
        <v>1388</v>
      </c>
      <c r="D1357" s="44" t="s">
        <v>164</v>
      </c>
      <c r="E1357" s="125"/>
      <c r="F1357" s="100" t="s">
        <v>165</v>
      </c>
      <c r="G1357" s="101">
        <v>7260</v>
      </c>
      <c r="H1357" s="102">
        <v>30000</v>
      </c>
      <c r="I1357" s="101"/>
      <c r="J1357" s="101">
        <v>30000</v>
      </c>
      <c r="K1357" s="207"/>
      <c r="L1357" s="207"/>
      <c r="M1357" s="212"/>
      <c r="N1357" s="212"/>
    </row>
    <row r="1358" spans="1:14" s="229" customFormat="1" ht="18" customHeight="1" x14ac:dyDescent="0.25">
      <c r="A1358" s="154"/>
      <c r="B1358" s="499" t="s">
        <v>163</v>
      </c>
      <c r="C1358" s="502" t="s">
        <v>1388</v>
      </c>
      <c r="D1358" s="44" t="s">
        <v>168</v>
      </c>
      <c r="E1358" s="125"/>
      <c r="F1358" s="100" t="s">
        <v>169</v>
      </c>
      <c r="G1358" s="101">
        <v>184687</v>
      </c>
      <c r="H1358" s="102">
        <v>226890</v>
      </c>
      <c r="I1358" s="101">
        <v>103305</v>
      </c>
      <c r="J1358" s="101">
        <v>91953</v>
      </c>
      <c r="K1358" s="207"/>
      <c r="L1358" s="207"/>
      <c r="M1358" s="212"/>
      <c r="N1358" s="212"/>
    </row>
    <row r="1359" spans="1:14" s="229" customFormat="1" ht="18" customHeight="1" x14ac:dyDescent="0.25">
      <c r="A1359" s="154"/>
      <c r="B1359" s="499" t="s">
        <v>163</v>
      </c>
      <c r="C1359" s="502" t="s">
        <v>1388</v>
      </c>
      <c r="D1359" s="44" t="s">
        <v>1299</v>
      </c>
      <c r="E1359" s="125"/>
      <c r="F1359" s="100" t="s">
        <v>427</v>
      </c>
      <c r="G1359" s="101">
        <v>640450</v>
      </c>
      <c r="H1359" s="102">
        <v>850500</v>
      </c>
      <c r="I1359" s="101"/>
      <c r="J1359" s="101">
        <v>1342000</v>
      </c>
      <c r="K1359" s="207"/>
      <c r="L1359" s="207"/>
      <c r="M1359" s="212"/>
      <c r="N1359" s="212"/>
    </row>
    <row r="1360" spans="1:14" s="229" customFormat="1" ht="18" customHeight="1" x14ac:dyDescent="0.25">
      <c r="A1360" s="154"/>
      <c r="B1360" s="499" t="s">
        <v>163</v>
      </c>
      <c r="C1360" s="502" t="s">
        <v>1388</v>
      </c>
      <c r="D1360" s="44" t="s">
        <v>172</v>
      </c>
      <c r="E1360" s="125"/>
      <c r="F1360" s="100" t="s">
        <v>173</v>
      </c>
      <c r="G1360" s="101">
        <v>8662.25</v>
      </c>
      <c r="H1360" s="102">
        <v>20000</v>
      </c>
      <c r="I1360" s="101">
        <v>5685.05</v>
      </c>
      <c r="J1360" s="101">
        <v>20000</v>
      </c>
      <c r="K1360" s="207"/>
      <c r="L1360" s="207"/>
      <c r="M1360" s="212"/>
      <c r="N1360" s="212"/>
    </row>
    <row r="1361" spans="1:14" s="229" customFormat="1" ht="18" x14ac:dyDescent="0.25">
      <c r="A1361" s="154"/>
      <c r="B1361" s="499" t="s">
        <v>163</v>
      </c>
      <c r="C1361" s="502" t="s">
        <v>1388</v>
      </c>
      <c r="D1361" s="44" t="s">
        <v>174</v>
      </c>
      <c r="E1361" s="125"/>
      <c r="F1361" s="100" t="s">
        <v>171</v>
      </c>
      <c r="G1361" s="101">
        <v>17434.5</v>
      </c>
      <c r="H1361" s="102">
        <v>69404</v>
      </c>
      <c r="I1361" s="101"/>
      <c r="J1361" s="101"/>
      <c r="K1361" s="207"/>
      <c r="L1361" s="207"/>
      <c r="M1361" s="212"/>
      <c r="N1361" s="212"/>
    </row>
    <row r="1362" spans="1:14" s="229" customFormat="1" ht="18" customHeight="1" x14ac:dyDescent="0.25">
      <c r="A1362" s="154"/>
      <c r="B1362" s="499" t="s">
        <v>163</v>
      </c>
      <c r="C1362" s="502" t="s">
        <v>1388</v>
      </c>
      <c r="D1362" s="536" t="s">
        <v>170</v>
      </c>
      <c r="E1362" s="502"/>
      <c r="F1362" s="100" t="s">
        <v>171</v>
      </c>
      <c r="G1362" s="101"/>
      <c r="H1362" s="102"/>
      <c r="I1362" s="101"/>
      <c r="J1362" s="101">
        <f>103264+500000</f>
        <v>603264</v>
      </c>
      <c r="K1362" s="207"/>
      <c r="L1362" s="207"/>
      <c r="M1362" s="212"/>
      <c r="N1362" s="212"/>
    </row>
    <row r="1363" spans="1:14" s="229" customFormat="1" ht="18" customHeight="1" x14ac:dyDescent="0.25">
      <c r="A1363" s="154"/>
      <c r="B1363" s="499" t="s">
        <v>163</v>
      </c>
      <c r="C1363" s="502" t="s">
        <v>1388</v>
      </c>
      <c r="D1363" s="44" t="s">
        <v>182</v>
      </c>
      <c r="E1363" s="125"/>
      <c r="F1363" s="100" t="s">
        <v>183</v>
      </c>
      <c r="G1363" s="101">
        <v>0</v>
      </c>
      <c r="H1363" s="102">
        <v>42000</v>
      </c>
      <c r="I1363" s="101"/>
      <c r="J1363" s="101">
        <v>42000</v>
      </c>
      <c r="K1363" s="207"/>
      <c r="L1363" s="207"/>
      <c r="M1363" s="212"/>
      <c r="N1363" s="212"/>
    </row>
    <row r="1364" spans="1:14" s="229" customFormat="1" ht="18" customHeight="1" x14ac:dyDescent="0.25">
      <c r="A1364" s="154"/>
      <c r="B1364" s="499" t="s">
        <v>163</v>
      </c>
      <c r="C1364" s="502" t="s">
        <v>1388</v>
      </c>
      <c r="D1364" s="44" t="s">
        <v>1300</v>
      </c>
      <c r="E1364" s="125"/>
      <c r="F1364" s="100" t="s">
        <v>187</v>
      </c>
      <c r="G1364" s="101">
        <v>0</v>
      </c>
      <c r="H1364" s="102">
        <v>20000</v>
      </c>
      <c r="I1364" s="101"/>
      <c r="J1364" s="101">
        <v>20000</v>
      </c>
      <c r="K1364" s="207"/>
      <c r="L1364" s="207"/>
      <c r="M1364" s="212"/>
      <c r="N1364" s="212"/>
    </row>
    <row r="1365" spans="1:14" s="146" customFormat="1" ht="18" x14ac:dyDescent="0.25">
      <c r="A1365" s="519"/>
      <c r="B1365" s="499"/>
      <c r="C1365" s="499"/>
      <c r="D1365" s="1621" t="s">
        <v>200</v>
      </c>
      <c r="E1365" s="1666"/>
      <c r="F1365" s="97"/>
      <c r="G1365" s="119">
        <f>SUM(G1357:G1364)</f>
        <v>858493.75</v>
      </c>
      <c r="H1365" s="150">
        <f>SUM(H1357:H1364)</f>
        <v>1258794</v>
      </c>
      <c r="I1365" s="119">
        <f>SUM(I1357:I1364)</f>
        <v>108990.05</v>
      </c>
      <c r="J1365" s="119">
        <f>SUM(J1357:J1364)</f>
        <v>2149217</v>
      </c>
      <c r="K1365" s="10"/>
      <c r="L1365" s="10"/>
      <c r="M1365"/>
      <c r="N1365"/>
    </row>
    <row r="1366" spans="1:14" s="146" customFormat="1" ht="18" x14ac:dyDescent="0.25">
      <c r="A1366" s="519"/>
      <c r="B1366" s="499"/>
      <c r="C1366" s="499"/>
      <c r="D1366" s="496"/>
      <c r="E1366" s="496"/>
      <c r="F1366" s="97"/>
      <c r="G1366" s="155"/>
      <c r="H1366" s="156"/>
      <c r="I1366" s="155"/>
      <c r="J1366" s="155"/>
      <c r="K1366" s="10"/>
      <c r="L1366" s="10"/>
      <c r="M1366"/>
      <c r="N1366"/>
    </row>
    <row r="1367" spans="1:14" s="146" customFormat="1" ht="18" customHeight="1" x14ac:dyDescent="0.25">
      <c r="A1367" s="1667" t="s">
        <v>799</v>
      </c>
      <c r="B1367" s="1620"/>
      <c r="C1367" s="1620"/>
      <c r="D1367" s="1620"/>
      <c r="E1367" s="1620"/>
      <c r="F1367" s="97"/>
      <c r="G1367" s="101"/>
      <c r="H1367" s="102"/>
      <c r="I1367" s="101"/>
      <c r="J1367" s="101"/>
      <c r="K1367" s="10"/>
      <c r="L1367" s="10"/>
      <c r="M1367"/>
      <c r="N1367"/>
    </row>
    <row r="1368" spans="1:14" s="146" customFormat="1" ht="18" x14ac:dyDescent="0.25">
      <c r="A1368" s="459"/>
      <c r="B1368" s="235" t="s">
        <v>201</v>
      </c>
      <c r="C1368" s="502" t="s">
        <v>1388</v>
      </c>
      <c r="D1368" s="38" t="s">
        <v>1301</v>
      </c>
      <c r="E1368" s="235"/>
      <c r="F1368" s="394" t="s">
        <v>1302</v>
      </c>
      <c r="G1368" s="101">
        <v>0</v>
      </c>
      <c r="H1368" s="102">
        <v>0</v>
      </c>
      <c r="I1368" s="101"/>
      <c r="J1368" s="101">
        <v>30600</v>
      </c>
      <c r="K1368" s="10"/>
      <c r="L1368" s="10"/>
      <c r="M1368"/>
      <c r="N1368"/>
    </row>
    <row r="1369" spans="1:14" s="146" customFormat="1" ht="18" x14ac:dyDescent="0.25">
      <c r="A1369" s="459"/>
      <c r="B1369" s="235" t="s">
        <v>201</v>
      </c>
      <c r="C1369" s="502" t="s">
        <v>1388</v>
      </c>
      <c r="D1369" s="38" t="s">
        <v>1303</v>
      </c>
      <c r="E1369" s="235"/>
      <c r="F1369" s="394"/>
      <c r="G1369" s="101"/>
      <c r="H1369" s="102">
        <v>160000</v>
      </c>
      <c r="I1369" s="101">
        <v>0</v>
      </c>
      <c r="J1369" s="101"/>
      <c r="K1369" s="10"/>
      <c r="L1369" s="10"/>
      <c r="M1369"/>
      <c r="N1369"/>
    </row>
    <row r="1370" spans="1:14" s="146" customFormat="1" ht="18" x14ac:dyDescent="0.25">
      <c r="A1370" s="459"/>
      <c r="B1370" s="235" t="s">
        <v>201</v>
      </c>
      <c r="C1370" s="502" t="s">
        <v>1388</v>
      </c>
      <c r="D1370" s="38" t="s">
        <v>1304</v>
      </c>
      <c r="E1370" s="235"/>
      <c r="F1370" s="394"/>
      <c r="G1370" s="101"/>
      <c r="H1370" s="102">
        <v>33000</v>
      </c>
      <c r="I1370" s="101">
        <v>0</v>
      </c>
      <c r="J1370" s="101"/>
      <c r="K1370" s="10"/>
      <c r="L1370" s="10"/>
      <c r="M1370"/>
      <c r="N1370"/>
    </row>
    <row r="1371" spans="1:14" ht="18" x14ac:dyDescent="0.25">
      <c r="A1371" s="459"/>
      <c r="B1371" s="235" t="s">
        <v>201</v>
      </c>
      <c r="C1371" s="502" t="s">
        <v>1388</v>
      </c>
      <c r="D1371" s="38" t="s">
        <v>204</v>
      </c>
      <c r="E1371" s="235"/>
      <c r="F1371" s="394"/>
      <c r="G1371" s="101">
        <v>0</v>
      </c>
      <c r="H1371" s="102">
        <v>80000</v>
      </c>
      <c r="I1371" s="101">
        <v>0</v>
      </c>
      <c r="J1371" s="101">
        <v>80000</v>
      </c>
    </row>
    <row r="1372" spans="1:14" ht="18" x14ac:dyDescent="0.25">
      <c r="A1372" s="459"/>
      <c r="B1372" s="235" t="s">
        <v>201</v>
      </c>
      <c r="C1372" s="502" t="s">
        <v>1388</v>
      </c>
      <c r="D1372" s="38" t="s">
        <v>1305</v>
      </c>
      <c r="E1372" s="235"/>
      <c r="F1372" s="394"/>
      <c r="G1372" s="105">
        <v>15000</v>
      </c>
      <c r="H1372" s="106"/>
      <c r="I1372" s="105"/>
      <c r="J1372" s="105"/>
    </row>
    <row r="1373" spans="1:14" ht="18" x14ac:dyDescent="0.25">
      <c r="A1373" s="459"/>
      <c r="B1373" s="235"/>
      <c r="C1373" s="235"/>
      <c r="D1373" s="51"/>
      <c r="E1373" s="153" t="s">
        <v>200</v>
      </c>
      <c r="F1373" s="463"/>
      <c r="G1373" s="150">
        <f>SUM(G1368:G1372)</f>
        <v>15000</v>
      </c>
      <c r="H1373" s="150">
        <f>SUM(H1368:H1372)</f>
        <v>273000</v>
      </c>
      <c r="I1373" s="119">
        <f>SUM(I1368:I1371)</f>
        <v>0</v>
      </c>
      <c r="J1373" s="119">
        <f>SUM(J1368:J1371)</f>
        <v>110600</v>
      </c>
    </row>
    <row r="1374" spans="1:14" ht="18.75" thickBot="1" x14ac:dyDescent="0.3">
      <c r="A1374" s="459"/>
      <c r="B1374" s="235"/>
      <c r="C1374" s="235"/>
      <c r="D1374" s="51"/>
      <c r="E1374" s="198" t="s">
        <v>15</v>
      </c>
      <c r="F1374" s="462"/>
      <c r="G1374" s="182">
        <f>SUM(G1373+G1365+G1354)</f>
        <v>5130806.5</v>
      </c>
      <c r="H1374" s="183">
        <f>SUM(H1373+H1365+H1354)</f>
        <v>6782440.7299999995</v>
      </c>
      <c r="I1374" s="182">
        <f>SUM(I1373+I1365+I1354)</f>
        <v>2413827.11</v>
      </c>
      <c r="J1374" s="182">
        <f>SUM(J1373+J1365+J1354)</f>
        <v>7830520.8700000001</v>
      </c>
    </row>
    <row r="1375" spans="1:14" ht="18.75" thickBot="1" x14ac:dyDescent="0.3">
      <c r="A1375" s="464"/>
      <c r="B1375" s="556"/>
      <c r="C1375" s="556"/>
      <c r="D1375" s="465"/>
      <c r="E1375" s="466"/>
      <c r="F1375" s="467"/>
      <c r="G1375" s="383"/>
      <c r="H1375" s="468"/>
      <c r="I1375" s="383"/>
      <c r="J1375" s="469"/>
    </row>
    <row r="1376" spans="1:14" ht="18.75" thickBot="1" x14ac:dyDescent="0.3">
      <c r="A1376" s="1684" t="s">
        <v>785</v>
      </c>
      <c r="B1376" s="1685"/>
      <c r="C1376" s="1685"/>
      <c r="D1376" s="1685"/>
      <c r="E1376" s="1685"/>
      <c r="F1376" s="97"/>
      <c r="G1376" s="101"/>
      <c r="H1376" s="102"/>
      <c r="I1376" s="101"/>
      <c r="J1376" s="250"/>
    </row>
    <row r="1377" spans="1:12" s="208" customFormat="1" ht="18" x14ac:dyDescent="0.25">
      <c r="A1377" s="154"/>
      <c r="B1377" s="502"/>
      <c r="C1377" s="502"/>
      <c r="D1377" s="536" t="s">
        <v>1306</v>
      </c>
      <c r="E1377" s="502"/>
      <c r="F1377" s="97"/>
      <c r="G1377" s="101"/>
      <c r="H1377" s="102">
        <v>1000000</v>
      </c>
      <c r="I1377" s="101"/>
      <c r="J1377" s="250"/>
      <c r="K1377" s="207"/>
      <c r="L1377" s="207"/>
    </row>
    <row r="1378" spans="1:12" s="208" customFormat="1" ht="18" x14ac:dyDescent="0.25">
      <c r="A1378" s="154"/>
      <c r="B1378" s="502"/>
      <c r="C1378" s="502"/>
      <c r="D1378" s="536" t="s">
        <v>1307</v>
      </c>
      <c r="E1378" s="502"/>
      <c r="F1378" s="97"/>
      <c r="G1378" s="101"/>
      <c r="H1378" s="102">
        <v>1000000</v>
      </c>
      <c r="I1378" s="101"/>
      <c r="J1378" s="250"/>
      <c r="K1378" s="207"/>
      <c r="L1378" s="207"/>
    </row>
    <row r="1379" spans="1:12" s="208" customFormat="1" ht="18" x14ac:dyDescent="0.25">
      <c r="A1379" s="154"/>
      <c r="B1379" s="502"/>
      <c r="C1379" s="502"/>
      <c r="D1379" s="536" t="s">
        <v>1308</v>
      </c>
      <c r="E1379" s="502"/>
      <c r="F1379" s="97"/>
      <c r="G1379" s="101"/>
      <c r="H1379" s="102">
        <v>500000</v>
      </c>
      <c r="I1379" s="101"/>
      <c r="J1379" s="250"/>
      <c r="K1379" s="207"/>
      <c r="L1379" s="207"/>
    </row>
    <row r="1380" spans="1:12" s="208" customFormat="1" ht="18" x14ac:dyDescent="0.25">
      <c r="A1380" s="154"/>
      <c r="B1380" s="502"/>
      <c r="C1380" s="502"/>
      <c r="D1380" s="536" t="s">
        <v>1309</v>
      </c>
      <c r="E1380" s="502"/>
      <c r="F1380" s="97"/>
      <c r="G1380" s="101"/>
      <c r="H1380" s="102">
        <v>500000</v>
      </c>
      <c r="I1380" s="101"/>
      <c r="J1380" s="250"/>
      <c r="K1380" s="207"/>
      <c r="L1380" s="207"/>
    </row>
    <row r="1381" spans="1:12" s="208" customFormat="1" ht="18" x14ac:dyDescent="0.25">
      <c r="A1381" s="154"/>
      <c r="B1381" s="502"/>
      <c r="C1381" s="502"/>
      <c r="D1381" s="536" t="s">
        <v>1310</v>
      </c>
      <c r="E1381" s="502"/>
      <c r="F1381" s="97"/>
      <c r="G1381" s="101"/>
      <c r="H1381" s="102">
        <v>600000</v>
      </c>
      <c r="I1381" s="101"/>
      <c r="J1381" s="250"/>
      <c r="K1381" s="207"/>
      <c r="L1381" s="207"/>
    </row>
    <row r="1382" spans="1:12" s="208" customFormat="1" ht="18" x14ac:dyDescent="0.25">
      <c r="A1382" s="154"/>
      <c r="B1382" s="502"/>
      <c r="C1382" s="502"/>
      <c r="D1382" s="536" t="s">
        <v>1311</v>
      </c>
      <c r="E1382" s="502"/>
      <c r="F1382" s="97"/>
      <c r="G1382" s="101"/>
      <c r="H1382" s="102">
        <v>500000</v>
      </c>
      <c r="I1382" s="101"/>
      <c r="J1382" s="250"/>
      <c r="K1382" s="207"/>
      <c r="L1382" s="207"/>
    </row>
    <row r="1383" spans="1:12" s="281" customFormat="1" ht="18" x14ac:dyDescent="0.25">
      <c r="A1383" s="589"/>
      <c r="B1383" s="592"/>
      <c r="C1383" s="592"/>
      <c r="D1383" s="36"/>
      <c r="E1383" s="275" t="s">
        <v>208</v>
      </c>
      <c r="F1383" s="590"/>
      <c r="G1383" s="150">
        <f>SUM(G1377:G1382)</f>
        <v>0</v>
      </c>
      <c r="H1383" s="150">
        <f>SUM(H1377:H1382)</f>
        <v>4100000</v>
      </c>
      <c r="I1383" s="119"/>
      <c r="J1383" s="119">
        <f>SUM(J1377:J1382)</f>
        <v>0</v>
      </c>
      <c r="K1383" s="280"/>
      <c r="L1383" s="280"/>
    </row>
    <row r="1384" spans="1:12" s="281" customFormat="1" ht="15" x14ac:dyDescent="0.25">
      <c r="A1384" s="589"/>
      <c r="B1384" s="592"/>
      <c r="C1384" s="592"/>
      <c r="D1384" s="591" t="s">
        <v>1375</v>
      </c>
      <c r="E1384" s="592"/>
      <c r="F1384" s="592"/>
      <c r="G1384" s="315" t="e">
        <f>G1080</f>
        <v>#REF!</v>
      </c>
      <c r="H1384" s="315" t="e">
        <f>H1080</f>
        <v>#REF!</v>
      </c>
      <c r="I1384" s="315" t="e">
        <f>I1080</f>
        <v>#REF!</v>
      </c>
      <c r="J1384" s="315" t="e">
        <f>J1080</f>
        <v>#REF!</v>
      </c>
      <c r="K1384" s="593">
        <v>824849328.64999998</v>
      </c>
      <c r="L1384" s="593" t="e">
        <f>K1384-J1384</f>
        <v>#REF!</v>
      </c>
    </row>
    <row r="1385" spans="1:12" s="281" customFormat="1" ht="15" x14ac:dyDescent="0.25">
      <c r="A1385" s="589"/>
      <c r="B1385" s="592"/>
      <c r="C1385" s="592"/>
      <c r="D1385" s="591" t="s">
        <v>1378</v>
      </c>
      <c r="E1385" s="592"/>
      <c r="F1385" s="592"/>
      <c r="G1385" s="315">
        <f>SUM(G1383+G1374+G1319+G1222)</f>
        <v>18840651.620000001</v>
      </c>
      <c r="H1385" s="315">
        <f>SUM(H1383+H1374+H1319+H1222)</f>
        <v>31690300</v>
      </c>
      <c r="I1385" s="315">
        <f>SUM(I1383+I1374+I1319+I1222)</f>
        <v>8331299.7599999998</v>
      </c>
      <c r="J1385" s="315">
        <f>SUM(J1383+J1374+J1319+J1222)</f>
        <v>32514130.010000002</v>
      </c>
      <c r="K1385" s="593">
        <v>32514130</v>
      </c>
      <c r="L1385" s="593">
        <f>K1385-J1385</f>
        <v>-1.0000001639127731E-2</v>
      </c>
    </row>
    <row r="1386" spans="1:12" s="281" customFormat="1" ht="16.5" thickBot="1" x14ac:dyDescent="0.3">
      <c r="A1386" s="460"/>
      <c r="B1386" s="461"/>
      <c r="C1386" s="461"/>
      <c r="D1386" s="594" t="s">
        <v>1379</v>
      </c>
      <c r="E1386" s="461"/>
      <c r="F1386" s="461"/>
      <c r="G1386" s="457" t="e">
        <f>SUM(G1384:G1385)</f>
        <v>#REF!</v>
      </c>
      <c r="H1386" s="158" t="e">
        <f>SUM(H1384:H1385)</f>
        <v>#REF!</v>
      </c>
      <c r="I1386" s="123" t="e">
        <f>SUM(I1384:I1385)</f>
        <v>#REF!</v>
      </c>
      <c r="J1386" s="123" t="e">
        <f>SUM(J1384:J1385)</f>
        <v>#REF!</v>
      </c>
      <c r="K1386" s="593">
        <f>SUM(K1384:K1385)</f>
        <v>857363458.64999998</v>
      </c>
      <c r="L1386" s="593" t="e">
        <f>K1386-J1386</f>
        <v>#REF!</v>
      </c>
    </row>
    <row r="1387" spans="1:12" x14ac:dyDescent="0.25">
      <c r="G1387" s="470"/>
      <c r="H1387" s="201"/>
      <c r="I1387" s="200"/>
      <c r="J1387" s="200"/>
    </row>
    <row r="1388" spans="1:12" ht="18" x14ac:dyDescent="0.25">
      <c r="D1388" s="1682" t="s">
        <v>1380</v>
      </c>
      <c r="E1388" s="1682"/>
      <c r="F1388" s="41"/>
      <c r="G1388" s="595"/>
      <c r="H1388" s="596" t="s">
        <v>1381</v>
      </c>
      <c r="I1388" s="595"/>
      <c r="J1388" s="595"/>
    </row>
    <row r="1389" spans="1:12" ht="18" x14ac:dyDescent="0.25">
      <c r="D1389" s="63"/>
      <c r="E1389" s="41"/>
      <c r="F1389" s="41"/>
      <c r="G1389" s="595"/>
      <c r="H1389" s="596"/>
      <c r="I1389" s="595"/>
      <c r="J1389" s="595"/>
    </row>
    <row r="1390" spans="1:12" s="281" customFormat="1" ht="18" x14ac:dyDescent="0.25">
      <c r="A1390" s="597"/>
      <c r="B1390" s="597"/>
      <c r="C1390" s="597"/>
      <c r="D1390" s="1665" t="s">
        <v>1382</v>
      </c>
      <c r="E1390" s="1665"/>
      <c r="F1390" s="151"/>
      <c r="G1390" s="598"/>
      <c r="H1390" s="1681" t="s">
        <v>1383</v>
      </c>
      <c r="I1390" s="1681"/>
      <c r="J1390" s="1681"/>
      <c r="K1390" s="280"/>
      <c r="L1390" s="280"/>
    </row>
    <row r="1391" spans="1:12" ht="18" x14ac:dyDescent="0.25">
      <c r="D1391" s="1682" t="s">
        <v>1384</v>
      </c>
      <c r="E1391" s="1682"/>
      <c r="F1391" s="41"/>
      <c r="G1391" s="595"/>
      <c r="H1391" s="1683" t="s">
        <v>1385</v>
      </c>
      <c r="I1391" s="1683"/>
      <c r="J1391" s="1683"/>
    </row>
    <row r="1392" spans="1:12" x14ac:dyDescent="0.25">
      <c r="G1392" s="470"/>
      <c r="H1392" s="201"/>
      <c r="I1392" s="200"/>
      <c r="J1392" s="200"/>
    </row>
    <row r="1393" spans="1:14" x14ac:dyDescent="0.25">
      <c r="G1393" s="470"/>
      <c r="H1393" s="201"/>
      <c r="I1393" s="200"/>
      <c r="J1393" s="200"/>
    </row>
    <row r="1394" spans="1:14" x14ac:dyDescent="0.25">
      <c r="G1394" s="200"/>
      <c r="H1394" s="201"/>
      <c r="I1394" s="200"/>
      <c r="J1394" s="200"/>
    </row>
    <row r="1395" spans="1:14" x14ac:dyDescent="0.25">
      <c r="G1395" s="471" t="s">
        <v>1314</v>
      </c>
      <c r="H1395" s="472" t="s">
        <v>1315</v>
      </c>
      <c r="I1395" s="471"/>
      <c r="J1395" s="471" t="s">
        <v>1316</v>
      </c>
    </row>
    <row r="1396" spans="1:14" x14ac:dyDescent="0.25">
      <c r="E1396" s="473" t="s">
        <v>1317</v>
      </c>
      <c r="G1396" s="599">
        <v>824849328.64999998</v>
      </c>
      <c r="H1396" s="458" t="e">
        <f>J1384</f>
        <v>#REF!</v>
      </c>
      <c r="J1396" s="474" t="e">
        <f>G1396-H1396</f>
        <v>#REF!</v>
      </c>
      <c r="K1396" s="475" t="e">
        <f>J1386-H1386</f>
        <v>#REF!</v>
      </c>
    </row>
    <row r="1397" spans="1:14" x14ac:dyDescent="0.25">
      <c r="E1397" s="473" t="s">
        <v>1318</v>
      </c>
      <c r="G1397" s="600">
        <v>32514130</v>
      </c>
      <c r="H1397" s="476">
        <f>J1385</f>
        <v>32514130.010000002</v>
      </c>
      <c r="I1397" s="477"/>
      <c r="J1397" s="478">
        <f>G1397-H1397</f>
        <v>-1.0000001639127731E-2</v>
      </c>
      <c r="K1397" s="479" t="e">
        <f>K1396/H1386</f>
        <v>#REF!</v>
      </c>
    </row>
    <row r="1398" spans="1:14" s="146" customFormat="1" x14ac:dyDescent="0.25">
      <c r="A1398" s="8"/>
      <c r="B1398" s="8"/>
      <c r="C1398" s="8"/>
      <c r="D1398" s="9"/>
      <c r="E1398" s="473" t="s">
        <v>1313</v>
      </c>
      <c r="G1398" s="599">
        <f>SUM(G1396:G1397)</f>
        <v>857363458.64999998</v>
      </c>
      <c r="H1398" s="458" t="e">
        <f>J1386</f>
        <v>#REF!</v>
      </c>
      <c r="I1398" s="480"/>
      <c r="J1398" s="474" t="e">
        <f>G1398-H1398</f>
        <v>#REF!</v>
      </c>
      <c r="K1398" s="10"/>
      <c r="L1398" s="10">
        <v>449378968.27999997</v>
      </c>
      <c r="M1398"/>
      <c r="N1398"/>
    </row>
    <row r="1399" spans="1:14" s="146" customFormat="1" x14ac:dyDescent="0.25">
      <c r="A1399" s="8"/>
      <c r="B1399" s="8"/>
      <c r="C1399" s="8"/>
      <c r="D1399" s="9"/>
      <c r="E1399" s="8"/>
      <c r="F1399" s="8"/>
      <c r="G1399" s="481"/>
      <c r="H1399" s="482" t="s">
        <v>1319</v>
      </c>
      <c r="I1399" s="483"/>
      <c r="J1399" s="480" t="e">
        <f>SUM(J1397:J1398)</f>
        <v>#REF!</v>
      </c>
      <c r="K1399" s="10"/>
      <c r="L1399" s="10">
        <v>750428822.36000001</v>
      </c>
      <c r="M1399"/>
      <c r="N1399"/>
    </row>
    <row r="1400" spans="1:14" s="146" customFormat="1" x14ac:dyDescent="0.25">
      <c r="A1400" s="8"/>
      <c r="B1400" s="8"/>
      <c r="C1400" s="8"/>
      <c r="D1400" s="9"/>
      <c r="E1400" s="8"/>
      <c r="F1400" s="8"/>
      <c r="G1400" s="4"/>
      <c r="H1400" s="177"/>
      <c r="I1400" s="265"/>
      <c r="J1400" s="4"/>
      <c r="K1400" s="10"/>
      <c r="L1400" s="10"/>
      <c r="M1400"/>
      <c r="N1400"/>
    </row>
    <row r="1401" spans="1:14" s="146" customFormat="1" x14ac:dyDescent="0.25">
      <c r="A1401" s="8"/>
      <c r="B1401" s="8"/>
      <c r="C1401" s="8"/>
      <c r="D1401" s="9"/>
      <c r="E1401" s="8"/>
      <c r="F1401" s="8"/>
      <c r="G1401" s="4"/>
      <c r="H1401" s="177"/>
      <c r="I1401" s="265"/>
      <c r="J1401" s="4"/>
      <c r="K1401" s="10"/>
      <c r="L1401" s="10"/>
      <c r="M1401"/>
      <c r="N1401"/>
    </row>
    <row r="1402" spans="1:14" s="146" customFormat="1" x14ac:dyDescent="0.25">
      <c r="A1402" s="8"/>
      <c r="B1402" s="8"/>
      <c r="C1402" s="8"/>
      <c r="D1402" s="9"/>
      <c r="E1402" s="8"/>
      <c r="F1402" s="8"/>
      <c r="G1402" s="4"/>
      <c r="H1402" s="177"/>
      <c r="I1402" s="265"/>
      <c r="J1402" s="4"/>
      <c r="K1402" s="10"/>
      <c r="L1402" s="10"/>
      <c r="M1402"/>
      <c r="N1402"/>
    </row>
    <row r="1403" spans="1:14" s="146" customFormat="1" x14ac:dyDescent="0.25">
      <c r="A1403" s="8"/>
      <c r="B1403" s="8"/>
      <c r="C1403" s="8"/>
      <c r="D1403" s="9"/>
      <c r="E1403" s="8"/>
      <c r="F1403" s="8"/>
      <c r="G1403" s="4"/>
      <c r="H1403" s="177"/>
      <c r="I1403" s="265"/>
      <c r="J1403" s="4"/>
      <c r="K1403" s="10"/>
      <c r="L1403" s="10"/>
      <c r="M1403"/>
      <c r="N1403"/>
    </row>
    <row r="1404" spans="1:14" s="146" customFormat="1" x14ac:dyDescent="0.25">
      <c r="A1404" s="8"/>
      <c r="B1404" s="8"/>
      <c r="C1404" s="8"/>
      <c r="D1404" s="9"/>
      <c r="E1404" s="8"/>
      <c r="F1404" s="8"/>
      <c r="G1404" s="4"/>
      <c r="H1404" s="5"/>
      <c r="I1404" s="265"/>
      <c r="J1404" s="4"/>
      <c r="K1404" s="10"/>
      <c r="L1404" s="10"/>
      <c r="M1404"/>
      <c r="N1404"/>
    </row>
  </sheetData>
  <mergeCells count="396">
    <mergeCell ref="D5:E5"/>
    <mergeCell ref="D7:E7"/>
    <mergeCell ref="D10:E10"/>
    <mergeCell ref="D12:E12"/>
    <mergeCell ref="D13:E13"/>
    <mergeCell ref="D15:E15"/>
    <mergeCell ref="D16:E16"/>
    <mergeCell ref="D27:E27"/>
    <mergeCell ref="D28:E28"/>
    <mergeCell ref="A107:E107"/>
    <mergeCell ref="A108:E108"/>
    <mergeCell ref="D110:E110"/>
    <mergeCell ref="D55:E55"/>
    <mergeCell ref="D66:E66"/>
    <mergeCell ref="D71:E71"/>
    <mergeCell ref="D74:E74"/>
    <mergeCell ref="D80:E80"/>
    <mergeCell ref="D81:E81"/>
    <mergeCell ref="D31:E31"/>
    <mergeCell ref="D33:E33"/>
    <mergeCell ref="D34:E34"/>
    <mergeCell ref="D116:E116"/>
    <mergeCell ref="D117:E117"/>
    <mergeCell ref="D118:E118"/>
    <mergeCell ref="D119:E119"/>
    <mergeCell ref="D120:E120"/>
    <mergeCell ref="D121:E121"/>
    <mergeCell ref="D36:E36"/>
    <mergeCell ref="A43:J43"/>
    <mergeCell ref="A44:J44"/>
    <mergeCell ref="A46:E46"/>
    <mergeCell ref="D48:E48"/>
    <mergeCell ref="A51:E52"/>
    <mergeCell ref="D111:E111"/>
    <mergeCell ref="D113:E113"/>
    <mergeCell ref="D114:E114"/>
    <mergeCell ref="D82:E82"/>
    <mergeCell ref="D85:E85"/>
    <mergeCell ref="D87:E87"/>
    <mergeCell ref="D91:E91"/>
    <mergeCell ref="A104:J104"/>
    <mergeCell ref="A105:J105"/>
    <mergeCell ref="D122:E122"/>
    <mergeCell ref="D123:E123"/>
    <mergeCell ref="D124:E124"/>
    <mergeCell ref="D150:E150"/>
    <mergeCell ref="A158:J158"/>
    <mergeCell ref="A159:J159"/>
    <mergeCell ref="D134:E134"/>
    <mergeCell ref="D135:E135"/>
    <mergeCell ref="D136:E136"/>
    <mergeCell ref="D137:E137"/>
    <mergeCell ref="D138:E138"/>
    <mergeCell ref="D139:E139"/>
    <mergeCell ref="D125:E125"/>
    <mergeCell ref="D126:E126"/>
    <mergeCell ref="D127:E127"/>
    <mergeCell ref="D164:E164"/>
    <mergeCell ref="D165:E165"/>
    <mergeCell ref="D166:E166"/>
    <mergeCell ref="D167:E167"/>
    <mergeCell ref="D168:E168"/>
    <mergeCell ref="D169:E169"/>
    <mergeCell ref="D128:E128"/>
    <mergeCell ref="D129:E129"/>
    <mergeCell ref="D130:E130"/>
    <mergeCell ref="D131:E131"/>
    <mergeCell ref="D132:E132"/>
    <mergeCell ref="D133:E133"/>
    <mergeCell ref="A161:E161"/>
    <mergeCell ref="D162:E162"/>
    <mergeCell ref="D163:E163"/>
    <mergeCell ref="D140:E140"/>
    <mergeCell ref="D141:E141"/>
    <mergeCell ref="D142:E142"/>
    <mergeCell ref="D146:E146"/>
    <mergeCell ref="D148:E148"/>
    <mergeCell ref="D149:E149"/>
    <mergeCell ref="D170:E170"/>
    <mergeCell ref="D172:E172"/>
    <mergeCell ref="D173:E173"/>
    <mergeCell ref="D212:E212"/>
    <mergeCell ref="D213:E213"/>
    <mergeCell ref="D214:E214"/>
    <mergeCell ref="D187:E187"/>
    <mergeCell ref="D189:E189"/>
    <mergeCell ref="D190:E190"/>
    <mergeCell ref="D191:E191"/>
    <mergeCell ref="D192:E192"/>
    <mergeCell ref="D193:E193"/>
    <mergeCell ref="D176:E176"/>
    <mergeCell ref="D179:E179"/>
    <mergeCell ref="D180:E180"/>
    <mergeCell ref="D218:E218"/>
    <mergeCell ref="D219:E219"/>
    <mergeCell ref="D220:E220"/>
    <mergeCell ref="D221:E221"/>
    <mergeCell ref="D222:E222"/>
    <mergeCell ref="D223:E223"/>
    <mergeCell ref="D181:E181"/>
    <mergeCell ref="D182:E182"/>
    <mergeCell ref="D183:E183"/>
    <mergeCell ref="D184:E184"/>
    <mergeCell ref="D185:E185"/>
    <mergeCell ref="D186:E186"/>
    <mergeCell ref="D215:E215"/>
    <mergeCell ref="D216:E216"/>
    <mergeCell ref="D217:E217"/>
    <mergeCell ref="D194:E194"/>
    <mergeCell ref="D195:E195"/>
    <mergeCell ref="D196:E196"/>
    <mergeCell ref="A208:J208"/>
    <mergeCell ref="A209:J209"/>
    <mergeCell ref="A211:E211"/>
    <mergeCell ref="D224:E224"/>
    <mergeCell ref="D225:E225"/>
    <mergeCell ref="D226:E226"/>
    <mergeCell ref="D279:E279"/>
    <mergeCell ref="A321:J321"/>
    <mergeCell ref="A322:J322"/>
    <mergeCell ref="D245:E245"/>
    <mergeCell ref="D252:E252"/>
    <mergeCell ref="D253:E253"/>
    <mergeCell ref="D254:E254"/>
    <mergeCell ref="D257:E257"/>
    <mergeCell ref="A262:J262"/>
    <mergeCell ref="D227:E227"/>
    <mergeCell ref="D228:E228"/>
    <mergeCell ref="D229:E229"/>
    <mergeCell ref="D327:E327"/>
    <mergeCell ref="D328:E328"/>
    <mergeCell ref="D341:F341"/>
    <mergeCell ref="D347:E347"/>
    <mergeCell ref="D348:E348"/>
    <mergeCell ref="D349:E349"/>
    <mergeCell ref="D230:E230"/>
    <mergeCell ref="D231:E231"/>
    <mergeCell ref="D234:E234"/>
    <mergeCell ref="D236:E236"/>
    <mergeCell ref="D242:E242"/>
    <mergeCell ref="D243:E243"/>
    <mergeCell ref="A324:E324"/>
    <mergeCell ref="A325:E325"/>
    <mergeCell ref="D326:E326"/>
    <mergeCell ref="A263:J263"/>
    <mergeCell ref="A265:E265"/>
    <mergeCell ref="D268:E268"/>
    <mergeCell ref="D269:E269"/>
    <mergeCell ref="D270:E270"/>
    <mergeCell ref="D275:E275"/>
    <mergeCell ref="D360:E360"/>
    <mergeCell ref="D364:E364"/>
    <mergeCell ref="D365:E365"/>
    <mergeCell ref="D461:E461"/>
    <mergeCell ref="D471:E471"/>
    <mergeCell ref="D476:E476"/>
    <mergeCell ref="D393:E393"/>
    <mergeCell ref="D396:E396"/>
    <mergeCell ref="D404:E404"/>
    <mergeCell ref="D405:E405"/>
    <mergeCell ref="D424:E424"/>
    <mergeCell ref="D425:E425"/>
    <mergeCell ref="D367:E367"/>
    <mergeCell ref="D369:E369"/>
    <mergeCell ref="D370:E370"/>
    <mergeCell ref="D499:E499"/>
    <mergeCell ref="D500:E500"/>
    <mergeCell ref="D512:E512"/>
    <mergeCell ref="A523:J523"/>
    <mergeCell ref="A524:J524"/>
    <mergeCell ref="A526:E526"/>
    <mergeCell ref="D372:E372"/>
    <mergeCell ref="D375:E375"/>
    <mergeCell ref="D376:E376"/>
    <mergeCell ref="A389:J389"/>
    <mergeCell ref="A390:J390"/>
    <mergeCell ref="A392:E392"/>
    <mergeCell ref="D477:E477"/>
    <mergeCell ref="D492:E492"/>
    <mergeCell ref="D493:E493"/>
    <mergeCell ref="D447:E447"/>
    <mergeCell ref="D448:E448"/>
    <mergeCell ref="A456:J456"/>
    <mergeCell ref="A457:J457"/>
    <mergeCell ref="A459:E459"/>
    <mergeCell ref="D460:E460"/>
    <mergeCell ref="D527:E527"/>
    <mergeCell ref="D530:E530"/>
    <mergeCell ref="D533:E533"/>
    <mergeCell ref="D684:E684"/>
    <mergeCell ref="D694:E694"/>
    <mergeCell ref="D695:E695"/>
    <mergeCell ref="D569:E569"/>
    <mergeCell ref="A586:J586"/>
    <mergeCell ref="A587:J587"/>
    <mergeCell ref="A589:E589"/>
    <mergeCell ref="D590:E590"/>
    <mergeCell ref="D597:E597"/>
    <mergeCell ref="D534:E534"/>
    <mergeCell ref="D540:E540"/>
    <mergeCell ref="D547:E547"/>
    <mergeCell ref="D700:E700"/>
    <mergeCell ref="D701:E701"/>
    <mergeCell ref="A706:J706"/>
    <mergeCell ref="A707:J707"/>
    <mergeCell ref="A709:E709"/>
    <mergeCell ref="D732:E732"/>
    <mergeCell ref="D548:E548"/>
    <mergeCell ref="D553:E553"/>
    <mergeCell ref="D554:E554"/>
    <mergeCell ref="D555:E555"/>
    <mergeCell ref="D562:E562"/>
    <mergeCell ref="D568:E568"/>
    <mergeCell ref="D696:E696"/>
    <mergeCell ref="D698:E698"/>
    <mergeCell ref="D699:E699"/>
    <mergeCell ref="D632:E632"/>
    <mergeCell ref="D633:E633"/>
    <mergeCell ref="A650:J650"/>
    <mergeCell ref="A651:J651"/>
    <mergeCell ref="A653:E653"/>
    <mergeCell ref="D655:E655"/>
    <mergeCell ref="D742:E742"/>
    <mergeCell ref="D743:E743"/>
    <mergeCell ref="D746:E746"/>
    <mergeCell ref="A821:J821"/>
    <mergeCell ref="A823:E823"/>
    <mergeCell ref="D825:E825"/>
    <mergeCell ref="D771:E771"/>
    <mergeCell ref="D772:E772"/>
    <mergeCell ref="D790:E790"/>
    <mergeCell ref="D792:E792"/>
    <mergeCell ref="D793:E793"/>
    <mergeCell ref="D794:E794"/>
    <mergeCell ref="D753:E753"/>
    <mergeCell ref="D754:E754"/>
    <mergeCell ref="D755:E755"/>
    <mergeCell ref="D836:E836"/>
    <mergeCell ref="D838:E838"/>
    <mergeCell ref="D844:E844"/>
    <mergeCell ref="D848:E848"/>
    <mergeCell ref="D851:E851"/>
    <mergeCell ref="D853:E853"/>
    <mergeCell ref="D756:E756"/>
    <mergeCell ref="A763:J763"/>
    <mergeCell ref="A764:J764"/>
    <mergeCell ref="A766:E766"/>
    <mergeCell ref="D768:E768"/>
    <mergeCell ref="D769:E769"/>
    <mergeCell ref="D830:E830"/>
    <mergeCell ref="D831:E831"/>
    <mergeCell ref="D835:E835"/>
    <mergeCell ref="D800:E800"/>
    <mergeCell ref="D801:E801"/>
    <mergeCell ref="D808:E808"/>
    <mergeCell ref="D809:E809"/>
    <mergeCell ref="D810:E810"/>
    <mergeCell ref="A820:J820"/>
    <mergeCell ref="D854:E854"/>
    <mergeCell ref="D872:E872"/>
    <mergeCell ref="D873:E873"/>
    <mergeCell ref="D979:E979"/>
    <mergeCell ref="D980:E980"/>
    <mergeCell ref="D982:E982"/>
    <mergeCell ref="D942:E942"/>
    <mergeCell ref="A949:J949"/>
    <mergeCell ref="A950:J950"/>
    <mergeCell ref="A952:E952"/>
    <mergeCell ref="D959:E959"/>
    <mergeCell ref="D961:E961"/>
    <mergeCell ref="A887:J887"/>
    <mergeCell ref="A888:J888"/>
    <mergeCell ref="A890:E890"/>
    <mergeCell ref="A1007:J1007"/>
    <mergeCell ref="A1009:E1009"/>
    <mergeCell ref="D1012:E1012"/>
    <mergeCell ref="D1014:E1014"/>
    <mergeCell ref="D1019:E1019"/>
    <mergeCell ref="D1046:E1046"/>
    <mergeCell ref="D895:E895"/>
    <mergeCell ref="D911:E911"/>
    <mergeCell ref="D917:E917"/>
    <mergeCell ref="D918:E918"/>
    <mergeCell ref="D933:E933"/>
    <mergeCell ref="D935:E935"/>
    <mergeCell ref="D990:E990"/>
    <mergeCell ref="D991:E991"/>
    <mergeCell ref="A1006:J1006"/>
    <mergeCell ref="D963:E963"/>
    <mergeCell ref="D965:E965"/>
    <mergeCell ref="D966:E966"/>
    <mergeCell ref="D976:E976"/>
    <mergeCell ref="D977:E977"/>
    <mergeCell ref="D978:E978"/>
    <mergeCell ref="D1052:E1052"/>
    <mergeCell ref="D1057:E1057"/>
    <mergeCell ref="D1058:E1058"/>
    <mergeCell ref="D1146:E1146"/>
    <mergeCell ref="D1147:E1147"/>
    <mergeCell ref="D1149:E1149"/>
    <mergeCell ref="A1131:J1131"/>
    <mergeCell ref="A1132:J1132"/>
    <mergeCell ref="A1135:E1135"/>
    <mergeCell ref="A1136:E1136"/>
    <mergeCell ref="D1137:E1137"/>
    <mergeCell ref="D1138:E1138"/>
    <mergeCell ref="D1060:E1060"/>
    <mergeCell ref="D1062:E1062"/>
    <mergeCell ref="A1067:J1067"/>
    <mergeCell ref="D1155:E1155"/>
    <mergeCell ref="D1156:E1156"/>
    <mergeCell ref="D1157:E1157"/>
    <mergeCell ref="D1159:E1159"/>
    <mergeCell ref="D1175:E1175"/>
    <mergeCell ref="A1199:J1199"/>
    <mergeCell ref="A1068:J1068"/>
    <mergeCell ref="A1070:E1070"/>
    <mergeCell ref="D1072:E1072"/>
    <mergeCell ref="D1073:E1073"/>
    <mergeCell ref="D1077:E1077"/>
    <mergeCell ref="D1079:E1079"/>
    <mergeCell ref="D1152:E1152"/>
    <mergeCell ref="D1153:E1153"/>
    <mergeCell ref="D1154:E1154"/>
    <mergeCell ref="D1139:E1139"/>
    <mergeCell ref="D1141:E1141"/>
    <mergeCell ref="D1142:E1142"/>
    <mergeCell ref="D1143:E1143"/>
    <mergeCell ref="D1144:E1144"/>
    <mergeCell ref="D1145:E1145"/>
    <mergeCell ref="A1200:J1200"/>
    <mergeCell ref="A1203:E1203"/>
    <mergeCell ref="A1205:E1205"/>
    <mergeCell ref="D1282:E1282"/>
    <mergeCell ref="D1284:E1284"/>
    <mergeCell ref="D1285:E1285"/>
    <mergeCell ref="D1268:E1268"/>
    <mergeCell ref="D1269:E1269"/>
    <mergeCell ref="D1270:E1270"/>
    <mergeCell ref="D1271:E1271"/>
    <mergeCell ref="D1272:E1272"/>
    <mergeCell ref="D1273:E1273"/>
    <mergeCell ref="D1207:E1207"/>
    <mergeCell ref="D1211:E1211"/>
    <mergeCell ref="D1215:E1215"/>
    <mergeCell ref="D1217:E1217"/>
    <mergeCell ref="D1218:E1218"/>
    <mergeCell ref="A1262:J1262"/>
    <mergeCell ref="A1263:J1263"/>
    <mergeCell ref="A1266:E1266"/>
    <mergeCell ref="A1267:E1267"/>
    <mergeCell ref="D1286:E1286"/>
    <mergeCell ref="D1287:E1287"/>
    <mergeCell ref="D1288:E1288"/>
    <mergeCell ref="D1274:E1274"/>
    <mergeCell ref="D1275:E1275"/>
    <mergeCell ref="D1276:E1276"/>
    <mergeCell ref="D1277:E1277"/>
    <mergeCell ref="D1278:E1278"/>
    <mergeCell ref="D1281:E1281"/>
    <mergeCell ref="D1289:E1289"/>
    <mergeCell ref="D1290:E1290"/>
    <mergeCell ref="D1291:E1291"/>
    <mergeCell ref="D1293:E1293"/>
    <mergeCell ref="D1306:E1306"/>
    <mergeCell ref="A1308:E1308"/>
    <mergeCell ref="A1329:J1329"/>
    <mergeCell ref="A1330:J1330"/>
    <mergeCell ref="A1333:E1333"/>
    <mergeCell ref="H1390:J1390"/>
    <mergeCell ref="D1391:E1391"/>
    <mergeCell ref="H1391:J1391"/>
    <mergeCell ref="D1352:E1352"/>
    <mergeCell ref="D1353:E1353"/>
    <mergeCell ref="D1354:E1354"/>
    <mergeCell ref="D1356:E1356"/>
    <mergeCell ref="D1365:E1365"/>
    <mergeCell ref="A1367:E1367"/>
    <mergeCell ref="A1376:E1376"/>
    <mergeCell ref="D1388:E1388"/>
    <mergeCell ref="D1390:E1390"/>
    <mergeCell ref="D1343:E1343"/>
    <mergeCell ref="D1344:E1344"/>
    <mergeCell ref="D1346:E1346"/>
    <mergeCell ref="D1349:E1349"/>
    <mergeCell ref="D1350:E1350"/>
    <mergeCell ref="D1351:E1351"/>
    <mergeCell ref="A1334:E1334"/>
    <mergeCell ref="D1335:E1335"/>
    <mergeCell ref="D1336:E1336"/>
    <mergeCell ref="D1337:E1337"/>
    <mergeCell ref="D1338:E1338"/>
    <mergeCell ref="D1339:E1339"/>
    <mergeCell ref="D1340:E1340"/>
    <mergeCell ref="D1341:E1341"/>
    <mergeCell ref="D1342:E1342"/>
  </mergeCells>
  <pageMargins left="0.43307086614173229" right="0.15748031496062992" top="0.70866141732283472" bottom="1.5748031496062993" header="0.31496062992125984" footer="0.31496062992125984"/>
  <pageSetup paperSize="5" scale="70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2"/>
  <sheetViews>
    <sheetView view="pageBreakPreview" topLeftCell="A406" zoomScaleNormal="100" zoomScaleSheetLayoutView="100" workbookViewId="0">
      <selection activeCell="E93" sqref="E93"/>
    </sheetView>
  </sheetViews>
  <sheetFormatPr defaultRowHeight="18" x14ac:dyDescent="0.25"/>
  <cols>
    <col min="1" max="1" width="6.140625" style="8" customWidth="1"/>
    <col min="2" max="2" width="8.7109375" style="8" customWidth="1"/>
    <col min="3" max="3" width="7.85546875" style="8" customWidth="1"/>
    <col min="4" max="4" width="16" style="41" customWidth="1"/>
    <col min="5" max="5" width="18.7109375" style="714" customWidth="1"/>
    <col min="6" max="6" width="45.5703125" style="8" customWidth="1"/>
    <col min="7" max="7" width="18.5703125" style="8" hidden="1" customWidth="1"/>
    <col min="8" max="8" width="5.28515625" style="8" hidden="1" customWidth="1"/>
    <col min="9" max="9" width="16.7109375" style="4" hidden="1" customWidth="1"/>
    <col min="10" max="10" width="17.140625" style="5" hidden="1" customWidth="1"/>
    <col min="11" max="11" width="16.85546875" style="4" hidden="1" customWidth="1"/>
    <col min="12" max="12" width="18.28515625" style="4" customWidth="1"/>
    <col min="13" max="13" width="17.28515625" style="10" customWidth="1"/>
    <col min="14" max="14" width="19.85546875" style="10" customWidth="1"/>
  </cols>
  <sheetData>
    <row r="1" spans="1:16" s="48" customFormat="1" ht="17.45" customHeight="1" x14ac:dyDescent="0.25">
      <c r="A1" s="626"/>
      <c r="B1" s="617" t="s">
        <v>201</v>
      </c>
      <c r="C1" s="617" t="s">
        <v>1388</v>
      </c>
      <c r="D1" s="97"/>
      <c r="E1" s="619" t="s">
        <v>238</v>
      </c>
      <c r="F1" s="687"/>
      <c r="G1" s="687"/>
      <c r="H1" s="687"/>
      <c r="I1" s="101"/>
      <c r="J1" s="102"/>
      <c r="K1" s="101"/>
      <c r="L1" s="102">
        <v>400000</v>
      </c>
      <c r="M1" s="6"/>
      <c r="N1" s="6"/>
    </row>
    <row r="2" spans="1:16" s="48" customFormat="1" ht="17.45" customHeight="1" x14ac:dyDescent="0.25">
      <c r="A2" s="626"/>
      <c r="B2" s="617" t="s">
        <v>201</v>
      </c>
      <c r="C2" s="617" t="s">
        <v>1388</v>
      </c>
      <c r="D2" s="97"/>
      <c r="E2" s="619" t="s">
        <v>239</v>
      </c>
      <c r="F2" s="687"/>
      <c r="G2" s="687"/>
      <c r="H2" s="687"/>
      <c r="I2" s="101"/>
      <c r="J2" s="102"/>
      <c r="K2" s="101"/>
      <c r="L2" s="102">
        <v>80000</v>
      </c>
      <c r="M2" s="6"/>
      <c r="N2" s="6"/>
    </row>
    <row r="3" spans="1:16" s="48" customFormat="1" ht="17.45" customHeight="1" x14ac:dyDescent="0.25">
      <c r="A3" s="626"/>
      <c r="B3" s="617" t="s">
        <v>201</v>
      </c>
      <c r="C3" s="617" t="s">
        <v>1388</v>
      </c>
      <c r="D3" s="97"/>
      <c r="E3" s="619" t="s">
        <v>203</v>
      </c>
      <c r="F3" s="687"/>
      <c r="G3" s="687"/>
      <c r="H3" s="687"/>
      <c r="I3" s="101"/>
      <c r="J3" s="102"/>
      <c r="K3" s="101"/>
      <c r="L3" s="102">
        <v>115000</v>
      </c>
      <c r="M3" s="6"/>
      <c r="N3" s="6"/>
    </row>
    <row r="4" spans="1:16" s="48" customFormat="1" ht="17.45" customHeight="1" x14ac:dyDescent="0.25">
      <c r="A4" s="626"/>
      <c r="B4" s="617" t="s">
        <v>201</v>
      </c>
      <c r="C4" s="617" t="s">
        <v>1388</v>
      </c>
      <c r="D4" s="97"/>
      <c r="E4" s="619" t="s">
        <v>240</v>
      </c>
      <c r="F4" s="687"/>
      <c r="G4" s="687"/>
      <c r="H4" s="687"/>
      <c r="I4" s="101"/>
      <c r="J4" s="102"/>
      <c r="K4" s="101"/>
      <c r="L4" s="101">
        <v>300000</v>
      </c>
      <c r="M4" s="6"/>
      <c r="N4" s="6">
        <f>192000+72000</f>
        <v>264000</v>
      </c>
    </row>
    <row r="5" spans="1:16" s="48" customFormat="1" ht="17.45" customHeight="1" x14ac:dyDescent="0.25">
      <c r="A5" s="626"/>
      <c r="B5" s="617" t="s">
        <v>201</v>
      </c>
      <c r="C5" s="617" t="s">
        <v>1388</v>
      </c>
      <c r="D5" s="97"/>
      <c r="E5" s="619" t="s">
        <v>283</v>
      </c>
      <c r="F5" s="612"/>
      <c r="G5" s="612"/>
      <c r="H5" s="612"/>
      <c r="I5" s="101"/>
      <c r="J5" s="102"/>
      <c r="K5" s="101"/>
      <c r="L5" s="101">
        <v>66000</v>
      </c>
      <c r="M5" s="6"/>
      <c r="N5" s="6"/>
    </row>
    <row r="6" spans="1:16" s="48" customFormat="1" ht="17.45" customHeight="1" x14ac:dyDescent="0.25">
      <c r="A6" s="626"/>
      <c r="B6" s="617" t="s">
        <v>201</v>
      </c>
      <c r="C6" s="617" t="s">
        <v>1388</v>
      </c>
      <c r="D6" s="97"/>
      <c r="E6" s="637" t="s">
        <v>287</v>
      </c>
      <c r="F6" s="612"/>
      <c r="G6" s="612"/>
      <c r="H6" s="626"/>
      <c r="I6" s="101"/>
      <c r="J6" s="102">
        <v>85000</v>
      </c>
      <c r="K6" s="101"/>
      <c r="L6" s="101">
        <v>80000</v>
      </c>
      <c r="M6" s="6"/>
      <c r="N6" s="6"/>
    </row>
    <row r="7" spans="1:16" s="48" customFormat="1" ht="17.45" customHeight="1" x14ac:dyDescent="0.25">
      <c r="A7" s="626"/>
      <c r="B7" s="617" t="s">
        <v>201</v>
      </c>
      <c r="C7" s="617" t="s">
        <v>1388</v>
      </c>
      <c r="D7" s="97"/>
      <c r="E7" s="636" t="s">
        <v>529</v>
      </c>
      <c r="F7" s="617"/>
      <c r="G7" s="617"/>
      <c r="H7" s="617"/>
      <c r="I7" s="101"/>
      <c r="J7" s="102"/>
      <c r="K7" s="101"/>
      <c r="L7" s="101">
        <v>183600</v>
      </c>
      <c r="M7" s="6"/>
      <c r="N7" s="6">
        <f>24000+9000</f>
        <v>33000</v>
      </c>
    </row>
    <row r="8" spans="1:16" s="48" customFormat="1" ht="17.45" customHeight="1" x14ac:dyDescent="0.25">
      <c r="A8" s="626"/>
      <c r="B8" s="617" t="s">
        <v>201</v>
      </c>
      <c r="C8" s="617" t="s">
        <v>1388</v>
      </c>
      <c r="D8" s="97"/>
      <c r="E8" s="636" t="s">
        <v>530</v>
      </c>
      <c r="F8" s="617"/>
      <c r="G8" s="617"/>
      <c r="H8" s="617"/>
      <c r="I8" s="101"/>
      <c r="J8" s="102"/>
      <c r="K8" s="101"/>
      <c r="L8" s="101">
        <v>56000</v>
      </c>
      <c r="M8" s="6"/>
      <c r="N8" s="6"/>
    </row>
    <row r="9" spans="1:16" s="48" customFormat="1" ht="17.45" customHeight="1" x14ac:dyDescent="0.25">
      <c r="A9" s="626"/>
      <c r="B9" s="617" t="s">
        <v>201</v>
      </c>
      <c r="C9" s="617" t="s">
        <v>1388</v>
      </c>
      <c r="D9" s="97"/>
      <c r="E9" s="636" t="s">
        <v>531</v>
      </c>
      <c r="F9" s="617"/>
      <c r="G9" s="617"/>
      <c r="H9" s="617"/>
      <c r="I9" s="101"/>
      <c r="J9" s="102"/>
      <c r="K9" s="101"/>
      <c r="L9" s="101">
        <v>40000</v>
      </c>
      <c r="M9" s="6"/>
      <c r="N9" s="6"/>
    </row>
    <row r="10" spans="1:16" s="48" customFormat="1" ht="17.45" customHeight="1" x14ac:dyDescent="0.25">
      <c r="A10" s="626"/>
      <c r="B10" s="617" t="s">
        <v>201</v>
      </c>
      <c r="C10" s="617" t="s">
        <v>1388</v>
      </c>
      <c r="D10" s="97"/>
      <c r="E10" s="636" t="s">
        <v>532</v>
      </c>
      <c r="F10" s="617"/>
      <c r="G10" s="617"/>
      <c r="H10" s="611"/>
      <c r="I10" s="101"/>
      <c r="J10" s="102"/>
      <c r="K10" s="101"/>
      <c r="L10" s="101">
        <v>58500</v>
      </c>
      <c r="M10" s="6"/>
      <c r="N10" s="6"/>
    </row>
    <row r="11" spans="1:16" s="48" customFormat="1" ht="17.45" customHeight="1" x14ac:dyDescent="0.25">
      <c r="A11" s="626"/>
      <c r="B11" s="617" t="s">
        <v>201</v>
      </c>
      <c r="C11" s="617" t="s">
        <v>1388</v>
      </c>
      <c r="D11" s="97"/>
      <c r="E11" s="637" t="s">
        <v>203</v>
      </c>
      <c r="F11" s="612"/>
      <c r="G11" s="612"/>
      <c r="H11" s="612"/>
      <c r="I11" s="101"/>
      <c r="J11" s="102"/>
      <c r="K11" s="101"/>
      <c r="L11" s="101">
        <v>115000</v>
      </c>
      <c r="M11" s="6"/>
      <c r="N11" s="6">
        <f>447402.35+49815.36</f>
        <v>497217.70999999996</v>
      </c>
    </row>
    <row r="12" spans="1:16" s="48" customFormat="1" ht="17.45" customHeight="1" x14ac:dyDescent="0.25">
      <c r="A12" s="626"/>
      <c r="B12" s="617" t="s">
        <v>201</v>
      </c>
      <c r="C12" s="617" t="s">
        <v>1388</v>
      </c>
      <c r="D12" s="97"/>
      <c r="E12" s="637" t="s">
        <v>533</v>
      </c>
      <c r="F12" s="629"/>
      <c r="G12" s="612"/>
      <c r="H12" s="612"/>
      <c r="I12" s="101"/>
      <c r="J12" s="102"/>
      <c r="K12" s="101"/>
      <c r="L12" s="101">
        <v>90000</v>
      </c>
      <c r="M12" s="6"/>
      <c r="N12" s="6">
        <f>9600+3600</f>
        <v>13200</v>
      </c>
    </row>
    <row r="13" spans="1:16" s="48" customFormat="1" ht="17.45" customHeight="1" x14ac:dyDescent="0.25">
      <c r="A13" s="626"/>
      <c r="B13" s="617" t="s">
        <v>201</v>
      </c>
      <c r="C13" s="617" t="s">
        <v>1388</v>
      </c>
      <c r="D13" s="97"/>
      <c r="E13" s="637" t="s">
        <v>534</v>
      </c>
      <c r="F13" s="629"/>
      <c r="G13" s="612"/>
      <c r="H13" s="612"/>
      <c r="I13" s="101"/>
      <c r="J13" s="102"/>
      <c r="K13" s="101"/>
      <c r="L13" s="101">
        <v>600000</v>
      </c>
      <c r="M13" s="6"/>
      <c r="N13" s="6">
        <f>114514.12+16632</f>
        <v>131146.12</v>
      </c>
    </row>
    <row r="14" spans="1:16" s="48" customFormat="1" ht="17.45" customHeight="1" x14ac:dyDescent="0.25">
      <c r="A14" s="626"/>
      <c r="B14" s="617" t="s">
        <v>201</v>
      </c>
      <c r="C14" s="617" t="s">
        <v>1388</v>
      </c>
      <c r="D14" s="108"/>
      <c r="E14" s="637" t="s">
        <v>535</v>
      </c>
      <c r="F14" s="629"/>
      <c r="G14" s="612"/>
      <c r="H14" s="612"/>
      <c r="I14" s="105"/>
      <c r="J14" s="106"/>
      <c r="K14" s="105"/>
      <c r="L14" s="105">
        <v>4000000</v>
      </c>
      <c r="M14" s="6"/>
      <c r="N14" s="6">
        <f>9600+3600</f>
        <v>13200</v>
      </c>
    </row>
    <row r="15" spans="1:16" s="48" customFormat="1" ht="17.45" customHeight="1" x14ac:dyDescent="0.25">
      <c r="A15" s="626"/>
      <c r="B15" s="617" t="s">
        <v>201</v>
      </c>
      <c r="C15" s="617" t="s">
        <v>1388</v>
      </c>
      <c r="D15" s="168"/>
      <c r="E15" s="636" t="s">
        <v>554</v>
      </c>
      <c r="F15" s="621"/>
      <c r="G15" s="621"/>
      <c r="H15" s="628"/>
      <c r="I15" s="102"/>
      <c r="J15" s="111"/>
      <c r="K15" s="111"/>
      <c r="L15" s="102">
        <v>23900</v>
      </c>
      <c r="M15" s="6"/>
      <c r="N15" s="6"/>
      <c r="O15" s="115"/>
      <c r="P15" s="115"/>
    </row>
    <row r="16" spans="1:16" s="48" customFormat="1" ht="17.45" customHeight="1" x14ac:dyDescent="0.25">
      <c r="A16" s="626"/>
      <c r="B16" s="617" t="s">
        <v>201</v>
      </c>
      <c r="C16" s="617" t="s">
        <v>1388</v>
      </c>
      <c r="D16" s="168"/>
      <c r="E16" s="636" t="s">
        <v>204</v>
      </c>
      <c r="F16" s="621"/>
      <c r="G16" s="621"/>
      <c r="H16" s="628"/>
      <c r="I16" s="102"/>
      <c r="J16" s="111"/>
      <c r="K16" s="111"/>
      <c r="L16" s="102">
        <v>80000</v>
      </c>
      <c r="M16" s="6"/>
      <c r="N16" s="6"/>
    </row>
    <row r="17" spans="1:16" s="48" customFormat="1" ht="17.45" customHeight="1" x14ac:dyDescent="0.25">
      <c r="A17" s="626"/>
      <c r="B17" s="617" t="s">
        <v>201</v>
      </c>
      <c r="C17" s="617" t="s">
        <v>1388</v>
      </c>
      <c r="D17" s="97"/>
      <c r="E17" s="636" t="s">
        <v>559</v>
      </c>
      <c r="F17" s="611"/>
      <c r="G17" s="612"/>
      <c r="H17" s="612"/>
      <c r="I17" s="101"/>
      <c r="J17" s="111"/>
      <c r="K17" s="112"/>
      <c r="L17" s="101">
        <v>76300</v>
      </c>
      <c r="M17" s="6"/>
      <c r="N17" s="6"/>
      <c r="O17" s="115"/>
      <c r="P17" s="115"/>
    </row>
    <row r="18" spans="1:16" s="48" customFormat="1" ht="17.45" customHeight="1" x14ac:dyDescent="0.25">
      <c r="A18" s="626"/>
      <c r="B18" s="617" t="s">
        <v>201</v>
      </c>
      <c r="C18" s="617" t="s">
        <v>1388</v>
      </c>
      <c r="D18" s="108"/>
      <c r="E18" s="636" t="s">
        <v>560</v>
      </c>
      <c r="F18" s="617"/>
      <c r="G18" s="617"/>
      <c r="H18" s="611"/>
      <c r="I18" s="101"/>
      <c r="J18" s="117"/>
      <c r="K18" s="118"/>
      <c r="L18" s="105">
        <v>62400</v>
      </c>
      <c r="M18" s="6"/>
      <c r="N18" s="6"/>
      <c r="O18" s="115"/>
      <c r="P18" s="115"/>
    </row>
    <row r="19" spans="1:16" s="48" customFormat="1" ht="17.45" customHeight="1" x14ac:dyDescent="0.25">
      <c r="A19" s="615"/>
      <c r="B19" s="617" t="s">
        <v>201</v>
      </c>
      <c r="C19" s="617" t="s">
        <v>1388</v>
      </c>
      <c r="D19" s="120"/>
      <c r="E19" s="636" t="s">
        <v>516</v>
      </c>
      <c r="F19" s="617"/>
      <c r="G19" s="617"/>
      <c r="H19" s="617"/>
      <c r="I19" s="101"/>
      <c r="J19" s="111"/>
      <c r="K19" s="121"/>
      <c r="L19" s="121">
        <v>230000</v>
      </c>
      <c r="M19" s="6"/>
      <c r="N19" s="6"/>
      <c r="O19" s="115"/>
      <c r="P19" s="115"/>
    </row>
    <row r="20" spans="1:16" s="48" customFormat="1" ht="17.45" customHeight="1" x14ac:dyDescent="0.25">
      <c r="A20" s="615"/>
      <c r="B20" s="617" t="s">
        <v>201</v>
      </c>
      <c r="C20" s="617" t="s">
        <v>1388</v>
      </c>
      <c r="D20" s="97"/>
      <c r="E20" s="636" t="s">
        <v>351</v>
      </c>
      <c r="F20" s="617"/>
      <c r="G20" s="617"/>
      <c r="H20" s="617"/>
      <c r="I20" s="101"/>
      <c r="J20" s="122"/>
      <c r="K20" s="101"/>
      <c r="L20" s="101">
        <v>25000</v>
      </c>
      <c r="M20" s="6"/>
      <c r="N20" s="6"/>
      <c r="O20" s="115"/>
      <c r="P20" s="115"/>
    </row>
    <row r="21" spans="1:16" s="48" customFormat="1" ht="17.45" customHeight="1" x14ac:dyDescent="0.25">
      <c r="A21" s="615"/>
      <c r="B21" s="617" t="s">
        <v>201</v>
      </c>
      <c r="C21" s="617" t="s">
        <v>1388</v>
      </c>
      <c r="D21" s="168"/>
      <c r="E21" s="636" t="s">
        <v>561</v>
      </c>
      <c r="F21" s="621"/>
      <c r="G21" s="621"/>
      <c r="H21" s="621"/>
      <c r="I21" s="102"/>
      <c r="J21" s="122"/>
      <c r="K21" s="102"/>
      <c r="L21" s="102">
        <v>200000</v>
      </c>
      <c r="M21" s="6"/>
      <c r="N21" s="6"/>
      <c r="O21" s="115"/>
      <c r="P21" s="115"/>
    </row>
    <row r="22" spans="1:16" s="48" customFormat="1" ht="17.45" customHeight="1" x14ac:dyDescent="0.25">
      <c r="A22" s="615"/>
      <c r="B22" s="617" t="s">
        <v>201</v>
      </c>
      <c r="C22" s="617" t="s">
        <v>1388</v>
      </c>
      <c r="D22" s="168"/>
      <c r="E22" s="636" t="s">
        <v>562</v>
      </c>
      <c r="F22" s="621"/>
      <c r="G22" s="621"/>
      <c r="H22" s="621"/>
      <c r="I22" s="102"/>
      <c r="J22" s="122"/>
      <c r="K22" s="102"/>
      <c r="L22" s="102">
        <v>250000</v>
      </c>
      <c r="M22" s="6"/>
      <c r="N22" s="6">
        <f>16000*2</f>
        <v>32000</v>
      </c>
      <c r="O22" s="115"/>
      <c r="P22" s="115"/>
    </row>
    <row r="23" spans="1:16" s="48" customFormat="1" ht="17.45" customHeight="1" x14ac:dyDescent="0.25">
      <c r="A23" s="615"/>
      <c r="B23" s="617" t="s">
        <v>201</v>
      </c>
      <c r="C23" s="617" t="s">
        <v>1388</v>
      </c>
      <c r="D23" s="168"/>
      <c r="E23" s="636" t="s">
        <v>517</v>
      </c>
      <c r="F23" s="621"/>
      <c r="G23" s="621"/>
      <c r="H23" s="621"/>
      <c r="I23" s="102"/>
      <c r="J23" s="122"/>
      <c r="K23" s="102"/>
      <c r="L23" s="102">
        <v>135000</v>
      </c>
      <c r="M23" s="6"/>
      <c r="N23" s="6"/>
      <c r="O23" s="115"/>
      <c r="P23" s="115"/>
    </row>
    <row r="24" spans="1:16" s="48" customFormat="1" ht="18" customHeight="1" x14ac:dyDescent="0.25">
      <c r="A24" s="626"/>
      <c r="B24" s="617" t="s">
        <v>201</v>
      </c>
      <c r="C24" s="617" t="s">
        <v>1388</v>
      </c>
      <c r="D24" s="97"/>
      <c r="E24" s="619" t="s">
        <v>569</v>
      </c>
      <c r="F24" s="612"/>
      <c r="G24" s="612"/>
      <c r="H24" s="612"/>
      <c r="I24" s="101">
        <v>0</v>
      </c>
      <c r="J24" s="102">
        <v>30000</v>
      </c>
      <c r="K24" s="101"/>
      <c r="L24" s="101">
        <v>32000</v>
      </c>
      <c r="M24" s="6"/>
      <c r="N24" s="6"/>
    </row>
    <row r="25" spans="1:16" s="48" customFormat="1" ht="18" customHeight="1" x14ac:dyDescent="0.25">
      <c r="A25" s="626"/>
      <c r="B25" s="617" t="s">
        <v>201</v>
      </c>
      <c r="C25" s="617" t="s">
        <v>1388</v>
      </c>
      <c r="D25" s="97"/>
      <c r="E25" s="637" t="s">
        <v>203</v>
      </c>
      <c r="F25" s="612"/>
      <c r="G25" s="612"/>
      <c r="H25" s="612"/>
      <c r="I25" s="101"/>
      <c r="J25" s="102"/>
      <c r="K25" s="101"/>
      <c r="L25" s="101">
        <v>75000</v>
      </c>
      <c r="M25" s="6"/>
      <c r="N25" s="6">
        <f>108000+72000</f>
        <v>180000</v>
      </c>
    </row>
    <row r="26" spans="1:16" s="48" customFormat="1" ht="18" customHeight="1" x14ac:dyDescent="0.25">
      <c r="A26" s="626"/>
      <c r="B26" s="617" t="s">
        <v>201</v>
      </c>
      <c r="C26" s="617" t="s">
        <v>1388</v>
      </c>
      <c r="D26" s="97"/>
      <c r="E26" s="619" t="s">
        <v>572</v>
      </c>
      <c r="F26" s="612"/>
      <c r="G26" s="612"/>
      <c r="H26" s="612"/>
      <c r="I26" s="101">
        <v>0</v>
      </c>
      <c r="J26" s="102">
        <v>100000</v>
      </c>
      <c r="K26" s="101"/>
      <c r="L26" s="101">
        <v>100000</v>
      </c>
      <c r="M26" s="6"/>
      <c r="N26" s="6">
        <f>90000+60000</f>
        <v>150000</v>
      </c>
    </row>
    <row r="27" spans="1:16" s="48" customFormat="1" ht="18" customHeight="1" x14ac:dyDescent="0.25">
      <c r="A27" s="626"/>
      <c r="B27" s="617" t="s">
        <v>201</v>
      </c>
      <c r="C27" s="618" t="s">
        <v>1388</v>
      </c>
      <c r="D27" s="97"/>
      <c r="E27" s="636" t="s">
        <v>203</v>
      </c>
      <c r="F27" s="617"/>
      <c r="G27" s="617"/>
      <c r="H27" s="611"/>
      <c r="I27" s="101"/>
      <c r="J27" s="102"/>
      <c r="K27" s="101"/>
      <c r="L27" s="101">
        <v>75000</v>
      </c>
      <c r="M27" s="6"/>
      <c r="N27" s="6"/>
    </row>
    <row r="28" spans="1:16" s="48" customFormat="1" ht="18" customHeight="1" x14ac:dyDescent="0.25">
      <c r="A28" s="626"/>
      <c r="B28" s="617" t="s">
        <v>201</v>
      </c>
      <c r="C28" s="618" t="s">
        <v>1388</v>
      </c>
      <c r="D28" s="333"/>
      <c r="E28" s="634" t="s">
        <v>1269</v>
      </c>
      <c r="F28" s="620"/>
      <c r="G28" s="620"/>
      <c r="H28" s="622"/>
      <c r="I28" s="101"/>
      <c r="J28" s="102"/>
      <c r="K28" s="101"/>
      <c r="L28" s="101">
        <v>160000</v>
      </c>
      <c r="M28" s="6"/>
      <c r="N28" s="6"/>
    </row>
    <row r="29" spans="1:16" s="48" customFormat="1" ht="18" customHeight="1" x14ac:dyDescent="0.25">
      <c r="A29" s="626"/>
      <c r="B29" s="617" t="s">
        <v>201</v>
      </c>
      <c r="C29" s="618" t="s">
        <v>1388</v>
      </c>
      <c r="D29" s="333"/>
      <c r="E29" s="631" t="s">
        <v>1270</v>
      </c>
      <c r="F29" s="620"/>
      <c r="G29" s="620"/>
      <c r="H29" s="622"/>
      <c r="I29" s="101"/>
      <c r="J29" s="102"/>
      <c r="K29" s="101"/>
      <c r="L29" s="101">
        <v>35000</v>
      </c>
      <c r="M29" s="6"/>
      <c r="N29" s="6"/>
    </row>
    <row r="30" spans="1:16" s="48" customFormat="1" ht="18" customHeight="1" x14ac:dyDescent="0.25">
      <c r="A30" s="626"/>
      <c r="B30" s="617" t="s">
        <v>201</v>
      </c>
      <c r="C30" s="618" t="s">
        <v>1388</v>
      </c>
      <c r="D30" s="333"/>
      <c r="E30" s="631" t="s">
        <v>1271</v>
      </c>
      <c r="F30" s="620"/>
      <c r="G30" s="620"/>
      <c r="H30" s="622"/>
      <c r="I30" s="101"/>
      <c r="J30" s="102"/>
      <c r="K30" s="101"/>
      <c r="L30" s="101">
        <v>14000</v>
      </c>
      <c r="M30" s="6"/>
      <c r="N30" s="6"/>
    </row>
    <row r="31" spans="1:16" s="48" customFormat="1" ht="18" customHeight="1" x14ac:dyDescent="0.25">
      <c r="A31" s="626"/>
      <c r="B31" s="617" t="s">
        <v>201</v>
      </c>
      <c r="C31" s="618" t="s">
        <v>1388</v>
      </c>
      <c r="D31" s="333"/>
      <c r="E31" s="631" t="s">
        <v>1272</v>
      </c>
      <c r="F31" s="622"/>
      <c r="G31" s="623"/>
      <c r="H31" s="623"/>
      <c r="I31" s="101"/>
      <c r="J31" s="102"/>
      <c r="K31" s="101"/>
      <c r="L31" s="101">
        <v>75000</v>
      </c>
      <c r="M31" s="6"/>
      <c r="N31" s="6"/>
    </row>
    <row r="32" spans="1:16" s="48" customFormat="1" ht="18" customHeight="1" x14ac:dyDescent="0.25">
      <c r="A32" s="626"/>
      <c r="B32" s="617" t="s">
        <v>201</v>
      </c>
      <c r="C32" s="618" t="s">
        <v>1388</v>
      </c>
      <c r="D32" s="333"/>
      <c r="E32" s="634" t="s">
        <v>1273</v>
      </c>
      <c r="F32" s="620"/>
      <c r="G32" s="620"/>
      <c r="H32" s="622"/>
      <c r="I32" s="101"/>
      <c r="J32" s="102"/>
      <c r="K32" s="101"/>
      <c r="L32" s="101">
        <v>26000</v>
      </c>
      <c r="M32" s="6"/>
      <c r="N32" s="6"/>
    </row>
    <row r="33" spans="1:16" s="48" customFormat="1" ht="18" customHeight="1" x14ac:dyDescent="0.25">
      <c r="A33" s="626"/>
      <c r="B33" s="617" t="s">
        <v>201</v>
      </c>
      <c r="C33" s="618" t="s">
        <v>1388</v>
      </c>
      <c r="D33" s="97"/>
      <c r="E33" s="636" t="s">
        <v>1289</v>
      </c>
      <c r="F33" s="617"/>
      <c r="G33" s="617"/>
      <c r="H33" s="611"/>
      <c r="I33" s="101"/>
      <c r="J33" s="111"/>
      <c r="K33" s="112"/>
      <c r="L33" s="101">
        <v>28000</v>
      </c>
      <c r="M33" s="6"/>
      <c r="N33" s="6"/>
    </row>
    <row r="34" spans="1:16" s="48" customFormat="1" ht="18" customHeight="1" x14ac:dyDescent="0.25">
      <c r="A34" s="626"/>
      <c r="B34" s="617" t="s">
        <v>201</v>
      </c>
      <c r="C34" s="618" t="s">
        <v>1388</v>
      </c>
      <c r="D34" s="97"/>
      <c r="E34" s="636" t="s">
        <v>1290</v>
      </c>
      <c r="F34" s="617"/>
      <c r="G34" s="617"/>
      <c r="H34" s="611"/>
      <c r="I34" s="101"/>
      <c r="J34" s="111"/>
      <c r="K34" s="112"/>
      <c r="L34" s="101">
        <v>23900</v>
      </c>
      <c r="M34" s="6"/>
      <c r="N34" s="6"/>
    </row>
    <row r="35" spans="1:16" s="136" customFormat="1" ht="18" customHeight="1" x14ac:dyDescent="0.25">
      <c r="A35" s="626"/>
      <c r="B35" s="617" t="s">
        <v>201</v>
      </c>
      <c r="C35" s="618" t="s">
        <v>1388</v>
      </c>
      <c r="D35" s="97"/>
      <c r="E35" s="636" t="s">
        <v>1296</v>
      </c>
      <c r="F35" s="618"/>
      <c r="G35" s="618"/>
      <c r="H35" s="618"/>
      <c r="I35" s="101">
        <v>0</v>
      </c>
      <c r="J35" s="111">
        <v>20000</v>
      </c>
      <c r="K35" s="112"/>
      <c r="L35" s="101">
        <v>26000</v>
      </c>
      <c r="M35" s="6"/>
      <c r="N35" s="6"/>
      <c r="O35" s="115"/>
      <c r="P35" s="115"/>
    </row>
    <row r="36" spans="1:16" s="48" customFormat="1" ht="24.75" customHeight="1" x14ac:dyDescent="0.25">
      <c r="A36" s="615"/>
      <c r="B36" s="235" t="s">
        <v>201</v>
      </c>
      <c r="C36" s="618" t="s">
        <v>1388</v>
      </c>
      <c r="D36" s="1568"/>
      <c r="E36" s="206" t="s">
        <v>1301</v>
      </c>
      <c r="F36" s="235"/>
      <c r="G36" s="235"/>
      <c r="H36" s="235"/>
      <c r="I36" s="101">
        <v>0</v>
      </c>
      <c r="J36" s="111">
        <v>0</v>
      </c>
      <c r="K36" s="112"/>
      <c r="L36" s="101">
        <v>30600</v>
      </c>
      <c r="M36" s="6"/>
      <c r="N36" s="6"/>
      <c r="O36" s="115"/>
      <c r="P36" s="115"/>
    </row>
    <row r="37" spans="1:16" s="48" customFormat="1" ht="18" customHeight="1" x14ac:dyDescent="0.25">
      <c r="A37" s="615"/>
      <c r="B37" s="235" t="s">
        <v>201</v>
      </c>
      <c r="C37" s="618" t="s">
        <v>1388</v>
      </c>
      <c r="D37" s="1568"/>
      <c r="E37" s="206" t="s">
        <v>204</v>
      </c>
      <c r="F37" s="235"/>
      <c r="G37" s="235"/>
      <c r="H37" s="236"/>
      <c r="I37" s="101">
        <v>0</v>
      </c>
      <c r="J37" s="102">
        <v>80000</v>
      </c>
      <c r="K37" s="141">
        <v>0</v>
      </c>
      <c r="L37" s="101">
        <v>80000</v>
      </c>
      <c r="M37" s="6"/>
      <c r="N37" s="6"/>
      <c r="O37" s="115"/>
      <c r="P37" s="115"/>
    </row>
    <row r="38" spans="1:16" s="48" customFormat="1" ht="18" customHeight="1" x14ac:dyDescent="0.25">
      <c r="A38" s="615"/>
      <c r="B38" s="235"/>
      <c r="C38" s="618"/>
      <c r="D38" s="1568"/>
      <c r="E38" s="206"/>
      <c r="F38" s="235"/>
      <c r="G38" s="235"/>
      <c r="H38" s="236"/>
      <c r="I38" s="101"/>
      <c r="J38" s="111"/>
      <c r="K38" s="112"/>
      <c r="L38" s="101"/>
      <c r="M38" s="6">
        <f>SUM(L1:L37)</f>
        <v>8047200</v>
      </c>
      <c r="N38" s="6"/>
      <c r="O38" s="115"/>
      <c r="P38" s="115"/>
    </row>
    <row r="39" spans="1:16" s="48" customFormat="1" ht="18" customHeight="1" x14ac:dyDescent="0.25">
      <c r="A39" s="615"/>
      <c r="B39" s="235"/>
      <c r="C39" s="618"/>
      <c r="D39" s="1568"/>
      <c r="E39" s="206"/>
      <c r="F39" s="235"/>
      <c r="G39" s="235"/>
      <c r="H39" s="236"/>
      <c r="I39" s="101"/>
      <c r="J39" s="111"/>
      <c r="K39" s="112"/>
      <c r="L39" s="101"/>
      <c r="M39" s="6"/>
      <c r="N39" s="6"/>
      <c r="O39" s="115"/>
      <c r="P39" s="115"/>
    </row>
    <row r="40" spans="1:16" s="48" customFormat="1" ht="18" customHeight="1" x14ac:dyDescent="0.25">
      <c r="A40" s="626"/>
      <c r="B40" s="617" t="s">
        <v>163</v>
      </c>
      <c r="C40" s="617" t="s">
        <v>1388</v>
      </c>
      <c r="D40" s="131" t="s">
        <v>165</v>
      </c>
      <c r="E40" s="245" t="s">
        <v>164</v>
      </c>
      <c r="F40" s="116"/>
      <c r="G40" s="116"/>
      <c r="H40" s="116"/>
      <c r="I40" s="101">
        <v>5060</v>
      </c>
      <c r="J40" s="102">
        <v>10000</v>
      </c>
      <c r="K40" s="101"/>
      <c r="L40" s="101">
        <v>10000</v>
      </c>
      <c r="M40" s="6"/>
      <c r="N40" s="6"/>
    </row>
    <row r="41" spans="1:16" s="48" customFormat="1" ht="18" customHeight="1" x14ac:dyDescent="0.25">
      <c r="A41" s="626"/>
      <c r="B41" s="617" t="s">
        <v>163</v>
      </c>
      <c r="C41" s="617" t="s">
        <v>1388</v>
      </c>
      <c r="D41" s="143" t="s">
        <v>165</v>
      </c>
      <c r="E41" s="44" t="s">
        <v>164</v>
      </c>
      <c r="F41" s="113"/>
      <c r="G41" s="113"/>
      <c r="H41" s="113"/>
      <c r="I41" s="101">
        <v>9426</v>
      </c>
      <c r="J41" s="102">
        <v>20000</v>
      </c>
      <c r="K41" s="101"/>
      <c r="L41" s="101">
        <v>20000</v>
      </c>
      <c r="M41" s="6"/>
      <c r="N41" s="6"/>
    </row>
    <row r="42" spans="1:16" s="48" customFormat="1" ht="18" customHeight="1" x14ac:dyDescent="0.25">
      <c r="A42" s="626"/>
      <c r="B42" s="617" t="s">
        <v>163</v>
      </c>
      <c r="C42" s="617" t="s">
        <v>1388</v>
      </c>
      <c r="D42" s="143" t="s">
        <v>165</v>
      </c>
      <c r="E42" s="44" t="s">
        <v>164</v>
      </c>
      <c r="F42" s="125"/>
      <c r="G42" s="125"/>
      <c r="H42" s="125"/>
      <c r="I42" s="101">
        <v>436061</v>
      </c>
      <c r="J42" s="102">
        <v>890000</v>
      </c>
      <c r="K42" s="101">
        <v>293615</v>
      </c>
      <c r="L42" s="101">
        <v>932000</v>
      </c>
      <c r="M42" s="6"/>
      <c r="N42" s="6"/>
    </row>
    <row r="43" spans="1:16" s="48" customFormat="1" ht="18" customHeight="1" x14ac:dyDescent="0.25">
      <c r="A43" s="626"/>
      <c r="B43" s="617" t="s">
        <v>163</v>
      </c>
      <c r="C43" s="617" t="s">
        <v>1388</v>
      </c>
      <c r="D43" s="143" t="s">
        <v>165</v>
      </c>
      <c r="E43" s="44" t="s">
        <v>164</v>
      </c>
      <c r="F43" s="113"/>
      <c r="G43" s="113"/>
      <c r="H43" s="113"/>
      <c r="I43" s="101">
        <v>4030</v>
      </c>
      <c r="J43" s="102">
        <v>54000</v>
      </c>
      <c r="K43" s="101"/>
      <c r="L43" s="101">
        <v>30000</v>
      </c>
      <c r="M43" s="6"/>
      <c r="N43" s="6"/>
    </row>
    <row r="44" spans="1:16" s="48" customFormat="1" ht="18" customHeight="1" x14ac:dyDescent="0.25">
      <c r="A44" s="626"/>
      <c r="B44" s="617" t="s">
        <v>163</v>
      </c>
      <c r="C44" s="617" t="s">
        <v>1388</v>
      </c>
      <c r="D44" s="143" t="s">
        <v>165</v>
      </c>
      <c r="E44" s="44" t="s">
        <v>164</v>
      </c>
      <c r="F44" s="113"/>
      <c r="G44" s="113"/>
      <c r="H44" s="113"/>
      <c r="I44" s="101">
        <v>5900</v>
      </c>
      <c r="J44" s="102">
        <v>75000</v>
      </c>
      <c r="K44" s="101"/>
      <c r="L44" s="101">
        <v>75000</v>
      </c>
      <c r="M44" s="6"/>
      <c r="N44" s="6"/>
    </row>
    <row r="45" spans="1:16" s="48" customFormat="1" ht="18" customHeight="1" x14ac:dyDescent="0.25">
      <c r="A45" s="626"/>
      <c r="B45" s="617" t="s">
        <v>163</v>
      </c>
      <c r="C45" s="617" t="s">
        <v>1388</v>
      </c>
      <c r="D45" s="143" t="s">
        <v>165</v>
      </c>
      <c r="E45" s="44" t="s">
        <v>164</v>
      </c>
      <c r="F45" s="125"/>
      <c r="G45" s="125"/>
      <c r="H45" s="125"/>
      <c r="I45" s="101"/>
      <c r="J45" s="102">
        <v>35000</v>
      </c>
      <c r="K45" s="101"/>
      <c r="L45" s="101">
        <v>35000</v>
      </c>
      <c r="M45" s="6"/>
      <c r="N45" s="6"/>
    </row>
    <row r="46" spans="1:16" s="48" customFormat="1" ht="18" customHeight="1" x14ac:dyDescent="0.25">
      <c r="A46" s="626"/>
      <c r="B46" s="617" t="s">
        <v>163</v>
      </c>
      <c r="C46" s="617" t="s">
        <v>1388</v>
      </c>
      <c r="D46" s="143" t="s">
        <v>165</v>
      </c>
      <c r="E46" s="44" t="s">
        <v>164</v>
      </c>
      <c r="F46" s="125"/>
      <c r="G46" s="125"/>
      <c r="H46" s="125"/>
      <c r="I46" s="101">
        <v>1950</v>
      </c>
      <c r="J46" s="102">
        <v>30000</v>
      </c>
      <c r="K46" s="101"/>
      <c r="L46" s="101">
        <v>30000</v>
      </c>
      <c r="M46" s="6"/>
      <c r="N46" s="6"/>
    </row>
    <row r="47" spans="1:16" s="48" customFormat="1" ht="18" customHeight="1" x14ac:dyDescent="0.25">
      <c r="A47" s="626"/>
      <c r="B47" s="617" t="s">
        <v>163</v>
      </c>
      <c r="C47" s="617" t="s">
        <v>1388</v>
      </c>
      <c r="D47" s="143" t="s">
        <v>165</v>
      </c>
      <c r="E47" s="44" t="s">
        <v>164</v>
      </c>
      <c r="F47" s="125"/>
      <c r="G47" s="125"/>
      <c r="H47" s="125"/>
      <c r="I47" s="101">
        <v>7260</v>
      </c>
      <c r="J47" s="102">
        <v>30000</v>
      </c>
      <c r="K47" s="101"/>
      <c r="L47" s="101">
        <v>30000</v>
      </c>
      <c r="M47" s="6">
        <f>SUM(L40:L47)</f>
        <v>1162000</v>
      </c>
      <c r="N47" s="6"/>
    </row>
    <row r="48" spans="1:16" s="48" customFormat="1" ht="18" customHeight="1" x14ac:dyDescent="0.25">
      <c r="A48" s="626"/>
      <c r="B48" s="617" t="s">
        <v>163</v>
      </c>
      <c r="C48" s="617" t="s">
        <v>1388</v>
      </c>
      <c r="D48" s="143" t="s">
        <v>1285</v>
      </c>
      <c r="E48" s="44" t="s">
        <v>384</v>
      </c>
      <c r="F48" s="125"/>
      <c r="G48" s="125"/>
      <c r="H48" s="125"/>
      <c r="I48" s="101">
        <v>65429.38</v>
      </c>
      <c r="J48" s="102">
        <v>50000</v>
      </c>
      <c r="K48" s="101">
        <v>24794.44</v>
      </c>
      <c r="L48" s="101">
        <v>50000</v>
      </c>
      <c r="M48" s="6"/>
      <c r="N48" s="6"/>
    </row>
    <row r="49" spans="1:16" s="136" customFormat="1" ht="18" customHeight="1" x14ac:dyDescent="0.25">
      <c r="A49" s="154"/>
      <c r="B49" s="617" t="s">
        <v>163</v>
      </c>
      <c r="C49" s="617" t="s">
        <v>1388</v>
      </c>
      <c r="D49" s="131" t="s">
        <v>385</v>
      </c>
      <c r="E49" s="44" t="s">
        <v>384</v>
      </c>
      <c r="F49" s="125"/>
      <c r="G49" s="125"/>
      <c r="H49" s="134"/>
      <c r="I49" s="101">
        <v>1246510.8</v>
      </c>
      <c r="J49" s="111">
        <v>1500000</v>
      </c>
      <c r="K49" s="112">
        <v>700334.34</v>
      </c>
      <c r="L49" s="101">
        <v>1500000</v>
      </c>
      <c r="M49" s="6">
        <f>SUM(L48:L49)</f>
        <v>1550000</v>
      </c>
      <c r="N49" s="6"/>
      <c r="O49" s="115"/>
      <c r="P49" s="115"/>
    </row>
    <row r="50" spans="1:16" s="48" customFormat="1" ht="18" customHeight="1" x14ac:dyDescent="0.25">
      <c r="A50" s="626"/>
      <c r="B50" s="617" t="s">
        <v>163</v>
      </c>
      <c r="C50" s="617" t="s">
        <v>1388</v>
      </c>
      <c r="D50" s="143" t="s">
        <v>293</v>
      </c>
      <c r="E50" s="44" t="s">
        <v>166</v>
      </c>
      <c r="F50" s="125"/>
      <c r="G50" s="125"/>
      <c r="H50" s="125"/>
      <c r="I50" s="101"/>
      <c r="J50" s="102"/>
      <c r="K50" s="101"/>
      <c r="L50" s="101">
        <v>50000</v>
      </c>
      <c r="M50" s="6"/>
      <c r="N50" s="6"/>
    </row>
    <row r="51" spans="1:16" s="48" customFormat="1" ht="18" customHeight="1" x14ac:dyDescent="0.25">
      <c r="A51" s="626"/>
      <c r="B51" s="617" t="s">
        <v>163</v>
      </c>
      <c r="C51" s="617" t="s">
        <v>1388</v>
      </c>
      <c r="D51" s="143" t="s">
        <v>169</v>
      </c>
      <c r="E51" s="44" t="s">
        <v>168</v>
      </c>
      <c r="F51" s="113"/>
      <c r="G51" s="113"/>
      <c r="H51" s="113"/>
      <c r="I51" s="101">
        <v>138447.70000000001</v>
      </c>
      <c r="J51" s="102">
        <v>90000</v>
      </c>
      <c r="K51" s="101">
        <v>85691.25</v>
      </c>
      <c r="L51" s="101">
        <v>65810</v>
      </c>
      <c r="M51" s="6"/>
      <c r="N51" s="6"/>
    </row>
    <row r="52" spans="1:16" s="48" customFormat="1" ht="18" customHeight="1" x14ac:dyDescent="0.25">
      <c r="A52" s="626"/>
      <c r="B52" s="617" t="s">
        <v>163</v>
      </c>
      <c r="C52" s="617" t="s">
        <v>1388</v>
      </c>
      <c r="D52" s="143" t="s">
        <v>169</v>
      </c>
      <c r="E52" s="44" t="s">
        <v>168</v>
      </c>
      <c r="F52" s="113"/>
      <c r="G52" s="113"/>
      <c r="H52" s="113"/>
      <c r="I52" s="101">
        <v>22308.25</v>
      </c>
      <c r="J52" s="102">
        <v>33681</v>
      </c>
      <c r="K52" s="101">
        <v>23056.5</v>
      </c>
      <c r="L52" s="101">
        <v>20000</v>
      </c>
      <c r="M52" s="6"/>
      <c r="N52" s="6"/>
    </row>
    <row r="53" spans="1:16" s="48" customFormat="1" ht="18" customHeight="1" x14ac:dyDescent="0.25">
      <c r="A53" s="626"/>
      <c r="B53" s="617" t="s">
        <v>163</v>
      </c>
      <c r="C53" s="617" t="s">
        <v>1388</v>
      </c>
      <c r="D53" s="131" t="s">
        <v>169</v>
      </c>
      <c r="E53" s="245" t="s">
        <v>168</v>
      </c>
      <c r="F53" s="97"/>
      <c r="G53" s="97"/>
      <c r="H53" s="97"/>
      <c r="I53" s="101">
        <v>320917.34999999998</v>
      </c>
      <c r="J53" s="102">
        <v>457586.25</v>
      </c>
      <c r="K53" s="101">
        <v>211691</v>
      </c>
      <c r="L53" s="102">
        <v>1087166.5</v>
      </c>
      <c r="M53" s="6"/>
      <c r="N53" s="6"/>
    </row>
    <row r="54" spans="1:16" s="48" customFormat="1" ht="18" customHeight="1" x14ac:dyDescent="0.25">
      <c r="A54" s="626"/>
      <c r="B54" s="617" t="s">
        <v>163</v>
      </c>
      <c r="C54" s="617" t="s">
        <v>1388</v>
      </c>
      <c r="D54" s="133" t="s">
        <v>169</v>
      </c>
      <c r="E54" s="245" t="s">
        <v>168</v>
      </c>
      <c r="F54" s="116"/>
      <c r="G54" s="116"/>
      <c r="H54" s="116"/>
      <c r="I54" s="105">
        <v>57584</v>
      </c>
      <c r="J54" s="106">
        <v>144146</v>
      </c>
      <c r="K54" s="105">
        <v>52392</v>
      </c>
      <c r="L54" s="105">
        <v>99547</v>
      </c>
      <c r="M54" s="6"/>
      <c r="N54" s="6"/>
    </row>
    <row r="55" spans="1:16" s="48" customFormat="1" ht="18" customHeight="1" x14ac:dyDescent="0.25">
      <c r="A55" s="626"/>
      <c r="B55" s="617" t="s">
        <v>163</v>
      </c>
      <c r="C55" s="617" t="s">
        <v>1388</v>
      </c>
      <c r="D55" s="131" t="s">
        <v>169</v>
      </c>
      <c r="E55" s="44" t="s">
        <v>555</v>
      </c>
      <c r="F55" s="113"/>
      <c r="G55" s="113"/>
      <c r="H55" s="114"/>
      <c r="I55" s="101">
        <v>126695.6</v>
      </c>
      <c r="J55" s="102">
        <v>233027</v>
      </c>
      <c r="K55" s="101">
        <v>161308</v>
      </c>
      <c r="L55" s="101">
        <v>270816</v>
      </c>
      <c r="M55" s="6"/>
      <c r="N55" s="6"/>
    </row>
    <row r="56" spans="1:16" s="48" customFormat="1" ht="18" customHeight="1" x14ac:dyDescent="0.25">
      <c r="A56" s="626"/>
      <c r="B56" s="617" t="s">
        <v>163</v>
      </c>
      <c r="C56" s="617" t="s">
        <v>1388</v>
      </c>
      <c r="D56" s="131" t="s">
        <v>169</v>
      </c>
      <c r="E56" s="44" t="s">
        <v>555</v>
      </c>
      <c r="F56" s="125"/>
      <c r="G56" s="125"/>
      <c r="H56" s="134"/>
      <c r="I56" s="101">
        <v>327395.45</v>
      </c>
      <c r="J56" s="111">
        <v>397352</v>
      </c>
      <c r="K56" s="112">
        <v>317462.5</v>
      </c>
      <c r="L56" s="101">
        <v>255222.5</v>
      </c>
      <c r="M56" s="6"/>
      <c r="N56" s="6"/>
    </row>
    <row r="57" spans="1:16" s="48" customFormat="1" ht="18" customHeight="1" x14ac:dyDescent="0.25">
      <c r="A57" s="626"/>
      <c r="B57" s="617" t="s">
        <v>163</v>
      </c>
      <c r="C57" s="617" t="s">
        <v>1388</v>
      </c>
      <c r="D57" s="131" t="s">
        <v>169</v>
      </c>
      <c r="E57" s="44" t="s">
        <v>168</v>
      </c>
      <c r="F57" s="125"/>
      <c r="G57" s="125"/>
      <c r="H57" s="134"/>
      <c r="I57" s="101">
        <v>73940</v>
      </c>
      <c r="J57" s="111">
        <v>92706</v>
      </c>
      <c r="K57" s="112">
        <v>48916.5</v>
      </c>
      <c r="L57" s="101">
        <v>96656</v>
      </c>
      <c r="M57" s="6"/>
      <c r="N57" s="6"/>
    </row>
    <row r="58" spans="1:16" s="48" customFormat="1" ht="18" customHeight="1" x14ac:dyDescent="0.25">
      <c r="A58" s="626"/>
      <c r="B58" s="617" t="s">
        <v>163</v>
      </c>
      <c r="C58" s="617" t="s">
        <v>1388</v>
      </c>
      <c r="D58" s="131" t="s">
        <v>169</v>
      </c>
      <c r="E58" s="44" t="s">
        <v>168</v>
      </c>
      <c r="F58" s="125"/>
      <c r="G58" s="125"/>
      <c r="H58" s="134"/>
      <c r="I58" s="101">
        <v>41492</v>
      </c>
      <c r="J58" s="111">
        <v>55000.5</v>
      </c>
      <c r="K58" s="112">
        <v>32996</v>
      </c>
      <c r="L58" s="101">
        <v>55000</v>
      </c>
      <c r="M58" s="6"/>
      <c r="N58" s="6"/>
    </row>
    <row r="59" spans="1:16" s="48" customFormat="1" ht="18" customHeight="1" x14ac:dyDescent="0.25">
      <c r="A59" s="626"/>
      <c r="B59" s="617" t="s">
        <v>163</v>
      </c>
      <c r="C59" s="617" t="s">
        <v>1388</v>
      </c>
      <c r="D59" s="131" t="s">
        <v>169</v>
      </c>
      <c r="E59" s="44" t="s">
        <v>168</v>
      </c>
      <c r="F59" s="125"/>
      <c r="G59" s="125"/>
      <c r="H59" s="134"/>
      <c r="I59" s="101">
        <v>184687</v>
      </c>
      <c r="J59" s="111">
        <v>226890</v>
      </c>
      <c r="K59" s="112">
        <v>103305</v>
      </c>
      <c r="L59" s="101">
        <v>91953</v>
      </c>
      <c r="M59" s="6">
        <f>SUM(L51:L59)</f>
        <v>2042171</v>
      </c>
      <c r="N59" s="6"/>
    </row>
    <row r="60" spans="1:16" s="48" customFormat="1" ht="18" customHeight="1" x14ac:dyDescent="0.25">
      <c r="A60" s="626"/>
      <c r="B60" s="617" t="s">
        <v>163</v>
      </c>
      <c r="C60" s="617" t="s">
        <v>1388</v>
      </c>
      <c r="D60" s="131" t="s">
        <v>427</v>
      </c>
      <c r="E60" s="44" t="s">
        <v>1299</v>
      </c>
      <c r="F60" s="125"/>
      <c r="G60" s="125"/>
      <c r="H60" s="619"/>
      <c r="I60" s="101">
        <v>640450</v>
      </c>
      <c r="J60" s="111">
        <v>850500</v>
      </c>
      <c r="K60" s="112"/>
      <c r="L60" s="101">
        <v>1342000</v>
      </c>
      <c r="M60" s="6"/>
      <c r="N60" s="6"/>
    </row>
    <row r="61" spans="1:16" s="48" customFormat="1" ht="18" customHeight="1" x14ac:dyDescent="0.25">
      <c r="A61" s="626"/>
      <c r="B61" s="617" t="s">
        <v>163</v>
      </c>
      <c r="C61" s="617" t="s">
        <v>1388</v>
      </c>
      <c r="D61" s="133" t="s">
        <v>173</v>
      </c>
      <c r="E61" s="44" t="s">
        <v>172</v>
      </c>
      <c r="F61" s="125"/>
      <c r="G61" s="125"/>
      <c r="H61" s="134"/>
      <c r="I61" s="105">
        <v>781124.36</v>
      </c>
      <c r="J61" s="117">
        <v>1525050</v>
      </c>
      <c r="K61" s="118">
        <v>312132.07</v>
      </c>
      <c r="L61" s="105">
        <v>1503330</v>
      </c>
      <c r="M61" s="6"/>
      <c r="N61" s="6">
        <f>210024-48000</f>
        <v>162024</v>
      </c>
      <c r="O61" s="115"/>
      <c r="P61" s="115"/>
    </row>
    <row r="62" spans="1:16" s="146" customFormat="1" ht="18" customHeight="1" x14ac:dyDescent="0.25">
      <c r="A62" s="615"/>
      <c r="B62" s="617" t="s">
        <v>163</v>
      </c>
      <c r="C62" s="617" t="s">
        <v>1388</v>
      </c>
      <c r="D62" s="131" t="s">
        <v>173</v>
      </c>
      <c r="E62" s="44" t="s">
        <v>172</v>
      </c>
      <c r="F62" s="125"/>
      <c r="G62" s="125"/>
      <c r="H62" s="125"/>
      <c r="I62" s="101">
        <v>62762.55</v>
      </c>
      <c r="J62" s="102">
        <v>280010</v>
      </c>
      <c r="K62" s="101">
        <v>76160.5</v>
      </c>
      <c r="L62" s="121">
        <v>280010</v>
      </c>
      <c r="M62" s="10"/>
      <c r="N62" s="10"/>
      <c r="O62"/>
      <c r="P62"/>
    </row>
    <row r="63" spans="1:16" s="48" customFormat="1" ht="18" customHeight="1" x14ac:dyDescent="0.25">
      <c r="A63" s="615"/>
      <c r="B63" s="617" t="s">
        <v>163</v>
      </c>
      <c r="C63" s="617" t="s">
        <v>1388</v>
      </c>
      <c r="D63" s="221" t="s">
        <v>173</v>
      </c>
      <c r="E63" s="44" t="s">
        <v>172</v>
      </c>
      <c r="F63" s="134"/>
      <c r="G63" s="125"/>
      <c r="H63" s="125"/>
      <c r="I63" s="105">
        <v>8662.25</v>
      </c>
      <c r="J63" s="106">
        <v>20000</v>
      </c>
      <c r="K63" s="141">
        <v>5685.05</v>
      </c>
      <c r="L63" s="105">
        <v>20000</v>
      </c>
      <c r="M63" s="6">
        <f>SUM(L61:L63)</f>
        <v>1803340</v>
      </c>
      <c r="N63" s="6"/>
      <c r="O63" s="115"/>
      <c r="P63" s="115"/>
    </row>
    <row r="64" spans="1:16" s="48" customFormat="1" ht="18" customHeight="1" x14ac:dyDescent="0.25">
      <c r="A64" s="626"/>
      <c r="B64" s="617" t="s">
        <v>163</v>
      </c>
      <c r="C64" s="617" t="s">
        <v>1388</v>
      </c>
      <c r="D64" s="131" t="s">
        <v>171</v>
      </c>
      <c r="E64" s="245" t="s">
        <v>233</v>
      </c>
      <c r="F64" s="116"/>
      <c r="G64" s="116"/>
      <c r="H64" s="116"/>
      <c r="I64" s="101"/>
      <c r="J64" s="102"/>
      <c r="K64" s="101"/>
      <c r="L64" s="101">
        <v>95084</v>
      </c>
      <c r="M64" s="6"/>
      <c r="N64" s="6"/>
    </row>
    <row r="65" spans="1:16" s="48" customFormat="1" ht="18" customHeight="1" x14ac:dyDescent="0.25">
      <c r="A65" s="626"/>
      <c r="B65" s="617" t="s">
        <v>163</v>
      </c>
      <c r="C65" s="617" t="s">
        <v>1388</v>
      </c>
      <c r="D65" s="131" t="s">
        <v>171</v>
      </c>
      <c r="E65" s="44" t="s">
        <v>213</v>
      </c>
      <c r="F65" s="114"/>
      <c r="G65" s="116"/>
      <c r="H65" s="116"/>
      <c r="I65" s="101"/>
      <c r="J65" s="102"/>
      <c r="K65" s="101"/>
      <c r="L65" s="101">
        <v>113350</v>
      </c>
      <c r="M65" s="6"/>
      <c r="N65" s="6"/>
    </row>
    <row r="66" spans="1:16" s="48" customFormat="1" ht="18" customHeight="1" x14ac:dyDescent="0.25">
      <c r="A66" s="626"/>
      <c r="B66" s="617" t="s">
        <v>163</v>
      </c>
      <c r="C66" s="617" t="s">
        <v>1388</v>
      </c>
      <c r="D66" s="131" t="s">
        <v>171</v>
      </c>
      <c r="E66" s="245" t="s">
        <v>170</v>
      </c>
      <c r="F66" s="97"/>
      <c r="G66" s="97"/>
      <c r="H66" s="97"/>
      <c r="I66" s="101"/>
      <c r="J66" s="102"/>
      <c r="K66" s="101"/>
      <c r="L66" s="102">
        <v>417885</v>
      </c>
      <c r="M66" s="6"/>
      <c r="N66" s="6"/>
    </row>
    <row r="67" spans="1:16" s="48" customFormat="1" ht="18" customHeight="1" x14ac:dyDescent="0.25">
      <c r="A67" s="626"/>
      <c r="B67" s="617" t="s">
        <v>163</v>
      </c>
      <c r="C67" s="617" t="s">
        <v>1388</v>
      </c>
      <c r="D67" s="133" t="s">
        <v>171</v>
      </c>
      <c r="E67" s="44" t="s">
        <v>248</v>
      </c>
      <c r="F67" s="113"/>
      <c r="G67" s="113"/>
      <c r="H67" s="114"/>
      <c r="I67" s="105"/>
      <c r="J67" s="106"/>
      <c r="K67" s="105"/>
      <c r="L67" s="102">
        <v>574810</v>
      </c>
      <c r="M67" s="6"/>
      <c r="N67" s="6"/>
    </row>
    <row r="68" spans="1:16" s="48" customFormat="1" ht="18" customHeight="1" x14ac:dyDescent="0.25">
      <c r="A68" s="626"/>
      <c r="B68" s="617" t="s">
        <v>163</v>
      </c>
      <c r="C68" s="617" t="s">
        <v>1388</v>
      </c>
      <c r="D68" s="131" t="s">
        <v>171</v>
      </c>
      <c r="E68" s="44" t="s">
        <v>213</v>
      </c>
      <c r="F68" s="113"/>
      <c r="G68" s="113"/>
      <c r="H68" s="114"/>
      <c r="I68" s="101"/>
      <c r="J68" s="111"/>
      <c r="K68" s="112"/>
      <c r="L68" s="101">
        <v>216240</v>
      </c>
      <c r="M68" s="6"/>
      <c r="N68" s="6"/>
    </row>
    <row r="69" spans="1:16" s="48" customFormat="1" ht="18" customHeight="1" x14ac:dyDescent="0.25">
      <c r="A69" s="626"/>
      <c r="B69" s="617" t="s">
        <v>163</v>
      </c>
      <c r="C69" s="617" t="s">
        <v>1388</v>
      </c>
      <c r="D69" s="131" t="s">
        <v>171</v>
      </c>
      <c r="E69" s="44" t="s">
        <v>213</v>
      </c>
      <c r="F69" s="125"/>
      <c r="G69" s="125"/>
      <c r="H69" s="134"/>
      <c r="I69" s="101"/>
      <c r="J69" s="111"/>
      <c r="K69" s="112"/>
      <c r="L69" s="101">
        <v>39017</v>
      </c>
      <c r="M69" s="6"/>
      <c r="N69" s="6"/>
    </row>
    <row r="70" spans="1:16" s="48" customFormat="1" ht="18" customHeight="1" x14ac:dyDescent="0.25">
      <c r="A70" s="626"/>
      <c r="B70" s="617" t="s">
        <v>163</v>
      </c>
      <c r="C70" s="617" t="s">
        <v>1388</v>
      </c>
      <c r="D70" s="131" t="s">
        <v>171</v>
      </c>
      <c r="E70" s="44" t="s">
        <v>170</v>
      </c>
      <c r="F70" s="125"/>
      <c r="G70" s="125"/>
      <c r="H70" s="619"/>
      <c r="I70" s="101"/>
      <c r="J70" s="111"/>
      <c r="K70" s="112"/>
      <c r="L70" s="101">
        <f>1962843+2077629.2-8800</f>
        <v>4031672.2</v>
      </c>
      <c r="M70" s="6"/>
      <c r="N70" s="6"/>
    </row>
    <row r="71" spans="1:16" s="48" customFormat="1" ht="18" customHeight="1" x14ac:dyDescent="0.25">
      <c r="A71" s="626"/>
      <c r="B71" s="617" t="s">
        <v>163</v>
      </c>
      <c r="C71" s="617" t="s">
        <v>1388</v>
      </c>
      <c r="D71" s="131" t="s">
        <v>171</v>
      </c>
      <c r="E71" s="44" t="s">
        <v>213</v>
      </c>
      <c r="F71" s="125"/>
      <c r="G71" s="125"/>
      <c r="H71" s="619"/>
      <c r="I71" s="101"/>
      <c r="J71" s="111"/>
      <c r="K71" s="112"/>
      <c r="L71" s="101">
        <f>200100+300000</f>
        <v>500100</v>
      </c>
      <c r="M71" s="6"/>
      <c r="N71" s="6"/>
    </row>
    <row r="72" spans="1:16" s="136" customFormat="1" ht="18" customHeight="1" x14ac:dyDescent="0.25">
      <c r="A72" s="154"/>
      <c r="B72" s="617" t="s">
        <v>163</v>
      </c>
      <c r="C72" s="617" t="s">
        <v>1388</v>
      </c>
      <c r="D72" s="131" t="s">
        <v>171</v>
      </c>
      <c r="E72" s="636" t="s">
        <v>170</v>
      </c>
      <c r="F72" s="618"/>
      <c r="G72" s="618"/>
      <c r="H72" s="619"/>
      <c r="I72" s="101"/>
      <c r="J72" s="111"/>
      <c r="K72" s="112"/>
      <c r="L72" s="101">
        <f>103264+500000</f>
        <v>603264</v>
      </c>
      <c r="M72" s="6">
        <f>SUM(L64:L72)</f>
        <v>6591422.2000000002</v>
      </c>
      <c r="N72" s="6"/>
      <c r="O72" s="115"/>
      <c r="P72" s="115"/>
    </row>
    <row r="73" spans="1:16" s="136" customFormat="1" ht="18" customHeight="1" x14ac:dyDescent="0.25">
      <c r="A73" s="154"/>
      <c r="B73" s="617" t="s">
        <v>163</v>
      </c>
      <c r="C73" s="617" t="s">
        <v>1388</v>
      </c>
      <c r="D73" s="131" t="s">
        <v>383</v>
      </c>
      <c r="E73" s="44" t="s">
        <v>382</v>
      </c>
      <c r="F73" s="113"/>
      <c r="G73" s="113"/>
      <c r="H73" s="114"/>
      <c r="I73" s="101"/>
      <c r="J73" s="111">
        <v>60000</v>
      </c>
      <c r="K73" s="112"/>
      <c r="L73" s="101">
        <v>35000</v>
      </c>
      <c r="M73" s="6"/>
      <c r="N73" s="6"/>
      <c r="O73" s="115"/>
      <c r="P73" s="115"/>
    </row>
    <row r="74" spans="1:16" s="48" customFormat="1" ht="18" customHeight="1" x14ac:dyDescent="0.25">
      <c r="A74" s="615"/>
      <c r="B74" s="617" t="s">
        <v>163</v>
      </c>
      <c r="C74" s="617" t="s">
        <v>1388</v>
      </c>
      <c r="D74" s="131" t="s">
        <v>177</v>
      </c>
      <c r="E74" s="245" t="s">
        <v>176</v>
      </c>
      <c r="F74" s="97"/>
      <c r="G74" s="97"/>
      <c r="H74" s="97"/>
      <c r="I74" s="101">
        <v>0</v>
      </c>
      <c r="J74" s="111">
        <v>4500</v>
      </c>
      <c r="K74" s="112"/>
      <c r="L74" s="101">
        <v>4500</v>
      </c>
      <c r="M74" s="6"/>
      <c r="N74" s="6"/>
      <c r="O74" s="115"/>
      <c r="P74" s="115"/>
    </row>
    <row r="75" spans="1:16" s="48" customFormat="1" ht="18" customHeight="1" x14ac:dyDescent="0.25">
      <c r="A75" s="615"/>
      <c r="B75" s="617" t="s">
        <v>163</v>
      </c>
      <c r="C75" s="617" t="s">
        <v>1388</v>
      </c>
      <c r="D75" s="131" t="s">
        <v>177</v>
      </c>
      <c r="E75" s="245" t="s">
        <v>176</v>
      </c>
      <c r="F75" s="97"/>
      <c r="G75" s="97"/>
      <c r="H75" s="97"/>
      <c r="I75" s="101">
        <v>5400</v>
      </c>
      <c r="J75" s="111">
        <v>5900</v>
      </c>
      <c r="K75" s="112">
        <v>5650</v>
      </c>
      <c r="L75" s="101">
        <v>7800</v>
      </c>
      <c r="M75" s="6">
        <f>SUM(L74:L75)</f>
        <v>12300</v>
      </c>
      <c r="N75" s="6"/>
      <c r="O75" s="115"/>
      <c r="P75" s="115"/>
    </row>
    <row r="76" spans="1:16" s="48" customFormat="1" ht="18" customHeight="1" x14ac:dyDescent="0.25">
      <c r="A76" s="615"/>
      <c r="B76" s="617" t="s">
        <v>163</v>
      </c>
      <c r="C76" s="617" t="s">
        <v>1388</v>
      </c>
      <c r="D76" s="131" t="s">
        <v>179</v>
      </c>
      <c r="E76" s="44" t="s">
        <v>178</v>
      </c>
      <c r="F76" s="113"/>
      <c r="G76" s="113"/>
      <c r="H76" s="114"/>
      <c r="I76" s="101"/>
      <c r="J76" s="111"/>
      <c r="K76" s="112"/>
      <c r="L76" s="101">
        <v>30000</v>
      </c>
      <c r="M76" s="6"/>
      <c r="N76" s="6"/>
      <c r="O76" s="115"/>
      <c r="P76" s="115"/>
    </row>
    <row r="77" spans="1:16" s="48" customFormat="1" ht="18" customHeight="1" x14ac:dyDescent="0.25">
      <c r="A77" s="626"/>
      <c r="B77" s="617" t="s">
        <v>163</v>
      </c>
      <c r="C77" s="617" t="s">
        <v>1388</v>
      </c>
      <c r="D77" s="131" t="s">
        <v>179</v>
      </c>
      <c r="E77" s="245" t="s">
        <v>178</v>
      </c>
      <c r="F77" s="97"/>
      <c r="G77" s="97"/>
      <c r="H77" s="97"/>
      <c r="I77" s="101"/>
      <c r="J77" s="102"/>
      <c r="K77" s="101"/>
      <c r="L77" s="102">
        <v>84000</v>
      </c>
      <c r="M77" s="6"/>
      <c r="N77" s="6"/>
    </row>
    <row r="78" spans="1:16" s="48" customFormat="1" ht="18" customHeight="1" x14ac:dyDescent="0.25">
      <c r="A78" s="626"/>
      <c r="B78" s="617" t="s">
        <v>163</v>
      </c>
      <c r="C78" s="617" t="s">
        <v>1388</v>
      </c>
      <c r="D78" s="131" t="s">
        <v>179</v>
      </c>
      <c r="E78" s="245" t="s">
        <v>178</v>
      </c>
      <c r="F78" s="116"/>
      <c r="G78" s="116"/>
      <c r="H78" s="116"/>
      <c r="I78" s="101"/>
      <c r="J78" s="102"/>
      <c r="K78" s="101"/>
      <c r="L78" s="101">
        <v>42000</v>
      </c>
      <c r="M78" s="6"/>
      <c r="N78" s="6"/>
    </row>
    <row r="79" spans="1:16" s="48" customFormat="1" ht="18" customHeight="1" x14ac:dyDescent="0.25">
      <c r="A79" s="626"/>
      <c r="B79" s="617" t="s">
        <v>163</v>
      </c>
      <c r="C79" s="617" t="s">
        <v>1388</v>
      </c>
      <c r="D79" s="131" t="s">
        <v>179</v>
      </c>
      <c r="E79" s="245" t="s">
        <v>178</v>
      </c>
      <c r="F79" s="116"/>
      <c r="G79" s="116"/>
      <c r="H79" s="116"/>
      <c r="I79" s="101"/>
      <c r="J79" s="102"/>
      <c r="K79" s="101"/>
      <c r="L79" s="101">
        <v>42000</v>
      </c>
      <c r="M79" s="6"/>
      <c r="N79" s="6"/>
    </row>
    <row r="80" spans="1:16" s="48" customFormat="1" ht="18" customHeight="1" x14ac:dyDescent="0.25">
      <c r="A80" s="626"/>
      <c r="B80" s="617" t="s">
        <v>163</v>
      </c>
      <c r="C80" s="617" t="s">
        <v>1388</v>
      </c>
      <c r="D80" s="131" t="s">
        <v>179</v>
      </c>
      <c r="E80" s="44" t="s">
        <v>178</v>
      </c>
      <c r="F80" s="125"/>
      <c r="G80" s="125"/>
      <c r="H80" s="134"/>
      <c r="I80" s="101"/>
      <c r="J80" s="102"/>
      <c r="K80" s="101"/>
      <c r="L80" s="101">
        <v>42000</v>
      </c>
      <c r="M80" s="6"/>
      <c r="N80" s="6"/>
    </row>
    <row r="81" spans="1:16" s="48" customFormat="1" ht="18" customHeight="1" x14ac:dyDescent="0.25">
      <c r="A81" s="626"/>
      <c r="B81" s="617" t="s">
        <v>163</v>
      </c>
      <c r="C81" s="617" t="s">
        <v>1388</v>
      </c>
      <c r="D81" s="131" t="s">
        <v>179</v>
      </c>
      <c r="E81" s="44" t="s">
        <v>178</v>
      </c>
      <c r="F81" s="125"/>
      <c r="G81" s="125"/>
      <c r="H81" s="134"/>
      <c r="I81" s="101"/>
      <c r="J81" s="102"/>
      <c r="K81" s="101"/>
      <c r="L81" s="101">
        <v>30000</v>
      </c>
      <c r="M81" s="6"/>
      <c r="N81" s="6"/>
    </row>
    <row r="82" spans="1:16" s="48" customFormat="1" ht="18" customHeight="1" x14ac:dyDescent="0.25">
      <c r="A82" s="626"/>
      <c r="B82" s="617" t="s">
        <v>163</v>
      </c>
      <c r="C82" s="617" t="s">
        <v>1388</v>
      </c>
      <c r="D82" s="131" t="s">
        <v>179</v>
      </c>
      <c r="E82" s="44" t="s">
        <v>178</v>
      </c>
      <c r="F82" s="170"/>
      <c r="G82" s="170"/>
      <c r="H82" s="170"/>
      <c r="I82" s="102"/>
      <c r="J82" s="102"/>
      <c r="K82" s="102"/>
      <c r="L82" s="102">
        <v>30000</v>
      </c>
      <c r="M82" s="6">
        <f>SUM(L76:L82)</f>
        <v>300000</v>
      </c>
      <c r="N82" s="6"/>
    </row>
    <row r="83" spans="1:16" s="48" customFormat="1" ht="18" customHeight="1" x14ac:dyDescent="0.25">
      <c r="A83" s="626"/>
      <c r="B83" s="617" t="s">
        <v>163</v>
      </c>
      <c r="C83" s="617" t="s">
        <v>1388</v>
      </c>
      <c r="D83" s="131" t="s">
        <v>179</v>
      </c>
      <c r="E83" s="245" t="s">
        <v>182</v>
      </c>
      <c r="F83" s="116"/>
      <c r="G83" s="116"/>
      <c r="H83" s="116"/>
      <c r="I83" s="101">
        <v>36525.35</v>
      </c>
      <c r="J83" s="102">
        <v>54000</v>
      </c>
      <c r="K83" s="101"/>
      <c r="L83" s="101">
        <v>54000</v>
      </c>
      <c r="M83" s="6"/>
      <c r="N83" s="6"/>
    </row>
    <row r="84" spans="1:16" s="48" customFormat="1" ht="18" customHeight="1" x14ac:dyDescent="0.25">
      <c r="A84" s="626"/>
      <c r="B84" s="617" t="s">
        <v>163</v>
      </c>
      <c r="C84" s="617" t="s">
        <v>1388</v>
      </c>
      <c r="D84" s="131" t="s">
        <v>179</v>
      </c>
      <c r="E84" s="44" t="s">
        <v>567</v>
      </c>
      <c r="F84" s="125"/>
      <c r="G84" s="125"/>
      <c r="H84" s="134"/>
      <c r="I84" s="101"/>
      <c r="J84" s="102">
        <v>30000</v>
      </c>
      <c r="K84" s="101">
        <v>13194</v>
      </c>
      <c r="L84" s="102">
        <v>60000</v>
      </c>
      <c r="M84" s="6"/>
      <c r="N84" s="6"/>
    </row>
    <row r="85" spans="1:16" s="48" customFormat="1" ht="18" customHeight="1" x14ac:dyDescent="0.25">
      <c r="A85" s="626"/>
      <c r="B85" s="617" t="s">
        <v>163</v>
      </c>
      <c r="C85" s="617" t="s">
        <v>1388</v>
      </c>
      <c r="D85" s="131" t="s">
        <v>183</v>
      </c>
      <c r="E85" s="245" t="s">
        <v>182</v>
      </c>
      <c r="F85" s="116"/>
      <c r="G85" s="116"/>
      <c r="H85" s="116"/>
      <c r="I85" s="101">
        <v>22246.400000000001</v>
      </c>
      <c r="J85" s="102">
        <v>30000</v>
      </c>
      <c r="K85" s="101">
        <v>14156.8</v>
      </c>
      <c r="L85" s="101">
        <v>30000</v>
      </c>
      <c r="M85" s="6"/>
      <c r="N85" s="6"/>
    </row>
    <row r="86" spans="1:16" s="48" customFormat="1" ht="18" customHeight="1" x14ac:dyDescent="0.25">
      <c r="A86" s="626"/>
      <c r="B86" s="617" t="s">
        <v>163</v>
      </c>
      <c r="C86" s="618" t="s">
        <v>1388</v>
      </c>
      <c r="D86" s="131" t="s">
        <v>183</v>
      </c>
      <c r="E86" s="245" t="s">
        <v>182</v>
      </c>
      <c r="F86" s="97"/>
      <c r="G86" s="97"/>
      <c r="H86" s="97"/>
      <c r="I86" s="101"/>
      <c r="J86" s="102">
        <v>42000</v>
      </c>
      <c r="K86" s="101"/>
      <c r="L86" s="101">
        <v>42000</v>
      </c>
      <c r="M86" s="6"/>
      <c r="N86" s="6"/>
    </row>
    <row r="87" spans="1:16" s="48" customFormat="1" ht="18" customHeight="1" x14ac:dyDescent="0.25">
      <c r="A87" s="626"/>
      <c r="B87" s="617" t="s">
        <v>163</v>
      </c>
      <c r="C87" s="618" t="s">
        <v>1388</v>
      </c>
      <c r="D87" s="133" t="s">
        <v>183</v>
      </c>
      <c r="E87" s="245" t="s">
        <v>182</v>
      </c>
      <c r="F87" s="97"/>
      <c r="G87" s="97"/>
      <c r="H87" s="97"/>
      <c r="I87" s="105">
        <v>0</v>
      </c>
      <c r="J87" s="106">
        <v>42000</v>
      </c>
      <c r="K87" s="105"/>
      <c r="L87" s="105">
        <v>42000</v>
      </c>
      <c r="M87" s="6">
        <f>SUM(L83:L87)</f>
        <v>228000</v>
      </c>
      <c r="N87" s="6"/>
    </row>
    <row r="88" spans="1:16" s="48" customFormat="1" ht="18" customHeight="1" x14ac:dyDescent="0.25">
      <c r="A88" s="626"/>
      <c r="B88" s="617" t="s">
        <v>163</v>
      </c>
      <c r="C88" s="618" t="s">
        <v>1388</v>
      </c>
      <c r="D88" s="131" t="s">
        <v>308</v>
      </c>
      <c r="E88" s="44" t="s">
        <v>1266</v>
      </c>
      <c r="F88" s="125"/>
      <c r="G88" s="125"/>
      <c r="H88" s="134"/>
      <c r="I88" s="101">
        <v>337991</v>
      </c>
      <c r="J88" s="111">
        <v>2000000</v>
      </c>
      <c r="K88" s="112">
        <v>231060</v>
      </c>
      <c r="L88" s="101">
        <v>1000000</v>
      </c>
      <c r="M88" s="6"/>
      <c r="N88" s="6"/>
    </row>
    <row r="89" spans="1:16" s="48" customFormat="1" ht="18" customHeight="1" x14ac:dyDescent="0.25">
      <c r="A89" s="626"/>
      <c r="B89" s="617" t="s">
        <v>163</v>
      </c>
      <c r="C89" s="618" t="s">
        <v>1388</v>
      </c>
      <c r="D89" s="131" t="s">
        <v>308</v>
      </c>
      <c r="E89" s="44" t="s">
        <v>1287</v>
      </c>
      <c r="F89" s="125"/>
      <c r="G89" s="125"/>
      <c r="H89" s="134"/>
      <c r="I89" s="101">
        <v>0</v>
      </c>
      <c r="J89" s="111">
        <v>150000</v>
      </c>
      <c r="K89" s="112"/>
      <c r="L89" s="101">
        <v>800000</v>
      </c>
      <c r="M89" s="6">
        <f>SUM(L88:L89)</f>
        <v>1800000</v>
      </c>
      <c r="N89" s="6"/>
    </row>
    <row r="90" spans="1:16" s="48" customFormat="1" ht="18" customHeight="1" x14ac:dyDescent="0.25">
      <c r="A90" s="626"/>
      <c r="B90" s="617" t="s">
        <v>163</v>
      </c>
      <c r="C90" s="618" t="s">
        <v>1388</v>
      </c>
      <c r="D90" s="131" t="s">
        <v>187</v>
      </c>
      <c r="E90" s="636" t="s">
        <v>235</v>
      </c>
      <c r="F90" s="617"/>
      <c r="G90" s="617"/>
      <c r="H90" s="611"/>
      <c r="I90" s="101"/>
      <c r="J90" s="111">
        <v>100000</v>
      </c>
      <c r="K90" s="112"/>
      <c r="L90" s="101">
        <v>40000</v>
      </c>
      <c r="M90" s="6"/>
      <c r="N90" s="6"/>
    </row>
    <row r="91" spans="1:16" s="48" customFormat="1" ht="18" customHeight="1" x14ac:dyDescent="0.25">
      <c r="A91" s="626"/>
      <c r="B91" s="617" t="s">
        <v>163</v>
      </c>
      <c r="C91" s="618" t="s">
        <v>1388</v>
      </c>
      <c r="D91" s="131" t="s">
        <v>187</v>
      </c>
      <c r="E91" s="44" t="s">
        <v>186</v>
      </c>
      <c r="F91" s="125"/>
      <c r="G91" s="125"/>
      <c r="H91" s="134"/>
      <c r="I91" s="101">
        <v>13000</v>
      </c>
      <c r="J91" s="111">
        <v>155000</v>
      </c>
      <c r="K91" s="112"/>
      <c r="L91" s="101">
        <v>185000</v>
      </c>
      <c r="M91" s="6"/>
      <c r="N91" s="6"/>
      <c r="O91" s="115"/>
      <c r="P91" s="115"/>
    </row>
    <row r="92" spans="1:16" s="48" customFormat="1" ht="18" customHeight="1" x14ac:dyDescent="0.25">
      <c r="A92" s="626"/>
      <c r="B92" s="617" t="s">
        <v>163</v>
      </c>
      <c r="C92" s="618" t="s">
        <v>1388</v>
      </c>
      <c r="D92" s="131" t="s">
        <v>187</v>
      </c>
      <c r="E92" s="44" t="s">
        <v>355</v>
      </c>
      <c r="F92" s="113"/>
      <c r="G92" s="113"/>
      <c r="H92" s="114"/>
      <c r="I92" s="101">
        <v>2400</v>
      </c>
      <c r="J92" s="111">
        <v>100000</v>
      </c>
      <c r="K92" s="112"/>
      <c r="L92" s="101">
        <v>50000</v>
      </c>
      <c r="M92" s="6"/>
      <c r="N92" s="6"/>
      <c r="O92" s="115"/>
      <c r="P92" s="115"/>
    </row>
    <row r="93" spans="1:16" s="48" customFormat="1" ht="18" customHeight="1" x14ac:dyDescent="0.25">
      <c r="A93" s="626"/>
      <c r="B93" s="617" t="s">
        <v>163</v>
      </c>
      <c r="C93" s="618" t="s">
        <v>1388</v>
      </c>
      <c r="D93" s="133" t="s">
        <v>187</v>
      </c>
      <c r="E93" s="44" t="s">
        <v>355</v>
      </c>
      <c r="F93" s="125"/>
      <c r="G93" s="125"/>
      <c r="H93" s="134"/>
      <c r="I93" s="101">
        <v>11620</v>
      </c>
      <c r="J93" s="117">
        <v>65000</v>
      </c>
      <c r="K93" s="118"/>
      <c r="L93" s="105">
        <v>80000</v>
      </c>
      <c r="M93" s="6"/>
      <c r="N93" s="6"/>
      <c r="O93" s="115"/>
      <c r="P93" s="115"/>
    </row>
    <row r="94" spans="1:16" s="136" customFormat="1" ht="18" customHeight="1" x14ac:dyDescent="0.25">
      <c r="A94" s="626"/>
      <c r="B94" s="617" t="s">
        <v>163</v>
      </c>
      <c r="C94" s="618" t="s">
        <v>1388</v>
      </c>
      <c r="D94" s="131" t="s">
        <v>187</v>
      </c>
      <c r="E94" s="44" t="s">
        <v>186</v>
      </c>
      <c r="F94" s="125"/>
      <c r="G94" s="125"/>
      <c r="H94" s="125"/>
      <c r="I94" s="101">
        <v>84240</v>
      </c>
      <c r="J94" s="111">
        <v>100000</v>
      </c>
      <c r="K94" s="112"/>
      <c r="L94" s="101">
        <v>100000</v>
      </c>
      <c r="M94" s="6"/>
      <c r="N94" s="6"/>
      <c r="O94" s="115"/>
      <c r="P94" s="115"/>
    </row>
    <row r="95" spans="1:16" s="48" customFormat="1" ht="18" customHeight="1" x14ac:dyDescent="0.25">
      <c r="A95" s="615"/>
      <c r="B95" s="617" t="s">
        <v>163</v>
      </c>
      <c r="C95" s="618" t="s">
        <v>1388</v>
      </c>
      <c r="D95" s="131" t="s">
        <v>187</v>
      </c>
      <c r="E95" s="44" t="s">
        <v>1288</v>
      </c>
      <c r="F95" s="125"/>
      <c r="G95" s="125"/>
      <c r="H95" s="125"/>
      <c r="I95" s="101">
        <v>0</v>
      </c>
      <c r="J95" s="111">
        <v>80000</v>
      </c>
      <c r="K95" s="112"/>
      <c r="L95" s="101">
        <v>90000</v>
      </c>
      <c r="M95" s="6"/>
      <c r="N95" s="6"/>
      <c r="O95" s="115"/>
      <c r="P95" s="115"/>
    </row>
    <row r="96" spans="1:16" s="48" customFormat="1" ht="18" customHeight="1" x14ac:dyDescent="0.25">
      <c r="A96" s="615"/>
      <c r="B96" s="617" t="s">
        <v>163</v>
      </c>
      <c r="C96" s="618" t="s">
        <v>1388</v>
      </c>
      <c r="D96" s="131" t="s">
        <v>187</v>
      </c>
      <c r="E96" s="44" t="s">
        <v>1300</v>
      </c>
      <c r="F96" s="125"/>
      <c r="G96" s="125"/>
      <c r="H96" s="134"/>
      <c r="I96" s="101">
        <v>0</v>
      </c>
      <c r="J96" s="111">
        <v>20000</v>
      </c>
      <c r="K96" s="112"/>
      <c r="L96" s="101">
        <v>20000</v>
      </c>
      <c r="M96" s="6"/>
      <c r="N96" s="6"/>
      <c r="O96" s="115"/>
      <c r="P96" s="115"/>
    </row>
    <row r="97" spans="1:14" s="48" customFormat="1" ht="17.100000000000001" customHeight="1" x14ac:dyDescent="0.25">
      <c r="A97" s="626"/>
      <c r="B97" s="617" t="s">
        <v>163</v>
      </c>
      <c r="C97" s="618" t="s">
        <v>1388</v>
      </c>
      <c r="D97" s="131" t="s">
        <v>356</v>
      </c>
      <c r="E97" s="245" t="s">
        <v>553</v>
      </c>
      <c r="F97" s="116"/>
      <c r="G97" s="116"/>
      <c r="H97" s="116"/>
      <c r="I97" s="101"/>
      <c r="J97" s="162">
        <v>10000</v>
      </c>
      <c r="K97" s="112"/>
      <c r="L97" s="101">
        <v>10000</v>
      </c>
      <c r="M97" s="6"/>
      <c r="N97" s="6"/>
    </row>
    <row r="98" spans="1:14" s="48" customFormat="1" ht="17.100000000000001" customHeight="1" x14ac:dyDescent="0.25">
      <c r="A98" s="626"/>
      <c r="B98" s="617" t="s">
        <v>163</v>
      </c>
      <c r="C98" s="618" t="s">
        <v>1388</v>
      </c>
      <c r="D98" s="131" t="s">
        <v>356</v>
      </c>
      <c r="E98" s="44" t="s">
        <v>1267</v>
      </c>
      <c r="F98" s="134"/>
      <c r="G98" s="97"/>
      <c r="H98" s="97"/>
      <c r="I98" s="101">
        <v>0</v>
      </c>
      <c r="J98" s="162">
        <v>185000</v>
      </c>
      <c r="K98" s="112"/>
      <c r="L98" s="101">
        <v>100000</v>
      </c>
      <c r="M98" s="6">
        <f>SUM(L90:L98)</f>
        <v>675000</v>
      </c>
      <c r="N98" s="6"/>
    </row>
    <row r="99" spans="1:14" s="48" customFormat="1" ht="17.100000000000001" customHeight="1" x14ac:dyDescent="0.25">
      <c r="A99" s="626"/>
      <c r="B99" s="617" t="s">
        <v>163</v>
      </c>
      <c r="C99" s="618" t="s">
        <v>1388</v>
      </c>
      <c r="D99" s="131" t="s">
        <v>189</v>
      </c>
      <c r="E99" s="245" t="s">
        <v>528</v>
      </c>
      <c r="F99" s="97"/>
      <c r="G99" s="97"/>
      <c r="H99" s="97"/>
      <c r="I99" s="101"/>
      <c r="J99" s="162">
        <v>0</v>
      </c>
      <c r="K99" s="112"/>
      <c r="L99" s="101">
        <v>100000</v>
      </c>
      <c r="M99" s="6"/>
      <c r="N99" s="6"/>
    </row>
    <row r="100" spans="1:14" s="48" customFormat="1" ht="17.100000000000001" customHeight="1" x14ac:dyDescent="0.25">
      <c r="A100" s="626"/>
      <c r="B100" s="617" t="s">
        <v>163</v>
      </c>
      <c r="C100" s="618" t="s">
        <v>1388</v>
      </c>
      <c r="D100" s="131" t="s">
        <v>189</v>
      </c>
      <c r="E100" s="245" t="s">
        <v>393</v>
      </c>
      <c r="F100" s="116"/>
      <c r="G100" s="116"/>
      <c r="H100" s="116"/>
      <c r="I100" s="101"/>
      <c r="J100" s="162">
        <v>10000</v>
      </c>
      <c r="K100" s="112"/>
      <c r="L100" s="101">
        <v>10000</v>
      </c>
      <c r="M100" s="6"/>
      <c r="N100" s="6"/>
    </row>
    <row r="101" spans="1:14" s="48" customFormat="1" ht="17.100000000000001" customHeight="1" x14ac:dyDescent="0.25">
      <c r="A101" s="626"/>
      <c r="B101" s="617" t="s">
        <v>163</v>
      </c>
      <c r="C101" s="618" t="s">
        <v>1388</v>
      </c>
      <c r="D101" s="131" t="s">
        <v>189</v>
      </c>
      <c r="E101" s="245" t="s">
        <v>557</v>
      </c>
      <c r="F101" s="116"/>
      <c r="G101" s="116"/>
      <c r="H101" s="116"/>
      <c r="I101" s="101">
        <v>536047.02</v>
      </c>
      <c r="J101" s="162">
        <v>5315000</v>
      </c>
      <c r="K101" s="112">
        <v>168993</v>
      </c>
      <c r="L101" s="101">
        <v>5000000</v>
      </c>
      <c r="M101" s="6"/>
      <c r="N101" s="6"/>
    </row>
    <row r="102" spans="1:14" s="48" customFormat="1" ht="17.100000000000001" customHeight="1" x14ac:dyDescent="0.25">
      <c r="A102" s="626"/>
      <c r="B102" s="617" t="s">
        <v>163</v>
      </c>
      <c r="C102" s="618" t="s">
        <v>1388</v>
      </c>
      <c r="D102" s="131" t="s">
        <v>189</v>
      </c>
      <c r="E102" s="245" t="s">
        <v>1268</v>
      </c>
      <c r="F102" s="97"/>
      <c r="G102" s="687"/>
      <c r="H102" s="687"/>
      <c r="I102" s="101"/>
      <c r="J102" s="162">
        <v>234000</v>
      </c>
      <c r="K102" s="112"/>
      <c r="L102" s="101">
        <v>200000</v>
      </c>
      <c r="M102" s="6"/>
      <c r="N102" s="6"/>
    </row>
    <row r="103" spans="1:14" s="48" customFormat="1" ht="17.100000000000001" customHeight="1" x14ac:dyDescent="0.25">
      <c r="A103" s="626"/>
      <c r="B103" s="617" t="s">
        <v>163</v>
      </c>
      <c r="C103" s="618" t="s">
        <v>1388</v>
      </c>
      <c r="D103" s="131" t="s">
        <v>189</v>
      </c>
      <c r="E103" s="245" t="s">
        <v>1268</v>
      </c>
      <c r="F103" s="97"/>
      <c r="G103" s="97"/>
      <c r="H103" s="97"/>
      <c r="I103" s="101">
        <v>0</v>
      </c>
      <c r="J103" s="162">
        <v>40000</v>
      </c>
      <c r="K103" s="112"/>
      <c r="L103" s="101">
        <v>40000</v>
      </c>
      <c r="M103" s="6">
        <f>SUM(L99:L103)</f>
        <v>5350000</v>
      </c>
      <c r="N103" s="6"/>
    </row>
    <row r="104" spans="1:14" s="48" customFormat="1" ht="17.100000000000001" customHeight="1" x14ac:dyDescent="0.25">
      <c r="A104" s="626"/>
      <c r="B104" s="617" t="s">
        <v>163</v>
      </c>
      <c r="C104" s="618" t="s">
        <v>1388</v>
      </c>
      <c r="D104" s="176" t="s">
        <v>280</v>
      </c>
      <c r="E104" s="717" t="s">
        <v>279</v>
      </c>
      <c r="F104" s="623"/>
      <c r="G104" s="693"/>
      <c r="H104" s="693"/>
      <c r="I104" s="101">
        <v>0</v>
      </c>
      <c r="J104" s="162">
        <v>100000</v>
      </c>
      <c r="K104" s="112"/>
      <c r="L104" s="101"/>
      <c r="M104" s="6"/>
      <c r="N104" s="6"/>
    </row>
    <row r="105" spans="1:14" s="48" customFormat="1" ht="17.100000000000001" customHeight="1" x14ac:dyDescent="0.25">
      <c r="A105" s="626"/>
      <c r="B105" s="617" t="s">
        <v>163</v>
      </c>
      <c r="C105" s="618" t="s">
        <v>1388</v>
      </c>
      <c r="D105" s="176" t="s">
        <v>282</v>
      </c>
      <c r="E105" s="685" t="s">
        <v>281</v>
      </c>
      <c r="F105" s="693"/>
      <c r="G105" s="693"/>
      <c r="H105" s="693"/>
      <c r="I105" s="101">
        <v>4200</v>
      </c>
      <c r="J105" s="162">
        <v>15000</v>
      </c>
      <c r="K105" s="112"/>
      <c r="L105" s="101">
        <v>15000</v>
      </c>
      <c r="M105" s="6"/>
      <c r="N105" s="6"/>
    </row>
    <row r="106" spans="1:14" s="48" customFormat="1" ht="17.100000000000001" customHeight="1" x14ac:dyDescent="0.25">
      <c r="A106" s="626"/>
      <c r="B106" s="617" t="s">
        <v>163</v>
      </c>
      <c r="C106" s="618" t="s">
        <v>1388</v>
      </c>
      <c r="D106" s="131" t="s">
        <v>237</v>
      </c>
      <c r="E106" s="245" t="s">
        <v>236</v>
      </c>
      <c r="F106" s="116"/>
      <c r="G106" s="116"/>
      <c r="H106" s="116"/>
      <c r="I106" s="101">
        <v>0</v>
      </c>
      <c r="J106" s="162">
        <v>5000</v>
      </c>
      <c r="K106" s="112"/>
      <c r="L106" s="101">
        <v>5000</v>
      </c>
      <c r="M106" s="6"/>
      <c r="N106" s="6"/>
    </row>
    <row r="107" spans="1:14" s="48" customFormat="1" ht="17.100000000000001" customHeight="1" x14ac:dyDescent="0.25">
      <c r="A107" s="626"/>
      <c r="B107" s="617" t="s">
        <v>163</v>
      </c>
      <c r="C107" s="618" t="s">
        <v>1388</v>
      </c>
      <c r="D107" s="131" t="s">
        <v>199</v>
      </c>
      <c r="E107" s="245" t="s">
        <v>457</v>
      </c>
      <c r="F107" s="97"/>
      <c r="G107" s="97"/>
      <c r="H107" s="97"/>
      <c r="I107" s="101"/>
      <c r="J107" s="162">
        <v>7000</v>
      </c>
      <c r="K107" s="112"/>
      <c r="L107" s="101">
        <v>7000</v>
      </c>
      <c r="M107" s="6"/>
      <c r="N107" s="6"/>
    </row>
    <row r="108" spans="1:14" s="48" customFormat="1" ht="17.100000000000001" customHeight="1" x14ac:dyDescent="0.25">
      <c r="A108" s="626"/>
      <c r="B108" s="617" t="s">
        <v>163</v>
      </c>
      <c r="C108" s="618" t="s">
        <v>1388</v>
      </c>
      <c r="D108" s="131" t="s">
        <v>237</v>
      </c>
      <c r="E108" s="245" t="s">
        <v>457</v>
      </c>
      <c r="F108" s="116"/>
      <c r="G108" s="116"/>
      <c r="H108" s="116"/>
      <c r="I108" s="101">
        <v>0</v>
      </c>
      <c r="J108" s="162">
        <v>7000</v>
      </c>
      <c r="K108" s="112"/>
      <c r="L108" s="101">
        <v>7000</v>
      </c>
      <c r="M108" s="6">
        <f>SUM(L106:L108)</f>
        <v>19000</v>
      </c>
      <c r="N108" s="6"/>
    </row>
    <row r="109" spans="1:14" s="48" customFormat="1" ht="17.100000000000001" customHeight="1" x14ac:dyDescent="0.25">
      <c r="A109" s="626"/>
      <c r="B109" s="617" t="s">
        <v>163</v>
      </c>
      <c r="C109" s="618" t="s">
        <v>1388</v>
      </c>
      <c r="D109" s="131" t="s">
        <v>199</v>
      </c>
      <c r="E109" s="44" t="s">
        <v>198</v>
      </c>
      <c r="F109" s="113"/>
      <c r="G109" s="113"/>
      <c r="H109" s="114"/>
      <c r="I109" s="101">
        <v>264243.05</v>
      </c>
      <c r="J109" s="162">
        <v>731035.68</v>
      </c>
      <c r="K109" s="112">
        <v>163423.59</v>
      </c>
      <c r="L109" s="102">
        <v>420000</v>
      </c>
      <c r="M109" s="6"/>
      <c r="N109" s="6"/>
    </row>
    <row r="110" spans="1:14" s="48" customFormat="1" ht="17.100000000000001" customHeight="1" x14ac:dyDescent="0.25">
      <c r="A110" s="626"/>
      <c r="B110" s="617" t="s">
        <v>163</v>
      </c>
      <c r="C110" s="618" t="s">
        <v>1388</v>
      </c>
      <c r="D110" s="176" t="s">
        <v>199</v>
      </c>
      <c r="E110" s="180" t="s">
        <v>198</v>
      </c>
      <c r="F110" s="174"/>
      <c r="G110" s="174"/>
      <c r="H110" s="175"/>
      <c r="I110" s="101">
        <v>495365.91</v>
      </c>
      <c r="J110" s="162">
        <v>1435820.88</v>
      </c>
      <c r="K110" s="112">
        <v>354493</v>
      </c>
      <c r="L110" s="101">
        <v>1493678.16</v>
      </c>
      <c r="M110" s="6"/>
      <c r="N110" s="6"/>
    </row>
    <row r="111" spans="1:14" s="48" customFormat="1" ht="17.100000000000001" customHeight="1" x14ac:dyDescent="0.25">
      <c r="A111" s="626"/>
      <c r="B111" s="617" t="s">
        <v>163</v>
      </c>
      <c r="C111" s="618" t="s">
        <v>1388</v>
      </c>
      <c r="D111" s="131" t="s">
        <v>199</v>
      </c>
      <c r="E111" s="44" t="s">
        <v>198</v>
      </c>
      <c r="F111" s="125"/>
      <c r="G111" s="125"/>
      <c r="H111" s="134"/>
      <c r="I111" s="101">
        <v>371478.43</v>
      </c>
      <c r="J111" s="102">
        <v>1343892.4</v>
      </c>
      <c r="K111" s="101">
        <v>271288.32000000001</v>
      </c>
      <c r="L111" s="101">
        <v>2056360.4</v>
      </c>
      <c r="M111" s="6"/>
      <c r="N111" s="6"/>
    </row>
    <row r="112" spans="1:14" s="48" customFormat="1" ht="17.100000000000001" customHeight="1" x14ac:dyDescent="0.25">
      <c r="A112" s="626"/>
      <c r="B112" s="617" t="s">
        <v>163</v>
      </c>
      <c r="C112" s="618" t="s">
        <v>1388</v>
      </c>
      <c r="D112" s="172" t="s">
        <v>199</v>
      </c>
      <c r="E112" s="44" t="s">
        <v>198</v>
      </c>
      <c r="F112" s="170"/>
      <c r="G112" s="170"/>
      <c r="H112" s="171"/>
      <c r="I112" s="102">
        <v>0</v>
      </c>
      <c r="J112" s="162">
        <v>160000</v>
      </c>
      <c r="K112" s="111"/>
      <c r="L112" s="102">
        <v>200000</v>
      </c>
      <c r="M112" s="6"/>
      <c r="N112" s="6"/>
    </row>
    <row r="113" spans="1:14" s="48" customFormat="1" ht="17.100000000000001" customHeight="1" x14ac:dyDescent="0.25">
      <c r="A113" s="626"/>
      <c r="B113" s="617" t="s">
        <v>163</v>
      </c>
      <c r="C113" s="618" t="s">
        <v>1388</v>
      </c>
      <c r="D113" s="131" t="s">
        <v>199</v>
      </c>
      <c r="E113" s="245" t="s">
        <v>198</v>
      </c>
      <c r="F113" s="116"/>
      <c r="G113" s="116"/>
      <c r="H113" s="116"/>
      <c r="I113" s="101">
        <v>1613193.71</v>
      </c>
      <c r="J113" s="162">
        <v>2989610.88</v>
      </c>
      <c r="K113" s="112">
        <v>580328.39</v>
      </c>
      <c r="L113" s="101">
        <v>2372108.16</v>
      </c>
      <c r="M113" s="6"/>
      <c r="N113" s="6"/>
    </row>
    <row r="114" spans="1:14" s="48" customFormat="1" ht="17.100000000000001" customHeight="1" x14ac:dyDescent="0.25">
      <c r="A114" s="626"/>
      <c r="B114" s="617" t="s">
        <v>163</v>
      </c>
      <c r="C114" s="618" t="s">
        <v>1388</v>
      </c>
      <c r="D114" s="131" t="s">
        <v>199</v>
      </c>
      <c r="E114" s="245" t="s">
        <v>198</v>
      </c>
      <c r="F114" s="97"/>
      <c r="G114" s="97"/>
      <c r="H114" s="97"/>
      <c r="I114" s="101">
        <v>334924.61</v>
      </c>
      <c r="J114" s="162">
        <v>1024539.44</v>
      </c>
      <c r="K114" s="112">
        <v>117623.02</v>
      </c>
      <c r="L114" s="101">
        <v>1151063.6000000001</v>
      </c>
      <c r="M114" s="6"/>
      <c r="N114" s="6"/>
    </row>
    <row r="115" spans="1:14" s="48" customFormat="1" ht="17.100000000000001" customHeight="1" x14ac:dyDescent="0.25">
      <c r="A115" s="626"/>
      <c r="B115" s="617" t="s">
        <v>163</v>
      </c>
      <c r="C115" s="618" t="s">
        <v>1388</v>
      </c>
      <c r="D115" s="133" t="s">
        <v>199</v>
      </c>
      <c r="E115" s="245" t="s">
        <v>198</v>
      </c>
      <c r="F115" s="97"/>
      <c r="G115" s="97"/>
      <c r="H115" s="97"/>
      <c r="I115" s="105">
        <v>1302470.25</v>
      </c>
      <c r="J115" s="163">
        <v>1607030</v>
      </c>
      <c r="K115" s="118">
        <v>587500.54</v>
      </c>
      <c r="L115" s="105">
        <v>1768634.16</v>
      </c>
      <c r="M115" s="6"/>
      <c r="N115" s="6"/>
    </row>
    <row r="116" spans="1:14" s="48" customFormat="1" ht="17.100000000000001" customHeight="1" x14ac:dyDescent="0.25">
      <c r="A116" s="626"/>
      <c r="B116" s="617" t="s">
        <v>163</v>
      </c>
      <c r="C116" s="618" t="s">
        <v>1388</v>
      </c>
      <c r="D116" s="131" t="s">
        <v>199</v>
      </c>
      <c r="E116" s="44" t="s">
        <v>198</v>
      </c>
      <c r="F116" s="125"/>
      <c r="G116" s="125"/>
      <c r="H116" s="134"/>
      <c r="I116" s="101">
        <v>0</v>
      </c>
      <c r="J116" s="162"/>
      <c r="K116" s="112"/>
      <c r="L116" s="101">
        <v>442040.64</v>
      </c>
      <c r="M116" s="6">
        <f>SUM(L109:L116)</f>
        <v>9903885.120000001</v>
      </c>
      <c r="N116" s="6"/>
    </row>
    <row r="117" spans="1:14" s="48" customFormat="1" ht="17.100000000000001" customHeight="1" x14ac:dyDescent="0.25">
      <c r="A117" s="626"/>
      <c r="B117" s="617" t="s">
        <v>163</v>
      </c>
      <c r="C117" s="618" t="s">
        <v>1388</v>
      </c>
      <c r="D117" s="172"/>
      <c r="E117" s="44" t="s">
        <v>558</v>
      </c>
      <c r="F117" s="170"/>
      <c r="G117" s="261"/>
      <c r="H117" s="262"/>
      <c r="I117" s="101">
        <v>999700</v>
      </c>
      <c r="J117" s="162">
        <v>2500000</v>
      </c>
      <c r="K117" s="112"/>
      <c r="L117" s="101">
        <v>3500000</v>
      </c>
      <c r="M117" s="6"/>
      <c r="N117" s="6"/>
    </row>
    <row r="118" spans="1:14" s="48" customFormat="1" ht="17.100000000000001" customHeight="1" x14ac:dyDescent="0.25">
      <c r="A118" s="626"/>
      <c r="B118" s="617"/>
      <c r="C118" s="618"/>
      <c r="D118" s="131"/>
      <c r="E118" s="44"/>
      <c r="F118" s="125"/>
      <c r="G118" s="125"/>
      <c r="H118" s="134"/>
      <c r="I118" s="101"/>
      <c r="J118" s="162"/>
      <c r="K118" s="112"/>
      <c r="M118" s="101">
        <f>SUM(L40:L117)</f>
        <v>36379118.32</v>
      </c>
      <c r="N118" s="6"/>
    </row>
    <row r="119" spans="1:14" s="48" customFormat="1" ht="17.100000000000001" customHeight="1" x14ac:dyDescent="0.25">
      <c r="A119" s="626"/>
      <c r="B119" s="617"/>
      <c r="C119" s="618"/>
      <c r="D119" s="131"/>
      <c r="E119" s="44"/>
      <c r="F119" s="125"/>
      <c r="G119" s="125"/>
      <c r="H119" s="134"/>
      <c r="I119" s="101"/>
      <c r="J119" s="162"/>
      <c r="K119" s="112"/>
      <c r="L119" s="101"/>
      <c r="M119" s="6"/>
      <c r="N119" s="6"/>
    </row>
    <row r="120" spans="1:14" s="48" customFormat="1" ht="17.100000000000001" customHeight="1" x14ac:dyDescent="0.25">
      <c r="A120" s="626"/>
      <c r="B120" s="617" t="s">
        <v>123</v>
      </c>
      <c r="C120" s="617" t="s">
        <v>1388</v>
      </c>
      <c r="D120" s="131" t="s">
        <v>125</v>
      </c>
      <c r="E120" s="618" t="s">
        <v>124</v>
      </c>
      <c r="F120" s="617"/>
      <c r="G120" s="617"/>
      <c r="H120" s="611"/>
      <c r="I120" s="101">
        <v>695268</v>
      </c>
      <c r="J120" s="162">
        <v>909504</v>
      </c>
      <c r="K120" s="112">
        <v>421456</v>
      </c>
      <c r="L120" s="101">
        <v>993912</v>
      </c>
      <c r="M120" s="6"/>
      <c r="N120" s="6"/>
    </row>
    <row r="121" spans="1:14" s="48" customFormat="1" ht="17.100000000000001" customHeight="1" x14ac:dyDescent="0.25">
      <c r="A121" s="626"/>
      <c r="B121" s="617" t="s">
        <v>123</v>
      </c>
      <c r="C121" s="617" t="s">
        <v>1388</v>
      </c>
      <c r="D121" s="131" t="s">
        <v>125</v>
      </c>
      <c r="E121" s="618" t="s">
        <v>124</v>
      </c>
      <c r="F121" s="617"/>
      <c r="G121" s="617"/>
      <c r="H121" s="611"/>
      <c r="I121" s="101">
        <v>214236</v>
      </c>
      <c r="J121" s="162">
        <v>654492</v>
      </c>
      <c r="K121" s="112">
        <v>133714</v>
      </c>
      <c r="L121" s="101">
        <v>725076</v>
      </c>
      <c r="M121" s="6"/>
      <c r="N121" s="6">
        <f>34540+8730+12800</f>
        <v>56070</v>
      </c>
    </row>
    <row r="122" spans="1:14" s="48" customFormat="1" ht="17.100000000000001" customHeight="1" x14ac:dyDescent="0.25">
      <c r="A122" s="626"/>
      <c r="B122" s="617" t="s">
        <v>123</v>
      </c>
      <c r="C122" s="617" t="s">
        <v>1388</v>
      </c>
      <c r="D122" s="131" t="s">
        <v>125</v>
      </c>
      <c r="E122" s="618" t="s">
        <v>124</v>
      </c>
      <c r="F122" s="617"/>
      <c r="G122" s="617"/>
      <c r="H122" s="611"/>
      <c r="I122" s="101">
        <v>3092279</v>
      </c>
      <c r="J122" s="162">
        <v>6378036</v>
      </c>
      <c r="K122" s="112">
        <v>2211426.2000000002</v>
      </c>
      <c r="L122" s="101">
        <v>6989580</v>
      </c>
      <c r="M122" s="6"/>
      <c r="N122" s="6"/>
    </row>
    <row r="123" spans="1:14" s="48" customFormat="1" ht="17.100000000000001" customHeight="1" x14ac:dyDescent="0.25">
      <c r="A123" s="626"/>
      <c r="B123" s="617" t="s">
        <v>123</v>
      </c>
      <c r="C123" s="617" t="s">
        <v>1388</v>
      </c>
      <c r="D123" s="131" t="s">
        <v>125</v>
      </c>
      <c r="E123" s="618" t="s">
        <v>124</v>
      </c>
      <c r="F123" s="617"/>
      <c r="G123" s="617"/>
      <c r="H123" s="611"/>
      <c r="I123" s="101">
        <v>1262292</v>
      </c>
      <c r="J123" s="162">
        <v>1262292</v>
      </c>
      <c r="K123" s="112">
        <v>754831</v>
      </c>
      <c r="L123" s="101">
        <v>1325712</v>
      </c>
      <c r="M123" s="6"/>
      <c r="N123" s="6"/>
    </row>
    <row r="124" spans="1:14" s="48" customFormat="1" ht="17.100000000000001" customHeight="1" x14ac:dyDescent="0.25">
      <c r="A124" s="626"/>
      <c r="B124" s="617" t="s">
        <v>123</v>
      </c>
      <c r="C124" s="617" t="s">
        <v>1388</v>
      </c>
      <c r="D124" s="131" t="s">
        <v>125</v>
      </c>
      <c r="E124" s="618" t="s">
        <v>124</v>
      </c>
      <c r="F124" s="617"/>
      <c r="G124" s="617"/>
      <c r="H124" s="611"/>
      <c r="I124" s="101">
        <v>6156284.6299999999</v>
      </c>
      <c r="J124" s="162">
        <v>8489460</v>
      </c>
      <c r="K124" s="112">
        <v>3723223.5</v>
      </c>
      <c r="L124" s="101">
        <v>9234504</v>
      </c>
      <c r="M124" s="6"/>
      <c r="N124" s="6"/>
    </row>
    <row r="125" spans="1:14" s="48" customFormat="1" ht="17.100000000000001" customHeight="1" x14ac:dyDescent="0.25">
      <c r="A125" s="626"/>
      <c r="B125" s="617" t="s">
        <v>123</v>
      </c>
      <c r="C125" s="617" t="s">
        <v>1388</v>
      </c>
      <c r="D125" s="131" t="s">
        <v>125</v>
      </c>
      <c r="E125" s="618" t="s">
        <v>124</v>
      </c>
      <c r="F125" s="617"/>
      <c r="G125" s="617"/>
      <c r="H125" s="611"/>
      <c r="I125" s="101">
        <v>1497444</v>
      </c>
      <c r="J125" s="162">
        <v>1711680</v>
      </c>
      <c r="K125" s="112">
        <v>990049.04</v>
      </c>
      <c r="L125" s="101">
        <v>1855656</v>
      </c>
      <c r="M125" s="6"/>
      <c r="N125" s="6"/>
    </row>
    <row r="126" spans="1:14" s="48" customFormat="1" ht="17.100000000000001" customHeight="1" x14ac:dyDescent="0.25">
      <c r="A126" s="626"/>
      <c r="B126" s="617" t="s">
        <v>123</v>
      </c>
      <c r="C126" s="617" t="s">
        <v>1388</v>
      </c>
      <c r="D126" s="131" t="s">
        <v>125</v>
      </c>
      <c r="E126" s="618" t="s">
        <v>124</v>
      </c>
      <c r="F126" s="611"/>
      <c r="G126" s="612"/>
      <c r="H126" s="612"/>
      <c r="I126" s="101">
        <v>2065820.82</v>
      </c>
      <c r="J126" s="162">
        <v>2925708</v>
      </c>
      <c r="K126" s="112">
        <v>1282836.69</v>
      </c>
      <c r="L126" s="101">
        <v>3171624</v>
      </c>
      <c r="M126" s="6"/>
      <c r="N126" s="6"/>
    </row>
    <row r="127" spans="1:14" s="48" customFormat="1" ht="17.100000000000001" customHeight="1" x14ac:dyDescent="0.25">
      <c r="A127" s="626"/>
      <c r="B127" s="617" t="s">
        <v>123</v>
      </c>
      <c r="C127" s="617" t="s">
        <v>1388</v>
      </c>
      <c r="D127" s="131" t="s">
        <v>125</v>
      </c>
      <c r="E127" s="618" t="s">
        <v>124</v>
      </c>
      <c r="F127" s="611"/>
      <c r="G127" s="612"/>
      <c r="H127" s="612"/>
      <c r="I127" s="101">
        <v>1068489.1399999999</v>
      </c>
      <c r="J127" s="162">
        <v>1192644</v>
      </c>
      <c r="K127" s="112">
        <v>594210.67000000004</v>
      </c>
      <c r="L127" s="101">
        <v>1296300</v>
      </c>
      <c r="M127" s="6"/>
      <c r="N127" s="6"/>
    </row>
    <row r="128" spans="1:14" s="48" customFormat="1" ht="17.100000000000001" customHeight="1" x14ac:dyDescent="0.25">
      <c r="A128" s="626"/>
      <c r="B128" s="617" t="s">
        <v>123</v>
      </c>
      <c r="C128" s="617" t="s">
        <v>1388</v>
      </c>
      <c r="D128" s="131" t="s">
        <v>125</v>
      </c>
      <c r="E128" s="618" t="s">
        <v>124</v>
      </c>
      <c r="F128" s="617"/>
      <c r="G128" s="617"/>
      <c r="H128" s="611"/>
      <c r="I128" s="101">
        <v>2300526</v>
      </c>
      <c r="J128" s="162">
        <v>2887656</v>
      </c>
      <c r="K128" s="112">
        <v>1409227.54</v>
      </c>
      <c r="L128" s="101">
        <v>3160164</v>
      </c>
      <c r="M128" s="6">
        <f>SUM(L120:L128)</f>
        <v>28752528</v>
      </c>
      <c r="N128" s="6"/>
    </row>
    <row r="129" spans="1:14" s="48" customFormat="1" ht="17.100000000000001" customHeight="1" x14ac:dyDescent="0.25">
      <c r="A129" s="626"/>
      <c r="B129" s="617" t="s">
        <v>123</v>
      </c>
      <c r="C129" s="617" t="s">
        <v>1388</v>
      </c>
      <c r="D129" s="131" t="s">
        <v>1389</v>
      </c>
      <c r="E129" s="618" t="s">
        <v>128</v>
      </c>
      <c r="F129" s="618"/>
      <c r="G129" s="617"/>
      <c r="H129" s="611"/>
      <c r="I129" s="101"/>
      <c r="J129" s="162"/>
      <c r="K129" s="112"/>
      <c r="L129" s="105">
        <v>6070</v>
      </c>
      <c r="M129" s="6"/>
      <c r="N129" s="6"/>
    </row>
    <row r="130" spans="1:14" s="48" customFormat="1" ht="16.5" customHeight="1" x14ac:dyDescent="0.25">
      <c r="A130" s="615"/>
      <c r="B130" s="617" t="s">
        <v>123</v>
      </c>
      <c r="C130" s="617" t="s">
        <v>1388</v>
      </c>
      <c r="D130" s="131" t="s">
        <v>1389</v>
      </c>
      <c r="E130" s="701" t="s">
        <v>128</v>
      </c>
      <c r="F130" s="632"/>
      <c r="G130" s="617"/>
      <c r="H130" s="617"/>
      <c r="I130" s="101"/>
      <c r="J130" s="111"/>
      <c r="K130" s="112"/>
      <c r="L130" s="101">
        <v>2270</v>
      </c>
      <c r="M130" s="6"/>
      <c r="N130" s="6"/>
    </row>
    <row r="131" spans="1:14" s="48" customFormat="1" ht="18" customHeight="1" x14ac:dyDescent="0.25">
      <c r="A131" s="615"/>
      <c r="B131" s="617" t="s">
        <v>123</v>
      </c>
      <c r="C131" s="617" t="s">
        <v>1388</v>
      </c>
      <c r="D131" s="131" t="s">
        <v>1389</v>
      </c>
      <c r="E131" s="618" t="s">
        <v>128</v>
      </c>
      <c r="F131" s="617"/>
      <c r="G131" s="617"/>
      <c r="H131" s="617"/>
      <c r="I131" s="101">
        <v>0</v>
      </c>
      <c r="J131" s="111">
        <v>9644</v>
      </c>
      <c r="K131" s="112"/>
      <c r="L131" s="101">
        <v>4031.63</v>
      </c>
      <c r="M131" s="6"/>
      <c r="N131" s="6"/>
    </row>
    <row r="132" spans="1:14" s="48" customFormat="1" ht="18" customHeight="1" x14ac:dyDescent="0.25">
      <c r="A132" s="615"/>
      <c r="B132" s="617" t="s">
        <v>123</v>
      </c>
      <c r="C132" s="617" t="s">
        <v>1388</v>
      </c>
      <c r="D132" s="131" t="s">
        <v>1389</v>
      </c>
      <c r="E132" s="618" t="s">
        <v>128</v>
      </c>
      <c r="F132" s="617"/>
      <c r="G132" s="617"/>
      <c r="H132" s="617"/>
      <c r="I132" s="101">
        <v>0</v>
      </c>
      <c r="J132" s="111">
        <v>0</v>
      </c>
      <c r="K132" s="112"/>
      <c r="L132" s="101">
        <v>2634</v>
      </c>
      <c r="M132" s="6"/>
      <c r="N132" s="6"/>
    </row>
    <row r="133" spans="1:14" s="48" customFormat="1" ht="18" customHeight="1" x14ac:dyDescent="0.25">
      <c r="A133" s="615"/>
      <c r="B133" s="617" t="s">
        <v>123</v>
      </c>
      <c r="C133" s="617" t="s">
        <v>1388</v>
      </c>
      <c r="D133" s="131" t="s">
        <v>1389</v>
      </c>
      <c r="E133" s="618" t="s">
        <v>128</v>
      </c>
      <c r="F133" s="617"/>
      <c r="G133" s="617"/>
      <c r="H133" s="617"/>
      <c r="I133" s="101"/>
      <c r="J133" s="111">
        <v>8160</v>
      </c>
      <c r="K133" s="112"/>
      <c r="L133" s="101">
        <v>930</v>
      </c>
      <c r="M133" s="6"/>
      <c r="N133" s="6"/>
    </row>
    <row r="134" spans="1:14" s="48" customFormat="1" ht="18" customHeight="1" x14ac:dyDescent="0.25">
      <c r="A134" s="615"/>
      <c r="B134" s="617" t="s">
        <v>123</v>
      </c>
      <c r="C134" s="617" t="s">
        <v>1388</v>
      </c>
      <c r="D134" s="131" t="s">
        <v>1389</v>
      </c>
      <c r="E134" s="636" t="s">
        <v>128</v>
      </c>
      <c r="F134" s="617"/>
      <c r="G134" s="617"/>
      <c r="H134" s="611"/>
      <c r="I134" s="101"/>
      <c r="J134" s="111">
        <v>2009</v>
      </c>
      <c r="K134" s="112"/>
      <c r="L134" s="101">
        <v>2513.38</v>
      </c>
      <c r="M134" s="6"/>
      <c r="N134" s="6"/>
    </row>
    <row r="135" spans="1:14" s="48" customFormat="1" ht="18" customHeight="1" x14ac:dyDescent="0.25">
      <c r="A135" s="615"/>
      <c r="B135" s="617" t="s">
        <v>123</v>
      </c>
      <c r="C135" s="617" t="s">
        <v>1388</v>
      </c>
      <c r="D135" s="133" t="s">
        <v>1389</v>
      </c>
      <c r="E135" s="618" t="s">
        <v>128</v>
      </c>
      <c r="F135" s="618"/>
      <c r="G135" s="617"/>
      <c r="H135" s="611"/>
      <c r="I135" s="101"/>
      <c r="J135" s="162"/>
      <c r="K135" s="112"/>
      <c r="L135" s="101">
        <v>6453.63</v>
      </c>
      <c r="M135" s="6"/>
      <c r="N135" s="6"/>
    </row>
    <row r="136" spans="1:14" s="48" customFormat="1" ht="17.100000000000001" customHeight="1" x14ac:dyDescent="0.25">
      <c r="A136" s="626"/>
      <c r="B136" s="617" t="s">
        <v>123</v>
      </c>
      <c r="C136" s="617" t="s">
        <v>1388</v>
      </c>
      <c r="D136" s="131" t="s">
        <v>1389</v>
      </c>
      <c r="E136" s="619" t="s">
        <v>128</v>
      </c>
      <c r="F136" s="612"/>
      <c r="G136" s="612"/>
      <c r="H136" s="612"/>
      <c r="I136" s="101"/>
      <c r="J136" s="162">
        <v>5832</v>
      </c>
      <c r="K136" s="112"/>
      <c r="L136" s="101">
        <v>6038.72</v>
      </c>
      <c r="M136" s="6"/>
      <c r="N136" s="6"/>
    </row>
    <row r="137" spans="1:14" s="48" customFormat="1" ht="17.100000000000001" customHeight="1" x14ac:dyDescent="0.25">
      <c r="A137" s="626"/>
      <c r="B137" s="617" t="s">
        <v>123</v>
      </c>
      <c r="C137" s="617" t="s">
        <v>1388</v>
      </c>
      <c r="D137" s="131" t="s">
        <v>1389</v>
      </c>
      <c r="E137" s="619" t="s">
        <v>128</v>
      </c>
      <c r="F137" s="612"/>
      <c r="G137" s="612"/>
      <c r="H137" s="612"/>
      <c r="I137" s="101"/>
      <c r="J137" s="162">
        <v>18092.5</v>
      </c>
      <c r="K137" s="112"/>
      <c r="L137" s="101">
        <v>9942.7199999999993</v>
      </c>
      <c r="M137" s="6">
        <f>SUM(L129:L137)</f>
        <v>40884.080000000002</v>
      </c>
      <c r="N137" s="6"/>
    </row>
    <row r="138" spans="1:14" s="48" customFormat="1" ht="17.100000000000001" customHeight="1" x14ac:dyDescent="0.25">
      <c r="A138" s="626"/>
      <c r="B138" s="617" t="s">
        <v>123</v>
      </c>
      <c r="C138" s="617" t="s">
        <v>1388</v>
      </c>
      <c r="D138" s="131" t="s">
        <v>127</v>
      </c>
      <c r="E138" s="619" t="s">
        <v>126</v>
      </c>
      <c r="F138" s="612"/>
      <c r="G138" s="612"/>
      <c r="H138" s="612"/>
      <c r="I138" s="101">
        <v>149929.13</v>
      </c>
      <c r="J138" s="162">
        <v>132552</v>
      </c>
      <c r="K138" s="112">
        <v>70776.45</v>
      </c>
      <c r="L138" s="101">
        <v>143928</v>
      </c>
      <c r="M138" s="6"/>
      <c r="N138" s="6"/>
    </row>
    <row r="139" spans="1:14" s="48" customFormat="1" ht="17.100000000000001" customHeight="1" x14ac:dyDescent="0.25">
      <c r="A139" s="626"/>
      <c r="B139" s="617" t="s">
        <v>123</v>
      </c>
      <c r="C139" s="617" t="s">
        <v>1388</v>
      </c>
      <c r="D139" s="131" t="s">
        <v>127</v>
      </c>
      <c r="E139" s="619" t="s">
        <v>126</v>
      </c>
      <c r="F139" s="612"/>
      <c r="G139" s="612"/>
      <c r="H139" s="612"/>
      <c r="I139" s="101">
        <v>150179.91</v>
      </c>
      <c r="J139" s="162">
        <v>265104</v>
      </c>
      <c r="K139" s="112">
        <v>70776.45</v>
      </c>
      <c r="L139" s="101">
        <v>287856</v>
      </c>
      <c r="M139" s="6"/>
      <c r="N139" s="6"/>
    </row>
    <row r="140" spans="1:14" s="48" customFormat="1" ht="17.100000000000001" customHeight="1" x14ac:dyDescent="0.25">
      <c r="A140" s="626"/>
      <c r="B140" s="617" t="s">
        <v>123</v>
      </c>
      <c r="C140" s="617" t="s">
        <v>1388</v>
      </c>
      <c r="D140" s="131" t="s">
        <v>127</v>
      </c>
      <c r="E140" s="619" t="s">
        <v>126</v>
      </c>
      <c r="F140" s="612"/>
      <c r="G140" s="612"/>
      <c r="H140" s="612"/>
      <c r="I140" s="101">
        <v>984154.85</v>
      </c>
      <c r="J140" s="162">
        <v>1139964</v>
      </c>
      <c r="K140" s="112">
        <v>409404.63</v>
      </c>
      <c r="L140" s="101">
        <v>1237056</v>
      </c>
      <c r="M140" s="6"/>
      <c r="N140" s="6"/>
    </row>
    <row r="141" spans="1:14" s="48" customFormat="1" ht="17.100000000000001" customHeight="1" x14ac:dyDescent="0.25">
      <c r="A141" s="626"/>
      <c r="B141" s="617" t="s">
        <v>123</v>
      </c>
      <c r="C141" s="617" t="s">
        <v>1388</v>
      </c>
      <c r="D141" s="131" t="s">
        <v>127</v>
      </c>
      <c r="E141" s="619" t="s">
        <v>126</v>
      </c>
      <c r="F141" s="612"/>
      <c r="G141" s="612"/>
      <c r="H141" s="612"/>
      <c r="I141" s="101">
        <v>147691.04999999999</v>
      </c>
      <c r="J141" s="162">
        <v>132552</v>
      </c>
      <c r="K141" s="112">
        <v>70776.45</v>
      </c>
      <c r="L141" s="101">
        <v>143928</v>
      </c>
      <c r="M141" s="6"/>
      <c r="N141" s="6"/>
    </row>
    <row r="142" spans="1:14" s="48" customFormat="1" ht="17.100000000000001" customHeight="1" x14ac:dyDescent="0.25">
      <c r="A142" s="626"/>
      <c r="B142" s="617" t="s">
        <v>123</v>
      </c>
      <c r="C142" s="617" t="s">
        <v>1388</v>
      </c>
      <c r="D142" s="131" t="s">
        <v>127</v>
      </c>
      <c r="E142" s="619" t="s">
        <v>126</v>
      </c>
      <c r="F142" s="612"/>
      <c r="G142" s="612"/>
      <c r="H142" s="612"/>
      <c r="I142" s="101">
        <v>587673.22</v>
      </c>
      <c r="J142" s="162">
        <v>749880</v>
      </c>
      <c r="K142" s="112">
        <v>273088.09999999998</v>
      </c>
      <c r="L142" s="101">
        <v>813600</v>
      </c>
      <c r="M142" s="6"/>
      <c r="N142" s="6"/>
    </row>
    <row r="143" spans="1:14" s="48" customFormat="1" ht="17.100000000000001" customHeight="1" x14ac:dyDescent="0.25">
      <c r="A143" s="626"/>
      <c r="B143" s="617" t="s">
        <v>123</v>
      </c>
      <c r="C143" s="617" t="s">
        <v>1388</v>
      </c>
      <c r="D143" s="131" t="s">
        <v>127</v>
      </c>
      <c r="E143" s="619" t="s">
        <v>126</v>
      </c>
      <c r="F143" s="612"/>
      <c r="G143" s="612"/>
      <c r="H143" s="612"/>
      <c r="I143" s="101">
        <v>444155.57</v>
      </c>
      <c r="J143" s="162">
        <v>499920</v>
      </c>
      <c r="K143" s="112">
        <v>201978.22</v>
      </c>
      <c r="L143" s="101">
        <v>542400</v>
      </c>
      <c r="M143" s="6">
        <f>SUM(L138:L143)</f>
        <v>3168768</v>
      </c>
      <c r="N143" s="6"/>
    </row>
    <row r="144" spans="1:14" s="48" customFormat="1" ht="17.100000000000001" customHeight="1" x14ac:dyDescent="0.25">
      <c r="A144" s="626"/>
      <c r="B144" s="617" t="s">
        <v>123</v>
      </c>
      <c r="C144" s="617" t="s">
        <v>1388</v>
      </c>
      <c r="D144" s="132" t="s">
        <v>130</v>
      </c>
      <c r="E144" s="619" t="s">
        <v>129</v>
      </c>
      <c r="F144" s="612"/>
      <c r="G144" s="612"/>
      <c r="H144" s="612"/>
      <c r="I144" s="101">
        <v>86272.55</v>
      </c>
      <c r="J144" s="162">
        <v>120000</v>
      </c>
      <c r="K144" s="112">
        <v>54181.81</v>
      </c>
      <c r="L144" s="101">
        <v>120000</v>
      </c>
      <c r="M144" s="6"/>
      <c r="N144" s="6"/>
    </row>
    <row r="145" spans="1:14" s="48" customFormat="1" ht="17.100000000000001" customHeight="1" x14ac:dyDescent="0.25">
      <c r="A145" s="626"/>
      <c r="B145" s="617" t="s">
        <v>123</v>
      </c>
      <c r="C145" s="617" t="s">
        <v>1388</v>
      </c>
      <c r="D145" s="132" t="s">
        <v>130</v>
      </c>
      <c r="E145" s="618" t="s">
        <v>129</v>
      </c>
      <c r="F145" s="617"/>
      <c r="G145" s="617"/>
      <c r="H145" s="611"/>
      <c r="I145" s="101">
        <v>24000</v>
      </c>
      <c r="J145" s="162">
        <v>72000</v>
      </c>
      <c r="K145" s="112">
        <v>14000</v>
      </c>
      <c r="L145" s="101">
        <v>72000</v>
      </c>
      <c r="M145" s="6"/>
      <c r="N145" s="6"/>
    </row>
    <row r="146" spans="1:14" s="48" customFormat="1" ht="17.100000000000001" customHeight="1" x14ac:dyDescent="0.25">
      <c r="A146" s="626"/>
      <c r="B146" s="617" t="s">
        <v>123</v>
      </c>
      <c r="C146" s="617" t="s">
        <v>1388</v>
      </c>
      <c r="D146" s="132" t="s">
        <v>130</v>
      </c>
      <c r="E146" s="618" t="s">
        <v>129</v>
      </c>
      <c r="F146" s="617"/>
      <c r="G146" s="617"/>
      <c r="H146" s="611"/>
      <c r="I146" s="101">
        <v>422545.45</v>
      </c>
      <c r="J146" s="162">
        <v>720000</v>
      </c>
      <c r="K146" s="112">
        <v>268363.63</v>
      </c>
      <c r="L146" s="101">
        <v>720000</v>
      </c>
      <c r="M146" s="6"/>
      <c r="N146" s="6"/>
    </row>
    <row r="147" spans="1:14" s="48" customFormat="1" ht="17.100000000000001" customHeight="1" x14ac:dyDescent="0.25">
      <c r="A147" s="626"/>
      <c r="B147" s="617" t="s">
        <v>123</v>
      </c>
      <c r="C147" s="617" t="s">
        <v>1388</v>
      </c>
      <c r="D147" s="132" t="s">
        <v>130</v>
      </c>
      <c r="E147" s="618" t="s">
        <v>129</v>
      </c>
      <c r="F147" s="617"/>
      <c r="G147" s="617"/>
      <c r="H147" s="611"/>
      <c r="I147" s="101">
        <v>72000</v>
      </c>
      <c r="J147" s="102">
        <v>72000</v>
      </c>
      <c r="K147" s="101">
        <v>42000</v>
      </c>
      <c r="L147" s="101">
        <v>72000</v>
      </c>
      <c r="M147" s="6"/>
      <c r="N147" s="6"/>
    </row>
    <row r="148" spans="1:14" s="48" customFormat="1" ht="17.100000000000001" customHeight="1" x14ac:dyDescent="0.25">
      <c r="A148" s="626"/>
      <c r="B148" s="617" t="s">
        <v>123</v>
      </c>
      <c r="C148" s="617" t="s">
        <v>1388</v>
      </c>
      <c r="D148" s="132" t="s">
        <v>130</v>
      </c>
      <c r="E148" s="618" t="s">
        <v>129</v>
      </c>
      <c r="F148" s="617"/>
      <c r="G148" s="617"/>
      <c r="H148" s="611"/>
      <c r="I148" s="101">
        <v>936090.38</v>
      </c>
      <c r="J148" s="162">
        <v>1296000</v>
      </c>
      <c r="K148" s="112">
        <v>550272.68000000005</v>
      </c>
      <c r="L148" s="101">
        <v>1296000</v>
      </c>
      <c r="M148" s="6"/>
      <c r="N148" s="6"/>
    </row>
    <row r="149" spans="1:14" s="48" customFormat="1" ht="17.100000000000001" customHeight="1" x14ac:dyDescent="0.25">
      <c r="A149" s="626"/>
      <c r="B149" s="617" t="s">
        <v>123</v>
      </c>
      <c r="C149" s="617" t="s">
        <v>1388</v>
      </c>
      <c r="D149" s="132" t="s">
        <v>130</v>
      </c>
      <c r="E149" s="618" t="s">
        <v>129</v>
      </c>
      <c r="F149" s="617"/>
      <c r="G149" s="617"/>
      <c r="H149" s="611"/>
      <c r="I149" s="101">
        <v>110181.56</v>
      </c>
      <c r="J149" s="162">
        <v>144000</v>
      </c>
      <c r="K149" s="112">
        <v>77272.72</v>
      </c>
      <c r="L149" s="101">
        <v>144000</v>
      </c>
      <c r="M149" s="6"/>
      <c r="N149" s="6"/>
    </row>
    <row r="150" spans="1:14" s="48" customFormat="1" ht="17.100000000000001" customHeight="1" x14ac:dyDescent="0.25">
      <c r="A150" s="626"/>
      <c r="B150" s="617" t="s">
        <v>123</v>
      </c>
      <c r="C150" s="617" t="s">
        <v>1388</v>
      </c>
      <c r="D150" s="132" t="s">
        <v>130</v>
      </c>
      <c r="E150" s="619" t="s">
        <v>129</v>
      </c>
      <c r="F150" s="612"/>
      <c r="G150" s="612"/>
      <c r="H150" s="612"/>
      <c r="I150" s="101">
        <v>395727.31</v>
      </c>
      <c r="J150" s="162">
        <v>576000</v>
      </c>
      <c r="K150" s="112">
        <v>241909.09</v>
      </c>
      <c r="L150" s="101">
        <v>576000</v>
      </c>
      <c r="M150" s="6"/>
      <c r="N150" s="6"/>
    </row>
    <row r="151" spans="1:14" s="48" customFormat="1" ht="17.100000000000001" customHeight="1" x14ac:dyDescent="0.25">
      <c r="A151" s="626"/>
      <c r="B151" s="617" t="s">
        <v>123</v>
      </c>
      <c r="C151" s="617" t="s">
        <v>1388</v>
      </c>
      <c r="D151" s="132" t="s">
        <v>130</v>
      </c>
      <c r="E151" s="619" t="s">
        <v>129</v>
      </c>
      <c r="F151" s="612"/>
      <c r="G151" s="612"/>
      <c r="H151" s="612"/>
      <c r="I151" s="101">
        <v>213181.73</v>
      </c>
      <c r="J151" s="162">
        <v>288000</v>
      </c>
      <c r="K151" s="112">
        <v>126272.71</v>
      </c>
      <c r="L151" s="101">
        <v>288000</v>
      </c>
      <c r="M151" s="6"/>
      <c r="N151" s="6"/>
    </row>
    <row r="152" spans="1:14" s="48" customFormat="1" ht="17.100000000000001" customHeight="1" x14ac:dyDescent="0.25">
      <c r="A152" s="626"/>
      <c r="B152" s="617" t="s">
        <v>123</v>
      </c>
      <c r="C152" s="617" t="s">
        <v>1388</v>
      </c>
      <c r="D152" s="132" t="s">
        <v>130</v>
      </c>
      <c r="E152" s="619" t="s">
        <v>129</v>
      </c>
      <c r="F152" s="612"/>
      <c r="G152" s="612"/>
      <c r="H152" s="612"/>
      <c r="I152" s="101">
        <v>335000</v>
      </c>
      <c r="J152" s="162">
        <v>432000</v>
      </c>
      <c r="K152" s="112">
        <v>195909.09</v>
      </c>
      <c r="L152" s="101">
        <v>432000</v>
      </c>
      <c r="M152" s="6">
        <f>SUM(L144:L152)</f>
        <v>3720000</v>
      </c>
      <c r="N152" s="6"/>
    </row>
    <row r="153" spans="1:14" s="48" customFormat="1" ht="17.100000000000001" customHeight="1" x14ac:dyDescent="0.25">
      <c r="A153" s="626"/>
      <c r="B153" s="617" t="s">
        <v>123</v>
      </c>
      <c r="C153" s="617" t="s">
        <v>1388</v>
      </c>
      <c r="D153" s="133" t="s">
        <v>132</v>
      </c>
      <c r="E153" s="619" t="s">
        <v>131</v>
      </c>
      <c r="F153" s="612"/>
      <c r="G153" s="612"/>
      <c r="H153" s="612"/>
      <c r="I153" s="105">
        <v>72000</v>
      </c>
      <c r="J153" s="163">
        <v>72000</v>
      </c>
      <c r="K153" s="118">
        <v>42000</v>
      </c>
      <c r="L153" s="101">
        <v>72000</v>
      </c>
      <c r="M153" s="6"/>
      <c r="N153" s="6"/>
    </row>
    <row r="154" spans="1:14" s="48" customFormat="1" ht="17.100000000000001" customHeight="1" x14ac:dyDescent="0.25">
      <c r="A154" s="626"/>
      <c r="B154" s="617" t="s">
        <v>123</v>
      </c>
      <c r="C154" s="617" t="s">
        <v>1388</v>
      </c>
      <c r="D154" s="131" t="s">
        <v>132</v>
      </c>
      <c r="E154" s="618" t="s">
        <v>131</v>
      </c>
      <c r="F154" s="617"/>
      <c r="G154" s="617"/>
      <c r="H154" s="611"/>
      <c r="I154" s="101">
        <v>70500</v>
      </c>
      <c r="J154" s="162">
        <v>72000</v>
      </c>
      <c r="K154" s="112">
        <v>40500</v>
      </c>
      <c r="L154" s="101">
        <v>72000</v>
      </c>
      <c r="M154" s="6"/>
      <c r="N154" s="6"/>
    </row>
    <row r="155" spans="1:14" s="48" customFormat="1" ht="17.100000000000001" customHeight="1" x14ac:dyDescent="0.25">
      <c r="A155" s="626"/>
      <c r="B155" s="617" t="s">
        <v>123</v>
      </c>
      <c r="C155" s="617" t="s">
        <v>1388</v>
      </c>
      <c r="D155" s="131" t="s">
        <v>132</v>
      </c>
      <c r="E155" s="618" t="s">
        <v>131</v>
      </c>
      <c r="F155" s="617"/>
      <c r="G155" s="617"/>
      <c r="H155" s="611"/>
      <c r="I155" s="101">
        <v>70500</v>
      </c>
      <c r="J155" s="162">
        <v>72000</v>
      </c>
      <c r="K155" s="112">
        <v>40500</v>
      </c>
      <c r="L155" s="101">
        <v>72000</v>
      </c>
      <c r="M155" s="6"/>
      <c r="N155" s="6"/>
    </row>
    <row r="156" spans="1:14" s="48" customFormat="1" ht="17.100000000000001" customHeight="1" x14ac:dyDescent="0.25">
      <c r="A156" s="626"/>
      <c r="B156" s="617" t="s">
        <v>123</v>
      </c>
      <c r="C156" s="617" t="s">
        <v>1388</v>
      </c>
      <c r="D156" s="131" t="s">
        <v>132</v>
      </c>
      <c r="E156" s="618" t="s">
        <v>131</v>
      </c>
      <c r="F156" s="617"/>
      <c r="G156" s="617"/>
      <c r="H156" s="611"/>
      <c r="I156" s="101">
        <v>72000</v>
      </c>
      <c r="J156" s="162">
        <v>72000</v>
      </c>
      <c r="K156" s="112">
        <v>40500</v>
      </c>
      <c r="L156" s="101">
        <v>72000</v>
      </c>
      <c r="M156" s="6">
        <f>SUM(L153:L156)</f>
        <v>288000</v>
      </c>
      <c r="N156" s="6"/>
    </row>
    <row r="157" spans="1:14" s="48" customFormat="1" ht="17.100000000000001" customHeight="1" x14ac:dyDescent="0.25">
      <c r="A157" s="626"/>
      <c r="B157" s="617" t="s">
        <v>123</v>
      </c>
      <c r="C157" s="617" t="s">
        <v>1388</v>
      </c>
      <c r="D157" s="131" t="s">
        <v>134</v>
      </c>
      <c r="E157" s="618" t="s">
        <v>133</v>
      </c>
      <c r="F157" s="617"/>
      <c r="G157" s="617"/>
      <c r="H157" s="611"/>
      <c r="I157" s="101">
        <v>72000</v>
      </c>
      <c r="J157" s="162">
        <v>72000</v>
      </c>
      <c r="K157" s="112">
        <v>42000</v>
      </c>
      <c r="L157" s="101">
        <v>72000</v>
      </c>
      <c r="M157" s="6"/>
      <c r="N157" s="6"/>
    </row>
    <row r="158" spans="1:14" s="48" customFormat="1" ht="17.100000000000001" customHeight="1" x14ac:dyDescent="0.25">
      <c r="A158" s="626"/>
      <c r="B158" s="617" t="s">
        <v>123</v>
      </c>
      <c r="C158" s="617" t="s">
        <v>1388</v>
      </c>
      <c r="D158" s="131" t="s">
        <v>134</v>
      </c>
      <c r="E158" s="618" t="s">
        <v>133</v>
      </c>
      <c r="F158" s="617"/>
      <c r="G158" s="617"/>
      <c r="H158" s="611"/>
      <c r="I158" s="101">
        <v>70500</v>
      </c>
      <c r="J158" s="162">
        <v>72000</v>
      </c>
      <c r="K158" s="112">
        <v>40500</v>
      </c>
      <c r="L158" s="101">
        <v>72000</v>
      </c>
      <c r="M158" s="6"/>
      <c r="N158" s="6"/>
    </row>
    <row r="159" spans="1:14" s="48" customFormat="1" ht="17.100000000000001" customHeight="1" x14ac:dyDescent="0.25">
      <c r="A159" s="626"/>
      <c r="B159" s="617" t="s">
        <v>123</v>
      </c>
      <c r="C159" s="617" t="s">
        <v>1388</v>
      </c>
      <c r="D159" s="131" t="s">
        <v>134</v>
      </c>
      <c r="E159" s="618" t="s">
        <v>133</v>
      </c>
      <c r="F159" s="617"/>
      <c r="G159" s="617"/>
      <c r="H159" s="611"/>
      <c r="I159" s="101">
        <v>70500</v>
      </c>
      <c r="J159" s="162">
        <v>72000</v>
      </c>
      <c r="K159" s="112">
        <v>40500</v>
      </c>
      <c r="L159" s="101">
        <v>72000</v>
      </c>
      <c r="M159" s="6"/>
      <c r="N159" s="6"/>
    </row>
    <row r="160" spans="1:14" s="48" customFormat="1" ht="17.100000000000001" customHeight="1" x14ac:dyDescent="0.25">
      <c r="A160" s="626"/>
      <c r="B160" s="617" t="s">
        <v>123</v>
      </c>
      <c r="C160" s="617" t="s">
        <v>1388</v>
      </c>
      <c r="D160" s="131" t="s">
        <v>134</v>
      </c>
      <c r="E160" s="618" t="s">
        <v>133</v>
      </c>
      <c r="F160" s="617"/>
      <c r="G160" s="617"/>
      <c r="H160" s="611"/>
      <c r="I160" s="101">
        <v>72000</v>
      </c>
      <c r="J160" s="162">
        <v>72000</v>
      </c>
      <c r="K160" s="112">
        <v>40500</v>
      </c>
      <c r="L160" s="101">
        <v>72000</v>
      </c>
      <c r="M160" s="6">
        <f>SUM(L157:L160)</f>
        <v>288000</v>
      </c>
      <c r="N160" s="6"/>
    </row>
    <row r="161" spans="1:14" s="48" customFormat="1" ht="17.100000000000001" customHeight="1" x14ac:dyDescent="0.25">
      <c r="A161" s="626"/>
      <c r="B161" s="617" t="s">
        <v>123</v>
      </c>
      <c r="C161" s="617" t="s">
        <v>1388</v>
      </c>
      <c r="D161" s="131" t="s">
        <v>138</v>
      </c>
      <c r="E161" s="618" t="s">
        <v>137</v>
      </c>
      <c r="F161" s="617"/>
      <c r="G161" s="617"/>
      <c r="H161" s="611"/>
      <c r="I161" s="101">
        <v>18000</v>
      </c>
      <c r="J161" s="162">
        <v>30000</v>
      </c>
      <c r="K161" s="112">
        <v>24000</v>
      </c>
      <c r="L161" s="101">
        <v>30000</v>
      </c>
      <c r="M161" s="6"/>
      <c r="N161" s="6"/>
    </row>
    <row r="162" spans="1:14" s="48" customFormat="1" ht="17.100000000000001" customHeight="1" x14ac:dyDescent="0.25">
      <c r="A162" s="626"/>
      <c r="B162" s="617" t="s">
        <v>123</v>
      </c>
      <c r="C162" s="617" t="s">
        <v>1388</v>
      </c>
      <c r="D162" s="131" t="s">
        <v>138</v>
      </c>
      <c r="E162" s="618" t="s">
        <v>137</v>
      </c>
      <c r="F162" s="617"/>
      <c r="G162" s="617"/>
      <c r="H162" s="611"/>
      <c r="I162" s="101">
        <v>6000</v>
      </c>
      <c r="J162" s="162">
        <v>18000</v>
      </c>
      <c r="K162" s="112">
        <v>6000</v>
      </c>
      <c r="L162" s="101">
        <v>18000</v>
      </c>
      <c r="M162" s="6"/>
      <c r="N162" s="6"/>
    </row>
    <row r="163" spans="1:14" s="48" customFormat="1" ht="17.100000000000001" customHeight="1" x14ac:dyDescent="0.25">
      <c r="A163" s="626"/>
      <c r="B163" s="617" t="s">
        <v>123</v>
      </c>
      <c r="C163" s="617" t="s">
        <v>1388</v>
      </c>
      <c r="D163" s="131" t="s">
        <v>138</v>
      </c>
      <c r="E163" s="618" t="s">
        <v>137</v>
      </c>
      <c r="F163" s="617"/>
      <c r="G163" s="617"/>
      <c r="H163" s="611"/>
      <c r="I163" s="101">
        <v>102000</v>
      </c>
      <c r="J163" s="162">
        <v>180000</v>
      </c>
      <c r="K163" s="112">
        <v>108000</v>
      </c>
      <c r="L163" s="105">
        <v>180000</v>
      </c>
      <c r="M163" s="6"/>
      <c r="N163" s="6"/>
    </row>
    <row r="164" spans="1:14" s="136" customFormat="1" ht="18" customHeight="1" x14ac:dyDescent="0.25">
      <c r="A164" s="154"/>
      <c r="B164" s="617" t="s">
        <v>123</v>
      </c>
      <c r="C164" s="617" t="s">
        <v>1388</v>
      </c>
      <c r="D164" s="131" t="s">
        <v>138</v>
      </c>
      <c r="E164" s="618" t="s">
        <v>137</v>
      </c>
      <c r="F164" s="617"/>
      <c r="G164" s="617"/>
      <c r="H164" s="617"/>
      <c r="I164" s="101">
        <v>18000</v>
      </c>
      <c r="J164" s="111">
        <v>18000</v>
      </c>
      <c r="K164" s="112">
        <v>18000</v>
      </c>
      <c r="L164" s="101">
        <v>18000</v>
      </c>
      <c r="M164" s="6"/>
      <c r="N164" s="6"/>
    </row>
    <row r="165" spans="1:14" s="136" customFormat="1" ht="18" customHeight="1" x14ac:dyDescent="0.25">
      <c r="A165" s="154"/>
      <c r="B165" s="617" t="s">
        <v>123</v>
      </c>
      <c r="C165" s="617" t="s">
        <v>1388</v>
      </c>
      <c r="D165" s="131" t="s">
        <v>138</v>
      </c>
      <c r="E165" s="618" t="s">
        <v>137</v>
      </c>
      <c r="F165" s="617"/>
      <c r="G165" s="617"/>
      <c r="H165" s="617"/>
      <c r="I165" s="101">
        <v>210000</v>
      </c>
      <c r="J165" s="111">
        <v>324000</v>
      </c>
      <c r="K165" s="112">
        <v>240000</v>
      </c>
      <c r="L165" s="101">
        <v>324000</v>
      </c>
      <c r="M165" s="6"/>
      <c r="N165" s="6"/>
    </row>
    <row r="166" spans="1:14" s="136" customFormat="1" ht="18" customHeight="1" x14ac:dyDescent="0.25">
      <c r="A166" s="154"/>
      <c r="B166" s="617" t="s">
        <v>123</v>
      </c>
      <c r="C166" s="617" t="s">
        <v>1388</v>
      </c>
      <c r="D166" s="131" t="s">
        <v>138</v>
      </c>
      <c r="E166" s="618" t="s">
        <v>137</v>
      </c>
      <c r="F166" s="617"/>
      <c r="G166" s="617"/>
      <c r="H166" s="617"/>
      <c r="I166" s="101">
        <v>24000</v>
      </c>
      <c r="J166" s="111">
        <v>36000</v>
      </c>
      <c r="K166" s="112">
        <v>30000</v>
      </c>
      <c r="L166" s="101">
        <v>36000</v>
      </c>
      <c r="M166" s="6"/>
      <c r="N166" s="6"/>
    </row>
    <row r="167" spans="1:14" s="136" customFormat="1" ht="18" customHeight="1" x14ac:dyDescent="0.25">
      <c r="A167" s="154"/>
      <c r="B167" s="617" t="s">
        <v>123</v>
      </c>
      <c r="C167" s="617" t="s">
        <v>1388</v>
      </c>
      <c r="D167" s="131" t="s">
        <v>138</v>
      </c>
      <c r="E167" s="618" t="s">
        <v>137</v>
      </c>
      <c r="F167" s="617"/>
      <c r="G167" s="617"/>
      <c r="H167" s="617"/>
      <c r="I167" s="101">
        <v>84000</v>
      </c>
      <c r="J167" s="111">
        <v>144000</v>
      </c>
      <c r="K167" s="112">
        <v>108000</v>
      </c>
      <c r="L167" s="101">
        <v>144000</v>
      </c>
      <c r="M167" s="6"/>
      <c r="N167" s="6"/>
    </row>
    <row r="168" spans="1:14" s="136" customFormat="1" ht="18" customHeight="1" x14ac:dyDescent="0.25">
      <c r="A168" s="154"/>
      <c r="B168" s="617" t="s">
        <v>123</v>
      </c>
      <c r="C168" s="617" t="s">
        <v>1388</v>
      </c>
      <c r="D168" s="131" t="s">
        <v>138</v>
      </c>
      <c r="E168" s="618" t="s">
        <v>137</v>
      </c>
      <c r="F168" s="617"/>
      <c r="G168" s="617"/>
      <c r="H168" s="617"/>
      <c r="I168" s="101">
        <v>42000</v>
      </c>
      <c r="J168" s="111">
        <v>72000</v>
      </c>
      <c r="K168" s="112">
        <v>60000</v>
      </c>
      <c r="L168" s="101">
        <v>72000</v>
      </c>
      <c r="M168" s="6"/>
      <c r="N168" s="6"/>
    </row>
    <row r="169" spans="1:14" s="136" customFormat="1" ht="18" customHeight="1" x14ac:dyDescent="0.25">
      <c r="A169" s="154"/>
      <c r="B169" s="617" t="s">
        <v>123</v>
      </c>
      <c r="C169" s="617" t="s">
        <v>1388</v>
      </c>
      <c r="D169" s="131" t="s">
        <v>138</v>
      </c>
      <c r="E169" s="618" t="s">
        <v>137</v>
      </c>
      <c r="F169" s="617"/>
      <c r="G169" s="617"/>
      <c r="H169" s="617"/>
      <c r="I169" s="101">
        <v>84000</v>
      </c>
      <c r="J169" s="111">
        <v>108000</v>
      </c>
      <c r="K169" s="112">
        <v>84000</v>
      </c>
      <c r="L169" s="101">
        <v>108000</v>
      </c>
      <c r="M169" s="6">
        <f>SUM(L161:L169)</f>
        <v>930000</v>
      </c>
      <c r="N169" s="6"/>
    </row>
    <row r="170" spans="1:14" s="136" customFormat="1" ht="18" customHeight="1" x14ac:dyDescent="0.25">
      <c r="A170" s="154"/>
      <c r="B170" s="617" t="s">
        <v>123</v>
      </c>
      <c r="C170" s="617" t="s">
        <v>1388</v>
      </c>
      <c r="D170" s="131" t="s">
        <v>464</v>
      </c>
      <c r="E170" s="618" t="s">
        <v>210</v>
      </c>
      <c r="F170" s="617"/>
      <c r="G170" s="617"/>
      <c r="H170" s="617"/>
      <c r="I170" s="101">
        <v>36400</v>
      </c>
      <c r="J170" s="111">
        <v>54000</v>
      </c>
      <c r="K170" s="112">
        <v>5850</v>
      </c>
      <c r="L170" s="101">
        <v>54000</v>
      </c>
      <c r="M170" s="6">
        <f>L170</f>
        <v>54000</v>
      </c>
      <c r="N170" s="6"/>
    </row>
    <row r="171" spans="1:14" s="169" customFormat="1" ht="18" customHeight="1" x14ac:dyDescent="0.25">
      <c r="A171" s="625"/>
      <c r="B171" s="617" t="s">
        <v>123</v>
      </c>
      <c r="C171" s="617" t="s">
        <v>1388</v>
      </c>
      <c r="D171" s="131" t="s">
        <v>212</v>
      </c>
      <c r="E171" s="618" t="s">
        <v>211</v>
      </c>
      <c r="F171" s="617"/>
      <c r="G171" s="617"/>
      <c r="H171" s="611"/>
      <c r="I171" s="101">
        <v>5195.84</v>
      </c>
      <c r="J171" s="111">
        <v>5400</v>
      </c>
      <c r="K171" s="112">
        <v>866.02</v>
      </c>
      <c r="L171" s="101">
        <v>5400</v>
      </c>
      <c r="M171" s="6">
        <f>L171</f>
        <v>5400</v>
      </c>
      <c r="N171" s="6"/>
    </row>
    <row r="172" spans="1:14" s="48" customFormat="1" ht="18" customHeight="1" x14ac:dyDescent="0.25">
      <c r="A172" s="615"/>
      <c r="B172" s="617" t="s">
        <v>123</v>
      </c>
      <c r="C172" s="617" t="s">
        <v>1388</v>
      </c>
      <c r="D172" s="131" t="s">
        <v>146</v>
      </c>
      <c r="E172" s="618" t="s">
        <v>145</v>
      </c>
      <c r="F172" s="617"/>
      <c r="G172" s="617"/>
      <c r="H172" s="611"/>
      <c r="I172" s="101">
        <v>20000</v>
      </c>
      <c r="J172" s="111">
        <v>25000</v>
      </c>
      <c r="K172" s="112"/>
      <c r="L172" s="101">
        <v>25000</v>
      </c>
      <c r="M172" s="6"/>
      <c r="N172" s="6"/>
    </row>
    <row r="173" spans="1:14" s="48" customFormat="1" ht="18" customHeight="1" x14ac:dyDescent="0.25">
      <c r="A173" s="615"/>
      <c r="B173" s="617" t="s">
        <v>123</v>
      </c>
      <c r="C173" s="617" t="s">
        <v>1388</v>
      </c>
      <c r="D173" s="131" t="s">
        <v>146</v>
      </c>
      <c r="E173" s="618" t="s">
        <v>145</v>
      </c>
      <c r="F173" s="617"/>
      <c r="G173" s="617"/>
      <c r="H173" s="611"/>
      <c r="I173" s="101">
        <v>5000</v>
      </c>
      <c r="J173" s="111">
        <v>15000</v>
      </c>
      <c r="K173" s="112"/>
      <c r="L173" s="101">
        <v>15000</v>
      </c>
      <c r="M173" s="6"/>
      <c r="N173" s="6"/>
    </row>
    <row r="174" spans="1:14" s="48" customFormat="1" ht="18" customHeight="1" x14ac:dyDescent="0.25">
      <c r="A174" s="615"/>
      <c r="B174" s="617" t="s">
        <v>123</v>
      </c>
      <c r="C174" s="617" t="s">
        <v>1388</v>
      </c>
      <c r="D174" s="131" t="s">
        <v>146</v>
      </c>
      <c r="E174" s="618" t="s">
        <v>145</v>
      </c>
      <c r="F174" s="617"/>
      <c r="G174" s="617"/>
      <c r="H174" s="611"/>
      <c r="I174" s="101">
        <v>90000</v>
      </c>
      <c r="J174" s="111">
        <v>150000</v>
      </c>
      <c r="K174" s="112"/>
      <c r="L174" s="101">
        <v>150000</v>
      </c>
      <c r="M174" s="6"/>
      <c r="N174" s="6"/>
    </row>
    <row r="175" spans="1:14" s="48" customFormat="1" ht="18" customHeight="1" x14ac:dyDescent="0.25">
      <c r="A175" s="615"/>
      <c r="B175" s="617" t="s">
        <v>123</v>
      </c>
      <c r="C175" s="617" t="s">
        <v>1388</v>
      </c>
      <c r="D175" s="131" t="s">
        <v>146</v>
      </c>
      <c r="E175" s="618" t="s">
        <v>145</v>
      </c>
      <c r="F175" s="617"/>
      <c r="G175" s="617"/>
      <c r="H175" s="611"/>
      <c r="I175" s="101">
        <v>15000</v>
      </c>
      <c r="J175" s="111">
        <v>15000</v>
      </c>
      <c r="K175" s="112"/>
      <c r="L175" s="101">
        <v>15000</v>
      </c>
      <c r="M175" s="6"/>
      <c r="N175" s="6"/>
    </row>
    <row r="176" spans="1:14" s="48" customFormat="1" ht="18" customHeight="1" x14ac:dyDescent="0.25">
      <c r="A176" s="615"/>
      <c r="B176" s="617" t="s">
        <v>123</v>
      </c>
      <c r="C176" s="617" t="s">
        <v>1388</v>
      </c>
      <c r="D176" s="131" t="s">
        <v>146</v>
      </c>
      <c r="E176" s="618" t="s">
        <v>145</v>
      </c>
      <c r="F176" s="617"/>
      <c r="G176" s="617"/>
      <c r="H176" s="611"/>
      <c r="I176" s="101">
        <v>205000</v>
      </c>
      <c r="J176" s="111">
        <v>270000</v>
      </c>
      <c r="K176" s="112"/>
      <c r="L176" s="101">
        <v>270000</v>
      </c>
      <c r="M176" s="6"/>
      <c r="N176" s="6"/>
    </row>
    <row r="177" spans="1:14" s="48" customFormat="1" ht="18" customHeight="1" x14ac:dyDescent="0.25">
      <c r="A177" s="615"/>
      <c r="B177" s="617" t="s">
        <v>123</v>
      </c>
      <c r="C177" s="617" t="s">
        <v>1388</v>
      </c>
      <c r="D177" s="131" t="s">
        <v>146</v>
      </c>
      <c r="E177" s="618" t="s">
        <v>145</v>
      </c>
      <c r="F177" s="617"/>
      <c r="G177" s="617"/>
      <c r="H177" s="611"/>
      <c r="I177" s="101">
        <v>25000</v>
      </c>
      <c r="J177" s="111">
        <v>30000</v>
      </c>
      <c r="K177" s="112"/>
      <c r="L177" s="101">
        <v>30000</v>
      </c>
      <c r="M177" s="6"/>
      <c r="N177" s="6"/>
    </row>
    <row r="178" spans="1:14" s="48" customFormat="1" ht="18" customHeight="1" x14ac:dyDescent="0.25">
      <c r="A178" s="615"/>
      <c r="B178" s="617" t="s">
        <v>123</v>
      </c>
      <c r="C178" s="617" t="s">
        <v>1388</v>
      </c>
      <c r="D178" s="131" t="s">
        <v>146</v>
      </c>
      <c r="E178" s="618" t="s">
        <v>145</v>
      </c>
      <c r="F178" s="617"/>
      <c r="G178" s="617"/>
      <c r="H178" s="611"/>
      <c r="I178" s="101">
        <v>90000</v>
      </c>
      <c r="J178" s="111">
        <v>120000</v>
      </c>
      <c r="K178" s="112"/>
      <c r="L178" s="101">
        <v>120000</v>
      </c>
      <c r="M178" s="6"/>
      <c r="N178" s="6"/>
    </row>
    <row r="179" spans="1:14" s="48" customFormat="1" ht="18" customHeight="1" x14ac:dyDescent="0.25">
      <c r="A179" s="615"/>
      <c r="B179" s="617" t="s">
        <v>123</v>
      </c>
      <c r="C179" s="617" t="s">
        <v>1388</v>
      </c>
      <c r="D179" s="131" t="s">
        <v>146</v>
      </c>
      <c r="E179" s="618" t="s">
        <v>145</v>
      </c>
      <c r="F179" s="617"/>
      <c r="G179" s="617"/>
      <c r="H179" s="611"/>
      <c r="I179" s="101">
        <v>50000</v>
      </c>
      <c r="J179" s="111">
        <v>60000</v>
      </c>
      <c r="K179" s="112"/>
      <c r="L179" s="101">
        <v>60000</v>
      </c>
      <c r="M179" s="6"/>
      <c r="N179" s="6"/>
    </row>
    <row r="180" spans="1:14" s="48" customFormat="1" ht="18" customHeight="1" x14ac:dyDescent="0.25">
      <c r="A180" s="615"/>
      <c r="B180" s="617" t="s">
        <v>123</v>
      </c>
      <c r="C180" s="617" t="s">
        <v>1388</v>
      </c>
      <c r="D180" s="131" t="s">
        <v>146</v>
      </c>
      <c r="E180" s="618" t="s">
        <v>145</v>
      </c>
      <c r="F180" s="617"/>
      <c r="G180" s="617"/>
      <c r="H180" s="611"/>
      <c r="I180" s="101">
        <v>70000</v>
      </c>
      <c r="J180" s="111">
        <v>90000</v>
      </c>
      <c r="K180" s="112"/>
      <c r="L180" s="101">
        <v>90000</v>
      </c>
      <c r="M180" s="6">
        <f>SUM(L172:L180)</f>
        <v>775000</v>
      </c>
      <c r="N180" s="6"/>
    </row>
    <row r="181" spans="1:14" s="48" customFormat="1" ht="18" customHeight="1" x14ac:dyDescent="0.25">
      <c r="A181" s="626"/>
      <c r="B181" s="617" t="s">
        <v>123</v>
      </c>
      <c r="C181" s="617" t="s">
        <v>1388</v>
      </c>
      <c r="D181" s="131" t="s">
        <v>150</v>
      </c>
      <c r="E181" s="637" t="s">
        <v>149</v>
      </c>
      <c r="F181" s="612"/>
      <c r="G181" s="612"/>
      <c r="H181" s="612"/>
      <c r="I181" s="101">
        <v>273885</v>
      </c>
      <c r="J181" s="102">
        <v>128862</v>
      </c>
      <c r="K181" s="101">
        <v>22450</v>
      </c>
      <c r="L181" s="101">
        <v>140918.82</v>
      </c>
      <c r="M181" s="6">
        <f>L181</f>
        <v>140918.82</v>
      </c>
      <c r="N181" s="6"/>
    </row>
    <row r="182" spans="1:14" s="48" customFormat="1" ht="18" customHeight="1" x14ac:dyDescent="0.25">
      <c r="A182" s="626"/>
      <c r="B182" s="617" t="s">
        <v>123</v>
      </c>
      <c r="C182" s="617" t="s">
        <v>1388</v>
      </c>
      <c r="D182" s="131" t="s">
        <v>232</v>
      </c>
      <c r="E182" s="637" t="s">
        <v>231</v>
      </c>
      <c r="F182" s="612"/>
      <c r="G182" s="612"/>
      <c r="H182" s="612"/>
      <c r="I182" s="101"/>
      <c r="J182" s="102"/>
      <c r="K182" s="101"/>
      <c r="L182" s="101">
        <v>5000</v>
      </c>
      <c r="M182" s="6"/>
      <c r="N182" s="6"/>
    </row>
    <row r="183" spans="1:14" s="48" customFormat="1" ht="18" customHeight="1" x14ac:dyDescent="0.25">
      <c r="A183" s="626"/>
      <c r="B183" s="617" t="s">
        <v>123</v>
      </c>
      <c r="C183" s="617" t="s">
        <v>1388</v>
      </c>
      <c r="D183" s="131" t="s">
        <v>232</v>
      </c>
      <c r="E183" s="619" t="s">
        <v>231</v>
      </c>
      <c r="F183" s="612"/>
      <c r="G183" s="612"/>
      <c r="H183" s="612"/>
      <c r="I183" s="101"/>
      <c r="J183" s="102">
        <v>0</v>
      </c>
      <c r="K183" s="101"/>
      <c r="L183" s="101">
        <v>15000</v>
      </c>
      <c r="M183" s="6"/>
      <c r="N183" s="6"/>
    </row>
    <row r="184" spans="1:14" s="48" customFormat="1" ht="18" customHeight="1" x14ac:dyDescent="0.25">
      <c r="A184" s="626"/>
      <c r="B184" s="617" t="s">
        <v>123</v>
      </c>
      <c r="C184" s="617" t="s">
        <v>1388</v>
      </c>
      <c r="D184" s="131" t="s">
        <v>232</v>
      </c>
      <c r="E184" s="637" t="s">
        <v>231</v>
      </c>
      <c r="F184" s="629"/>
      <c r="G184" s="629"/>
      <c r="H184" s="629"/>
      <c r="I184" s="101">
        <v>35000</v>
      </c>
      <c r="J184" s="102">
        <v>20000</v>
      </c>
      <c r="K184" s="101"/>
      <c r="L184" s="101">
        <v>45000</v>
      </c>
      <c r="M184" s="6"/>
      <c r="N184" s="6"/>
    </row>
    <row r="185" spans="1:14" s="48" customFormat="1" ht="18" customHeight="1" x14ac:dyDescent="0.25">
      <c r="A185" s="626"/>
      <c r="B185" s="617" t="s">
        <v>123</v>
      </c>
      <c r="C185" s="617" t="s">
        <v>1388</v>
      </c>
      <c r="D185" s="131" t="s">
        <v>232</v>
      </c>
      <c r="E185" s="636" t="s">
        <v>231</v>
      </c>
      <c r="F185" s="617"/>
      <c r="G185" s="617"/>
      <c r="H185" s="611"/>
      <c r="I185" s="101"/>
      <c r="J185" s="102">
        <v>10000</v>
      </c>
      <c r="K185" s="101"/>
      <c r="L185" s="101">
        <v>5000</v>
      </c>
      <c r="M185" s="6"/>
      <c r="N185" s="6"/>
    </row>
    <row r="186" spans="1:14" s="48" customFormat="1" ht="18" customHeight="1" x14ac:dyDescent="0.25">
      <c r="A186" s="626"/>
      <c r="B186" s="617" t="s">
        <v>123</v>
      </c>
      <c r="C186" s="617" t="s">
        <v>1388</v>
      </c>
      <c r="D186" s="131" t="s">
        <v>232</v>
      </c>
      <c r="E186" s="636" t="s">
        <v>231</v>
      </c>
      <c r="F186" s="617"/>
      <c r="G186" s="617"/>
      <c r="H186" s="611"/>
      <c r="I186" s="101">
        <v>0</v>
      </c>
      <c r="J186" s="102">
        <v>0</v>
      </c>
      <c r="K186" s="101"/>
      <c r="L186" s="101">
        <v>5000</v>
      </c>
      <c r="M186" s="6">
        <f>SUM(L182:L186)</f>
        <v>75000</v>
      </c>
      <c r="N186" s="6"/>
    </row>
    <row r="187" spans="1:14" s="48" customFormat="1" ht="18" customHeight="1" x14ac:dyDescent="0.25">
      <c r="A187" s="626"/>
      <c r="B187" s="617" t="s">
        <v>123</v>
      </c>
      <c r="C187" s="617" t="s">
        <v>1388</v>
      </c>
      <c r="D187" s="131" t="s">
        <v>136</v>
      </c>
      <c r="E187" s="618" t="s">
        <v>135</v>
      </c>
      <c r="F187" s="617"/>
      <c r="G187" s="617"/>
      <c r="H187" s="611"/>
      <c r="I187" s="101">
        <v>0</v>
      </c>
      <c r="J187" s="102">
        <v>204879.09</v>
      </c>
      <c r="K187" s="101"/>
      <c r="L187" s="101">
        <v>50000</v>
      </c>
      <c r="M187" s="6"/>
      <c r="N187" s="6"/>
    </row>
    <row r="188" spans="1:14" s="48" customFormat="1" ht="18" customHeight="1" x14ac:dyDescent="0.25">
      <c r="A188" s="626"/>
      <c r="B188" s="617" t="s">
        <v>123</v>
      </c>
      <c r="C188" s="617" t="s">
        <v>1388</v>
      </c>
      <c r="D188" s="131" t="s">
        <v>136</v>
      </c>
      <c r="E188" s="637" t="s">
        <v>135</v>
      </c>
      <c r="F188" s="612"/>
      <c r="G188" s="612"/>
      <c r="H188" s="612"/>
      <c r="I188" s="101"/>
      <c r="J188" s="102">
        <v>20186.060000000001</v>
      </c>
      <c r="K188" s="101">
        <v>7949.84</v>
      </c>
      <c r="L188" s="102">
        <v>20000</v>
      </c>
      <c r="M188" s="6"/>
      <c r="N188" s="6"/>
    </row>
    <row r="189" spans="1:14" s="48" customFormat="1" ht="18" customHeight="1" x14ac:dyDescent="0.25">
      <c r="A189" s="626"/>
      <c r="B189" s="617" t="s">
        <v>123</v>
      </c>
      <c r="C189" s="617" t="s">
        <v>1388</v>
      </c>
      <c r="D189" s="131" t="s">
        <v>136</v>
      </c>
      <c r="E189" s="619" t="s">
        <v>135</v>
      </c>
      <c r="F189" s="612"/>
      <c r="G189" s="612"/>
      <c r="H189" s="612"/>
      <c r="I189" s="101">
        <v>176983.09</v>
      </c>
      <c r="J189" s="102">
        <v>536811.72</v>
      </c>
      <c r="K189" s="101">
        <v>131318.94</v>
      </c>
      <c r="L189" s="102">
        <v>296799.95</v>
      </c>
      <c r="M189" s="6"/>
      <c r="N189" s="6"/>
    </row>
    <row r="190" spans="1:14" s="48" customFormat="1" ht="18" customHeight="1" x14ac:dyDescent="0.25">
      <c r="A190" s="626"/>
      <c r="B190" s="617" t="s">
        <v>123</v>
      </c>
      <c r="C190" s="617" t="s">
        <v>1388</v>
      </c>
      <c r="D190" s="131" t="s">
        <v>136</v>
      </c>
      <c r="E190" s="619" t="s">
        <v>135</v>
      </c>
      <c r="F190" s="612"/>
      <c r="G190" s="612"/>
      <c r="H190" s="612"/>
      <c r="I190" s="101">
        <v>11812.16</v>
      </c>
      <c r="J190" s="102">
        <v>97851.56</v>
      </c>
      <c r="K190" s="101"/>
      <c r="L190" s="101">
        <v>40812.5</v>
      </c>
      <c r="M190" s="6"/>
      <c r="N190" s="6"/>
    </row>
    <row r="191" spans="1:14" s="48" customFormat="1" ht="18" customHeight="1" x14ac:dyDescent="0.25">
      <c r="A191" s="626"/>
      <c r="B191" s="617" t="s">
        <v>123</v>
      </c>
      <c r="C191" s="617" t="s">
        <v>1388</v>
      </c>
      <c r="D191" s="133" t="s">
        <v>136</v>
      </c>
      <c r="E191" s="619" t="s">
        <v>135</v>
      </c>
      <c r="F191" s="612"/>
      <c r="G191" s="612"/>
      <c r="H191" s="612"/>
      <c r="I191" s="105">
        <v>105493.65</v>
      </c>
      <c r="J191" s="106">
        <v>372794.2</v>
      </c>
      <c r="K191" s="105"/>
      <c r="L191" s="106">
        <v>372794.2</v>
      </c>
      <c r="M191" s="6"/>
      <c r="N191" s="6"/>
    </row>
    <row r="192" spans="1:14" s="48" customFormat="1" ht="18" customHeight="1" x14ac:dyDescent="0.25">
      <c r="A192" s="626"/>
      <c r="B192" s="617" t="s">
        <v>123</v>
      </c>
      <c r="C192" s="617" t="s">
        <v>1388</v>
      </c>
      <c r="D192" s="131" t="s">
        <v>136</v>
      </c>
      <c r="E192" s="618" t="s">
        <v>135</v>
      </c>
      <c r="F192" s="617"/>
      <c r="G192" s="617"/>
      <c r="H192" s="611"/>
      <c r="I192" s="101">
        <v>15492.52</v>
      </c>
      <c r="J192" s="102">
        <v>37971.800000000003</v>
      </c>
      <c r="K192" s="101">
        <v>24999.96</v>
      </c>
      <c r="L192" s="102">
        <v>37971.800000000003</v>
      </c>
      <c r="M192" s="6"/>
      <c r="N192" s="6"/>
    </row>
    <row r="193" spans="1:16" s="48" customFormat="1" ht="18" customHeight="1" x14ac:dyDescent="0.25">
      <c r="A193" s="626"/>
      <c r="B193" s="617" t="s">
        <v>123</v>
      </c>
      <c r="C193" s="617" t="s">
        <v>1388</v>
      </c>
      <c r="D193" s="131" t="s">
        <v>136</v>
      </c>
      <c r="E193" s="618" t="s">
        <v>135</v>
      </c>
      <c r="F193" s="617"/>
      <c r="G193" s="617"/>
      <c r="H193" s="611"/>
      <c r="I193" s="101">
        <v>244412.07</v>
      </c>
      <c r="J193" s="102">
        <v>606092.16</v>
      </c>
      <c r="K193" s="101">
        <v>172549.97</v>
      </c>
      <c r="L193" s="101">
        <v>1336195.2</v>
      </c>
      <c r="M193" s="6"/>
      <c r="N193" s="6"/>
    </row>
    <row r="194" spans="1:16" s="48" customFormat="1" ht="18" customHeight="1" x14ac:dyDescent="0.25">
      <c r="A194" s="626"/>
      <c r="B194" s="617" t="s">
        <v>123</v>
      </c>
      <c r="C194" s="617" t="s">
        <v>1388</v>
      </c>
      <c r="D194" s="131" t="s">
        <v>136</v>
      </c>
      <c r="E194" s="618" t="s">
        <v>135</v>
      </c>
      <c r="F194" s="617"/>
      <c r="G194" s="617"/>
      <c r="H194" s="611"/>
      <c r="I194" s="101">
        <v>209605.68</v>
      </c>
      <c r="J194" s="102">
        <v>289431.96000000002</v>
      </c>
      <c r="K194" s="101">
        <v>95244.65</v>
      </c>
      <c r="L194" s="101">
        <v>486384.24</v>
      </c>
      <c r="M194" s="6"/>
      <c r="N194" s="6"/>
    </row>
    <row r="195" spans="1:16" s="48" customFormat="1" ht="18" customHeight="1" x14ac:dyDescent="0.25">
      <c r="A195" s="626"/>
      <c r="B195" s="617" t="s">
        <v>123</v>
      </c>
      <c r="C195" s="617" t="s">
        <v>1388</v>
      </c>
      <c r="D195" s="131" t="s">
        <v>136</v>
      </c>
      <c r="E195" s="618" t="s">
        <v>135</v>
      </c>
      <c r="F195" s="617"/>
      <c r="G195" s="617"/>
      <c r="H195" s="611"/>
      <c r="I195" s="101">
        <v>405422.89</v>
      </c>
      <c r="J195" s="102">
        <v>527266.36</v>
      </c>
      <c r="K195" s="101">
        <v>204511.31</v>
      </c>
      <c r="L195" s="102">
        <v>552447.27</v>
      </c>
      <c r="M195" s="6">
        <f>SUM(L187:L195)</f>
        <v>3193405.1599999997</v>
      </c>
      <c r="N195" s="6"/>
    </row>
    <row r="196" spans="1:16" s="48" customFormat="1" ht="18" customHeight="1" x14ac:dyDescent="0.25">
      <c r="A196" s="626"/>
      <c r="B196" s="617" t="s">
        <v>123</v>
      </c>
      <c r="C196" s="617" t="s">
        <v>1388</v>
      </c>
      <c r="D196" s="131" t="s">
        <v>136</v>
      </c>
      <c r="E196" s="618" t="s">
        <v>1284</v>
      </c>
      <c r="F196" s="617"/>
      <c r="G196" s="617"/>
      <c r="H196" s="611"/>
      <c r="I196" s="101">
        <v>0</v>
      </c>
      <c r="J196" s="102">
        <v>137324.85</v>
      </c>
      <c r="K196" s="101"/>
      <c r="L196" s="101">
        <v>154854.26</v>
      </c>
      <c r="M196" s="6">
        <f>L196</f>
        <v>154854.26</v>
      </c>
      <c r="N196" s="6"/>
    </row>
    <row r="197" spans="1:16" s="48" customFormat="1" ht="18" customHeight="1" x14ac:dyDescent="0.25">
      <c r="A197" s="626"/>
      <c r="B197" s="617" t="s">
        <v>123</v>
      </c>
      <c r="C197" s="617" t="s">
        <v>1388</v>
      </c>
      <c r="D197" s="131" t="s">
        <v>142</v>
      </c>
      <c r="E197" s="618" t="s">
        <v>141</v>
      </c>
      <c r="F197" s="617"/>
      <c r="G197" s="617"/>
      <c r="H197" s="611"/>
      <c r="I197" s="101">
        <v>68985</v>
      </c>
      <c r="J197" s="102">
        <v>86838</v>
      </c>
      <c r="K197" s="101"/>
      <c r="L197" s="101">
        <v>95427</v>
      </c>
      <c r="M197" s="6"/>
      <c r="N197" s="6"/>
    </row>
    <row r="198" spans="1:16" s="48" customFormat="1" ht="18" customHeight="1" x14ac:dyDescent="0.25">
      <c r="A198" s="626"/>
      <c r="B198" s="617" t="s">
        <v>123</v>
      </c>
      <c r="C198" s="617" t="s">
        <v>1388</v>
      </c>
      <c r="D198" s="131" t="s">
        <v>142</v>
      </c>
      <c r="E198" s="618" t="s">
        <v>141</v>
      </c>
      <c r="F198" s="617"/>
      <c r="G198" s="617"/>
      <c r="H198" s="611"/>
      <c r="I198" s="101">
        <v>17853</v>
      </c>
      <c r="J198" s="102">
        <v>54541</v>
      </c>
      <c r="K198" s="101"/>
      <c r="L198" s="101">
        <v>60650</v>
      </c>
      <c r="M198" s="6"/>
      <c r="N198" s="6"/>
    </row>
    <row r="199" spans="1:16" s="179" customFormat="1" ht="17.25" customHeight="1" x14ac:dyDescent="0.25">
      <c r="A199" s="627"/>
      <c r="B199" s="617" t="s">
        <v>123</v>
      </c>
      <c r="C199" s="617" t="s">
        <v>1388</v>
      </c>
      <c r="D199" s="131" t="s">
        <v>142</v>
      </c>
      <c r="E199" s="618" t="s">
        <v>141</v>
      </c>
      <c r="F199" s="617"/>
      <c r="G199" s="617"/>
      <c r="H199" s="611"/>
      <c r="I199" s="101">
        <v>268756</v>
      </c>
      <c r="J199" s="102">
        <v>554909</v>
      </c>
      <c r="K199" s="101"/>
      <c r="L199" s="101">
        <v>606885</v>
      </c>
      <c r="M199" s="177"/>
      <c r="N199" s="177"/>
      <c r="O199" s="178"/>
      <c r="P199" s="178"/>
    </row>
    <row r="200" spans="1:16" s="179" customFormat="1" ht="17.25" customHeight="1" x14ac:dyDescent="0.25">
      <c r="A200" s="627"/>
      <c r="B200" s="617" t="s">
        <v>123</v>
      </c>
      <c r="C200" s="617" t="s">
        <v>1388</v>
      </c>
      <c r="D200" s="131" t="s">
        <v>142</v>
      </c>
      <c r="E200" s="618" t="s">
        <v>141</v>
      </c>
      <c r="F200" s="617"/>
      <c r="G200" s="617"/>
      <c r="H200" s="611"/>
      <c r="I200" s="101">
        <v>105191</v>
      </c>
      <c r="J200" s="102">
        <v>105191</v>
      </c>
      <c r="K200" s="101"/>
      <c r="L200" s="101">
        <v>110707</v>
      </c>
      <c r="M200" s="177"/>
      <c r="N200" s="177"/>
    </row>
    <row r="201" spans="1:16" s="179" customFormat="1" ht="17.25" customHeight="1" x14ac:dyDescent="0.25">
      <c r="A201" s="627"/>
      <c r="B201" s="617" t="s">
        <v>123</v>
      </c>
      <c r="C201" s="617" t="s">
        <v>1388</v>
      </c>
      <c r="D201" s="131" t="s">
        <v>142</v>
      </c>
      <c r="E201" s="618" t="s">
        <v>141</v>
      </c>
      <c r="F201" s="617"/>
      <c r="G201" s="617"/>
      <c r="H201" s="611"/>
      <c r="I201" s="101">
        <v>589332</v>
      </c>
      <c r="J201" s="111">
        <v>804553</v>
      </c>
      <c r="K201" s="112"/>
      <c r="L201" s="101">
        <v>873602</v>
      </c>
      <c r="M201" s="177"/>
      <c r="N201" s="177"/>
    </row>
    <row r="202" spans="1:16" s="179" customFormat="1" ht="21.75" customHeight="1" x14ac:dyDescent="0.25">
      <c r="A202" s="627"/>
      <c r="B202" s="617" t="s">
        <v>123</v>
      </c>
      <c r="C202" s="617" t="s">
        <v>1388</v>
      </c>
      <c r="D202" s="131" t="s">
        <v>142</v>
      </c>
      <c r="E202" s="618" t="s">
        <v>141</v>
      </c>
      <c r="F202" s="617"/>
      <c r="G202" s="617"/>
      <c r="H202" s="611"/>
      <c r="I202" s="101">
        <v>135833</v>
      </c>
      <c r="J202" s="162">
        <v>155347</v>
      </c>
      <c r="K202" s="112"/>
      <c r="L202" s="101">
        <v>166725</v>
      </c>
      <c r="M202" s="177"/>
      <c r="N202" s="177"/>
    </row>
    <row r="203" spans="1:16" s="179" customFormat="1" ht="18" customHeight="1" x14ac:dyDescent="0.25">
      <c r="A203" s="627"/>
      <c r="B203" s="617" t="s">
        <v>123</v>
      </c>
      <c r="C203" s="617" t="s">
        <v>1388</v>
      </c>
      <c r="D203" s="133" t="s">
        <v>142</v>
      </c>
      <c r="E203" s="618" t="s">
        <v>141</v>
      </c>
      <c r="F203" s="617"/>
      <c r="G203" s="617"/>
      <c r="H203" s="611"/>
      <c r="I203" s="105">
        <v>214025</v>
      </c>
      <c r="J203" s="106">
        <v>306425</v>
      </c>
      <c r="K203" s="105"/>
      <c r="L203" s="105">
        <v>332384</v>
      </c>
      <c r="M203" s="177"/>
      <c r="N203" s="177">
        <f>1435820.88+276480</f>
        <v>1712300.88</v>
      </c>
      <c r="O203" s="178"/>
      <c r="P203" s="178"/>
    </row>
    <row r="204" spans="1:16" s="136" customFormat="1" ht="18" customHeight="1" x14ac:dyDescent="0.25">
      <c r="A204" s="626"/>
      <c r="B204" s="617" t="s">
        <v>123</v>
      </c>
      <c r="C204" s="617" t="s">
        <v>1388</v>
      </c>
      <c r="D204" s="131" t="s">
        <v>142</v>
      </c>
      <c r="E204" s="618" t="s">
        <v>141</v>
      </c>
      <c r="F204" s="617"/>
      <c r="G204" s="617"/>
      <c r="H204" s="617"/>
      <c r="I204" s="101">
        <v>120217</v>
      </c>
      <c r="J204" s="102">
        <v>141047</v>
      </c>
      <c r="K204" s="101"/>
      <c r="L204" s="101">
        <v>153894</v>
      </c>
      <c r="M204" s="6"/>
      <c r="N204" s="6"/>
      <c r="O204" s="115"/>
      <c r="P204" s="115"/>
    </row>
    <row r="205" spans="1:16" s="136" customFormat="1" ht="18" customHeight="1" x14ac:dyDescent="0.25">
      <c r="A205" s="626"/>
      <c r="B205" s="617" t="s">
        <v>123</v>
      </c>
      <c r="C205" s="617" t="s">
        <v>1388</v>
      </c>
      <c r="D205" s="131" t="s">
        <v>142</v>
      </c>
      <c r="E205" s="618" t="s">
        <v>141</v>
      </c>
      <c r="F205" s="617"/>
      <c r="G205" s="617"/>
      <c r="H205" s="611"/>
      <c r="I205" s="101">
        <v>179065</v>
      </c>
      <c r="J205" s="102">
        <v>241071</v>
      </c>
      <c r="K205" s="101"/>
      <c r="L205" s="101">
        <v>263980</v>
      </c>
      <c r="M205" s="6">
        <f>SUM(L197:L205)</f>
        <v>2664254</v>
      </c>
      <c r="N205" s="6"/>
      <c r="O205" s="115"/>
      <c r="P205" s="115"/>
    </row>
    <row r="206" spans="1:16" s="136" customFormat="1" ht="18" customHeight="1" x14ac:dyDescent="0.25">
      <c r="A206" s="626"/>
      <c r="B206" s="617" t="s">
        <v>123</v>
      </c>
      <c r="C206" s="617" t="s">
        <v>1388</v>
      </c>
      <c r="D206" s="131" t="s">
        <v>144</v>
      </c>
      <c r="E206" s="618" t="s">
        <v>143</v>
      </c>
      <c r="F206" s="617"/>
      <c r="G206" s="617"/>
      <c r="H206" s="611"/>
      <c r="I206" s="101">
        <v>20000</v>
      </c>
      <c r="J206" s="102">
        <v>25000</v>
      </c>
      <c r="K206" s="101"/>
      <c r="L206" s="101">
        <v>25000</v>
      </c>
      <c r="M206" s="6"/>
      <c r="N206" s="6"/>
      <c r="O206" s="115"/>
      <c r="P206" s="115"/>
    </row>
    <row r="207" spans="1:16" s="136" customFormat="1" ht="18" customHeight="1" x14ac:dyDescent="0.25">
      <c r="A207" s="626"/>
      <c r="B207" s="617" t="s">
        <v>123</v>
      </c>
      <c r="C207" s="617" t="s">
        <v>1388</v>
      </c>
      <c r="D207" s="131" t="s">
        <v>144</v>
      </c>
      <c r="E207" s="618" t="s">
        <v>143</v>
      </c>
      <c r="F207" s="617"/>
      <c r="G207" s="617"/>
      <c r="H207" s="611"/>
      <c r="I207" s="101">
        <v>5000</v>
      </c>
      <c r="J207" s="102">
        <v>15000</v>
      </c>
      <c r="K207" s="101"/>
      <c r="L207" s="101">
        <v>15000</v>
      </c>
      <c r="M207" s="6"/>
      <c r="N207" s="6"/>
      <c r="O207" s="115"/>
      <c r="P207" s="115"/>
    </row>
    <row r="208" spans="1:16" s="136" customFormat="1" ht="18" customHeight="1" x14ac:dyDescent="0.25">
      <c r="A208" s="626"/>
      <c r="B208" s="617" t="s">
        <v>123</v>
      </c>
      <c r="C208" s="617" t="s">
        <v>1388</v>
      </c>
      <c r="D208" s="131" t="s">
        <v>144</v>
      </c>
      <c r="E208" s="618" t="s">
        <v>143</v>
      </c>
      <c r="F208" s="617"/>
      <c r="G208" s="617"/>
      <c r="H208" s="611"/>
      <c r="I208" s="101">
        <v>90000</v>
      </c>
      <c r="J208" s="102">
        <v>150000</v>
      </c>
      <c r="K208" s="101"/>
      <c r="L208" s="101">
        <v>150000</v>
      </c>
      <c r="M208" s="6"/>
      <c r="N208" s="6"/>
      <c r="O208" s="115"/>
      <c r="P208" s="115"/>
    </row>
    <row r="209" spans="1:14" s="48" customFormat="1" ht="17.100000000000001" customHeight="1" x14ac:dyDescent="0.25">
      <c r="A209" s="626"/>
      <c r="B209" s="617" t="s">
        <v>123</v>
      </c>
      <c r="C209" s="617" t="s">
        <v>1388</v>
      </c>
      <c r="D209" s="131" t="s">
        <v>144</v>
      </c>
      <c r="E209" s="619" t="s">
        <v>143</v>
      </c>
      <c r="F209" s="612"/>
      <c r="G209" s="612"/>
      <c r="H209" s="612"/>
      <c r="I209" s="101">
        <v>15000</v>
      </c>
      <c r="J209" s="162">
        <v>15000</v>
      </c>
      <c r="K209" s="112"/>
      <c r="L209" s="101">
        <v>15000</v>
      </c>
      <c r="M209" s="6"/>
      <c r="N209" s="6"/>
    </row>
    <row r="210" spans="1:14" s="48" customFormat="1" ht="17.100000000000001" customHeight="1" x14ac:dyDescent="0.25">
      <c r="A210" s="626"/>
      <c r="B210" s="617" t="s">
        <v>123</v>
      </c>
      <c r="C210" s="617" t="s">
        <v>1388</v>
      </c>
      <c r="D210" s="131" t="s">
        <v>144</v>
      </c>
      <c r="E210" s="619" t="s">
        <v>143</v>
      </c>
      <c r="F210" s="612"/>
      <c r="G210" s="612"/>
      <c r="H210" s="612"/>
      <c r="I210" s="101">
        <v>210000</v>
      </c>
      <c r="J210" s="162">
        <v>270000</v>
      </c>
      <c r="K210" s="112"/>
      <c r="L210" s="101">
        <v>270000</v>
      </c>
      <c r="M210" s="6"/>
      <c r="N210" s="6"/>
    </row>
    <row r="211" spans="1:14" s="48" customFormat="1" ht="17.100000000000001" customHeight="1" x14ac:dyDescent="0.25">
      <c r="A211" s="626"/>
      <c r="B211" s="617" t="s">
        <v>123</v>
      </c>
      <c r="C211" s="617" t="s">
        <v>1388</v>
      </c>
      <c r="D211" s="131" t="s">
        <v>144</v>
      </c>
      <c r="E211" s="619" t="s">
        <v>143</v>
      </c>
      <c r="F211" s="612"/>
      <c r="G211" s="612"/>
      <c r="H211" s="612"/>
      <c r="I211" s="101">
        <v>25000</v>
      </c>
      <c r="J211" s="162">
        <v>30000</v>
      </c>
      <c r="K211" s="112"/>
      <c r="L211" s="101">
        <v>30000</v>
      </c>
      <c r="M211" s="6"/>
      <c r="N211" s="6"/>
    </row>
    <row r="212" spans="1:14" s="48" customFormat="1" ht="17.100000000000001" customHeight="1" x14ac:dyDescent="0.25">
      <c r="A212" s="626"/>
      <c r="B212" s="617" t="s">
        <v>123</v>
      </c>
      <c r="C212" s="617" t="s">
        <v>1388</v>
      </c>
      <c r="D212" s="131" t="s">
        <v>144</v>
      </c>
      <c r="E212" s="619" t="s">
        <v>143</v>
      </c>
      <c r="F212" s="612"/>
      <c r="G212" s="612"/>
      <c r="H212" s="612"/>
      <c r="I212" s="101">
        <v>90000</v>
      </c>
      <c r="J212" s="162">
        <v>120000</v>
      </c>
      <c r="K212" s="112"/>
      <c r="L212" s="101">
        <v>120000</v>
      </c>
      <c r="M212" s="6"/>
      <c r="N212" s="6"/>
    </row>
    <row r="213" spans="1:14" s="48" customFormat="1" ht="17.100000000000001" customHeight="1" x14ac:dyDescent="0.25">
      <c r="A213" s="626"/>
      <c r="B213" s="617" t="s">
        <v>123</v>
      </c>
      <c r="C213" s="617" t="s">
        <v>1388</v>
      </c>
      <c r="D213" s="131" t="s">
        <v>144</v>
      </c>
      <c r="E213" s="619" t="s">
        <v>143</v>
      </c>
      <c r="F213" s="612"/>
      <c r="G213" s="612"/>
      <c r="H213" s="612"/>
      <c r="I213" s="101">
        <v>50000</v>
      </c>
      <c r="J213" s="162">
        <v>60000</v>
      </c>
      <c r="K213" s="112"/>
      <c r="L213" s="101">
        <v>60000</v>
      </c>
      <c r="M213" s="6"/>
      <c r="N213" s="6"/>
    </row>
    <row r="214" spans="1:14" s="48" customFormat="1" ht="17.100000000000001" customHeight="1" x14ac:dyDescent="0.25">
      <c r="A214" s="626"/>
      <c r="B214" s="617" t="s">
        <v>123</v>
      </c>
      <c r="C214" s="617" t="s">
        <v>1388</v>
      </c>
      <c r="D214" s="131" t="s">
        <v>144</v>
      </c>
      <c r="E214" s="619" t="s">
        <v>143</v>
      </c>
      <c r="F214" s="612"/>
      <c r="G214" s="612"/>
      <c r="H214" s="612"/>
      <c r="I214" s="101">
        <v>65000</v>
      </c>
      <c r="J214" s="162">
        <v>90000</v>
      </c>
      <c r="K214" s="112"/>
      <c r="L214" s="101">
        <v>90000</v>
      </c>
      <c r="M214" s="6">
        <f>SUM(L206:L214)</f>
        <v>775000</v>
      </c>
      <c r="N214" s="6"/>
    </row>
    <row r="215" spans="1:14" s="48" customFormat="1" ht="17.100000000000001" customHeight="1" x14ac:dyDescent="0.25">
      <c r="A215" s="626"/>
      <c r="B215" s="617" t="s">
        <v>123</v>
      </c>
      <c r="C215" s="617" t="s">
        <v>1388</v>
      </c>
      <c r="D215" s="131" t="s">
        <v>148</v>
      </c>
      <c r="E215" s="637" t="s">
        <v>147</v>
      </c>
      <c r="F215" s="612"/>
      <c r="G215" s="612"/>
      <c r="H215" s="612"/>
      <c r="I215" s="101"/>
      <c r="J215" s="162"/>
      <c r="K215" s="112"/>
      <c r="L215" s="101">
        <v>15000</v>
      </c>
      <c r="M215" s="6"/>
      <c r="N215" s="6"/>
    </row>
    <row r="216" spans="1:14" s="48" customFormat="1" ht="17.100000000000001" customHeight="1" x14ac:dyDescent="0.25">
      <c r="A216" s="626"/>
      <c r="B216" s="617" t="s">
        <v>123</v>
      </c>
      <c r="C216" s="617" t="s">
        <v>1388</v>
      </c>
      <c r="D216" s="131" t="s">
        <v>148</v>
      </c>
      <c r="E216" s="637" t="s">
        <v>147</v>
      </c>
      <c r="F216" s="612"/>
      <c r="G216" s="612"/>
      <c r="H216" s="612"/>
      <c r="I216" s="101"/>
      <c r="J216" s="162"/>
      <c r="K216" s="112"/>
      <c r="L216" s="101">
        <v>9000</v>
      </c>
      <c r="M216" s="6"/>
      <c r="N216" s="6"/>
    </row>
    <row r="217" spans="1:14" s="48" customFormat="1" ht="17.100000000000001" customHeight="1" x14ac:dyDescent="0.25">
      <c r="A217" s="626"/>
      <c r="B217" s="617" t="s">
        <v>123</v>
      </c>
      <c r="C217" s="617" t="s">
        <v>1388</v>
      </c>
      <c r="D217" s="131" t="s">
        <v>148</v>
      </c>
      <c r="E217" s="636" t="s">
        <v>147</v>
      </c>
      <c r="F217" s="617"/>
      <c r="G217" s="617"/>
      <c r="H217" s="611"/>
      <c r="I217" s="101"/>
      <c r="J217" s="162"/>
      <c r="K217" s="112"/>
      <c r="L217" s="101">
        <v>90000</v>
      </c>
      <c r="M217" s="6"/>
      <c r="N217" s="6"/>
    </row>
    <row r="218" spans="1:14" s="48" customFormat="1" ht="17.100000000000001" customHeight="1" x14ac:dyDescent="0.25">
      <c r="A218" s="626"/>
      <c r="B218" s="617" t="s">
        <v>123</v>
      </c>
      <c r="C218" s="617" t="s">
        <v>1388</v>
      </c>
      <c r="D218" s="131" t="s">
        <v>148</v>
      </c>
      <c r="E218" s="636" t="s">
        <v>147</v>
      </c>
      <c r="F218" s="617"/>
      <c r="G218" s="617"/>
      <c r="H218" s="611"/>
      <c r="I218" s="101"/>
      <c r="J218" s="162"/>
      <c r="K218" s="112"/>
      <c r="L218" s="101">
        <v>9000</v>
      </c>
      <c r="M218" s="6"/>
      <c r="N218" s="6"/>
    </row>
    <row r="219" spans="1:14" s="48" customFormat="1" ht="17.100000000000001" customHeight="1" x14ac:dyDescent="0.25">
      <c r="A219" s="626"/>
      <c r="B219" s="617" t="s">
        <v>123</v>
      </c>
      <c r="C219" s="617" t="s">
        <v>1388</v>
      </c>
      <c r="D219" s="131" t="s">
        <v>148</v>
      </c>
      <c r="E219" s="637" t="s">
        <v>147</v>
      </c>
      <c r="F219" s="612"/>
      <c r="G219" s="612"/>
      <c r="H219" s="612"/>
      <c r="I219" s="101"/>
      <c r="J219" s="162"/>
      <c r="K219" s="112"/>
      <c r="L219" s="101">
        <v>162000</v>
      </c>
      <c r="M219" s="6"/>
      <c r="N219" s="6"/>
    </row>
    <row r="220" spans="1:14" s="48" customFormat="1" ht="17.100000000000001" customHeight="1" x14ac:dyDescent="0.25">
      <c r="A220" s="626"/>
      <c r="B220" s="617" t="s">
        <v>123</v>
      </c>
      <c r="C220" s="617" t="s">
        <v>1388</v>
      </c>
      <c r="D220" s="131" t="s">
        <v>148</v>
      </c>
      <c r="E220" s="637" t="s">
        <v>147</v>
      </c>
      <c r="F220" s="612"/>
      <c r="G220" s="612"/>
      <c r="H220" s="612"/>
      <c r="I220" s="101"/>
      <c r="J220" s="162"/>
      <c r="K220" s="112"/>
      <c r="L220" s="101">
        <v>18000</v>
      </c>
      <c r="M220" s="6"/>
      <c r="N220" s="6"/>
    </row>
    <row r="221" spans="1:14" s="48" customFormat="1" ht="17.100000000000001" customHeight="1" x14ac:dyDescent="0.25">
      <c r="A221" s="626"/>
      <c r="B221" s="617" t="s">
        <v>123</v>
      </c>
      <c r="C221" s="617" t="s">
        <v>1388</v>
      </c>
      <c r="D221" s="131" t="s">
        <v>148</v>
      </c>
      <c r="E221" s="637" t="s">
        <v>147</v>
      </c>
      <c r="F221" s="612"/>
      <c r="G221" s="612"/>
      <c r="H221" s="612"/>
      <c r="I221" s="101"/>
      <c r="J221" s="162"/>
      <c r="K221" s="112"/>
      <c r="L221" s="101">
        <v>72000</v>
      </c>
      <c r="M221" s="6"/>
      <c r="N221" s="6"/>
    </row>
    <row r="222" spans="1:14" s="48" customFormat="1" ht="17.100000000000001" customHeight="1" x14ac:dyDescent="0.25">
      <c r="A222" s="626"/>
      <c r="B222" s="617" t="s">
        <v>123</v>
      </c>
      <c r="C222" s="617" t="s">
        <v>1388</v>
      </c>
      <c r="D222" s="133" t="s">
        <v>148</v>
      </c>
      <c r="E222" s="637" t="s">
        <v>147</v>
      </c>
      <c r="F222" s="612"/>
      <c r="G222" s="612"/>
      <c r="H222" s="612"/>
      <c r="I222" s="105"/>
      <c r="J222" s="163"/>
      <c r="K222" s="118"/>
      <c r="L222" s="105">
        <v>36000</v>
      </c>
      <c r="M222" s="6"/>
      <c r="N222" s="6"/>
    </row>
    <row r="223" spans="1:14" s="48" customFormat="1" ht="17.100000000000001" customHeight="1" x14ac:dyDescent="0.25">
      <c r="A223" s="626"/>
      <c r="B223" s="617" t="s">
        <v>123</v>
      </c>
      <c r="C223" s="618" t="s">
        <v>1388</v>
      </c>
      <c r="D223" s="131" t="s">
        <v>148</v>
      </c>
      <c r="E223" s="636" t="s">
        <v>147</v>
      </c>
      <c r="F223" s="617"/>
      <c r="G223" s="617"/>
      <c r="H223" s="611"/>
      <c r="I223" s="101"/>
      <c r="J223" s="162"/>
      <c r="K223" s="112"/>
      <c r="L223" s="699">
        <v>54000</v>
      </c>
      <c r="M223" s="6">
        <f>SUM(L215:L223)</f>
        <v>465000</v>
      </c>
      <c r="N223" s="6"/>
    </row>
    <row r="224" spans="1:14" s="48" customFormat="1" ht="18" customHeight="1" x14ac:dyDescent="0.25">
      <c r="A224" s="165"/>
      <c r="B224" s="617" t="s">
        <v>123</v>
      </c>
      <c r="C224" s="618" t="s">
        <v>1388</v>
      </c>
      <c r="D224" s="131" t="s">
        <v>154</v>
      </c>
      <c r="E224" s="701" t="s">
        <v>153</v>
      </c>
      <c r="F224" s="632"/>
      <c r="G224" s="632"/>
      <c r="H224" s="633"/>
      <c r="I224" s="101">
        <v>93601.56</v>
      </c>
      <c r="J224" s="111">
        <v>125046.72</v>
      </c>
      <c r="K224" s="112">
        <v>59560.32</v>
      </c>
      <c r="L224" s="101">
        <v>137269.20000000001</v>
      </c>
      <c r="M224" s="6"/>
      <c r="N224" s="6">
        <v>360</v>
      </c>
    </row>
    <row r="225" spans="1:14" s="48" customFormat="1" ht="17.100000000000001" customHeight="1" x14ac:dyDescent="0.25">
      <c r="A225" s="626"/>
      <c r="B225" s="617" t="s">
        <v>123</v>
      </c>
      <c r="C225" s="618" t="s">
        <v>1388</v>
      </c>
      <c r="D225" s="131" t="s">
        <v>154</v>
      </c>
      <c r="E225" s="619" t="s">
        <v>153</v>
      </c>
      <c r="F225" s="612"/>
      <c r="G225" s="612"/>
      <c r="H225" s="612"/>
      <c r="I225" s="101">
        <v>25708.32</v>
      </c>
      <c r="J225" s="162">
        <v>78539.039999999994</v>
      </c>
      <c r="K225" s="112">
        <v>16045.68</v>
      </c>
      <c r="L225" s="101">
        <v>87281.52</v>
      </c>
      <c r="M225" s="6"/>
      <c r="N225" s="6"/>
    </row>
    <row r="226" spans="1:14" s="48" customFormat="1" ht="18" customHeight="1" x14ac:dyDescent="0.25">
      <c r="A226" s="626"/>
      <c r="B226" s="617" t="s">
        <v>123</v>
      </c>
      <c r="C226" s="618" t="s">
        <v>1388</v>
      </c>
      <c r="D226" s="131" t="s">
        <v>154</v>
      </c>
      <c r="E226" s="619" t="s">
        <v>153</v>
      </c>
      <c r="F226" s="612"/>
      <c r="G226" s="612"/>
      <c r="H226" s="612"/>
      <c r="I226" s="101">
        <v>381242.88</v>
      </c>
      <c r="J226" s="102">
        <v>798334.08</v>
      </c>
      <c r="K226" s="101">
        <v>272306.09000000003</v>
      </c>
      <c r="L226" s="101">
        <v>873776.12</v>
      </c>
      <c r="M226" s="6"/>
      <c r="N226" s="6"/>
    </row>
    <row r="227" spans="1:14" s="48" customFormat="1" ht="17.100000000000001" customHeight="1" x14ac:dyDescent="0.25">
      <c r="A227" s="626"/>
      <c r="B227" s="617" t="s">
        <v>123</v>
      </c>
      <c r="C227" s="618" t="s">
        <v>1388</v>
      </c>
      <c r="D227" s="131" t="s">
        <v>154</v>
      </c>
      <c r="E227" s="619" t="s">
        <v>153</v>
      </c>
      <c r="F227" s="612"/>
      <c r="G227" s="612"/>
      <c r="H227" s="612"/>
      <c r="I227" s="101">
        <v>151475.04</v>
      </c>
      <c r="J227" s="162">
        <v>151475.04</v>
      </c>
      <c r="K227" s="112">
        <v>90579.72</v>
      </c>
      <c r="L227" s="101">
        <v>159401.51999999999</v>
      </c>
      <c r="M227" s="6"/>
      <c r="N227" s="6"/>
    </row>
    <row r="228" spans="1:14" s="48" customFormat="1" ht="17.100000000000001" customHeight="1" x14ac:dyDescent="0.25">
      <c r="A228" s="626"/>
      <c r="B228" s="617" t="s">
        <v>123</v>
      </c>
      <c r="C228" s="618" t="s">
        <v>1388</v>
      </c>
      <c r="D228" s="131" t="s">
        <v>154</v>
      </c>
      <c r="E228" s="619" t="s">
        <v>153</v>
      </c>
      <c r="F228" s="612"/>
      <c r="G228" s="612"/>
      <c r="H228" s="612"/>
      <c r="I228" s="101">
        <v>805487.75</v>
      </c>
      <c r="J228" s="162">
        <v>1157222.46</v>
      </c>
      <c r="K228" s="112">
        <v>497324.99</v>
      </c>
      <c r="L228" s="101">
        <v>1257780.33</v>
      </c>
      <c r="M228" s="6"/>
      <c r="N228" s="6"/>
    </row>
    <row r="229" spans="1:14" s="48" customFormat="1" ht="17.100000000000001" customHeight="1" x14ac:dyDescent="0.25">
      <c r="A229" s="626"/>
      <c r="B229" s="617" t="s">
        <v>123</v>
      </c>
      <c r="C229" s="618" t="s">
        <v>1388</v>
      </c>
      <c r="D229" s="131" t="s">
        <v>154</v>
      </c>
      <c r="E229" s="619" t="s">
        <v>153</v>
      </c>
      <c r="F229" s="612"/>
      <c r="G229" s="612"/>
      <c r="H229" s="612"/>
      <c r="I229" s="101">
        <v>189862.68</v>
      </c>
      <c r="J229" s="162">
        <v>222287.04</v>
      </c>
      <c r="K229" s="112">
        <v>127172.23</v>
      </c>
      <c r="L229" s="101">
        <v>239379.12</v>
      </c>
      <c r="M229" s="6"/>
      <c r="N229" s="6"/>
    </row>
    <row r="230" spans="1:14" s="48" customFormat="1" ht="17.100000000000001" customHeight="1" x14ac:dyDescent="0.25">
      <c r="A230" s="626"/>
      <c r="B230" s="617" t="s">
        <v>123</v>
      </c>
      <c r="C230" s="618" t="s">
        <v>1388</v>
      </c>
      <c r="D230" s="131" t="s">
        <v>154</v>
      </c>
      <c r="E230" s="619" t="s">
        <v>153</v>
      </c>
      <c r="F230" s="612"/>
      <c r="G230" s="612"/>
      <c r="H230" s="612"/>
      <c r="I230" s="101">
        <v>286241.37</v>
      </c>
      <c r="J230" s="162">
        <v>441311.64</v>
      </c>
      <c r="K230" s="112">
        <v>184897.96</v>
      </c>
      <c r="L230" s="101">
        <v>478528.48</v>
      </c>
      <c r="M230" s="6"/>
      <c r="N230" s="6"/>
    </row>
    <row r="231" spans="1:14" s="48" customFormat="1" ht="17.100000000000001" customHeight="1" x14ac:dyDescent="0.25">
      <c r="A231" s="626"/>
      <c r="B231" s="617" t="s">
        <v>123</v>
      </c>
      <c r="C231" s="618" t="s">
        <v>1388</v>
      </c>
      <c r="D231" s="131" t="s">
        <v>154</v>
      </c>
      <c r="E231" s="619" t="s">
        <v>153</v>
      </c>
      <c r="F231" s="612"/>
      <c r="G231" s="612"/>
      <c r="H231" s="612"/>
      <c r="I231" s="101">
        <v>156975.67000000001</v>
      </c>
      <c r="J231" s="162">
        <v>203107.68</v>
      </c>
      <c r="K231" s="112">
        <v>96713</v>
      </c>
      <c r="L231" s="101">
        <v>221418.44</v>
      </c>
      <c r="M231" s="6"/>
      <c r="N231" s="6"/>
    </row>
    <row r="232" spans="1:14" s="48" customFormat="1" ht="17.100000000000001" customHeight="1" x14ac:dyDescent="0.25">
      <c r="A232" s="626"/>
      <c r="B232" s="617" t="s">
        <v>123</v>
      </c>
      <c r="C232" s="618" t="s">
        <v>1388</v>
      </c>
      <c r="D232" s="131" t="s">
        <v>154</v>
      </c>
      <c r="E232" s="619" t="s">
        <v>153</v>
      </c>
      <c r="F232" s="612"/>
      <c r="G232" s="612"/>
      <c r="H232" s="612"/>
      <c r="I232" s="101">
        <v>276063.12</v>
      </c>
      <c r="J232" s="162">
        <v>347218.56</v>
      </c>
      <c r="K232" s="112">
        <v>169104.26</v>
      </c>
      <c r="L232" s="101">
        <v>379944.33</v>
      </c>
      <c r="M232" s="6">
        <f>SUM(L224:L232)</f>
        <v>3834779.0600000005</v>
      </c>
      <c r="N232" s="6"/>
    </row>
    <row r="233" spans="1:14" s="48" customFormat="1" ht="17.100000000000001" customHeight="1" x14ac:dyDescent="0.25">
      <c r="A233" s="626"/>
      <c r="B233" s="617" t="s">
        <v>123</v>
      </c>
      <c r="C233" s="618" t="s">
        <v>1388</v>
      </c>
      <c r="D233" s="131" t="s">
        <v>156</v>
      </c>
      <c r="E233" s="619" t="s">
        <v>155</v>
      </c>
      <c r="F233" s="612"/>
      <c r="G233" s="612"/>
      <c r="H233" s="612"/>
      <c r="I233" s="101">
        <v>4300</v>
      </c>
      <c r="J233" s="162">
        <v>6000</v>
      </c>
      <c r="K233" s="112">
        <v>2800</v>
      </c>
      <c r="L233" s="101">
        <v>6000</v>
      </c>
      <c r="M233" s="6"/>
      <c r="N233" s="6"/>
    </row>
    <row r="234" spans="1:14" s="48" customFormat="1" ht="17.100000000000001" customHeight="1" x14ac:dyDescent="0.25">
      <c r="A234" s="626"/>
      <c r="B234" s="617" t="s">
        <v>123</v>
      </c>
      <c r="C234" s="618" t="s">
        <v>1388</v>
      </c>
      <c r="D234" s="131" t="s">
        <v>156</v>
      </c>
      <c r="E234" s="618" t="s">
        <v>155</v>
      </c>
      <c r="F234" s="617"/>
      <c r="G234" s="617"/>
      <c r="H234" s="611"/>
      <c r="I234" s="101">
        <v>1200</v>
      </c>
      <c r="J234" s="162">
        <v>3600</v>
      </c>
      <c r="K234" s="112">
        <v>700</v>
      </c>
      <c r="L234" s="101">
        <v>3600</v>
      </c>
      <c r="M234" s="6"/>
      <c r="N234" s="6"/>
    </row>
    <row r="235" spans="1:14" s="48" customFormat="1" ht="17.100000000000001" customHeight="1" x14ac:dyDescent="0.25">
      <c r="A235" s="626"/>
      <c r="B235" s="617" t="s">
        <v>123</v>
      </c>
      <c r="C235" s="618" t="s">
        <v>1388</v>
      </c>
      <c r="D235" s="131" t="s">
        <v>156</v>
      </c>
      <c r="E235" s="618" t="s">
        <v>155</v>
      </c>
      <c r="F235" s="617"/>
      <c r="G235" s="617"/>
      <c r="H235" s="611"/>
      <c r="I235" s="101">
        <v>21100</v>
      </c>
      <c r="J235" s="162">
        <v>36000</v>
      </c>
      <c r="K235" s="112">
        <v>13600</v>
      </c>
      <c r="L235" s="101">
        <v>36000</v>
      </c>
      <c r="M235" s="6"/>
      <c r="N235" s="6"/>
    </row>
    <row r="236" spans="1:14" s="48" customFormat="1" ht="17.100000000000001" customHeight="1" x14ac:dyDescent="0.25">
      <c r="A236" s="626"/>
      <c r="B236" s="617" t="s">
        <v>123</v>
      </c>
      <c r="C236" s="618" t="s">
        <v>1388</v>
      </c>
      <c r="D236" s="131" t="s">
        <v>156</v>
      </c>
      <c r="E236" s="618" t="s">
        <v>155</v>
      </c>
      <c r="F236" s="617"/>
      <c r="G236" s="617"/>
      <c r="H236" s="611"/>
      <c r="I236" s="101">
        <v>3600</v>
      </c>
      <c r="J236" s="102">
        <v>3600</v>
      </c>
      <c r="K236" s="101">
        <v>2100</v>
      </c>
      <c r="L236" s="101">
        <v>3600</v>
      </c>
      <c r="M236" s="6"/>
      <c r="N236" s="6"/>
    </row>
    <row r="237" spans="1:14" s="48" customFormat="1" ht="17.100000000000001" customHeight="1" x14ac:dyDescent="0.25">
      <c r="A237" s="626"/>
      <c r="B237" s="617" t="s">
        <v>123</v>
      </c>
      <c r="C237" s="618" t="s">
        <v>1388</v>
      </c>
      <c r="D237" s="131" t="s">
        <v>156</v>
      </c>
      <c r="E237" s="618" t="s">
        <v>155</v>
      </c>
      <c r="F237" s="617"/>
      <c r="G237" s="617"/>
      <c r="H237" s="611"/>
      <c r="I237" s="101">
        <v>46800</v>
      </c>
      <c r="J237" s="162">
        <v>64800</v>
      </c>
      <c r="K237" s="112">
        <v>27900</v>
      </c>
      <c r="L237" s="101">
        <v>64800</v>
      </c>
      <c r="M237" s="6"/>
      <c r="N237" s="6"/>
    </row>
    <row r="238" spans="1:14" s="48" customFormat="1" ht="17.100000000000001" customHeight="1" x14ac:dyDescent="0.25">
      <c r="A238" s="626"/>
      <c r="B238" s="617" t="s">
        <v>123</v>
      </c>
      <c r="C238" s="618" t="s">
        <v>1388</v>
      </c>
      <c r="D238" s="131" t="s">
        <v>156</v>
      </c>
      <c r="E238" s="619" t="s">
        <v>155</v>
      </c>
      <c r="F238" s="612"/>
      <c r="G238" s="612"/>
      <c r="H238" s="612"/>
      <c r="I238" s="101">
        <v>5500</v>
      </c>
      <c r="J238" s="162">
        <v>7200</v>
      </c>
      <c r="K238" s="112">
        <v>4000</v>
      </c>
      <c r="L238" s="101">
        <v>7200</v>
      </c>
      <c r="M238" s="6"/>
      <c r="N238" s="6"/>
    </row>
    <row r="239" spans="1:14" s="48" customFormat="1" ht="17.100000000000001" customHeight="1" x14ac:dyDescent="0.25">
      <c r="A239" s="626"/>
      <c r="B239" s="617" t="s">
        <v>123</v>
      </c>
      <c r="C239" s="618" t="s">
        <v>1388</v>
      </c>
      <c r="D239" s="131" t="s">
        <v>156</v>
      </c>
      <c r="E239" s="619" t="s">
        <v>155</v>
      </c>
      <c r="F239" s="612"/>
      <c r="G239" s="612"/>
      <c r="H239" s="612"/>
      <c r="I239" s="101">
        <v>19600</v>
      </c>
      <c r="J239" s="162">
        <v>28800</v>
      </c>
      <c r="K239" s="112">
        <v>15005.92</v>
      </c>
      <c r="L239" s="101">
        <v>28800</v>
      </c>
      <c r="M239" s="6"/>
      <c r="N239" s="6"/>
    </row>
    <row r="240" spans="1:14" s="48" customFormat="1" ht="17.100000000000001" customHeight="1" x14ac:dyDescent="0.25">
      <c r="A240" s="626"/>
      <c r="B240" s="617" t="s">
        <v>123</v>
      </c>
      <c r="C240" s="618" t="s">
        <v>1388</v>
      </c>
      <c r="D240" s="131" t="s">
        <v>156</v>
      </c>
      <c r="E240" s="619" t="s">
        <v>155</v>
      </c>
      <c r="F240" s="612"/>
      <c r="G240" s="612"/>
      <c r="H240" s="612"/>
      <c r="I240" s="101">
        <v>10600</v>
      </c>
      <c r="J240" s="162">
        <v>14400</v>
      </c>
      <c r="K240" s="112">
        <v>6600</v>
      </c>
      <c r="L240" s="101">
        <v>14400</v>
      </c>
      <c r="M240" s="6"/>
      <c r="N240" s="6"/>
    </row>
    <row r="241" spans="1:14" s="48" customFormat="1" ht="17.100000000000001" customHeight="1" x14ac:dyDescent="0.25">
      <c r="A241" s="626"/>
      <c r="B241" s="617" t="s">
        <v>123</v>
      </c>
      <c r="C241" s="618" t="s">
        <v>1388</v>
      </c>
      <c r="D241" s="133" t="s">
        <v>156</v>
      </c>
      <c r="E241" s="619" t="s">
        <v>155</v>
      </c>
      <c r="F241" s="612"/>
      <c r="G241" s="612"/>
      <c r="H241" s="612"/>
      <c r="I241" s="105">
        <v>16800</v>
      </c>
      <c r="J241" s="163">
        <v>21600</v>
      </c>
      <c r="K241" s="118">
        <v>9800</v>
      </c>
      <c r="L241" s="105">
        <v>21600</v>
      </c>
      <c r="M241" s="6">
        <f>SUM(L233:L241)</f>
        <v>186000</v>
      </c>
      <c r="N241" s="6"/>
    </row>
    <row r="242" spans="1:14" s="48" customFormat="1" ht="17.100000000000001" customHeight="1" x14ac:dyDescent="0.25">
      <c r="A242" s="626"/>
      <c r="B242" s="617" t="s">
        <v>123</v>
      </c>
      <c r="C242" s="618" t="s">
        <v>1388</v>
      </c>
      <c r="D242" s="131" t="s">
        <v>158</v>
      </c>
      <c r="E242" s="618" t="s">
        <v>157</v>
      </c>
      <c r="F242" s="617"/>
      <c r="G242" s="617"/>
      <c r="H242" s="611"/>
      <c r="I242" s="101">
        <v>11617.43</v>
      </c>
      <c r="J242" s="162">
        <v>18235.98</v>
      </c>
      <c r="K242" s="112">
        <v>7531.49</v>
      </c>
      <c r="L242" s="101">
        <v>45782.8</v>
      </c>
      <c r="M242" s="6"/>
      <c r="N242" s="6"/>
    </row>
    <row r="243" spans="1:14" s="48" customFormat="1" ht="17.100000000000001" customHeight="1" x14ac:dyDescent="0.25">
      <c r="A243" s="626"/>
      <c r="B243" s="617" t="s">
        <v>123</v>
      </c>
      <c r="C243" s="618" t="s">
        <v>1388</v>
      </c>
      <c r="D243" s="131" t="s">
        <v>158</v>
      </c>
      <c r="E243" s="618" t="s">
        <v>157</v>
      </c>
      <c r="F243" s="617"/>
      <c r="G243" s="617"/>
      <c r="H243" s="611"/>
      <c r="I243" s="101">
        <v>3213.6</v>
      </c>
      <c r="J243" s="162">
        <v>11453.61</v>
      </c>
      <c r="K243" s="112">
        <v>2005.71</v>
      </c>
      <c r="L243" s="101">
        <v>29262.799999999999</v>
      </c>
      <c r="M243" s="6"/>
      <c r="N243" s="6"/>
    </row>
    <row r="244" spans="1:14" s="48" customFormat="1" ht="17.100000000000001" customHeight="1" x14ac:dyDescent="0.25">
      <c r="A244" s="626"/>
      <c r="B244" s="617" t="s">
        <v>123</v>
      </c>
      <c r="C244" s="618" t="s">
        <v>1388</v>
      </c>
      <c r="D244" s="131" t="s">
        <v>158</v>
      </c>
      <c r="E244" s="618" t="s">
        <v>157</v>
      </c>
      <c r="F244" s="617"/>
      <c r="G244" s="617"/>
      <c r="H244" s="611"/>
      <c r="I244" s="101">
        <v>47573.06</v>
      </c>
      <c r="J244" s="162">
        <v>114830.24</v>
      </c>
      <c r="K244" s="112">
        <v>34804.33</v>
      </c>
      <c r="L244" s="101">
        <v>291221.27</v>
      </c>
      <c r="M244" s="6"/>
      <c r="N244" s="6"/>
    </row>
    <row r="245" spans="1:14" s="48" customFormat="1" ht="17.100000000000001" customHeight="1" x14ac:dyDescent="0.25">
      <c r="A245" s="626"/>
      <c r="B245" s="617" t="s">
        <v>123</v>
      </c>
      <c r="C245" s="618" t="s">
        <v>1388</v>
      </c>
      <c r="D245" s="131" t="s">
        <v>158</v>
      </c>
      <c r="E245" s="618" t="s">
        <v>157</v>
      </c>
      <c r="F245" s="617"/>
      <c r="G245" s="617"/>
      <c r="H245" s="611"/>
      <c r="I245" s="101">
        <v>15309.02</v>
      </c>
      <c r="J245" s="162">
        <v>19960.5</v>
      </c>
      <c r="K245" s="112">
        <v>9042.73</v>
      </c>
      <c r="L245" s="101">
        <v>51561.36</v>
      </c>
      <c r="M245" s="6"/>
      <c r="N245" s="6"/>
    </row>
    <row r="246" spans="1:14" s="48" customFormat="1" ht="17.100000000000001" customHeight="1" x14ac:dyDescent="0.25">
      <c r="A246" s="626"/>
      <c r="B246" s="617" t="s">
        <v>123</v>
      </c>
      <c r="C246" s="618" t="s">
        <v>1388</v>
      </c>
      <c r="D246" s="131" t="s">
        <v>158</v>
      </c>
      <c r="E246" s="618" t="s">
        <v>157</v>
      </c>
      <c r="F246" s="617"/>
      <c r="G246" s="617"/>
      <c r="H246" s="611"/>
      <c r="I246" s="101">
        <v>96143.34</v>
      </c>
      <c r="J246" s="162">
        <v>165626.12</v>
      </c>
      <c r="K246" s="112">
        <v>59987.040000000001</v>
      </c>
      <c r="L246" s="101">
        <v>415621.71</v>
      </c>
      <c r="M246" s="6"/>
      <c r="N246" s="6"/>
    </row>
    <row r="247" spans="1:14" s="48" customFormat="1" ht="17.100000000000001" customHeight="1" x14ac:dyDescent="0.25">
      <c r="A247" s="626"/>
      <c r="B247" s="617" t="s">
        <v>123</v>
      </c>
      <c r="C247" s="618" t="s">
        <v>1388</v>
      </c>
      <c r="D247" s="131" t="s">
        <v>158</v>
      </c>
      <c r="E247" s="618" t="s">
        <v>157</v>
      </c>
      <c r="F247" s="617"/>
      <c r="G247" s="617"/>
      <c r="H247" s="611"/>
      <c r="I247" s="101">
        <v>20024.650000000001</v>
      </c>
      <c r="J247" s="162">
        <v>30218.58</v>
      </c>
      <c r="K247" s="112">
        <v>13911.19</v>
      </c>
      <c r="L247" s="101">
        <v>77821.2</v>
      </c>
      <c r="M247" s="6"/>
      <c r="N247" s="6"/>
    </row>
    <row r="248" spans="1:14" s="48" customFormat="1" ht="18" customHeight="1" x14ac:dyDescent="0.25">
      <c r="A248" s="626"/>
      <c r="B248" s="617" t="s">
        <v>123</v>
      </c>
      <c r="C248" s="618" t="s">
        <v>1388</v>
      </c>
      <c r="D248" s="131" t="s">
        <v>158</v>
      </c>
      <c r="E248" s="618" t="s">
        <v>157</v>
      </c>
      <c r="F248" s="617"/>
      <c r="G248" s="617"/>
      <c r="H248" s="611"/>
      <c r="I248" s="101">
        <v>35484.800000000003</v>
      </c>
      <c r="J248" s="102">
        <v>64357.95</v>
      </c>
      <c r="K248" s="101">
        <v>23869.67</v>
      </c>
      <c r="L248" s="101">
        <v>159880.53</v>
      </c>
      <c r="M248" s="6"/>
      <c r="N248" s="6"/>
    </row>
    <row r="249" spans="1:14" s="48" customFormat="1" ht="17.100000000000001" customHeight="1" x14ac:dyDescent="0.25">
      <c r="A249" s="626"/>
      <c r="B249" s="617" t="s">
        <v>123</v>
      </c>
      <c r="C249" s="618" t="s">
        <v>1388</v>
      </c>
      <c r="D249" s="131" t="s">
        <v>158</v>
      </c>
      <c r="E249" s="618" t="s">
        <v>157</v>
      </c>
      <c r="F249" s="617"/>
      <c r="G249" s="617"/>
      <c r="H249" s="611"/>
      <c r="I249" s="101">
        <v>19528.5</v>
      </c>
      <c r="J249" s="162">
        <v>29619.81</v>
      </c>
      <c r="K249" s="112">
        <v>12391.59</v>
      </c>
      <c r="L249" s="105">
        <v>73926.149999999994</v>
      </c>
      <c r="M249" s="6"/>
      <c r="N249" s="6"/>
    </row>
    <row r="250" spans="1:14" s="48" customFormat="1" ht="18" customHeight="1" x14ac:dyDescent="0.25">
      <c r="A250" s="626"/>
      <c r="B250" s="617" t="s">
        <v>123</v>
      </c>
      <c r="C250" s="618" t="s">
        <v>1388</v>
      </c>
      <c r="D250" s="131" t="s">
        <v>158</v>
      </c>
      <c r="E250" s="619" t="s">
        <v>157</v>
      </c>
      <c r="F250" s="612"/>
      <c r="G250" s="612"/>
      <c r="H250" s="612"/>
      <c r="I250" s="101">
        <v>34607.74</v>
      </c>
      <c r="J250" s="102">
        <v>50639.61</v>
      </c>
      <c r="K250" s="101">
        <v>21148.86</v>
      </c>
      <c r="L250" s="101">
        <v>126949.55</v>
      </c>
      <c r="M250" s="6">
        <f>SUM(L242:L250)</f>
        <v>1272027.3699999999</v>
      </c>
      <c r="N250" s="47"/>
    </row>
    <row r="251" spans="1:14" s="48" customFormat="1" ht="18" customHeight="1" x14ac:dyDescent="0.25">
      <c r="A251" s="626"/>
      <c r="B251" s="617" t="s">
        <v>123</v>
      </c>
      <c r="C251" s="618" t="s">
        <v>1388</v>
      </c>
      <c r="D251" s="131" t="s">
        <v>160</v>
      </c>
      <c r="E251" s="619" t="s">
        <v>159</v>
      </c>
      <c r="F251" s="612"/>
      <c r="G251" s="612"/>
      <c r="H251" s="612"/>
      <c r="I251" s="101">
        <v>4300</v>
      </c>
      <c r="J251" s="102">
        <v>6000</v>
      </c>
      <c r="K251" s="101">
        <v>2800</v>
      </c>
      <c r="L251" s="101">
        <v>6000</v>
      </c>
      <c r="M251" s="6"/>
      <c r="N251" s="47"/>
    </row>
    <row r="252" spans="1:14" s="48" customFormat="1" ht="18" customHeight="1" x14ac:dyDescent="0.25">
      <c r="A252" s="626"/>
      <c r="B252" s="617" t="s">
        <v>123</v>
      </c>
      <c r="C252" s="618" t="s">
        <v>1388</v>
      </c>
      <c r="D252" s="131" t="s">
        <v>160</v>
      </c>
      <c r="E252" s="618" t="s">
        <v>159</v>
      </c>
      <c r="F252" s="611"/>
      <c r="G252" s="612"/>
      <c r="H252" s="612"/>
      <c r="I252" s="101">
        <v>1200</v>
      </c>
      <c r="J252" s="102">
        <v>3600</v>
      </c>
      <c r="K252" s="101">
        <v>700</v>
      </c>
      <c r="L252" s="101">
        <v>3600</v>
      </c>
      <c r="M252" s="6"/>
      <c r="N252" s="47"/>
    </row>
    <row r="253" spans="1:14" s="48" customFormat="1" ht="18" customHeight="1" x14ac:dyDescent="0.25">
      <c r="A253" s="626"/>
      <c r="B253" s="617" t="s">
        <v>123</v>
      </c>
      <c r="C253" s="618" t="s">
        <v>1388</v>
      </c>
      <c r="D253" s="131" t="s">
        <v>160</v>
      </c>
      <c r="E253" s="619" t="s">
        <v>159</v>
      </c>
      <c r="F253" s="612"/>
      <c r="G253" s="612"/>
      <c r="H253" s="612"/>
      <c r="I253" s="101">
        <v>21100</v>
      </c>
      <c r="J253" s="102">
        <v>36000</v>
      </c>
      <c r="K253" s="101">
        <v>13600</v>
      </c>
      <c r="L253" s="101">
        <v>36000</v>
      </c>
      <c r="M253" s="6"/>
      <c r="N253" s="47"/>
    </row>
    <row r="254" spans="1:14" s="48" customFormat="1" ht="18" customHeight="1" x14ac:dyDescent="0.25">
      <c r="A254" s="626"/>
      <c r="B254" s="617" t="s">
        <v>123</v>
      </c>
      <c r="C254" s="618" t="s">
        <v>1388</v>
      </c>
      <c r="D254" s="131" t="s">
        <v>160</v>
      </c>
      <c r="E254" s="619" t="s">
        <v>159</v>
      </c>
      <c r="F254" s="612"/>
      <c r="G254" s="612"/>
      <c r="H254" s="612"/>
      <c r="I254" s="101">
        <v>3600</v>
      </c>
      <c r="J254" s="102">
        <v>3600</v>
      </c>
      <c r="K254" s="101">
        <v>2100</v>
      </c>
      <c r="L254" s="101">
        <v>3600</v>
      </c>
      <c r="M254" s="6"/>
      <c r="N254" s="47"/>
    </row>
    <row r="255" spans="1:14" s="48" customFormat="1" ht="18" customHeight="1" x14ac:dyDescent="0.25">
      <c r="A255" s="626"/>
      <c r="B255" s="617" t="s">
        <v>123</v>
      </c>
      <c r="C255" s="618" t="s">
        <v>1388</v>
      </c>
      <c r="D255" s="131" t="s">
        <v>160</v>
      </c>
      <c r="E255" s="619" t="s">
        <v>159</v>
      </c>
      <c r="F255" s="612"/>
      <c r="G255" s="612"/>
      <c r="H255" s="612"/>
      <c r="I255" s="101">
        <v>46806.48</v>
      </c>
      <c r="J255" s="102">
        <v>64800</v>
      </c>
      <c r="K255" s="101">
        <v>27900</v>
      </c>
      <c r="L255" s="101">
        <v>64800</v>
      </c>
      <c r="M255" s="6"/>
      <c r="N255" s="47"/>
    </row>
    <row r="256" spans="1:14" s="48" customFormat="1" ht="18" customHeight="1" x14ac:dyDescent="0.25">
      <c r="A256" s="626"/>
      <c r="B256" s="617" t="s">
        <v>123</v>
      </c>
      <c r="C256" s="618" t="s">
        <v>1388</v>
      </c>
      <c r="D256" s="131" t="s">
        <v>160</v>
      </c>
      <c r="E256" s="619" t="s">
        <v>159</v>
      </c>
      <c r="F256" s="612"/>
      <c r="G256" s="612"/>
      <c r="H256" s="612"/>
      <c r="I256" s="101">
        <v>5500</v>
      </c>
      <c r="J256" s="102">
        <v>7200</v>
      </c>
      <c r="K256" s="101">
        <v>4000</v>
      </c>
      <c r="L256" s="101">
        <v>7200</v>
      </c>
      <c r="M256" s="6"/>
      <c r="N256" s="47"/>
    </row>
    <row r="257" spans="1:14" s="48" customFormat="1" ht="18" customHeight="1" x14ac:dyDescent="0.25">
      <c r="A257" s="626"/>
      <c r="B257" s="617" t="s">
        <v>123</v>
      </c>
      <c r="C257" s="618" t="s">
        <v>1388</v>
      </c>
      <c r="D257" s="131" t="s">
        <v>160</v>
      </c>
      <c r="E257" s="619" t="s">
        <v>159</v>
      </c>
      <c r="F257" s="612"/>
      <c r="G257" s="612"/>
      <c r="H257" s="612"/>
      <c r="I257" s="101">
        <v>19604.32</v>
      </c>
      <c r="J257" s="102">
        <v>28800</v>
      </c>
      <c r="K257" s="101">
        <v>12400</v>
      </c>
      <c r="L257" s="101">
        <v>28800</v>
      </c>
      <c r="M257" s="6"/>
      <c r="N257" s="47">
        <f>27004+176489</f>
        <v>203493</v>
      </c>
    </row>
    <row r="258" spans="1:14" s="48" customFormat="1" ht="18" customHeight="1" x14ac:dyDescent="0.25">
      <c r="A258" s="626"/>
      <c r="B258" s="617" t="s">
        <v>123</v>
      </c>
      <c r="C258" s="618" t="s">
        <v>1388</v>
      </c>
      <c r="D258" s="131" t="s">
        <v>160</v>
      </c>
      <c r="E258" s="619" t="s">
        <v>159</v>
      </c>
      <c r="F258" s="612"/>
      <c r="G258" s="612"/>
      <c r="H258" s="612"/>
      <c r="I258" s="101">
        <v>10603.24</v>
      </c>
      <c r="J258" s="102">
        <v>14400</v>
      </c>
      <c r="K258" s="101">
        <v>6600</v>
      </c>
      <c r="L258" s="101">
        <v>14400</v>
      </c>
      <c r="M258" s="6"/>
      <c r="N258" s="47">
        <f>178342+27004</f>
        <v>205346</v>
      </c>
    </row>
    <row r="259" spans="1:14" s="48" customFormat="1" ht="18" customHeight="1" x14ac:dyDescent="0.25">
      <c r="A259" s="626"/>
      <c r="B259" s="617" t="s">
        <v>123</v>
      </c>
      <c r="C259" s="618" t="s">
        <v>1388</v>
      </c>
      <c r="D259" s="131" t="s">
        <v>160</v>
      </c>
      <c r="E259" s="619" t="s">
        <v>159</v>
      </c>
      <c r="F259" s="612"/>
      <c r="G259" s="612"/>
      <c r="H259" s="612"/>
      <c r="I259" s="101">
        <v>16800</v>
      </c>
      <c r="J259" s="102">
        <v>21600</v>
      </c>
      <c r="K259" s="101">
        <v>9800</v>
      </c>
      <c r="L259" s="101">
        <v>21600</v>
      </c>
      <c r="M259" s="6">
        <f>SUM(L251:L259)</f>
        <v>186000</v>
      </c>
      <c r="N259" s="47">
        <f>25000+10000</f>
        <v>35000</v>
      </c>
    </row>
    <row r="260" spans="1:14" s="48" customFormat="1" ht="18" customHeight="1" x14ac:dyDescent="0.25">
      <c r="A260" s="626"/>
      <c r="B260" s="617" t="s">
        <v>123</v>
      </c>
      <c r="C260" s="618" t="s">
        <v>1388</v>
      </c>
      <c r="D260" s="131" t="s">
        <v>329</v>
      </c>
      <c r="E260" s="619" t="s">
        <v>1370</v>
      </c>
      <c r="F260" s="612"/>
      <c r="G260" s="612"/>
      <c r="H260" s="612"/>
      <c r="I260" s="101"/>
      <c r="J260" s="102"/>
      <c r="K260" s="101"/>
      <c r="L260" s="101">
        <v>1801733.3</v>
      </c>
      <c r="M260" s="6">
        <f>L260</f>
        <v>1801733.3</v>
      </c>
      <c r="N260" s="47"/>
    </row>
    <row r="261" spans="1:14" s="48" customFormat="1" ht="18" customHeight="1" x14ac:dyDescent="0.25">
      <c r="A261" s="626"/>
      <c r="B261" s="617" t="s">
        <v>123</v>
      </c>
      <c r="C261" s="618" t="s">
        <v>1388</v>
      </c>
      <c r="D261" s="131" t="s">
        <v>140</v>
      </c>
      <c r="E261" s="618" t="s">
        <v>139</v>
      </c>
      <c r="F261" s="617"/>
      <c r="G261" s="617"/>
      <c r="H261" s="611"/>
      <c r="I261" s="101">
        <v>68985</v>
      </c>
      <c r="J261" s="102">
        <v>86838</v>
      </c>
      <c r="K261" s="101">
        <v>71728</v>
      </c>
      <c r="L261" s="101">
        <v>95427</v>
      </c>
      <c r="M261" s="6"/>
      <c r="N261" s="47">
        <f>15000+6000</f>
        <v>21000</v>
      </c>
    </row>
    <row r="262" spans="1:14" s="48" customFormat="1" ht="18" customHeight="1" x14ac:dyDescent="0.25">
      <c r="A262" s="626"/>
      <c r="B262" s="617" t="s">
        <v>123</v>
      </c>
      <c r="C262" s="618" t="s">
        <v>1388</v>
      </c>
      <c r="D262" s="131" t="s">
        <v>140</v>
      </c>
      <c r="E262" s="618" t="s">
        <v>139</v>
      </c>
      <c r="F262" s="617"/>
      <c r="G262" s="617"/>
      <c r="H262" s="611"/>
      <c r="I262" s="101">
        <v>17853</v>
      </c>
      <c r="J262" s="102">
        <v>54541</v>
      </c>
      <c r="K262" s="101">
        <v>19102</v>
      </c>
      <c r="L262" s="101">
        <v>60650</v>
      </c>
      <c r="M262" s="6"/>
      <c r="N262" s="47"/>
    </row>
    <row r="263" spans="1:14" s="48" customFormat="1" ht="18" customHeight="1" x14ac:dyDescent="0.25">
      <c r="A263" s="626"/>
      <c r="B263" s="617" t="s">
        <v>123</v>
      </c>
      <c r="C263" s="618" t="s">
        <v>1388</v>
      </c>
      <c r="D263" s="131" t="s">
        <v>140</v>
      </c>
      <c r="E263" s="618" t="s">
        <v>139</v>
      </c>
      <c r="F263" s="617"/>
      <c r="G263" s="617"/>
      <c r="H263" s="611"/>
      <c r="I263" s="101">
        <v>268619</v>
      </c>
      <c r="J263" s="102">
        <v>554137</v>
      </c>
      <c r="K263" s="101">
        <v>319500</v>
      </c>
      <c r="L263" s="101">
        <v>606885</v>
      </c>
      <c r="M263" s="6"/>
      <c r="N263" s="47"/>
    </row>
    <row r="264" spans="1:14" s="48" customFormat="1" ht="18" customHeight="1" x14ac:dyDescent="0.25">
      <c r="A264" s="626"/>
      <c r="B264" s="617" t="s">
        <v>123</v>
      </c>
      <c r="C264" s="618" t="s">
        <v>1388</v>
      </c>
      <c r="D264" s="131" t="s">
        <v>140</v>
      </c>
      <c r="E264" s="618" t="s">
        <v>139</v>
      </c>
      <c r="F264" s="617"/>
      <c r="G264" s="617"/>
      <c r="H264" s="611"/>
      <c r="I264" s="101">
        <v>105191</v>
      </c>
      <c r="J264" s="102">
        <v>105191</v>
      </c>
      <c r="K264" s="101">
        <v>107833</v>
      </c>
      <c r="L264" s="101">
        <v>110707</v>
      </c>
      <c r="M264" s="6"/>
      <c r="N264" s="47"/>
    </row>
    <row r="265" spans="1:14" s="48" customFormat="1" ht="18" customHeight="1" x14ac:dyDescent="0.25">
      <c r="A265" s="626"/>
      <c r="B265" s="617" t="s">
        <v>123</v>
      </c>
      <c r="C265" s="618" t="s">
        <v>1388</v>
      </c>
      <c r="D265" s="131" t="s">
        <v>140</v>
      </c>
      <c r="E265" s="619" t="s">
        <v>139</v>
      </c>
      <c r="F265" s="612"/>
      <c r="G265" s="612"/>
      <c r="H265" s="612"/>
      <c r="I265" s="101">
        <v>588978</v>
      </c>
      <c r="J265" s="102">
        <v>802578</v>
      </c>
      <c r="K265" s="101">
        <v>599071</v>
      </c>
      <c r="L265" s="101">
        <v>873602</v>
      </c>
      <c r="M265" s="6"/>
      <c r="N265" s="47">
        <f>38885.76+255390.24</f>
        <v>294276</v>
      </c>
    </row>
    <row r="266" spans="1:14" s="48" customFormat="1" ht="18" customHeight="1" x14ac:dyDescent="0.25">
      <c r="A266" s="626"/>
      <c r="B266" s="617" t="s">
        <v>123</v>
      </c>
      <c r="C266" s="618" t="s">
        <v>1388</v>
      </c>
      <c r="D266" s="131" t="s">
        <v>140</v>
      </c>
      <c r="E266" s="619" t="s">
        <v>139</v>
      </c>
      <c r="F266" s="612"/>
      <c r="G266" s="612"/>
      <c r="H266" s="612"/>
      <c r="I266" s="101">
        <v>135833</v>
      </c>
      <c r="J266" s="102">
        <v>154039</v>
      </c>
      <c r="K266" s="101">
        <v>140555</v>
      </c>
      <c r="L266" s="101">
        <v>166725</v>
      </c>
      <c r="M266" s="6"/>
      <c r="N266" s="47">
        <f>6000+2400</f>
        <v>8400</v>
      </c>
    </row>
    <row r="267" spans="1:14" s="48" customFormat="1" ht="18" customHeight="1" x14ac:dyDescent="0.25">
      <c r="A267" s="626"/>
      <c r="B267" s="617" t="s">
        <v>123</v>
      </c>
      <c r="C267" s="618" t="s">
        <v>1388</v>
      </c>
      <c r="D267" s="131" t="s">
        <v>140</v>
      </c>
      <c r="E267" s="619" t="s">
        <v>139</v>
      </c>
      <c r="F267" s="612"/>
      <c r="G267" s="612"/>
      <c r="H267" s="612"/>
      <c r="I267" s="101">
        <v>213863</v>
      </c>
      <c r="J267" s="102">
        <v>306425</v>
      </c>
      <c r="K267" s="101">
        <v>233314</v>
      </c>
      <c r="L267" s="101">
        <v>332297</v>
      </c>
      <c r="M267" s="6"/>
      <c r="N267" s="47">
        <f>12984+79462.72</f>
        <v>92446.720000000001</v>
      </c>
    </row>
    <row r="268" spans="1:14" s="48" customFormat="1" ht="18" customHeight="1" x14ac:dyDescent="0.25">
      <c r="A268" s="626"/>
      <c r="B268" s="617" t="s">
        <v>123</v>
      </c>
      <c r="C268" s="618" t="s">
        <v>1388</v>
      </c>
      <c r="D268" s="133" t="s">
        <v>140</v>
      </c>
      <c r="E268" s="619" t="s">
        <v>139</v>
      </c>
      <c r="F268" s="612"/>
      <c r="G268" s="612"/>
      <c r="H268" s="612"/>
      <c r="I268" s="105">
        <v>120217</v>
      </c>
      <c r="J268" s="106">
        <v>141047</v>
      </c>
      <c r="K268" s="105">
        <v>112418</v>
      </c>
      <c r="L268" s="105">
        <v>153894</v>
      </c>
      <c r="M268" s="6"/>
      <c r="N268" s="47">
        <f>6000+2400</f>
        <v>8400</v>
      </c>
    </row>
    <row r="269" spans="1:14" s="48" customFormat="1" ht="18" customHeight="1" x14ac:dyDescent="0.25">
      <c r="A269" s="626"/>
      <c r="B269" s="617" t="s">
        <v>123</v>
      </c>
      <c r="C269" s="618" t="s">
        <v>1388</v>
      </c>
      <c r="D269" s="131" t="s">
        <v>140</v>
      </c>
      <c r="E269" s="618" t="s">
        <v>139</v>
      </c>
      <c r="F269" s="617"/>
      <c r="G269" s="617"/>
      <c r="H269" s="611"/>
      <c r="I269" s="101">
        <v>192228</v>
      </c>
      <c r="J269" s="102">
        <v>240175</v>
      </c>
      <c r="K269" s="101">
        <v>201336</v>
      </c>
      <c r="L269" s="101">
        <v>263980</v>
      </c>
      <c r="M269" s="6">
        <f>SUM(L261:L269)</f>
        <v>2664167</v>
      </c>
      <c r="N269" s="47"/>
    </row>
    <row r="270" spans="1:14" s="48" customFormat="1" ht="18" customHeight="1" x14ac:dyDescent="0.25">
      <c r="A270" s="626"/>
      <c r="B270" s="617"/>
      <c r="C270" s="618"/>
      <c r="D270" s="131"/>
      <c r="E270" s="618"/>
      <c r="F270" s="617"/>
      <c r="G270" s="617"/>
      <c r="H270" s="617"/>
      <c r="I270" s="101"/>
      <c r="J270" s="102"/>
      <c r="K270" s="101"/>
      <c r="L270" s="101"/>
      <c r="M270" s="101">
        <f>SUM(M120:M269)</f>
        <v>55435719.04999999</v>
      </c>
      <c r="N270" s="47"/>
    </row>
    <row r="271" spans="1:14" s="710" customFormat="1" ht="18" customHeight="1" x14ac:dyDescent="0.25">
      <c r="A271" s="704"/>
      <c r="B271" s="705"/>
      <c r="C271" s="706"/>
      <c r="D271" s="712"/>
      <c r="E271" s="706"/>
      <c r="F271" s="705"/>
      <c r="G271" s="705"/>
      <c r="H271" s="705"/>
      <c r="I271" s="707"/>
      <c r="J271" s="707"/>
      <c r="K271" s="707"/>
      <c r="L271" s="707"/>
      <c r="M271" s="708"/>
      <c r="N271" s="709"/>
    </row>
    <row r="272" spans="1:14" s="48" customFormat="1" ht="18" customHeight="1" x14ac:dyDescent="0.25">
      <c r="A272" s="626"/>
      <c r="B272" s="617"/>
      <c r="C272" s="618"/>
      <c r="D272" s="131"/>
      <c r="E272" s="618"/>
      <c r="F272" s="617"/>
      <c r="G272" s="617"/>
      <c r="H272" s="617"/>
      <c r="I272" s="101"/>
      <c r="J272" s="102"/>
      <c r="K272" s="101"/>
      <c r="L272" s="101"/>
      <c r="M272" s="6"/>
      <c r="N272" s="47"/>
    </row>
    <row r="273" spans="1:16" s="48" customFormat="1" ht="18" customHeight="1" x14ac:dyDescent="0.25">
      <c r="A273" s="626"/>
      <c r="B273" s="617" t="s">
        <v>201</v>
      </c>
      <c r="C273" s="617" t="s">
        <v>1386</v>
      </c>
      <c r="D273" s="97" t="s">
        <v>1418</v>
      </c>
      <c r="E273" s="636" t="s">
        <v>421</v>
      </c>
      <c r="F273" s="621"/>
      <c r="G273" s="617"/>
      <c r="H273" s="617"/>
      <c r="I273" s="101"/>
      <c r="J273" s="102"/>
      <c r="K273" s="101"/>
      <c r="L273" s="101">
        <v>1000000</v>
      </c>
      <c r="M273" s="6"/>
      <c r="N273" s="47"/>
    </row>
    <row r="274" spans="1:16" s="48" customFormat="1" ht="18" customHeight="1" x14ac:dyDescent="0.25">
      <c r="A274" s="626"/>
      <c r="B274" s="617" t="s">
        <v>201</v>
      </c>
      <c r="C274" s="617" t="s">
        <v>1386</v>
      </c>
      <c r="D274" s="97" t="s">
        <v>1408</v>
      </c>
      <c r="E274" s="618" t="s">
        <v>446</v>
      </c>
      <c r="F274" s="617"/>
      <c r="G274" s="616"/>
      <c r="H274" s="616"/>
      <c r="I274" s="101"/>
      <c r="J274" s="102"/>
      <c r="K274" s="101"/>
      <c r="L274" s="101">
        <v>70000</v>
      </c>
      <c r="M274" s="6"/>
      <c r="N274" s="47"/>
    </row>
    <row r="275" spans="1:16" s="48" customFormat="1" ht="18" customHeight="1" x14ac:dyDescent="0.25">
      <c r="A275" s="626"/>
      <c r="B275" s="617" t="s">
        <v>201</v>
      </c>
      <c r="C275" s="617" t="s">
        <v>1386</v>
      </c>
      <c r="D275" s="97" t="s">
        <v>1415</v>
      </c>
      <c r="E275" s="618" t="s">
        <v>417</v>
      </c>
      <c r="F275" s="617"/>
      <c r="G275" s="617"/>
      <c r="H275" s="617"/>
      <c r="I275" s="101"/>
      <c r="J275" s="102"/>
      <c r="K275" s="101"/>
      <c r="L275" s="101">
        <v>50000</v>
      </c>
      <c r="M275" s="6"/>
      <c r="N275" s="47"/>
    </row>
    <row r="276" spans="1:16" s="48" customFormat="1" ht="18" customHeight="1" x14ac:dyDescent="0.25">
      <c r="A276" s="626"/>
      <c r="B276" s="617" t="s">
        <v>201</v>
      </c>
      <c r="C276" s="617" t="s">
        <v>1386</v>
      </c>
      <c r="D276" s="97" t="s">
        <v>1397</v>
      </c>
      <c r="E276" s="618" t="s">
        <v>223</v>
      </c>
      <c r="F276" s="617"/>
      <c r="G276" s="617"/>
      <c r="H276" s="617"/>
      <c r="I276" s="101">
        <v>0</v>
      </c>
      <c r="J276" s="102">
        <v>16000</v>
      </c>
      <c r="K276" s="101"/>
      <c r="L276" s="101">
        <v>15300</v>
      </c>
      <c r="M276" s="6"/>
      <c r="N276" s="47"/>
    </row>
    <row r="277" spans="1:16" s="48" customFormat="1" ht="18" customHeight="1" x14ac:dyDescent="0.25">
      <c r="A277" s="626"/>
      <c r="B277" s="617" t="s">
        <v>201</v>
      </c>
      <c r="C277" s="617" t="s">
        <v>1386</v>
      </c>
      <c r="D277" s="97" t="s">
        <v>1397</v>
      </c>
      <c r="E277" s="636" t="s">
        <v>253</v>
      </c>
      <c r="F277" s="617"/>
      <c r="G277" s="617"/>
      <c r="H277" s="617"/>
      <c r="I277" s="105"/>
      <c r="J277" s="106"/>
      <c r="K277" s="105"/>
      <c r="L277" s="105">
        <v>50000</v>
      </c>
      <c r="M277" s="6"/>
      <c r="N277" s="47"/>
    </row>
    <row r="278" spans="1:16" s="48" customFormat="1" ht="18" customHeight="1" x14ac:dyDescent="0.25">
      <c r="A278" s="615"/>
      <c r="B278" s="617" t="s">
        <v>201</v>
      </c>
      <c r="C278" s="617" t="s">
        <v>1386</v>
      </c>
      <c r="D278" s="97" t="s">
        <v>1397</v>
      </c>
      <c r="E278" s="636" t="s">
        <v>358</v>
      </c>
      <c r="F278" s="618"/>
      <c r="G278" s="618"/>
      <c r="H278" s="618"/>
      <c r="I278" s="101"/>
      <c r="J278" s="102"/>
      <c r="K278" s="101"/>
      <c r="L278" s="105">
        <v>71700</v>
      </c>
      <c r="M278" s="6"/>
      <c r="N278" s="47"/>
    </row>
    <row r="279" spans="1:16" s="146" customFormat="1" ht="18" customHeight="1" x14ac:dyDescent="0.25">
      <c r="A279" s="626"/>
      <c r="B279" s="617" t="s">
        <v>201</v>
      </c>
      <c r="C279" s="617" t="s">
        <v>1386</v>
      </c>
      <c r="D279" s="168" t="s">
        <v>1397</v>
      </c>
      <c r="E279" s="637" t="s">
        <v>459</v>
      </c>
      <c r="F279" s="629"/>
      <c r="G279" s="629"/>
      <c r="H279" s="629"/>
      <c r="I279" s="102"/>
      <c r="J279" s="102"/>
      <c r="K279" s="102"/>
      <c r="L279" s="102">
        <v>80000</v>
      </c>
      <c r="M279" s="10"/>
      <c r="N279" s="10"/>
      <c r="O279"/>
      <c r="P279"/>
    </row>
    <row r="280" spans="1:16" s="146" customFormat="1" ht="18" customHeight="1" x14ac:dyDescent="0.25">
      <c r="A280" s="626"/>
      <c r="B280" s="617" t="s">
        <v>201</v>
      </c>
      <c r="C280" s="617" t="s">
        <v>1386</v>
      </c>
      <c r="D280" s="97" t="s">
        <v>1416</v>
      </c>
      <c r="E280" s="619" t="s">
        <v>418</v>
      </c>
      <c r="F280" s="612"/>
      <c r="G280" s="612"/>
      <c r="H280" s="612"/>
      <c r="I280" s="101"/>
      <c r="J280" s="102"/>
      <c r="K280" s="101"/>
      <c r="L280" s="101">
        <v>25000</v>
      </c>
      <c r="M280" s="10"/>
      <c r="N280" s="10"/>
      <c r="O280"/>
      <c r="P280"/>
    </row>
    <row r="281" spans="1:16" s="146" customFormat="1" ht="18" customHeight="1" x14ac:dyDescent="0.25">
      <c r="A281" s="626"/>
      <c r="B281" s="617" t="s">
        <v>201</v>
      </c>
      <c r="C281" s="617" t="s">
        <v>1386</v>
      </c>
      <c r="D281" s="97" t="s">
        <v>1394</v>
      </c>
      <c r="E281" s="619" t="s">
        <v>206</v>
      </c>
      <c r="F281" s="612"/>
      <c r="G281" s="612"/>
      <c r="H281" s="612"/>
      <c r="I281" s="101"/>
      <c r="J281" s="102"/>
      <c r="K281" s="101"/>
      <c r="L281" s="101">
        <v>40000</v>
      </c>
      <c r="M281" s="10"/>
      <c r="N281" s="10"/>
      <c r="O281"/>
      <c r="P281"/>
    </row>
    <row r="282" spans="1:16" s="146" customFormat="1" ht="18" customHeight="1" x14ac:dyDescent="0.25">
      <c r="A282" s="626"/>
      <c r="B282" s="617" t="s">
        <v>201</v>
      </c>
      <c r="C282" s="617" t="s">
        <v>1386</v>
      </c>
      <c r="D282" s="97" t="s">
        <v>1394</v>
      </c>
      <c r="E282" s="637" t="s">
        <v>220</v>
      </c>
      <c r="F282" s="612"/>
      <c r="G282" s="612"/>
      <c r="H282" s="612"/>
      <c r="I282" s="101"/>
      <c r="J282" s="102"/>
      <c r="K282" s="101"/>
      <c r="L282" s="101">
        <v>54000</v>
      </c>
      <c r="M282" s="10"/>
      <c r="N282" s="10">
        <f>72000+150000</f>
        <v>222000</v>
      </c>
      <c r="O282"/>
      <c r="P282"/>
    </row>
    <row r="283" spans="1:16" s="146" customFormat="1" ht="18" customHeight="1" x14ac:dyDescent="0.25">
      <c r="A283" s="626"/>
      <c r="B283" s="617" t="s">
        <v>201</v>
      </c>
      <c r="C283" s="617" t="s">
        <v>1386</v>
      </c>
      <c r="D283" s="97" t="s">
        <v>1390</v>
      </c>
      <c r="E283" s="619" t="s">
        <v>203</v>
      </c>
      <c r="F283" s="612"/>
      <c r="G283" s="612"/>
      <c r="H283" s="612"/>
      <c r="I283" s="101"/>
      <c r="J283" s="102"/>
      <c r="K283" s="101"/>
      <c r="L283" s="101">
        <v>115000</v>
      </c>
      <c r="M283" s="10"/>
      <c r="N283" s="10"/>
      <c r="O283"/>
      <c r="P283"/>
    </row>
    <row r="284" spans="1:16" s="146" customFormat="1" ht="18" customHeight="1" x14ac:dyDescent="0.25">
      <c r="A284" s="626"/>
      <c r="B284" s="617" t="s">
        <v>201</v>
      </c>
      <c r="C284" s="617" t="s">
        <v>1386</v>
      </c>
      <c r="D284" s="97" t="s">
        <v>1390</v>
      </c>
      <c r="E284" s="206" t="s">
        <v>203</v>
      </c>
      <c r="F284" s="636"/>
      <c r="G284" s="636"/>
      <c r="H284" s="637"/>
      <c r="I284" s="102"/>
      <c r="J284" s="102"/>
      <c r="K284" s="102"/>
      <c r="L284" s="102">
        <v>115000</v>
      </c>
      <c r="M284" s="10"/>
      <c r="N284" s="10"/>
      <c r="O284"/>
      <c r="P284"/>
    </row>
    <row r="285" spans="1:16" s="146" customFormat="1" ht="18" customHeight="1" x14ac:dyDescent="0.25">
      <c r="A285" s="626"/>
      <c r="B285" s="617" t="s">
        <v>201</v>
      </c>
      <c r="C285" s="617" t="s">
        <v>1386</v>
      </c>
      <c r="D285" s="97" t="s">
        <v>1390</v>
      </c>
      <c r="E285" s="637" t="s">
        <v>203</v>
      </c>
      <c r="F285" s="691"/>
      <c r="G285" s="687"/>
      <c r="H285" s="687"/>
      <c r="I285" s="101"/>
      <c r="J285" s="102"/>
      <c r="K285" s="101"/>
      <c r="L285" s="101">
        <v>75000</v>
      </c>
      <c r="M285" s="10"/>
      <c r="N285" s="10">
        <f>1422925.92+395464.32</f>
        <v>1818390.24</v>
      </c>
      <c r="O285"/>
      <c r="P285"/>
    </row>
    <row r="286" spans="1:16" s="146" customFormat="1" ht="18" customHeight="1" x14ac:dyDescent="0.25">
      <c r="A286" s="626"/>
      <c r="B286" s="617" t="s">
        <v>201</v>
      </c>
      <c r="C286" s="617" t="s">
        <v>1386</v>
      </c>
      <c r="D286" s="97" t="s">
        <v>1390</v>
      </c>
      <c r="E286" s="637" t="s">
        <v>402</v>
      </c>
      <c r="F286" s="612"/>
      <c r="G286" s="612"/>
      <c r="H286" s="612"/>
      <c r="I286" s="101"/>
      <c r="J286" s="102"/>
      <c r="K286" s="101"/>
      <c r="L286" s="101">
        <v>280000</v>
      </c>
      <c r="M286" s="10"/>
      <c r="N286" s="10">
        <f>30000+14400</f>
        <v>44400</v>
      </c>
      <c r="O286"/>
      <c r="P286"/>
    </row>
    <row r="287" spans="1:16" s="146" customFormat="1" ht="18" customHeight="1" x14ac:dyDescent="0.25">
      <c r="A287" s="626"/>
      <c r="B287" s="617" t="s">
        <v>201</v>
      </c>
      <c r="C287" s="617" t="s">
        <v>1386</v>
      </c>
      <c r="D287" s="97" t="s">
        <v>1390</v>
      </c>
      <c r="E287" s="619" t="s">
        <v>363</v>
      </c>
      <c r="F287" s="612"/>
      <c r="G287" s="614"/>
      <c r="H287" s="614"/>
      <c r="I287" s="101"/>
      <c r="J287" s="102"/>
      <c r="K287" s="101"/>
      <c r="L287" s="101">
        <v>345000</v>
      </c>
      <c r="M287" s="10"/>
      <c r="N287" s="10">
        <f>460800+132012</f>
        <v>592812</v>
      </c>
      <c r="O287"/>
      <c r="P287"/>
    </row>
    <row r="288" spans="1:16" s="146" customFormat="1" ht="18" customHeight="1" x14ac:dyDescent="0.25">
      <c r="A288" s="626"/>
      <c r="B288" s="617" t="s">
        <v>201</v>
      </c>
      <c r="C288" s="617" t="s">
        <v>1386</v>
      </c>
      <c r="D288" s="97" t="s">
        <v>1395</v>
      </c>
      <c r="E288" s="619" t="s">
        <v>207</v>
      </c>
      <c r="F288" s="612"/>
      <c r="G288" s="612"/>
      <c r="H288" s="612"/>
      <c r="I288" s="105"/>
      <c r="J288" s="106"/>
      <c r="K288" s="105"/>
      <c r="L288" s="105">
        <v>20000</v>
      </c>
      <c r="M288" s="10"/>
      <c r="N288" s="10">
        <f>30000+14400</f>
        <v>44400</v>
      </c>
      <c r="O288"/>
      <c r="P288"/>
    </row>
    <row r="289" spans="1:16" s="146" customFormat="1" x14ac:dyDescent="0.25">
      <c r="A289" s="626"/>
      <c r="B289" s="617" t="s">
        <v>201</v>
      </c>
      <c r="C289" s="617" t="s">
        <v>1386</v>
      </c>
      <c r="D289" s="97" t="s">
        <v>1406</v>
      </c>
      <c r="E289" s="636" t="s">
        <v>403</v>
      </c>
      <c r="F289" s="617"/>
      <c r="G289" s="617"/>
      <c r="H289" s="617"/>
      <c r="I289" s="101"/>
      <c r="J289" s="102"/>
      <c r="K289" s="101"/>
      <c r="L289" s="101">
        <v>45000</v>
      </c>
      <c r="M289" s="10"/>
      <c r="N289" s="10"/>
      <c r="O289"/>
      <c r="P289"/>
    </row>
    <row r="290" spans="1:16" s="146" customFormat="1" ht="18" customHeight="1" x14ac:dyDescent="0.25">
      <c r="A290" s="626"/>
      <c r="B290" s="617" t="s">
        <v>201</v>
      </c>
      <c r="C290" s="617" t="s">
        <v>1386</v>
      </c>
      <c r="D290" s="97" t="s">
        <v>1407</v>
      </c>
      <c r="E290" s="618" t="s">
        <v>419</v>
      </c>
      <c r="F290" s="617"/>
      <c r="G290" s="617"/>
      <c r="H290" s="611"/>
      <c r="I290" s="101"/>
      <c r="J290" s="102"/>
      <c r="K290" s="101"/>
      <c r="L290" s="101">
        <v>65000</v>
      </c>
      <c r="M290" s="10"/>
      <c r="N290" s="10"/>
      <c r="O290"/>
      <c r="P290"/>
    </row>
    <row r="291" spans="1:16" s="146" customFormat="1" x14ac:dyDescent="0.25">
      <c r="A291" s="626"/>
      <c r="B291" s="617" t="s">
        <v>201</v>
      </c>
      <c r="C291" s="617" t="s">
        <v>1386</v>
      </c>
      <c r="D291" s="97" t="s">
        <v>1391</v>
      </c>
      <c r="E291" s="618" t="s">
        <v>204</v>
      </c>
      <c r="F291" s="617"/>
      <c r="G291" s="617"/>
      <c r="H291" s="617"/>
      <c r="I291" s="101"/>
      <c r="J291" s="102"/>
      <c r="K291" s="101"/>
      <c r="L291" s="101">
        <v>110000</v>
      </c>
      <c r="M291" s="10"/>
      <c r="N291" s="10"/>
      <c r="O291"/>
      <c r="P291"/>
    </row>
    <row r="292" spans="1:16" s="146" customFormat="1" x14ac:dyDescent="0.25">
      <c r="A292" s="626"/>
      <c r="B292" s="617" t="s">
        <v>201</v>
      </c>
      <c r="C292" s="617" t="s">
        <v>1386</v>
      </c>
      <c r="D292" s="97" t="s">
        <v>1391</v>
      </c>
      <c r="E292" s="636" t="s">
        <v>252</v>
      </c>
      <c r="F292" s="617"/>
      <c r="G292" s="617"/>
      <c r="H292" s="617"/>
      <c r="I292" s="101"/>
      <c r="J292" s="102"/>
      <c r="K292" s="101"/>
      <c r="L292" s="101">
        <v>110000</v>
      </c>
      <c r="M292" s="10"/>
      <c r="N292" s="10"/>
      <c r="O292"/>
      <c r="P292"/>
    </row>
    <row r="293" spans="1:16" s="146" customFormat="1" x14ac:dyDescent="0.25">
      <c r="A293" s="626"/>
      <c r="B293" s="617" t="s">
        <v>201</v>
      </c>
      <c r="C293" s="617" t="s">
        <v>1386</v>
      </c>
      <c r="D293" s="168" t="s">
        <v>1391</v>
      </c>
      <c r="E293" s="636" t="s">
        <v>263</v>
      </c>
      <c r="F293" s="636"/>
      <c r="G293" s="636"/>
      <c r="H293" s="636"/>
      <c r="I293" s="102"/>
      <c r="J293" s="102"/>
      <c r="K293" s="102"/>
      <c r="L293" s="102">
        <v>220000</v>
      </c>
      <c r="M293" s="10"/>
      <c r="N293" s="10"/>
      <c r="O293"/>
      <c r="P293"/>
    </row>
    <row r="294" spans="1:16" x14ac:dyDescent="0.25">
      <c r="A294" s="626"/>
      <c r="B294" s="617" t="s">
        <v>201</v>
      </c>
      <c r="C294" s="617" t="s">
        <v>1386</v>
      </c>
      <c r="D294" s="97" t="s">
        <v>1391</v>
      </c>
      <c r="E294" s="636" t="s">
        <v>263</v>
      </c>
      <c r="F294" s="638"/>
      <c r="G294" s="638"/>
      <c r="H294" s="638"/>
      <c r="I294" s="102"/>
      <c r="J294" s="102"/>
      <c r="K294" s="102"/>
      <c r="L294" s="102">
        <v>160000</v>
      </c>
    </row>
    <row r="295" spans="1:16" x14ac:dyDescent="0.25">
      <c r="A295" s="626"/>
      <c r="B295" s="617" t="s">
        <v>201</v>
      </c>
      <c r="C295" s="617" t="s">
        <v>1386</v>
      </c>
      <c r="D295" s="97" t="s">
        <v>1391</v>
      </c>
      <c r="E295" s="206" t="s">
        <v>344</v>
      </c>
      <c r="F295" s="636"/>
      <c r="G295" s="636"/>
      <c r="H295" s="636"/>
      <c r="I295" s="102"/>
      <c r="J295" s="102"/>
      <c r="K295" s="102"/>
      <c r="L295" s="102">
        <v>295000</v>
      </c>
    </row>
    <row r="296" spans="1:16" x14ac:dyDescent="0.25">
      <c r="A296" s="626"/>
      <c r="B296" s="617" t="s">
        <v>201</v>
      </c>
      <c r="C296" s="617" t="s">
        <v>1386</v>
      </c>
      <c r="D296" s="97" t="s">
        <v>1391</v>
      </c>
      <c r="E296" s="636" t="s">
        <v>350</v>
      </c>
      <c r="F296" s="621"/>
      <c r="G296" s="621"/>
      <c r="H296" s="621"/>
      <c r="I296" s="102"/>
      <c r="J296" s="102">
        <v>170000</v>
      </c>
      <c r="K296" s="102"/>
      <c r="L296" s="102">
        <v>220000</v>
      </c>
    </row>
    <row r="297" spans="1:16" x14ac:dyDescent="0.25">
      <c r="A297" s="626"/>
      <c r="B297" s="617" t="s">
        <v>201</v>
      </c>
      <c r="C297" s="617" t="s">
        <v>1386</v>
      </c>
      <c r="D297" s="97" t="s">
        <v>1391</v>
      </c>
      <c r="E297" s="636" t="s">
        <v>361</v>
      </c>
      <c r="F297" s="636"/>
      <c r="G297" s="618"/>
      <c r="H297" s="618"/>
      <c r="I297" s="101"/>
      <c r="J297" s="102"/>
      <c r="K297" s="101"/>
      <c r="L297" s="101">
        <v>400000</v>
      </c>
    </row>
    <row r="298" spans="1:16" x14ac:dyDescent="0.25">
      <c r="A298" s="626"/>
      <c r="B298" s="617" t="s">
        <v>201</v>
      </c>
      <c r="C298" s="617" t="s">
        <v>1386</v>
      </c>
      <c r="D298" s="97" t="s">
        <v>1391</v>
      </c>
      <c r="E298" s="636" t="s">
        <v>404</v>
      </c>
      <c r="F298" s="617"/>
      <c r="G298" s="617"/>
      <c r="H298" s="617"/>
      <c r="I298" s="101"/>
      <c r="J298" s="102"/>
      <c r="K298" s="101"/>
      <c r="L298" s="101">
        <v>240000</v>
      </c>
    </row>
    <row r="299" spans="1:16" x14ac:dyDescent="0.25">
      <c r="A299" s="626"/>
      <c r="B299" s="617" t="s">
        <v>201</v>
      </c>
      <c r="C299" s="617" t="s">
        <v>1386</v>
      </c>
      <c r="D299" s="97" t="s">
        <v>1391</v>
      </c>
      <c r="E299" s="618" t="s">
        <v>444</v>
      </c>
      <c r="F299" s="617"/>
      <c r="G299" s="616"/>
      <c r="H299" s="616"/>
      <c r="I299" s="101"/>
      <c r="J299" s="102"/>
      <c r="K299" s="101"/>
      <c r="L299" s="101">
        <v>240000</v>
      </c>
    </row>
    <row r="300" spans="1:16" x14ac:dyDescent="0.25">
      <c r="A300" s="626"/>
      <c r="B300" s="617" t="s">
        <v>201</v>
      </c>
      <c r="C300" s="617" t="s">
        <v>1386</v>
      </c>
      <c r="D300" s="97" t="s">
        <v>1391</v>
      </c>
      <c r="E300" s="636" t="s">
        <v>263</v>
      </c>
      <c r="F300" s="621"/>
      <c r="G300" s="621"/>
      <c r="H300" s="621"/>
      <c r="I300" s="102"/>
      <c r="J300" s="102"/>
      <c r="K300" s="102"/>
      <c r="L300" s="102">
        <v>160000</v>
      </c>
    </row>
    <row r="301" spans="1:16" x14ac:dyDescent="0.25">
      <c r="A301" s="626"/>
      <c r="B301" s="617" t="s">
        <v>201</v>
      </c>
      <c r="C301" s="617" t="s">
        <v>1386</v>
      </c>
      <c r="D301" s="97" t="s">
        <v>1401</v>
      </c>
      <c r="E301" s="167" t="s">
        <v>259</v>
      </c>
      <c r="F301" s="618"/>
      <c r="G301" s="618"/>
      <c r="H301" s="618"/>
      <c r="I301" s="101"/>
      <c r="J301" s="102"/>
      <c r="K301" s="101"/>
      <c r="L301" s="101">
        <v>20000</v>
      </c>
    </row>
    <row r="302" spans="1:16" x14ac:dyDescent="0.25">
      <c r="A302" s="626"/>
      <c r="B302" s="617" t="s">
        <v>201</v>
      </c>
      <c r="C302" s="617" t="s">
        <v>1386</v>
      </c>
      <c r="D302" s="97" t="s">
        <v>1409</v>
      </c>
      <c r="E302" s="618" t="s">
        <v>325</v>
      </c>
      <c r="F302" s="617"/>
      <c r="G302" s="617"/>
      <c r="H302" s="617"/>
      <c r="I302" s="101"/>
      <c r="J302" s="102"/>
      <c r="K302" s="101"/>
      <c r="L302" s="102">
        <v>400000</v>
      </c>
    </row>
    <row r="303" spans="1:16" x14ac:dyDescent="0.25">
      <c r="A303" s="626"/>
      <c r="B303" s="617" t="s">
        <v>201</v>
      </c>
      <c r="C303" s="617" t="s">
        <v>1386</v>
      </c>
      <c r="D303" s="97" t="s">
        <v>1403</v>
      </c>
      <c r="E303" s="618" t="s">
        <v>261</v>
      </c>
      <c r="F303" s="618"/>
      <c r="G303" s="618"/>
      <c r="H303" s="618"/>
      <c r="I303" s="101"/>
      <c r="J303" s="102"/>
      <c r="K303" s="101"/>
      <c r="L303" s="101">
        <v>25000</v>
      </c>
    </row>
    <row r="304" spans="1:16" x14ac:dyDescent="0.25">
      <c r="A304" s="626"/>
      <c r="B304" s="617" t="s">
        <v>201</v>
      </c>
      <c r="C304" s="617" t="s">
        <v>1386</v>
      </c>
      <c r="D304" s="97" t="s">
        <v>1403</v>
      </c>
      <c r="E304" s="618" t="s">
        <v>262</v>
      </c>
      <c r="F304" s="618"/>
      <c r="G304" s="618"/>
      <c r="H304" s="618"/>
      <c r="I304" s="105"/>
      <c r="J304" s="106"/>
      <c r="K304" s="105"/>
      <c r="L304" s="105">
        <v>20000</v>
      </c>
    </row>
    <row r="305" spans="1:16" s="191" customFormat="1" x14ac:dyDescent="0.25">
      <c r="A305" s="626"/>
      <c r="B305" s="617" t="s">
        <v>201</v>
      </c>
      <c r="C305" s="617" t="s">
        <v>1386</v>
      </c>
      <c r="D305" s="97" t="s">
        <v>1392</v>
      </c>
      <c r="E305" s="618" t="s">
        <v>205</v>
      </c>
      <c r="F305" s="617"/>
      <c r="G305" s="617"/>
      <c r="H305" s="617"/>
      <c r="I305" s="101"/>
      <c r="J305" s="102"/>
      <c r="K305" s="101"/>
      <c r="L305" s="101">
        <v>32000</v>
      </c>
      <c r="M305" s="10"/>
      <c r="N305" s="10"/>
    </row>
    <row r="306" spans="1:16" s="146" customFormat="1" ht="18" customHeight="1" x14ac:dyDescent="0.25">
      <c r="A306" s="626"/>
      <c r="B306" s="617" t="s">
        <v>201</v>
      </c>
      <c r="C306" s="617" t="s">
        <v>1386</v>
      </c>
      <c r="D306" s="97" t="s">
        <v>1392</v>
      </c>
      <c r="E306" s="619" t="s">
        <v>251</v>
      </c>
      <c r="F306" s="612"/>
      <c r="G306" s="612"/>
      <c r="H306" s="612"/>
      <c r="I306" s="101"/>
      <c r="J306" s="102"/>
      <c r="K306" s="101"/>
      <c r="L306" s="101">
        <v>16000</v>
      </c>
      <c r="M306" s="10"/>
      <c r="N306" s="10"/>
      <c r="O306"/>
      <c r="P306"/>
    </row>
    <row r="307" spans="1:16" s="146" customFormat="1" ht="18" customHeight="1" x14ac:dyDescent="0.25">
      <c r="A307" s="626"/>
      <c r="B307" s="617" t="s">
        <v>201</v>
      </c>
      <c r="C307" s="617" t="s">
        <v>1386</v>
      </c>
      <c r="D307" s="168" t="s">
        <v>1392</v>
      </c>
      <c r="E307" s="715" t="s">
        <v>346</v>
      </c>
      <c r="F307" s="702"/>
      <c r="G307" s="691"/>
      <c r="H307" s="691"/>
      <c r="I307" s="102"/>
      <c r="J307" s="102"/>
      <c r="K307" s="102"/>
      <c r="L307" s="102">
        <v>30000</v>
      </c>
      <c r="M307" s="10"/>
      <c r="N307" s="10"/>
      <c r="O307"/>
      <c r="P307"/>
    </row>
    <row r="308" spans="1:16" s="146" customFormat="1" x14ac:dyDescent="0.25">
      <c r="A308" s="626"/>
      <c r="B308" s="617" t="s">
        <v>201</v>
      </c>
      <c r="C308" s="617" t="s">
        <v>1386</v>
      </c>
      <c r="D308" s="97" t="s">
        <v>1392</v>
      </c>
      <c r="E308" s="637" t="s">
        <v>362</v>
      </c>
      <c r="F308" s="687"/>
      <c r="G308" s="687"/>
      <c r="H308" s="687"/>
      <c r="I308" s="101"/>
      <c r="J308" s="102"/>
      <c r="K308" s="101"/>
      <c r="L308" s="101">
        <v>35200</v>
      </c>
      <c r="M308" s="10"/>
      <c r="N308" s="10"/>
      <c r="O308"/>
      <c r="P308"/>
    </row>
    <row r="309" spans="1:16" s="146" customFormat="1" ht="18" customHeight="1" x14ac:dyDescent="0.25">
      <c r="A309" s="626"/>
      <c r="B309" s="617" t="s">
        <v>201</v>
      </c>
      <c r="C309" s="617" t="s">
        <v>1386</v>
      </c>
      <c r="D309" s="97" t="s">
        <v>1393</v>
      </c>
      <c r="E309" s="637" t="s">
        <v>219</v>
      </c>
      <c r="F309" s="612"/>
      <c r="G309" s="612"/>
      <c r="H309" s="612"/>
      <c r="I309" s="101"/>
      <c r="J309" s="102"/>
      <c r="K309" s="101"/>
      <c r="L309" s="101">
        <v>200000</v>
      </c>
      <c r="M309" s="10"/>
      <c r="N309" s="10"/>
      <c r="O309"/>
      <c r="P309"/>
    </row>
    <row r="310" spans="1:16" s="146" customFormat="1" ht="18" customHeight="1" x14ac:dyDescent="0.25">
      <c r="A310" s="626"/>
      <c r="B310" s="617" t="s">
        <v>201</v>
      </c>
      <c r="C310" s="617" t="s">
        <v>1386</v>
      </c>
      <c r="D310" s="97" t="s">
        <v>1393</v>
      </c>
      <c r="E310" s="619" t="s">
        <v>257</v>
      </c>
      <c r="F310" s="687"/>
      <c r="G310" s="687"/>
      <c r="H310" s="687"/>
      <c r="I310" s="101"/>
      <c r="J310" s="102"/>
      <c r="K310" s="101"/>
      <c r="L310" s="101">
        <v>51200</v>
      </c>
      <c r="M310" s="10"/>
      <c r="N310" s="10"/>
      <c r="O310"/>
      <c r="P310"/>
    </row>
    <row r="311" spans="1:16" s="146" customFormat="1" x14ac:dyDescent="0.25">
      <c r="A311" s="626"/>
      <c r="B311" s="617" t="s">
        <v>201</v>
      </c>
      <c r="C311" s="617" t="s">
        <v>1386</v>
      </c>
      <c r="D311" s="97" t="s">
        <v>1405</v>
      </c>
      <c r="E311" s="619" t="s">
        <v>445</v>
      </c>
      <c r="F311" s="612"/>
      <c r="G311" s="614"/>
      <c r="H311" s="614"/>
      <c r="I311" s="101"/>
      <c r="J311" s="102"/>
      <c r="K311" s="101"/>
      <c r="L311" s="101">
        <v>20000</v>
      </c>
      <c r="M311" s="10"/>
      <c r="N311" s="10"/>
      <c r="O311"/>
      <c r="P311"/>
    </row>
    <row r="312" spans="1:16" s="146" customFormat="1" x14ac:dyDescent="0.25">
      <c r="A312" s="626"/>
      <c r="B312" s="617" t="s">
        <v>201</v>
      </c>
      <c r="C312" s="617" t="s">
        <v>1386</v>
      </c>
      <c r="D312" s="97" t="s">
        <v>1399</v>
      </c>
      <c r="E312" s="636" t="s">
        <v>244</v>
      </c>
      <c r="F312" s="617"/>
      <c r="G312" s="617"/>
      <c r="H312" s="611"/>
      <c r="I312" s="101"/>
      <c r="J312" s="102"/>
      <c r="K312" s="101"/>
      <c r="L312" s="101">
        <v>40000</v>
      </c>
      <c r="M312" s="10"/>
      <c r="N312" s="10"/>
      <c r="O312"/>
      <c r="P312"/>
    </row>
    <row r="313" spans="1:16" s="146" customFormat="1" x14ac:dyDescent="0.25">
      <c r="A313" s="630"/>
      <c r="B313" s="617" t="s">
        <v>201</v>
      </c>
      <c r="C313" s="617" t="s">
        <v>1386</v>
      </c>
      <c r="D313" s="97" t="s">
        <v>1399</v>
      </c>
      <c r="E313" s="636" t="s">
        <v>333</v>
      </c>
      <c r="F313" s="638"/>
      <c r="G313" s="638"/>
      <c r="H313" s="624"/>
      <c r="I313" s="102"/>
      <c r="J313" s="102"/>
      <c r="K313" s="102"/>
      <c r="L313" s="102">
        <v>40000</v>
      </c>
      <c r="M313" s="10"/>
      <c r="N313" s="10"/>
    </row>
    <row r="314" spans="1:16" s="146" customFormat="1" x14ac:dyDescent="0.25">
      <c r="A314" s="626"/>
      <c r="B314" s="617" t="s">
        <v>201</v>
      </c>
      <c r="C314" s="617" t="s">
        <v>1386</v>
      </c>
      <c r="D314" s="97" t="s">
        <v>1399</v>
      </c>
      <c r="E314" s="206" t="s">
        <v>345</v>
      </c>
      <c r="F314" s="636"/>
      <c r="G314" s="636"/>
      <c r="H314" s="637"/>
      <c r="I314" s="102"/>
      <c r="J314" s="102"/>
      <c r="K314" s="102"/>
      <c r="L314" s="102">
        <v>40000</v>
      </c>
      <c r="M314" s="10"/>
      <c r="N314" s="10"/>
      <c r="O314"/>
      <c r="P314"/>
    </row>
    <row r="315" spans="1:16" s="146" customFormat="1" ht="18" customHeight="1" x14ac:dyDescent="0.25">
      <c r="A315" s="626"/>
      <c r="B315" s="617" t="s">
        <v>201</v>
      </c>
      <c r="C315" s="617" t="s">
        <v>1386</v>
      </c>
      <c r="D315" s="97" t="s">
        <v>1399</v>
      </c>
      <c r="E315" s="637" t="s">
        <v>458</v>
      </c>
      <c r="F315" s="629"/>
      <c r="G315" s="629"/>
      <c r="H315" s="629"/>
      <c r="I315" s="102"/>
      <c r="J315" s="102"/>
      <c r="K315" s="102"/>
      <c r="L315" s="102">
        <v>40000</v>
      </c>
      <c r="M315" s="10"/>
      <c r="N315" s="10"/>
      <c r="O315"/>
      <c r="P315"/>
    </row>
    <row r="316" spans="1:16" s="146" customFormat="1" x14ac:dyDescent="0.25">
      <c r="A316" s="626"/>
      <c r="B316" s="617" t="s">
        <v>201</v>
      </c>
      <c r="C316" s="617" t="s">
        <v>1386</v>
      </c>
      <c r="D316" s="97" t="s">
        <v>1396</v>
      </c>
      <c r="E316" s="637" t="s">
        <v>221</v>
      </c>
      <c r="F316" s="612"/>
      <c r="G316" s="612"/>
      <c r="H316" s="612"/>
      <c r="I316" s="101"/>
      <c r="J316" s="102"/>
      <c r="K316" s="101"/>
      <c r="L316" s="101">
        <v>120000</v>
      </c>
      <c r="M316" s="10"/>
      <c r="N316" s="10"/>
      <c r="O316"/>
      <c r="P316"/>
    </row>
    <row r="317" spans="1:16" x14ac:dyDescent="0.25">
      <c r="A317" s="626"/>
      <c r="B317" s="617" t="s">
        <v>201</v>
      </c>
      <c r="C317" s="617" t="s">
        <v>1386</v>
      </c>
      <c r="D317" s="97" t="s">
        <v>1412</v>
      </c>
      <c r="E317" s="636" t="s">
        <v>360</v>
      </c>
      <c r="F317" s="618"/>
      <c r="G317" s="618"/>
      <c r="H317" s="618"/>
      <c r="I317" s="101"/>
      <c r="J317" s="102"/>
      <c r="K317" s="101"/>
      <c r="L317" s="101">
        <v>41600</v>
      </c>
      <c r="O317" s="191"/>
      <c r="P317" s="191"/>
    </row>
    <row r="318" spans="1:16" x14ac:dyDescent="0.25">
      <c r="A318" s="626"/>
      <c r="B318" s="617" t="s">
        <v>201</v>
      </c>
      <c r="C318" s="617" t="s">
        <v>1386</v>
      </c>
      <c r="D318" s="97" t="s">
        <v>1419</v>
      </c>
      <c r="E318" s="618" t="s">
        <v>447</v>
      </c>
      <c r="F318" s="617"/>
      <c r="G318" s="616"/>
      <c r="H318" s="616"/>
      <c r="I318" s="101"/>
      <c r="J318" s="102"/>
      <c r="K318" s="101"/>
      <c r="L318" s="101">
        <v>145600</v>
      </c>
    </row>
    <row r="319" spans="1:16" x14ac:dyDescent="0.25">
      <c r="A319" s="626"/>
      <c r="B319" s="617" t="s">
        <v>201</v>
      </c>
      <c r="C319" s="617" t="s">
        <v>1386</v>
      </c>
      <c r="D319" s="97" t="s">
        <v>1417</v>
      </c>
      <c r="E319" s="618" t="s">
        <v>420</v>
      </c>
      <c r="F319" s="617"/>
      <c r="G319" s="617"/>
      <c r="H319" s="617"/>
      <c r="I319" s="105"/>
      <c r="J319" s="106"/>
      <c r="K319" s="105"/>
      <c r="L319" s="105">
        <v>350000</v>
      </c>
    </row>
    <row r="320" spans="1:16" s="146" customFormat="1" x14ac:dyDescent="0.25">
      <c r="A320" s="615"/>
      <c r="B320" s="617" t="s">
        <v>201</v>
      </c>
      <c r="C320" s="617" t="s">
        <v>1386</v>
      </c>
      <c r="D320" s="120" t="s">
        <v>1410</v>
      </c>
      <c r="E320" s="636" t="s">
        <v>332</v>
      </c>
      <c r="F320" s="616"/>
      <c r="G320" s="616"/>
      <c r="H320" s="616"/>
      <c r="I320" s="101"/>
      <c r="J320" s="102"/>
      <c r="K320" s="101"/>
      <c r="L320" s="121">
        <v>300000</v>
      </c>
      <c r="M320" s="10"/>
      <c r="N320" s="10"/>
      <c r="O320"/>
      <c r="P320"/>
    </row>
    <row r="321" spans="1:16" s="146" customFormat="1" ht="18" customHeight="1" x14ac:dyDescent="0.25">
      <c r="A321" s="615"/>
      <c r="B321" s="617" t="s">
        <v>201</v>
      </c>
      <c r="C321" s="617" t="s">
        <v>1386</v>
      </c>
      <c r="D321" s="97" t="s">
        <v>1400</v>
      </c>
      <c r="E321" s="619" t="s">
        <v>258</v>
      </c>
      <c r="F321" s="687"/>
      <c r="G321" s="687"/>
      <c r="H321" s="687"/>
      <c r="I321" s="101"/>
      <c r="J321" s="102"/>
      <c r="K321" s="101"/>
      <c r="L321" s="105">
        <v>26000</v>
      </c>
      <c r="M321" s="10"/>
      <c r="N321" s="10"/>
      <c r="O321"/>
      <c r="P321"/>
    </row>
    <row r="322" spans="1:16" s="146" customFormat="1" ht="18" customHeight="1" x14ac:dyDescent="0.25">
      <c r="A322" s="626"/>
      <c r="B322" s="617" t="s">
        <v>201</v>
      </c>
      <c r="C322" s="617" t="s">
        <v>1386</v>
      </c>
      <c r="D322" s="97" t="s">
        <v>1398</v>
      </c>
      <c r="E322" s="637" t="s">
        <v>254</v>
      </c>
      <c r="F322" s="612"/>
      <c r="G322" s="612"/>
      <c r="H322" s="612"/>
      <c r="I322" s="101"/>
      <c r="J322" s="102"/>
      <c r="K322" s="101"/>
      <c r="L322" s="101">
        <v>29200</v>
      </c>
      <c r="M322" s="10"/>
      <c r="N322" s="10"/>
      <c r="O322"/>
      <c r="P322"/>
    </row>
    <row r="323" spans="1:16" s="146" customFormat="1" ht="18" customHeight="1" x14ac:dyDescent="0.25">
      <c r="A323" s="626"/>
      <c r="B323" s="617" t="s">
        <v>201</v>
      </c>
      <c r="C323" s="617" t="s">
        <v>1386</v>
      </c>
      <c r="D323" s="97" t="s">
        <v>1411</v>
      </c>
      <c r="E323" s="637" t="s">
        <v>359</v>
      </c>
      <c r="F323" s="687"/>
      <c r="G323" s="687"/>
      <c r="H323" s="687"/>
      <c r="I323" s="101"/>
      <c r="J323" s="102"/>
      <c r="K323" s="101"/>
      <c r="L323" s="101">
        <v>95000</v>
      </c>
      <c r="M323" s="10"/>
      <c r="N323" s="10"/>
      <c r="O323"/>
      <c r="P323"/>
    </row>
    <row r="324" spans="1:16" s="146" customFormat="1" ht="18" customHeight="1" x14ac:dyDescent="0.25">
      <c r="A324" s="626"/>
      <c r="B324" s="617" t="s">
        <v>201</v>
      </c>
      <c r="C324" s="617" t="s">
        <v>1386</v>
      </c>
      <c r="D324" s="97" t="s">
        <v>1402</v>
      </c>
      <c r="E324" s="619" t="s">
        <v>260</v>
      </c>
      <c r="F324" s="687"/>
      <c r="G324" s="687"/>
      <c r="H324" s="687"/>
      <c r="I324" s="101"/>
      <c r="J324" s="102"/>
      <c r="K324" s="101"/>
      <c r="L324" s="101">
        <v>48000</v>
      </c>
      <c r="M324" s="10"/>
      <c r="N324" s="10"/>
      <c r="O324"/>
      <c r="P324"/>
    </row>
    <row r="325" spans="1:16" s="146" customFormat="1" ht="18" customHeight="1" x14ac:dyDescent="0.25">
      <c r="A325" s="626"/>
      <c r="B325" s="617" t="s">
        <v>201</v>
      </c>
      <c r="C325" s="617" t="s">
        <v>1386</v>
      </c>
      <c r="D325" s="97" t="s">
        <v>1413</v>
      </c>
      <c r="E325" s="619" t="s">
        <v>414</v>
      </c>
      <c r="F325" s="612"/>
      <c r="G325" s="612"/>
      <c r="H325" s="612"/>
      <c r="I325" s="105"/>
      <c r="J325" s="106"/>
      <c r="K325" s="105"/>
      <c r="L325" s="105">
        <v>330000</v>
      </c>
      <c r="M325" s="10"/>
      <c r="N325" s="10"/>
      <c r="O325"/>
      <c r="P325"/>
    </row>
    <row r="326" spans="1:16" ht="18" customHeight="1" x14ac:dyDescent="0.25">
      <c r="A326" s="626"/>
      <c r="B326" s="617" t="s">
        <v>201</v>
      </c>
      <c r="C326" s="617" t="s">
        <v>1386</v>
      </c>
      <c r="D326" s="97" t="s">
        <v>1413</v>
      </c>
      <c r="E326" s="618" t="s">
        <v>416</v>
      </c>
      <c r="F326" s="617"/>
      <c r="G326" s="617"/>
      <c r="H326" s="611"/>
      <c r="I326" s="101"/>
      <c r="J326" s="102"/>
      <c r="K326" s="101"/>
      <c r="L326" s="101">
        <v>55000</v>
      </c>
    </row>
    <row r="327" spans="1:16" x14ac:dyDescent="0.25">
      <c r="A327" s="626"/>
      <c r="B327" s="617" t="s">
        <v>201</v>
      </c>
      <c r="C327" s="617" t="s">
        <v>1386</v>
      </c>
      <c r="D327" s="97" t="s">
        <v>1414</v>
      </c>
      <c r="E327" s="618" t="s">
        <v>415</v>
      </c>
      <c r="F327" s="617"/>
      <c r="G327" s="617"/>
      <c r="H327" s="617"/>
      <c r="I327" s="105"/>
      <c r="J327" s="106"/>
      <c r="K327" s="105"/>
      <c r="L327" s="105">
        <v>180000</v>
      </c>
      <c r="M327" s="10">
        <f>SUM(L273:L327)</f>
        <v>7400800</v>
      </c>
    </row>
    <row r="328" spans="1:16" s="146" customFormat="1" x14ac:dyDescent="0.25">
      <c r="A328" s="615"/>
      <c r="B328" s="617"/>
      <c r="C328" s="617"/>
      <c r="D328" s="168"/>
      <c r="E328" s="636"/>
      <c r="F328" s="621"/>
      <c r="G328" s="621"/>
      <c r="H328" s="621"/>
      <c r="I328" s="102"/>
      <c r="J328" s="102"/>
      <c r="K328" s="102"/>
      <c r="L328" s="102"/>
      <c r="M328" s="10"/>
      <c r="N328" s="10"/>
      <c r="O328"/>
      <c r="P328"/>
    </row>
    <row r="329" spans="1:16" s="146" customFormat="1" x14ac:dyDescent="0.25">
      <c r="A329" s="615"/>
      <c r="B329" s="617"/>
      <c r="C329" s="617"/>
      <c r="D329" s="168"/>
      <c r="E329" s="636"/>
      <c r="F329" s="621"/>
      <c r="G329" s="621"/>
      <c r="H329" s="621"/>
      <c r="I329" s="102"/>
      <c r="J329" s="102"/>
      <c r="K329" s="102"/>
      <c r="L329" s="102"/>
      <c r="M329" s="10"/>
      <c r="N329" s="10"/>
      <c r="O329"/>
      <c r="P329"/>
    </row>
    <row r="330" spans="1:16" s="146" customFormat="1" ht="18" customHeight="1" x14ac:dyDescent="0.25">
      <c r="A330" s="626"/>
      <c r="B330" s="617" t="s">
        <v>163</v>
      </c>
      <c r="C330" s="617" t="s">
        <v>1386</v>
      </c>
      <c r="D330" s="131" t="s">
        <v>165</v>
      </c>
      <c r="E330" s="245" t="s">
        <v>164</v>
      </c>
      <c r="F330" s="116"/>
      <c r="G330" s="116"/>
      <c r="H330" s="116"/>
      <c r="I330" s="101">
        <v>227196.16</v>
      </c>
      <c r="J330" s="102">
        <v>500000</v>
      </c>
      <c r="K330" s="101">
        <v>39477</v>
      </c>
      <c r="L330" s="101">
        <v>700000</v>
      </c>
      <c r="M330" s="10"/>
      <c r="N330" s="10"/>
      <c r="O330"/>
      <c r="P330"/>
    </row>
    <row r="331" spans="1:16" s="146" customFormat="1" ht="18" customHeight="1" x14ac:dyDescent="0.25">
      <c r="A331" s="626"/>
      <c r="B331" s="617" t="s">
        <v>163</v>
      </c>
      <c r="C331" s="617" t="s">
        <v>1386</v>
      </c>
      <c r="D331" s="131" t="s">
        <v>165</v>
      </c>
      <c r="E331" s="245" t="s">
        <v>164</v>
      </c>
      <c r="F331" s="116"/>
      <c r="G331" s="116"/>
      <c r="H331" s="116"/>
      <c r="I331" s="101">
        <v>0</v>
      </c>
      <c r="J331" s="102">
        <v>15000</v>
      </c>
      <c r="K331" s="101"/>
      <c r="L331" s="101">
        <v>15000</v>
      </c>
      <c r="M331" s="10"/>
      <c r="N331" s="10"/>
      <c r="O331"/>
      <c r="P331"/>
    </row>
    <row r="332" spans="1:16" s="146" customFormat="1" ht="18" customHeight="1" x14ac:dyDescent="0.25">
      <c r="A332" s="626"/>
      <c r="B332" s="617" t="s">
        <v>163</v>
      </c>
      <c r="C332" s="617" t="s">
        <v>1386</v>
      </c>
      <c r="D332" s="131" t="s">
        <v>165</v>
      </c>
      <c r="E332" s="245" t="s">
        <v>164</v>
      </c>
      <c r="F332" s="116"/>
      <c r="G332" s="116"/>
      <c r="H332" s="116"/>
      <c r="I332" s="101">
        <v>0</v>
      </c>
      <c r="J332" s="102">
        <v>15000</v>
      </c>
      <c r="K332" s="101">
        <v>0</v>
      </c>
      <c r="L332" s="101">
        <v>15000</v>
      </c>
      <c r="M332" s="10"/>
      <c r="N332" s="10"/>
      <c r="O332"/>
      <c r="P332"/>
    </row>
    <row r="333" spans="1:16" s="146" customFormat="1" ht="18" customHeight="1" x14ac:dyDescent="0.25">
      <c r="A333" s="626"/>
      <c r="B333" s="617" t="s">
        <v>163</v>
      </c>
      <c r="C333" s="617" t="s">
        <v>1386</v>
      </c>
      <c r="D333" s="131" t="s">
        <v>165</v>
      </c>
      <c r="E333" s="245" t="s">
        <v>164</v>
      </c>
      <c r="F333" s="116"/>
      <c r="G333" s="116"/>
      <c r="H333" s="116"/>
      <c r="I333" s="101"/>
      <c r="J333" s="102">
        <v>20000</v>
      </c>
      <c r="K333" s="101"/>
      <c r="L333" s="101"/>
      <c r="M333" s="10"/>
      <c r="N333" s="10"/>
      <c r="O333"/>
      <c r="P333"/>
    </row>
    <row r="334" spans="1:16" s="146" customFormat="1" ht="18" customHeight="1" x14ac:dyDescent="0.25">
      <c r="A334" s="626"/>
      <c r="B334" s="617" t="s">
        <v>163</v>
      </c>
      <c r="C334" s="617" t="s">
        <v>1386</v>
      </c>
      <c r="D334" s="131" t="s">
        <v>165</v>
      </c>
      <c r="E334" s="245" t="s">
        <v>164</v>
      </c>
      <c r="F334" s="116"/>
      <c r="G334" s="116"/>
      <c r="H334" s="116"/>
      <c r="I334" s="101"/>
      <c r="J334" s="102">
        <v>15000</v>
      </c>
      <c r="K334" s="101"/>
      <c r="L334" s="101">
        <v>15000</v>
      </c>
      <c r="M334" s="10"/>
      <c r="N334" s="10"/>
      <c r="O334"/>
      <c r="P334"/>
    </row>
    <row r="335" spans="1:16" s="146" customFormat="1" ht="18" customHeight="1" x14ac:dyDescent="0.25">
      <c r="A335" s="626"/>
      <c r="B335" s="617" t="s">
        <v>163</v>
      </c>
      <c r="C335" s="617" t="s">
        <v>1386</v>
      </c>
      <c r="D335" s="131" t="s">
        <v>165</v>
      </c>
      <c r="E335" s="44" t="s">
        <v>164</v>
      </c>
      <c r="F335" s="114"/>
      <c r="G335" s="116"/>
      <c r="H335" s="116"/>
      <c r="I335" s="101">
        <v>112087</v>
      </c>
      <c r="J335" s="102">
        <v>1200000</v>
      </c>
      <c r="K335" s="101"/>
      <c r="L335" s="101">
        <v>1200000</v>
      </c>
      <c r="M335" s="10"/>
      <c r="N335" s="10"/>
      <c r="O335"/>
      <c r="P335"/>
    </row>
    <row r="336" spans="1:16" s="146" customFormat="1" ht="18" customHeight="1" x14ac:dyDescent="0.25">
      <c r="A336" s="626"/>
      <c r="B336" s="617" t="s">
        <v>163</v>
      </c>
      <c r="C336" s="617" t="s">
        <v>1386</v>
      </c>
      <c r="D336" s="131" t="s">
        <v>165</v>
      </c>
      <c r="E336" s="245" t="s">
        <v>164</v>
      </c>
      <c r="F336" s="116"/>
      <c r="G336" s="116"/>
      <c r="H336" s="116"/>
      <c r="I336" s="101"/>
      <c r="J336" s="102">
        <v>300000</v>
      </c>
      <c r="K336" s="101"/>
      <c r="L336" s="101">
        <v>300000</v>
      </c>
      <c r="M336" s="10"/>
      <c r="N336" s="10"/>
      <c r="O336"/>
      <c r="P336"/>
    </row>
    <row r="337" spans="1:16" s="146" customFormat="1" ht="18" customHeight="1" x14ac:dyDescent="0.25">
      <c r="A337" s="626"/>
      <c r="B337" s="617" t="s">
        <v>163</v>
      </c>
      <c r="C337" s="617" t="s">
        <v>1386</v>
      </c>
      <c r="D337" s="133" t="s">
        <v>165</v>
      </c>
      <c r="E337" s="245" t="s">
        <v>164</v>
      </c>
      <c r="F337" s="116"/>
      <c r="G337" s="116"/>
      <c r="H337" s="116"/>
      <c r="I337" s="105"/>
      <c r="J337" s="106">
        <v>20000</v>
      </c>
      <c r="K337" s="105"/>
      <c r="L337" s="105">
        <v>20000</v>
      </c>
      <c r="M337" s="10"/>
      <c r="N337" s="10"/>
      <c r="O337"/>
      <c r="P337"/>
    </row>
    <row r="338" spans="1:16" s="146" customFormat="1" x14ac:dyDescent="0.25">
      <c r="A338" s="626"/>
      <c r="B338" s="617" t="s">
        <v>163</v>
      </c>
      <c r="C338" s="617" t="s">
        <v>1386</v>
      </c>
      <c r="D338" s="131" t="s">
        <v>165</v>
      </c>
      <c r="E338" s="44" t="s">
        <v>164</v>
      </c>
      <c r="F338" s="113"/>
      <c r="G338" s="113"/>
      <c r="H338" s="113"/>
      <c r="I338" s="101">
        <v>5060</v>
      </c>
      <c r="J338" s="102">
        <v>25000</v>
      </c>
      <c r="K338" s="101"/>
      <c r="L338" s="101">
        <v>25000</v>
      </c>
      <c r="M338" s="10"/>
      <c r="N338" s="10"/>
      <c r="O338"/>
      <c r="P338"/>
    </row>
    <row r="339" spans="1:16" s="146" customFormat="1" x14ac:dyDescent="0.25">
      <c r="A339" s="626"/>
      <c r="B339" s="617" t="s">
        <v>163</v>
      </c>
      <c r="C339" s="617" t="s">
        <v>1386</v>
      </c>
      <c r="D339" s="131" t="s">
        <v>165</v>
      </c>
      <c r="E339" s="44" t="s">
        <v>164</v>
      </c>
      <c r="F339" s="113"/>
      <c r="G339" s="113"/>
      <c r="H339" s="113"/>
      <c r="I339" s="101">
        <v>8615</v>
      </c>
      <c r="J339" s="102">
        <v>60000</v>
      </c>
      <c r="K339" s="101"/>
      <c r="L339" s="101">
        <v>60000</v>
      </c>
      <c r="M339" s="10"/>
      <c r="N339" s="10"/>
      <c r="O339"/>
      <c r="P339"/>
    </row>
    <row r="340" spans="1:16" s="146" customFormat="1" x14ac:dyDescent="0.25">
      <c r="A340" s="626"/>
      <c r="B340" s="617" t="s">
        <v>163</v>
      </c>
      <c r="C340" s="617" t="s">
        <v>1386</v>
      </c>
      <c r="D340" s="131" t="s">
        <v>165</v>
      </c>
      <c r="E340" s="44" t="s">
        <v>164</v>
      </c>
      <c r="F340" s="113"/>
      <c r="G340" s="113"/>
      <c r="H340" s="113"/>
      <c r="I340" s="101">
        <v>2250</v>
      </c>
      <c r="J340" s="102">
        <v>50000</v>
      </c>
      <c r="K340" s="101"/>
      <c r="L340" s="101">
        <v>50000</v>
      </c>
      <c r="M340" s="10"/>
      <c r="N340" s="10"/>
      <c r="O340"/>
      <c r="P340"/>
    </row>
    <row r="341" spans="1:16" s="146" customFormat="1" ht="18" customHeight="1" x14ac:dyDescent="0.25">
      <c r="A341" s="615"/>
      <c r="B341" s="617" t="s">
        <v>163</v>
      </c>
      <c r="C341" s="617" t="s">
        <v>1386</v>
      </c>
      <c r="D341" s="131" t="s">
        <v>165</v>
      </c>
      <c r="E341" s="245" t="s">
        <v>164</v>
      </c>
      <c r="F341" s="116"/>
      <c r="G341" s="116"/>
      <c r="H341" s="116"/>
      <c r="I341" s="101"/>
      <c r="J341" s="102">
        <v>350000</v>
      </c>
      <c r="K341" s="101"/>
      <c r="L341" s="101">
        <v>350000</v>
      </c>
      <c r="M341" s="10"/>
      <c r="N341" s="10"/>
      <c r="O341"/>
      <c r="P341"/>
    </row>
    <row r="342" spans="1:16" s="146" customFormat="1" x14ac:dyDescent="0.25">
      <c r="A342" s="626"/>
      <c r="B342" s="617" t="s">
        <v>163</v>
      </c>
      <c r="C342" s="617" t="s">
        <v>1386</v>
      </c>
      <c r="D342" s="131" t="s">
        <v>165</v>
      </c>
      <c r="E342" s="44" t="s">
        <v>353</v>
      </c>
      <c r="F342" s="113"/>
      <c r="G342" s="113"/>
      <c r="H342" s="113"/>
      <c r="I342" s="101">
        <v>11256</v>
      </c>
      <c r="J342" s="102">
        <v>60000</v>
      </c>
      <c r="K342" s="101"/>
      <c r="L342" s="101">
        <v>60000</v>
      </c>
      <c r="M342" s="10"/>
      <c r="N342" s="10"/>
      <c r="O342"/>
      <c r="P342"/>
    </row>
    <row r="343" spans="1:16" s="146" customFormat="1" x14ac:dyDescent="0.25">
      <c r="A343" s="626"/>
      <c r="B343" s="617" t="s">
        <v>163</v>
      </c>
      <c r="C343" s="617" t="s">
        <v>1386</v>
      </c>
      <c r="D343" s="131" t="s">
        <v>165</v>
      </c>
      <c r="E343" s="44" t="s">
        <v>353</v>
      </c>
      <c r="F343" s="125"/>
      <c r="G343" s="125"/>
      <c r="H343" s="125"/>
      <c r="I343" s="101">
        <v>10094</v>
      </c>
      <c r="J343" s="102">
        <v>80000</v>
      </c>
      <c r="K343" s="101">
        <v>7750</v>
      </c>
      <c r="L343" s="101">
        <v>80000</v>
      </c>
      <c r="M343" s="10"/>
      <c r="N343" s="10"/>
      <c r="O343"/>
      <c r="P343"/>
    </row>
    <row r="344" spans="1:16" s="146" customFormat="1" x14ac:dyDescent="0.25">
      <c r="A344" s="626"/>
      <c r="B344" s="617" t="s">
        <v>163</v>
      </c>
      <c r="C344" s="617" t="s">
        <v>1386</v>
      </c>
      <c r="D344" s="131" t="s">
        <v>165</v>
      </c>
      <c r="E344" s="44" t="s">
        <v>353</v>
      </c>
      <c r="F344" s="125"/>
      <c r="G344" s="125"/>
      <c r="H344" s="125"/>
      <c r="I344" s="101">
        <v>29917</v>
      </c>
      <c r="J344" s="102">
        <v>58500</v>
      </c>
      <c r="K344" s="101">
        <v>5300</v>
      </c>
      <c r="L344" s="101">
        <v>58500</v>
      </c>
      <c r="M344" s="10"/>
      <c r="N344" s="10"/>
      <c r="O344"/>
      <c r="P344"/>
    </row>
    <row r="345" spans="1:16" s="146" customFormat="1" x14ac:dyDescent="0.25">
      <c r="A345" s="626"/>
      <c r="B345" s="617" t="s">
        <v>163</v>
      </c>
      <c r="C345" s="617" t="s">
        <v>1386</v>
      </c>
      <c r="D345" s="131" t="s">
        <v>165</v>
      </c>
      <c r="E345" s="44" t="s">
        <v>353</v>
      </c>
      <c r="F345" s="125"/>
      <c r="G345" s="125"/>
      <c r="H345" s="125"/>
      <c r="I345" s="101"/>
      <c r="J345" s="102">
        <v>100000</v>
      </c>
      <c r="K345" s="101"/>
      <c r="L345" s="101">
        <v>100000</v>
      </c>
      <c r="M345" s="10"/>
      <c r="N345" s="10"/>
      <c r="O345"/>
      <c r="P345"/>
    </row>
    <row r="346" spans="1:16" s="146" customFormat="1" ht="18" customHeight="1" x14ac:dyDescent="0.25">
      <c r="A346" s="626"/>
      <c r="B346" s="617" t="s">
        <v>163</v>
      </c>
      <c r="C346" s="617" t="s">
        <v>1386</v>
      </c>
      <c r="D346" s="131" t="s">
        <v>165</v>
      </c>
      <c r="E346" s="245" t="s">
        <v>353</v>
      </c>
      <c r="F346" s="97"/>
      <c r="G346" s="97"/>
      <c r="H346" s="97"/>
      <c r="I346" s="101">
        <v>750</v>
      </c>
      <c r="J346" s="102">
        <v>20000</v>
      </c>
      <c r="K346" s="101"/>
      <c r="L346" s="101">
        <v>15000</v>
      </c>
      <c r="M346" s="10">
        <f>SUM(L330:L346)</f>
        <v>3063500</v>
      </c>
      <c r="N346" s="10"/>
      <c r="O346"/>
      <c r="P346"/>
    </row>
    <row r="347" spans="1:16" s="146" customFormat="1" ht="18" customHeight="1" x14ac:dyDescent="0.25">
      <c r="A347" s="626"/>
      <c r="B347" s="617" t="s">
        <v>163</v>
      </c>
      <c r="C347" s="617" t="s">
        <v>1386</v>
      </c>
      <c r="D347" s="131" t="s">
        <v>167</v>
      </c>
      <c r="E347" s="245" t="s">
        <v>166</v>
      </c>
      <c r="F347" s="116"/>
      <c r="G347" s="116"/>
      <c r="H347" s="116"/>
      <c r="I347" s="101">
        <v>0</v>
      </c>
      <c r="J347" s="102">
        <v>300000</v>
      </c>
      <c r="K347" s="101"/>
      <c r="L347" s="101">
        <v>300000</v>
      </c>
      <c r="M347" s="10"/>
      <c r="N347" s="10"/>
      <c r="O347"/>
      <c r="P347"/>
    </row>
    <row r="348" spans="1:16" s="146" customFormat="1" ht="18" customHeight="1" x14ac:dyDescent="0.25">
      <c r="A348" s="626"/>
      <c r="B348" s="617" t="s">
        <v>163</v>
      </c>
      <c r="C348" s="617" t="s">
        <v>1386</v>
      </c>
      <c r="D348" s="131" t="s">
        <v>293</v>
      </c>
      <c r="E348" s="700" t="s">
        <v>166</v>
      </c>
      <c r="F348" s="688"/>
      <c r="G348" s="688"/>
      <c r="H348" s="688"/>
      <c r="I348" s="101">
        <v>0</v>
      </c>
      <c r="J348" s="102">
        <v>750000</v>
      </c>
      <c r="K348" s="101"/>
      <c r="L348" s="101">
        <v>750000</v>
      </c>
      <c r="M348" s="10"/>
      <c r="N348" s="10"/>
      <c r="O348"/>
      <c r="P348"/>
    </row>
    <row r="349" spans="1:16" s="146" customFormat="1" x14ac:dyDescent="0.25">
      <c r="A349" s="626"/>
      <c r="B349" s="617" t="s">
        <v>163</v>
      </c>
      <c r="C349" s="617" t="s">
        <v>1386</v>
      </c>
      <c r="D349" s="131" t="s">
        <v>293</v>
      </c>
      <c r="E349" s="700" t="s">
        <v>166</v>
      </c>
      <c r="F349" s="688"/>
      <c r="G349" s="688"/>
      <c r="H349" s="688"/>
      <c r="I349" s="101">
        <v>309500</v>
      </c>
      <c r="J349" s="102">
        <v>1000000</v>
      </c>
      <c r="K349" s="101"/>
      <c r="L349" s="101">
        <v>1000000</v>
      </c>
      <c r="M349" s="10"/>
      <c r="N349" s="10"/>
      <c r="O349"/>
      <c r="P349"/>
    </row>
    <row r="350" spans="1:16" s="146" customFormat="1" ht="18" customHeight="1" x14ac:dyDescent="0.25">
      <c r="A350" s="626"/>
      <c r="B350" s="617" t="s">
        <v>163</v>
      </c>
      <c r="C350" s="617" t="s">
        <v>1386</v>
      </c>
      <c r="D350" s="131" t="s">
        <v>293</v>
      </c>
      <c r="E350" s="700" t="s">
        <v>312</v>
      </c>
      <c r="F350" s="688"/>
      <c r="G350" s="688"/>
      <c r="H350" s="688"/>
      <c r="I350" s="101"/>
      <c r="J350" s="102">
        <v>200000</v>
      </c>
      <c r="K350" s="101"/>
      <c r="L350" s="101">
        <v>200000</v>
      </c>
      <c r="M350" s="10">
        <f>SUM(L347:L350)</f>
        <v>2250000</v>
      </c>
      <c r="N350" s="10"/>
      <c r="O350"/>
      <c r="P350"/>
    </row>
    <row r="351" spans="1:16" s="146" customFormat="1" x14ac:dyDescent="0.25">
      <c r="A351" s="626"/>
      <c r="B351" s="617" t="s">
        <v>163</v>
      </c>
      <c r="C351" s="617" t="s">
        <v>1386</v>
      </c>
      <c r="D351" s="131" t="s">
        <v>169</v>
      </c>
      <c r="E351" s="44" t="s">
        <v>168</v>
      </c>
      <c r="F351" s="113"/>
      <c r="G351" s="113"/>
      <c r="H351" s="114"/>
      <c r="I351" s="101">
        <v>2056630.5</v>
      </c>
      <c r="J351" s="102">
        <v>2950000</v>
      </c>
      <c r="K351" s="101">
        <v>1274568.25</v>
      </c>
      <c r="L351" s="101">
        <v>3355695</v>
      </c>
      <c r="M351" s="10"/>
      <c r="N351" s="10"/>
      <c r="O351"/>
      <c r="P351"/>
    </row>
    <row r="352" spans="1:16" s="146" customFormat="1" ht="18" customHeight="1" x14ac:dyDescent="0.25">
      <c r="A352" s="626"/>
      <c r="B352" s="617" t="s">
        <v>163</v>
      </c>
      <c r="C352" s="617" t="s">
        <v>1386</v>
      </c>
      <c r="D352" s="131" t="s">
        <v>169</v>
      </c>
      <c r="E352" s="44" t="s">
        <v>168</v>
      </c>
      <c r="F352" s="125"/>
      <c r="G352" s="125"/>
      <c r="H352" s="134"/>
      <c r="I352" s="101">
        <v>14115.5</v>
      </c>
      <c r="J352" s="102">
        <v>53305.5</v>
      </c>
      <c r="K352" s="101">
        <v>33543</v>
      </c>
      <c r="L352" s="101">
        <v>64245</v>
      </c>
      <c r="M352" s="10"/>
      <c r="N352" s="10"/>
      <c r="O352"/>
      <c r="P352"/>
    </row>
    <row r="353" spans="1:16" s="146" customFormat="1" ht="18" customHeight="1" x14ac:dyDescent="0.25">
      <c r="A353" s="626"/>
      <c r="B353" s="617" t="s">
        <v>163</v>
      </c>
      <c r="C353" s="617" t="s">
        <v>1386</v>
      </c>
      <c r="D353" s="131" t="s">
        <v>169</v>
      </c>
      <c r="E353" s="245" t="s">
        <v>168</v>
      </c>
      <c r="F353" s="116"/>
      <c r="G353" s="116"/>
      <c r="H353" s="116"/>
      <c r="I353" s="101">
        <v>102559</v>
      </c>
      <c r="J353" s="102">
        <v>92000</v>
      </c>
      <c r="K353" s="101">
        <v>22037</v>
      </c>
      <c r="L353" s="101">
        <v>92714</v>
      </c>
      <c r="M353" s="10"/>
      <c r="N353" s="10"/>
      <c r="O353"/>
      <c r="P353"/>
    </row>
    <row r="354" spans="1:16" s="146" customFormat="1" ht="18" customHeight="1" x14ac:dyDescent="0.25">
      <c r="A354" s="626"/>
      <c r="B354" s="617" t="s">
        <v>163</v>
      </c>
      <c r="C354" s="617" t="s">
        <v>1386</v>
      </c>
      <c r="D354" s="131" t="s">
        <v>169</v>
      </c>
      <c r="E354" s="245" t="s">
        <v>168</v>
      </c>
      <c r="F354" s="116"/>
      <c r="G354" s="116"/>
      <c r="H354" s="116"/>
      <c r="I354" s="101">
        <v>218362.2</v>
      </c>
      <c r="J354" s="102">
        <v>217261.75</v>
      </c>
      <c r="K354" s="101">
        <v>122881</v>
      </c>
      <c r="L354" s="101">
        <v>234235</v>
      </c>
      <c r="M354" s="10"/>
      <c r="N354" s="10"/>
      <c r="O354"/>
      <c r="P354"/>
    </row>
    <row r="355" spans="1:16" s="146" customFormat="1" x14ac:dyDescent="0.25">
      <c r="A355" s="195"/>
      <c r="B355" s="617" t="s">
        <v>163</v>
      </c>
      <c r="C355" s="617" t="s">
        <v>1386</v>
      </c>
      <c r="D355" s="131" t="s">
        <v>169</v>
      </c>
      <c r="E355" s="44" t="s">
        <v>168</v>
      </c>
      <c r="F355" s="113"/>
      <c r="G355" s="113"/>
      <c r="H355" s="113"/>
      <c r="I355" s="101">
        <v>74511</v>
      </c>
      <c r="J355" s="102">
        <v>381751.5</v>
      </c>
      <c r="K355" s="101">
        <v>304584</v>
      </c>
      <c r="L355" s="101">
        <v>543095.1</v>
      </c>
      <c r="M355" s="10"/>
      <c r="N355" s="10"/>
      <c r="O355"/>
      <c r="P355"/>
    </row>
    <row r="356" spans="1:16" s="146" customFormat="1" x14ac:dyDescent="0.25">
      <c r="A356" s="195"/>
      <c r="B356" s="617" t="s">
        <v>163</v>
      </c>
      <c r="C356" s="617" t="s">
        <v>1386</v>
      </c>
      <c r="D356" s="131" t="s">
        <v>169</v>
      </c>
      <c r="E356" s="44" t="s">
        <v>168</v>
      </c>
      <c r="F356" s="113"/>
      <c r="G356" s="113"/>
      <c r="H356" s="113"/>
      <c r="I356" s="101">
        <v>86104</v>
      </c>
      <c r="J356" s="102">
        <v>108208</v>
      </c>
      <c r="K356" s="101">
        <v>91397</v>
      </c>
      <c r="L356" s="101">
        <v>129613</v>
      </c>
      <c r="M356" s="10"/>
      <c r="N356" s="10"/>
      <c r="O356"/>
      <c r="P356"/>
    </row>
    <row r="357" spans="1:16" s="146" customFormat="1" x14ac:dyDescent="0.25">
      <c r="A357" s="195"/>
      <c r="B357" s="617" t="s">
        <v>163</v>
      </c>
      <c r="C357" s="617" t="s">
        <v>1386</v>
      </c>
      <c r="D357" s="131" t="s">
        <v>169</v>
      </c>
      <c r="E357" s="206" t="s">
        <v>294</v>
      </c>
      <c r="F357" s="184"/>
      <c r="G357" s="184"/>
      <c r="H357" s="184"/>
      <c r="I357" s="101">
        <v>183121.55</v>
      </c>
      <c r="J357" s="102">
        <v>300000</v>
      </c>
      <c r="K357" s="101">
        <v>141068</v>
      </c>
      <c r="L357" s="101">
        <v>350000</v>
      </c>
      <c r="M357" s="10"/>
      <c r="N357" s="10"/>
      <c r="O357"/>
      <c r="P357"/>
    </row>
    <row r="358" spans="1:16" s="146" customFormat="1" x14ac:dyDescent="0.25">
      <c r="A358" s="195"/>
      <c r="B358" s="617" t="s">
        <v>163</v>
      </c>
      <c r="C358" s="617" t="s">
        <v>1386</v>
      </c>
      <c r="D358" s="131" t="s">
        <v>169</v>
      </c>
      <c r="E358" s="206" t="s">
        <v>294</v>
      </c>
      <c r="F358" s="184"/>
      <c r="G358" s="184"/>
      <c r="H358" s="184"/>
      <c r="I358" s="105">
        <v>1714287.2</v>
      </c>
      <c r="J358" s="106">
        <v>2400000</v>
      </c>
      <c r="K358" s="105">
        <v>1496205</v>
      </c>
      <c r="L358" s="105">
        <v>2640000</v>
      </c>
      <c r="M358" s="10"/>
      <c r="N358" s="10"/>
      <c r="O358"/>
      <c r="P358"/>
    </row>
    <row r="359" spans="1:16" s="146" customFormat="1" ht="18" customHeight="1" x14ac:dyDescent="0.25">
      <c r="A359" s="626"/>
      <c r="B359" s="617" t="s">
        <v>163</v>
      </c>
      <c r="C359" s="617" t="s">
        <v>1386</v>
      </c>
      <c r="D359" s="131" t="s">
        <v>169</v>
      </c>
      <c r="E359" s="700" t="s">
        <v>294</v>
      </c>
      <c r="F359" s="688"/>
      <c r="G359" s="688"/>
      <c r="H359" s="688"/>
      <c r="I359" s="101">
        <v>1343354.5</v>
      </c>
      <c r="J359" s="102">
        <v>1800000</v>
      </c>
      <c r="K359" s="101">
        <v>353966</v>
      </c>
      <c r="L359" s="101">
        <v>2000000</v>
      </c>
      <c r="M359" s="10"/>
      <c r="N359" s="10"/>
      <c r="O359"/>
      <c r="P359"/>
    </row>
    <row r="360" spans="1:16" s="146" customFormat="1" ht="18" customHeight="1" x14ac:dyDescent="0.25">
      <c r="A360" s="626"/>
      <c r="B360" s="617" t="s">
        <v>163</v>
      </c>
      <c r="C360" s="617" t="s">
        <v>1386</v>
      </c>
      <c r="D360" s="131" t="s">
        <v>169</v>
      </c>
      <c r="E360" s="700" t="s">
        <v>294</v>
      </c>
      <c r="F360" s="688"/>
      <c r="G360" s="688"/>
      <c r="H360" s="688"/>
      <c r="I360" s="101">
        <v>28209</v>
      </c>
      <c r="J360" s="102">
        <v>50000</v>
      </c>
      <c r="K360" s="101">
        <v>30196</v>
      </c>
      <c r="L360" s="101"/>
      <c r="M360" s="10"/>
      <c r="N360" s="10"/>
      <c r="O360"/>
      <c r="P360"/>
    </row>
    <row r="361" spans="1:16" s="146" customFormat="1" x14ac:dyDescent="0.25">
      <c r="A361" s="626"/>
      <c r="B361" s="617" t="s">
        <v>163</v>
      </c>
      <c r="C361" s="617" t="s">
        <v>1386</v>
      </c>
      <c r="D361" s="131" t="s">
        <v>169</v>
      </c>
      <c r="E361" s="700" t="s">
        <v>294</v>
      </c>
      <c r="F361" s="688"/>
      <c r="G361" s="688"/>
      <c r="H361" s="688"/>
      <c r="I361" s="101">
        <v>0</v>
      </c>
      <c r="J361" s="102">
        <v>10000</v>
      </c>
      <c r="K361" s="101"/>
      <c r="L361" s="102">
        <v>68000</v>
      </c>
      <c r="M361" s="10"/>
      <c r="N361" s="10"/>
      <c r="O361"/>
      <c r="P361"/>
    </row>
    <row r="362" spans="1:16" s="146" customFormat="1" ht="18" customHeight="1" x14ac:dyDescent="0.25">
      <c r="A362" s="626"/>
      <c r="B362" s="617" t="s">
        <v>163</v>
      </c>
      <c r="C362" s="617" t="s">
        <v>1386</v>
      </c>
      <c r="D362" s="131" t="s">
        <v>169</v>
      </c>
      <c r="E362" s="700" t="s">
        <v>294</v>
      </c>
      <c r="F362" s="688"/>
      <c r="G362" s="688"/>
      <c r="H362" s="688"/>
      <c r="I362" s="101">
        <v>0</v>
      </c>
      <c r="J362" s="102">
        <v>10000</v>
      </c>
      <c r="K362" s="101"/>
      <c r="L362" s="102">
        <v>10000</v>
      </c>
      <c r="M362" s="10"/>
      <c r="N362" s="10"/>
      <c r="O362"/>
      <c r="P362"/>
    </row>
    <row r="363" spans="1:16" s="146" customFormat="1" ht="18" customHeight="1" x14ac:dyDescent="0.25">
      <c r="A363" s="626"/>
      <c r="B363" s="617" t="s">
        <v>163</v>
      </c>
      <c r="C363" s="617" t="s">
        <v>1386</v>
      </c>
      <c r="D363" s="131" t="s">
        <v>169</v>
      </c>
      <c r="E363" s="700" t="s">
        <v>294</v>
      </c>
      <c r="F363" s="688"/>
      <c r="G363" s="688"/>
      <c r="H363" s="688"/>
      <c r="I363" s="101">
        <v>94208.12</v>
      </c>
      <c r="J363" s="102">
        <v>154335.5</v>
      </c>
      <c r="K363" s="101">
        <v>69023</v>
      </c>
      <c r="L363" s="101">
        <v>168481</v>
      </c>
      <c r="M363" s="10"/>
      <c r="N363" s="10"/>
      <c r="O363"/>
      <c r="P363"/>
    </row>
    <row r="364" spans="1:16" s="146" customFormat="1" ht="18" customHeight="1" x14ac:dyDescent="0.25">
      <c r="A364" s="626"/>
      <c r="B364" s="617" t="s">
        <v>163</v>
      </c>
      <c r="C364" s="617" t="s">
        <v>1386</v>
      </c>
      <c r="D364" s="131" t="s">
        <v>169</v>
      </c>
      <c r="E364" s="700" t="s">
        <v>294</v>
      </c>
      <c r="F364" s="688"/>
      <c r="G364" s="688"/>
      <c r="H364" s="688"/>
      <c r="I364" s="101">
        <v>144027.5</v>
      </c>
      <c r="J364" s="102">
        <v>262402.5</v>
      </c>
      <c r="K364" s="101">
        <v>62658.5</v>
      </c>
      <c r="L364" s="101">
        <v>641000</v>
      </c>
      <c r="M364" s="10"/>
      <c r="N364" s="10"/>
      <c r="O364"/>
      <c r="P364"/>
    </row>
    <row r="365" spans="1:16" s="146" customFormat="1" ht="18" customHeight="1" x14ac:dyDescent="0.25">
      <c r="A365" s="626"/>
      <c r="B365" s="617" t="s">
        <v>163</v>
      </c>
      <c r="C365" s="617" t="s">
        <v>1386</v>
      </c>
      <c r="D365" s="131" t="s">
        <v>169</v>
      </c>
      <c r="E365" s="245" t="s">
        <v>168</v>
      </c>
      <c r="F365" s="116"/>
      <c r="G365" s="116"/>
      <c r="H365" s="116"/>
      <c r="I365" s="101">
        <v>193656.3</v>
      </c>
      <c r="J365" s="102">
        <v>221512.5</v>
      </c>
      <c r="K365" s="101">
        <v>159943</v>
      </c>
      <c r="L365" s="101">
        <v>239599</v>
      </c>
      <c r="M365" s="10"/>
      <c r="N365" s="10"/>
      <c r="O365"/>
      <c r="P365"/>
    </row>
    <row r="366" spans="1:16" s="146" customFormat="1" x14ac:dyDescent="0.25">
      <c r="A366" s="626"/>
      <c r="B366" s="617" t="s">
        <v>163</v>
      </c>
      <c r="C366" s="617" t="s">
        <v>1386</v>
      </c>
      <c r="D366" s="131" t="s">
        <v>169</v>
      </c>
      <c r="E366" s="245" t="s">
        <v>168</v>
      </c>
      <c r="F366" s="116"/>
      <c r="G366" s="116"/>
      <c r="H366" s="116"/>
      <c r="I366" s="101">
        <v>366645.25</v>
      </c>
      <c r="J366" s="102">
        <v>320000</v>
      </c>
      <c r="K366" s="101">
        <v>189722.5</v>
      </c>
      <c r="L366" s="101">
        <v>378061</v>
      </c>
      <c r="M366" s="10"/>
      <c r="N366" s="10"/>
      <c r="O366"/>
      <c r="P366"/>
    </row>
    <row r="367" spans="1:16" s="146" customFormat="1" x14ac:dyDescent="0.25">
      <c r="A367" s="626"/>
      <c r="B367" s="617" t="s">
        <v>163</v>
      </c>
      <c r="C367" s="617" t="s">
        <v>1386</v>
      </c>
      <c r="D367" s="131" t="s">
        <v>169</v>
      </c>
      <c r="E367" s="44" t="s">
        <v>168</v>
      </c>
      <c r="F367" s="134"/>
      <c r="G367" s="97"/>
      <c r="H367" s="97"/>
      <c r="I367" s="101">
        <v>465620.04</v>
      </c>
      <c r="J367" s="102">
        <v>500000</v>
      </c>
      <c r="K367" s="101">
        <v>322354.5</v>
      </c>
      <c r="L367" s="101">
        <v>372200</v>
      </c>
      <c r="M367" s="10"/>
      <c r="N367" s="10"/>
      <c r="O367"/>
      <c r="P367"/>
    </row>
    <row r="368" spans="1:16" s="146" customFormat="1" ht="18" customHeight="1" x14ac:dyDescent="0.25">
      <c r="A368" s="626"/>
      <c r="B368" s="617" t="s">
        <v>163</v>
      </c>
      <c r="C368" s="617" t="s">
        <v>1386</v>
      </c>
      <c r="D368" s="131" t="s">
        <v>169</v>
      </c>
      <c r="E368" s="44" t="s">
        <v>168</v>
      </c>
      <c r="F368" s="125"/>
      <c r="G368" s="125"/>
      <c r="H368" s="134"/>
      <c r="I368" s="101">
        <v>369935</v>
      </c>
      <c r="J368" s="102">
        <v>343605</v>
      </c>
      <c r="K368" s="101">
        <v>161285</v>
      </c>
      <c r="L368" s="101">
        <v>332049</v>
      </c>
      <c r="M368" s="10"/>
      <c r="N368" s="10"/>
      <c r="O368"/>
      <c r="P368"/>
    </row>
    <row r="369" spans="1:16" s="146" customFormat="1" ht="18" customHeight="1" x14ac:dyDescent="0.25">
      <c r="A369" s="626"/>
      <c r="B369" s="617" t="s">
        <v>163</v>
      </c>
      <c r="C369" s="617" t="s">
        <v>1386</v>
      </c>
      <c r="D369" s="131" t="s">
        <v>169</v>
      </c>
      <c r="E369" s="245" t="s">
        <v>168</v>
      </c>
      <c r="F369" s="97"/>
      <c r="G369" s="97"/>
      <c r="H369" s="97"/>
      <c r="I369" s="101">
        <v>174513.4</v>
      </c>
      <c r="J369" s="102">
        <v>614979</v>
      </c>
      <c r="K369" s="101">
        <v>271088</v>
      </c>
      <c r="L369" s="101">
        <v>698338</v>
      </c>
      <c r="M369" s="10"/>
      <c r="N369" s="10"/>
      <c r="O369"/>
      <c r="P369"/>
    </row>
    <row r="370" spans="1:16" s="146" customFormat="1" ht="18" customHeight="1" x14ac:dyDescent="0.25">
      <c r="A370" s="626"/>
      <c r="B370" s="617" t="s">
        <v>163</v>
      </c>
      <c r="C370" s="617" t="s">
        <v>1386</v>
      </c>
      <c r="D370" s="131" t="s">
        <v>169</v>
      </c>
      <c r="E370" s="245" t="s">
        <v>168</v>
      </c>
      <c r="F370" s="97"/>
      <c r="G370" s="97"/>
      <c r="H370" s="97"/>
      <c r="I370" s="101">
        <v>123140</v>
      </c>
      <c r="J370" s="102">
        <v>143239</v>
      </c>
      <c r="K370" s="101">
        <v>113528</v>
      </c>
      <c r="L370" s="101">
        <v>199035</v>
      </c>
      <c r="M370" s="10">
        <f>SUM(L351:L370)</f>
        <v>12516360.1</v>
      </c>
      <c r="N370" s="10"/>
      <c r="O370"/>
      <c r="P370"/>
    </row>
    <row r="371" spans="1:16" s="146" customFormat="1" ht="18" customHeight="1" x14ac:dyDescent="0.25">
      <c r="A371" s="626"/>
      <c r="B371" s="617" t="s">
        <v>163</v>
      </c>
      <c r="C371" s="617" t="s">
        <v>1386</v>
      </c>
      <c r="D371" s="131" t="s">
        <v>427</v>
      </c>
      <c r="E371" s="245" t="s">
        <v>426</v>
      </c>
      <c r="F371" s="97"/>
      <c r="G371" s="97"/>
      <c r="H371" s="97"/>
      <c r="I371" s="101">
        <v>694725</v>
      </c>
      <c r="J371" s="102">
        <v>1634825</v>
      </c>
      <c r="K371" s="101">
        <v>30000</v>
      </c>
      <c r="L371" s="101">
        <v>1432325</v>
      </c>
      <c r="M371" s="10"/>
      <c r="N371" s="10"/>
      <c r="O371"/>
      <c r="P371"/>
    </row>
    <row r="372" spans="1:16" s="146" customFormat="1" ht="18" customHeight="1" x14ac:dyDescent="0.25">
      <c r="A372" s="626"/>
      <c r="B372" s="617" t="s">
        <v>163</v>
      </c>
      <c r="C372" s="617" t="s">
        <v>1386</v>
      </c>
      <c r="D372" s="131" t="s">
        <v>173</v>
      </c>
      <c r="E372" s="245" t="s">
        <v>172</v>
      </c>
      <c r="F372" s="116"/>
      <c r="G372" s="116"/>
      <c r="H372" s="116"/>
      <c r="I372" s="101">
        <v>514482.52</v>
      </c>
      <c r="J372" s="102">
        <v>1200000</v>
      </c>
      <c r="K372" s="101">
        <v>257974.41</v>
      </c>
      <c r="L372" s="101">
        <v>1500000</v>
      </c>
      <c r="M372" s="10"/>
      <c r="N372" s="10"/>
      <c r="O372"/>
      <c r="P372"/>
    </row>
    <row r="373" spans="1:16" s="146" customFormat="1" ht="18" customHeight="1" x14ac:dyDescent="0.25">
      <c r="A373" s="626"/>
      <c r="B373" s="617" t="s">
        <v>163</v>
      </c>
      <c r="C373" s="617" t="s">
        <v>1386</v>
      </c>
      <c r="D373" s="131" t="s">
        <v>173</v>
      </c>
      <c r="E373" s="206" t="s">
        <v>295</v>
      </c>
      <c r="F373" s="184"/>
      <c r="G373" s="184"/>
      <c r="H373" s="185"/>
      <c r="I373" s="101">
        <v>94311.4</v>
      </c>
      <c r="J373" s="102">
        <v>250000</v>
      </c>
      <c r="K373" s="101">
        <v>69180.5</v>
      </c>
      <c r="L373" s="101">
        <v>250000</v>
      </c>
      <c r="M373" s="10"/>
      <c r="N373" s="10"/>
      <c r="O373"/>
      <c r="P373"/>
    </row>
    <row r="374" spans="1:16" s="146" customFormat="1" x14ac:dyDescent="0.25">
      <c r="A374" s="626"/>
      <c r="B374" s="617" t="s">
        <v>163</v>
      </c>
      <c r="C374" s="617" t="s">
        <v>1386</v>
      </c>
      <c r="D374" s="131" t="s">
        <v>173</v>
      </c>
      <c r="E374" s="206" t="s">
        <v>295</v>
      </c>
      <c r="F374" s="184"/>
      <c r="G374" s="184"/>
      <c r="H374" s="184"/>
      <c r="I374" s="101">
        <v>41609.61</v>
      </c>
      <c r="J374" s="102">
        <v>200000</v>
      </c>
      <c r="K374" s="101">
        <v>22232.85</v>
      </c>
      <c r="L374" s="101">
        <v>200000</v>
      </c>
      <c r="M374" s="10"/>
      <c r="N374" s="10"/>
      <c r="O374"/>
      <c r="P374"/>
    </row>
    <row r="375" spans="1:16" s="146" customFormat="1" x14ac:dyDescent="0.25">
      <c r="A375" s="626"/>
      <c r="B375" s="617" t="s">
        <v>163</v>
      </c>
      <c r="C375" s="617" t="s">
        <v>1386</v>
      </c>
      <c r="D375" s="131" t="s">
        <v>173</v>
      </c>
      <c r="E375" s="206" t="s">
        <v>295</v>
      </c>
      <c r="F375" s="184"/>
      <c r="G375" s="184"/>
      <c r="H375" s="184"/>
      <c r="I375" s="101">
        <v>32944.839999999997</v>
      </c>
      <c r="J375" s="102">
        <v>100000</v>
      </c>
      <c r="K375" s="101"/>
      <c r="L375" s="101">
        <v>100000</v>
      </c>
      <c r="M375" s="10"/>
      <c r="N375" s="10"/>
      <c r="O375"/>
      <c r="P375"/>
    </row>
    <row r="376" spans="1:16" s="146" customFormat="1" x14ac:dyDescent="0.25">
      <c r="A376" s="626"/>
      <c r="B376" s="617" t="s">
        <v>163</v>
      </c>
      <c r="C376" s="617" t="s">
        <v>1386</v>
      </c>
      <c r="D376" s="131" t="s">
        <v>173</v>
      </c>
      <c r="E376" s="44" t="s">
        <v>369</v>
      </c>
      <c r="F376" s="125"/>
      <c r="G376" s="125"/>
      <c r="H376" s="125"/>
      <c r="I376" s="101">
        <v>1675752.84</v>
      </c>
      <c r="J376" s="102">
        <v>2449000</v>
      </c>
      <c r="K376" s="101">
        <v>717072.08</v>
      </c>
      <c r="L376" s="101">
        <f>3995000+200000</f>
        <v>4195000</v>
      </c>
      <c r="M376" s="10"/>
      <c r="N376" s="10"/>
      <c r="O376"/>
      <c r="P376"/>
    </row>
    <row r="377" spans="1:16" s="146" customFormat="1" x14ac:dyDescent="0.25">
      <c r="A377" s="626"/>
      <c r="B377" s="617" t="s">
        <v>163</v>
      </c>
      <c r="C377" s="617" t="s">
        <v>1386</v>
      </c>
      <c r="D377" s="131" t="s">
        <v>173</v>
      </c>
      <c r="E377" s="44" t="s">
        <v>371</v>
      </c>
      <c r="F377" s="125"/>
      <c r="G377" s="125"/>
      <c r="H377" s="125"/>
      <c r="I377" s="101">
        <v>261256</v>
      </c>
      <c r="J377" s="102">
        <v>600000</v>
      </c>
      <c r="K377" s="101">
        <v>60955.199999999997</v>
      </c>
      <c r="L377" s="101">
        <v>600000</v>
      </c>
      <c r="M377" s="10"/>
      <c r="N377" s="10"/>
      <c r="O377"/>
      <c r="P377"/>
    </row>
    <row r="378" spans="1:16" s="146" customFormat="1" x14ac:dyDescent="0.25">
      <c r="A378" s="626"/>
      <c r="B378" s="617" t="s">
        <v>163</v>
      </c>
      <c r="C378" s="617" t="s">
        <v>1386</v>
      </c>
      <c r="D378" s="131" t="s">
        <v>173</v>
      </c>
      <c r="E378" s="44" t="s">
        <v>372</v>
      </c>
      <c r="F378" s="125"/>
      <c r="G378" s="125"/>
      <c r="H378" s="125"/>
      <c r="I378" s="101">
        <v>43007.1</v>
      </c>
      <c r="J378" s="102">
        <v>150000</v>
      </c>
      <c r="K378" s="101">
        <v>22236.95</v>
      </c>
      <c r="L378" s="101">
        <v>150000</v>
      </c>
      <c r="M378" s="10">
        <f>SUM(L372:L378)</f>
        <v>6995000</v>
      </c>
      <c r="N378" s="10"/>
      <c r="O378"/>
      <c r="P378"/>
    </row>
    <row r="379" spans="1:16" s="146" customFormat="1" x14ac:dyDescent="0.25">
      <c r="A379" s="626"/>
      <c r="B379" s="617" t="s">
        <v>163</v>
      </c>
      <c r="C379" s="617" t="s">
        <v>1386</v>
      </c>
      <c r="D379" s="131" t="s">
        <v>171</v>
      </c>
      <c r="E379" s="44" t="s">
        <v>170</v>
      </c>
      <c r="F379" s="113"/>
      <c r="G379" s="113"/>
      <c r="H379" s="113"/>
      <c r="I379" s="101"/>
      <c r="J379" s="102"/>
      <c r="K379" s="101"/>
      <c r="L379" s="102">
        <v>2039927</v>
      </c>
      <c r="M379" s="10"/>
      <c r="N379" s="10"/>
      <c r="O379"/>
      <c r="P379"/>
    </row>
    <row r="380" spans="1:16" s="146" customFormat="1" x14ac:dyDescent="0.25">
      <c r="A380" s="626"/>
      <c r="B380" s="617" t="s">
        <v>163</v>
      </c>
      <c r="C380" s="617" t="s">
        <v>1386</v>
      </c>
      <c r="D380" s="131" t="s">
        <v>171</v>
      </c>
      <c r="E380" s="44" t="s">
        <v>213</v>
      </c>
      <c r="F380" s="125"/>
      <c r="G380" s="125"/>
      <c r="H380" s="125"/>
      <c r="I380" s="101"/>
      <c r="J380" s="102"/>
      <c r="K380" s="101"/>
      <c r="L380" s="101">
        <v>669129</v>
      </c>
      <c r="M380" s="10"/>
      <c r="N380" s="10"/>
      <c r="O380"/>
      <c r="P380"/>
    </row>
    <row r="381" spans="1:16" s="146" customFormat="1" x14ac:dyDescent="0.25">
      <c r="A381" s="626"/>
      <c r="B381" s="617" t="s">
        <v>163</v>
      </c>
      <c r="C381" s="617" t="s">
        <v>1386</v>
      </c>
      <c r="D381" s="131" t="s">
        <v>171</v>
      </c>
      <c r="E381" s="44" t="s">
        <v>213</v>
      </c>
      <c r="F381" s="113"/>
      <c r="G381" s="113"/>
      <c r="H381" s="113"/>
      <c r="I381" s="105"/>
      <c r="J381" s="106"/>
      <c r="K381" s="105"/>
      <c r="L381" s="105">
        <v>31200</v>
      </c>
      <c r="M381" s="10"/>
      <c r="N381" s="10"/>
      <c r="O381"/>
      <c r="P381"/>
    </row>
    <row r="382" spans="1:16" s="146" customFormat="1" ht="18" customHeight="1" x14ac:dyDescent="0.25">
      <c r="A382" s="615"/>
      <c r="B382" s="617" t="s">
        <v>163</v>
      </c>
      <c r="C382" s="617" t="s">
        <v>1386</v>
      </c>
      <c r="D382" s="131" t="s">
        <v>171</v>
      </c>
      <c r="E382" s="635" t="s">
        <v>248</v>
      </c>
      <c r="F382" s="632"/>
      <c r="G382" s="617"/>
      <c r="H382" s="617"/>
      <c r="I382" s="101"/>
      <c r="J382" s="102"/>
      <c r="K382" s="101"/>
      <c r="L382" s="121">
        <v>56070</v>
      </c>
      <c r="M382" s="10"/>
      <c r="N382" s="10"/>
      <c r="O382"/>
      <c r="P382"/>
    </row>
    <row r="383" spans="1:16" s="146" customFormat="1" ht="18" customHeight="1" x14ac:dyDescent="0.25">
      <c r="A383" s="615"/>
      <c r="B383" s="617" t="s">
        <v>163</v>
      </c>
      <c r="C383" s="617" t="s">
        <v>1386</v>
      </c>
      <c r="D383" s="131" t="s">
        <v>171</v>
      </c>
      <c r="E383" s="44" t="s">
        <v>213</v>
      </c>
      <c r="F383" s="113"/>
      <c r="G383" s="113"/>
      <c r="H383" s="113"/>
      <c r="I383" s="101"/>
      <c r="J383" s="102"/>
      <c r="K383" s="101"/>
      <c r="L383" s="101">
        <f>10380+12000</f>
        <v>22380</v>
      </c>
      <c r="M383" s="10"/>
      <c r="N383" s="10"/>
      <c r="O383"/>
      <c r="P383"/>
    </row>
    <row r="384" spans="1:16" s="146" customFormat="1" x14ac:dyDescent="0.25">
      <c r="A384" s="615"/>
      <c r="B384" s="617" t="s">
        <v>163</v>
      </c>
      <c r="C384" s="617" t="s">
        <v>1386</v>
      </c>
      <c r="D384" s="131" t="s">
        <v>171</v>
      </c>
      <c r="E384" s="44" t="s">
        <v>170</v>
      </c>
      <c r="F384" s="113"/>
      <c r="G384" s="113"/>
      <c r="H384" s="113"/>
      <c r="I384" s="101"/>
      <c r="J384" s="102"/>
      <c r="K384" s="101"/>
      <c r="L384" s="101">
        <v>160974</v>
      </c>
      <c r="M384" s="10"/>
      <c r="N384" s="10"/>
      <c r="O384"/>
      <c r="P384"/>
    </row>
    <row r="385" spans="1:16" s="146" customFormat="1" x14ac:dyDescent="0.25">
      <c r="A385" s="615"/>
      <c r="B385" s="617" t="s">
        <v>163</v>
      </c>
      <c r="C385" s="617" t="s">
        <v>1386</v>
      </c>
      <c r="D385" s="131" t="s">
        <v>171</v>
      </c>
      <c r="E385" s="206" t="s">
        <v>213</v>
      </c>
      <c r="F385" s="184"/>
      <c r="G385" s="184"/>
      <c r="H385" s="184"/>
      <c r="I385" s="101">
        <v>203550</v>
      </c>
      <c r="J385" s="102">
        <v>300000</v>
      </c>
      <c r="K385" s="101"/>
      <c r="L385" s="101">
        <v>80000</v>
      </c>
      <c r="M385" s="10"/>
      <c r="N385" s="10"/>
      <c r="O385"/>
      <c r="P385"/>
    </row>
    <row r="386" spans="1:16" s="146" customFormat="1" ht="17.45" customHeight="1" x14ac:dyDescent="0.25">
      <c r="A386" s="626"/>
      <c r="B386" s="617" t="s">
        <v>163</v>
      </c>
      <c r="C386" s="617" t="s">
        <v>1386</v>
      </c>
      <c r="D386" s="131" t="s">
        <v>171</v>
      </c>
      <c r="E386" s="700" t="s">
        <v>213</v>
      </c>
      <c r="F386" s="688"/>
      <c r="G386" s="688"/>
      <c r="H386" s="688"/>
      <c r="I386" s="101">
        <v>192050</v>
      </c>
      <c r="J386" s="102">
        <v>250000</v>
      </c>
      <c r="K386" s="101"/>
      <c r="L386" s="101">
        <v>180000</v>
      </c>
      <c r="M386" s="10"/>
      <c r="N386" s="10"/>
      <c r="O386"/>
      <c r="P386"/>
    </row>
    <row r="387" spans="1:16" s="146" customFormat="1" ht="17.45" customHeight="1" x14ac:dyDescent="0.25">
      <c r="A387" s="626"/>
      <c r="B387" s="617" t="s">
        <v>163</v>
      </c>
      <c r="C387" s="617" t="s">
        <v>1386</v>
      </c>
      <c r="D387" s="131" t="s">
        <v>171</v>
      </c>
      <c r="E387" s="700" t="s">
        <v>213</v>
      </c>
      <c r="F387" s="688"/>
      <c r="G387" s="688"/>
      <c r="H387" s="688"/>
      <c r="I387" s="101"/>
      <c r="J387" s="102"/>
      <c r="K387" s="101"/>
      <c r="L387" s="101">
        <v>120000</v>
      </c>
      <c r="M387" s="10"/>
      <c r="N387" s="10"/>
      <c r="O387"/>
      <c r="P387"/>
    </row>
    <row r="388" spans="1:16" s="146" customFormat="1" ht="17.45" customHeight="1" x14ac:dyDescent="0.25">
      <c r="A388" s="626"/>
      <c r="B388" s="617" t="s">
        <v>163</v>
      </c>
      <c r="C388" s="617" t="s">
        <v>1386</v>
      </c>
      <c r="D388" s="131" t="s">
        <v>171</v>
      </c>
      <c r="E388" s="700" t="s">
        <v>319</v>
      </c>
      <c r="F388" s="688"/>
      <c r="G388" s="688"/>
      <c r="H388" s="688"/>
      <c r="I388" s="101"/>
      <c r="J388" s="102"/>
      <c r="K388" s="101"/>
      <c r="L388" s="101"/>
      <c r="M388" s="10"/>
      <c r="N388" s="10"/>
      <c r="O388"/>
      <c r="P388"/>
    </row>
    <row r="389" spans="1:16" s="146" customFormat="1" ht="17.45" customHeight="1" x14ac:dyDescent="0.25">
      <c r="A389" s="626"/>
      <c r="B389" s="617" t="s">
        <v>163</v>
      </c>
      <c r="C389" s="617" t="s">
        <v>1386</v>
      </c>
      <c r="D389" s="131" t="s">
        <v>171</v>
      </c>
      <c r="E389" s="206" t="s">
        <v>170</v>
      </c>
      <c r="F389" s="184"/>
      <c r="G389" s="184"/>
      <c r="H389" s="185"/>
      <c r="I389" s="101"/>
      <c r="J389" s="102"/>
      <c r="K389" s="101"/>
      <c r="L389" s="101">
        <v>323314</v>
      </c>
      <c r="M389" s="10"/>
      <c r="N389" s="10"/>
      <c r="O389"/>
      <c r="P389"/>
    </row>
    <row r="390" spans="1:16" s="146" customFormat="1" ht="17.45" customHeight="1" x14ac:dyDescent="0.25">
      <c r="A390" s="626"/>
      <c r="B390" s="617" t="s">
        <v>163</v>
      </c>
      <c r="C390" s="617" t="s">
        <v>1386</v>
      </c>
      <c r="D390" s="131" t="s">
        <v>171</v>
      </c>
      <c r="E390" s="206" t="s">
        <v>213</v>
      </c>
      <c r="F390" s="184"/>
      <c r="G390" s="184"/>
      <c r="H390" s="185"/>
      <c r="I390" s="101"/>
      <c r="J390" s="102"/>
      <c r="K390" s="101"/>
      <c r="L390" s="101">
        <f>27000+2500</f>
        <v>29500</v>
      </c>
      <c r="M390" s="10"/>
      <c r="N390" s="10"/>
      <c r="O390"/>
      <c r="P390"/>
    </row>
    <row r="391" spans="1:16" s="146" customFormat="1" ht="17.45" customHeight="1" x14ac:dyDescent="0.25">
      <c r="A391" s="626"/>
      <c r="B391" s="617" t="s">
        <v>163</v>
      </c>
      <c r="C391" s="617" t="s">
        <v>1386</v>
      </c>
      <c r="D391" s="131" t="s">
        <v>171</v>
      </c>
      <c r="E391" s="44" t="s">
        <v>170</v>
      </c>
      <c r="F391" s="113"/>
      <c r="G391" s="113"/>
      <c r="H391" s="113"/>
      <c r="I391" s="101"/>
      <c r="J391" s="102"/>
      <c r="K391" s="101"/>
      <c r="L391" s="101">
        <v>26245</v>
      </c>
      <c r="M391" s="10"/>
      <c r="N391" s="10"/>
      <c r="O391"/>
      <c r="P391"/>
    </row>
    <row r="392" spans="1:16" s="146" customFormat="1" ht="17.45" customHeight="1" x14ac:dyDescent="0.25">
      <c r="A392" s="626"/>
      <c r="B392" s="617" t="s">
        <v>163</v>
      </c>
      <c r="C392" s="617" t="s">
        <v>1386</v>
      </c>
      <c r="D392" s="131" t="s">
        <v>171</v>
      </c>
      <c r="E392" s="44" t="s">
        <v>213</v>
      </c>
      <c r="F392" s="113"/>
      <c r="G392" s="113"/>
      <c r="H392" s="113"/>
      <c r="I392" s="101"/>
      <c r="J392" s="102"/>
      <c r="K392" s="101"/>
      <c r="L392" s="101">
        <v>94793</v>
      </c>
      <c r="M392" s="10"/>
      <c r="N392" s="10"/>
      <c r="O392"/>
      <c r="P392"/>
    </row>
    <row r="393" spans="1:16" s="146" customFormat="1" ht="17.45" customHeight="1" x14ac:dyDescent="0.25">
      <c r="A393" s="626"/>
      <c r="B393" s="617" t="s">
        <v>163</v>
      </c>
      <c r="C393" s="617" t="s">
        <v>1386</v>
      </c>
      <c r="D393" s="131" t="s">
        <v>171</v>
      </c>
      <c r="E393" s="44" t="s">
        <v>288</v>
      </c>
      <c r="F393" s="125"/>
      <c r="G393" s="125"/>
      <c r="H393" s="125"/>
      <c r="I393" s="101"/>
      <c r="J393" s="102"/>
      <c r="K393" s="101"/>
      <c r="L393" s="101">
        <v>6910600</v>
      </c>
      <c r="M393" s="10"/>
      <c r="N393" s="10"/>
      <c r="O393"/>
      <c r="P393"/>
    </row>
    <row r="394" spans="1:16" s="208" customFormat="1" ht="17.45" customHeight="1" x14ac:dyDescent="0.25">
      <c r="A394" s="154"/>
      <c r="B394" s="617" t="s">
        <v>163</v>
      </c>
      <c r="C394" s="617" t="s">
        <v>1386</v>
      </c>
      <c r="D394" s="131" t="s">
        <v>171</v>
      </c>
      <c r="E394" s="44" t="s">
        <v>288</v>
      </c>
      <c r="F394" s="125"/>
      <c r="G394" s="125"/>
      <c r="H394" s="125"/>
      <c r="I394" s="101"/>
      <c r="J394" s="102"/>
      <c r="K394" s="101"/>
      <c r="L394" s="101">
        <v>73552</v>
      </c>
      <c r="M394" s="207"/>
      <c r="N394" s="207">
        <f>160000+135000</f>
        <v>295000</v>
      </c>
    </row>
    <row r="395" spans="1:16" s="191" customFormat="1" ht="17.25" customHeight="1" x14ac:dyDescent="0.25">
      <c r="A395" s="626"/>
      <c r="B395" s="617" t="s">
        <v>163</v>
      </c>
      <c r="C395" s="617" t="s">
        <v>1386</v>
      </c>
      <c r="D395" s="133" t="s">
        <v>171</v>
      </c>
      <c r="E395" s="44" t="s">
        <v>288</v>
      </c>
      <c r="F395" s="125"/>
      <c r="G395" s="125"/>
      <c r="H395" s="134"/>
      <c r="I395" s="105"/>
      <c r="J395" s="106"/>
      <c r="K395" s="105"/>
      <c r="L395" s="105">
        <v>121650</v>
      </c>
      <c r="M395" s="10"/>
      <c r="N395" s="10"/>
    </row>
    <row r="396" spans="1:16" s="146" customFormat="1" ht="18" customHeight="1" x14ac:dyDescent="0.25">
      <c r="A396" s="615"/>
      <c r="B396" s="617" t="s">
        <v>163</v>
      </c>
      <c r="C396" s="617" t="s">
        <v>1386</v>
      </c>
      <c r="D396" s="97"/>
      <c r="E396" s="206" t="s">
        <v>213</v>
      </c>
      <c r="F396" s="185"/>
      <c r="G396" s="688"/>
      <c r="H396" s="688"/>
      <c r="I396" s="101"/>
      <c r="J396" s="102"/>
      <c r="K396" s="101"/>
      <c r="L396" s="102">
        <v>8000</v>
      </c>
      <c r="M396" s="10"/>
      <c r="N396" s="10"/>
      <c r="O396"/>
      <c r="P396"/>
    </row>
    <row r="397" spans="1:16" s="48" customFormat="1" ht="18" customHeight="1" x14ac:dyDescent="0.25">
      <c r="A397" s="626"/>
      <c r="B397" s="617" t="s">
        <v>163</v>
      </c>
      <c r="C397" s="617" t="s">
        <v>1386</v>
      </c>
      <c r="D397" s="131" t="s">
        <v>171</v>
      </c>
      <c r="E397" s="245" t="s">
        <v>213</v>
      </c>
      <c r="F397" s="97"/>
      <c r="G397" s="97"/>
      <c r="H397" s="97"/>
      <c r="I397" s="101"/>
      <c r="J397" s="102">
        <v>12000</v>
      </c>
      <c r="K397" s="101"/>
      <c r="L397" s="101">
        <v>110974</v>
      </c>
      <c r="M397" s="6">
        <f>SUM(L379:L397)</f>
        <v>11058308</v>
      </c>
      <c r="N397" s="6"/>
    </row>
    <row r="398" spans="1:16" s="48" customFormat="1" ht="18" customHeight="1" x14ac:dyDescent="0.25">
      <c r="A398" s="626"/>
      <c r="B398" s="617" t="s">
        <v>163</v>
      </c>
      <c r="C398" s="617" t="s">
        <v>1386</v>
      </c>
      <c r="D398" s="131" t="s">
        <v>383</v>
      </c>
      <c r="E398" s="245" t="s">
        <v>382</v>
      </c>
      <c r="F398" s="97"/>
      <c r="G398" s="97"/>
      <c r="H398" s="97"/>
      <c r="I398" s="101">
        <v>17360.68</v>
      </c>
      <c r="J398" s="102">
        <v>20000</v>
      </c>
      <c r="K398" s="101">
        <v>1512</v>
      </c>
      <c r="L398" s="101">
        <v>20000</v>
      </c>
      <c r="M398" s="6"/>
      <c r="N398" s="6"/>
    </row>
    <row r="399" spans="1:16" s="48" customFormat="1" ht="18" customHeight="1" x14ac:dyDescent="0.25">
      <c r="A399" s="626"/>
      <c r="B399" s="617" t="s">
        <v>163</v>
      </c>
      <c r="C399" s="617" t="s">
        <v>1386</v>
      </c>
      <c r="D399" s="166" t="s">
        <v>385</v>
      </c>
      <c r="E399" s="245" t="s">
        <v>384</v>
      </c>
      <c r="F399" s="97"/>
      <c r="G399" s="97"/>
      <c r="H399" s="97"/>
      <c r="I399" s="101">
        <v>5437756.3799999999</v>
      </c>
      <c r="J399" s="102">
        <v>6000000</v>
      </c>
      <c r="K399" s="101">
        <v>2768213.53</v>
      </c>
      <c r="L399" s="101">
        <v>6000000</v>
      </c>
      <c r="M399" s="6"/>
      <c r="N399" s="6"/>
    </row>
    <row r="400" spans="1:16" s="48" customFormat="1" ht="18" customHeight="1" x14ac:dyDescent="0.25">
      <c r="A400" s="626"/>
      <c r="B400" s="617" t="s">
        <v>163</v>
      </c>
      <c r="C400" s="617" t="s">
        <v>1386</v>
      </c>
      <c r="D400" s="131" t="s">
        <v>177</v>
      </c>
      <c r="E400" s="245" t="s">
        <v>176</v>
      </c>
      <c r="F400" s="116"/>
      <c r="G400" s="116"/>
      <c r="H400" s="116"/>
      <c r="I400" s="101">
        <v>5000</v>
      </c>
      <c r="J400" s="102">
        <v>5000</v>
      </c>
      <c r="K400" s="101"/>
      <c r="L400" s="101">
        <v>5000</v>
      </c>
      <c r="M400" s="6"/>
      <c r="N400" s="6"/>
    </row>
    <row r="401" spans="1:14" s="48" customFormat="1" ht="18" customHeight="1" x14ac:dyDescent="0.25">
      <c r="A401" s="626"/>
      <c r="B401" s="617" t="s">
        <v>163</v>
      </c>
      <c r="C401" s="617" t="s">
        <v>1386</v>
      </c>
      <c r="D401" s="131" t="s">
        <v>177</v>
      </c>
      <c r="E401" s="700" t="s">
        <v>296</v>
      </c>
      <c r="F401" s="688"/>
      <c r="G401" s="688"/>
      <c r="H401" s="688"/>
      <c r="I401" s="101">
        <v>0</v>
      </c>
      <c r="J401" s="102">
        <v>15000</v>
      </c>
      <c r="K401" s="101"/>
      <c r="L401" s="101">
        <v>15000</v>
      </c>
      <c r="M401" s="6"/>
      <c r="N401" s="6"/>
    </row>
    <row r="402" spans="1:14" s="48" customFormat="1" ht="18" customHeight="1" x14ac:dyDescent="0.25">
      <c r="A402" s="626"/>
      <c r="B402" s="617" t="s">
        <v>163</v>
      </c>
      <c r="C402" s="617" t="s">
        <v>1386</v>
      </c>
      <c r="D402" s="131" t="s">
        <v>177</v>
      </c>
      <c r="E402" s="700" t="s">
        <v>296</v>
      </c>
      <c r="F402" s="688"/>
      <c r="G402" s="688"/>
      <c r="H402" s="688"/>
      <c r="I402" s="101">
        <v>0</v>
      </c>
      <c r="J402" s="102">
        <v>15000</v>
      </c>
      <c r="K402" s="101"/>
      <c r="L402" s="101">
        <v>15000</v>
      </c>
      <c r="M402" s="6"/>
      <c r="N402" s="6"/>
    </row>
    <row r="403" spans="1:14" s="48" customFormat="1" ht="18" customHeight="1" x14ac:dyDescent="0.25">
      <c r="A403" s="626"/>
      <c r="B403" s="617" t="s">
        <v>163</v>
      </c>
      <c r="C403" s="617" t="s">
        <v>1386</v>
      </c>
      <c r="D403" s="131" t="s">
        <v>177</v>
      </c>
      <c r="E403" s="700" t="s">
        <v>296</v>
      </c>
      <c r="F403" s="688"/>
      <c r="G403" s="688"/>
      <c r="H403" s="688"/>
      <c r="I403" s="101"/>
      <c r="J403" s="102">
        <v>15000</v>
      </c>
      <c r="K403" s="101"/>
      <c r="L403" s="101">
        <v>15000</v>
      </c>
      <c r="M403" s="6"/>
      <c r="N403" s="6"/>
    </row>
    <row r="404" spans="1:14" s="48" customFormat="1" ht="18" customHeight="1" x14ac:dyDescent="0.25">
      <c r="A404" s="626"/>
      <c r="B404" s="617" t="s">
        <v>163</v>
      </c>
      <c r="C404" s="617" t="s">
        <v>1386</v>
      </c>
      <c r="D404" s="131" t="s">
        <v>177</v>
      </c>
      <c r="E404" s="700" t="s">
        <v>296</v>
      </c>
      <c r="F404" s="688"/>
      <c r="G404" s="688"/>
      <c r="H404" s="688"/>
      <c r="I404" s="101">
        <v>0</v>
      </c>
      <c r="J404" s="102">
        <v>10000</v>
      </c>
      <c r="K404" s="101"/>
      <c r="L404" s="102">
        <v>10000</v>
      </c>
      <c r="M404" s="6"/>
      <c r="N404" s="6"/>
    </row>
    <row r="405" spans="1:14" s="48" customFormat="1" ht="18" customHeight="1" x14ac:dyDescent="0.25">
      <c r="A405" s="626"/>
      <c r="B405" s="617" t="s">
        <v>163</v>
      </c>
      <c r="C405" s="617" t="s">
        <v>1386</v>
      </c>
      <c r="D405" s="131" t="s">
        <v>177</v>
      </c>
      <c r="E405" s="700" t="s">
        <v>296</v>
      </c>
      <c r="F405" s="688"/>
      <c r="G405" s="688"/>
      <c r="H405" s="688"/>
      <c r="I405" s="101">
        <v>0</v>
      </c>
      <c r="J405" s="102">
        <v>1000</v>
      </c>
      <c r="K405" s="101"/>
      <c r="L405" s="101">
        <v>1000</v>
      </c>
      <c r="M405" s="6"/>
      <c r="N405" s="6"/>
    </row>
    <row r="406" spans="1:14" s="48" customFormat="1" ht="18" customHeight="1" x14ac:dyDescent="0.25">
      <c r="A406" s="626"/>
      <c r="B406" s="617" t="s">
        <v>163</v>
      </c>
      <c r="C406" s="617" t="s">
        <v>1386</v>
      </c>
      <c r="D406" s="131" t="s">
        <v>177</v>
      </c>
      <c r="E406" s="44" t="s">
        <v>176</v>
      </c>
      <c r="F406" s="113"/>
      <c r="G406" s="113"/>
      <c r="H406" s="114"/>
      <c r="I406" s="101">
        <v>0</v>
      </c>
      <c r="J406" s="102">
        <v>1000</v>
      </c>
      <c r="K406" s="101"/>
      <c r="L406" s="101">
        <v>1000</v>
      </c>
      <c r="M406" s="6"/>
      <c r="N406" s="6"/>
    </row>
    <row r="407" spans="1:14" s="48" customFormat="1" ht="18" customHeight="1" x14ac:dyDescent="0.25">
      <c r="A407" s="626"/>
      <c r="B407" s="617" t="s">
        <v>163</v>
      </c>
      <c r="C407" s="617" t="s">
        <v>1386</v>
      </c>
      <c r="D407" s="131" t="s">
        <v>177</v>
      </c>
      <c r="E407" s="44" t="s">
        <v>176</v>
      </c>
      <c r="F407" s="125"/>
      <c r="G407" s="125"/>
      <c r="H407" s="134"/>
      <c r="I407" s="101">
        <v>1475</v>
      </c>
      <c r="J407" s="102">
        <v>15000</v>
      </c>
      <c r="K407" s="101"/>
      <c r="L407" s="101">
        <v>15000</v>
      </c>
      <c r="M407" s="6"/>
      <c r="N407" s="6"/>
    </row>
    <row r="408" spans="1:14" s="48" customFormat="1" ht="18" customHeight="1" x14ac:dyDescent="0.25">
      <c r="A408" s="626"/>
      <c r="B408" s="617" t="s">
        <v>163</v>
      </c>
      <c r="C408" s="617" t="s">
        <v>1386</v>
      </c>
      <c r="D408" s="131" t="s">
        <v>177</v>
      </c>
      <c r="E408" s="44" t="s">
        <v>176</v>
      </c>
      <c r="F408" s="125"/>
      <c r="G408" s="125"/>
      <c r="H408" s="134"/>
      <c r="I408" s="101"/>
      <c r="J408" s="102">
        <v>5000</v>
      </c>
      <c r="K408" s="101">
        <v>660</v>
      </c>
      <c r="L408" s="101">
        <v>5000</v>
      </c>
      <c r="M408" s="6"/>
      <c r="N408" s="6"/>
    </row>
    <row r="409" spans="1:14" s="48" customFormat="1" ht="18" customHeight="1" x14ac:dyDescent="0.25">
      <c r="A409" s="626"/>
      <c r="B409" s="617" t="s">
        <v>163</v>
      </c>
      <c r="C409" s="617" t="s">
        <v>1386</v>
      </c>
      <c r="D409" s="131" t="s">
        <v>177</v>
      </c>
      <c r="E409" s="245" t="s">
        <v>176</v>
      </c>
      <c r="F409" s="97"/>
      <c r="G409" s="97"/>
      <c r="H409" s="97"/>
      <c r="I409" s="101"/>
      <c r="J409" s="102">
        <v>10000</v>
      </c>
      <c r="K409" s="101"/>
      <c r="L409" s="101">
        <v>10000</v>
      </c>
      <c r="M409" s="6">
        <f>SUM(L400:L409)</f>
        <v>92000</v>
      </c>
      <c r="N409" s="6"/>
    </row>
    <row r="410" spans="1:14" s="48" customFormat="1" ht="18" customHeight="1" x14ac:dyDescent="0.25">
      <c r="A410" s="626"/>
      <c r="B410" s="617" t="s">
        <v>163</v>
      </c>
      <c r="C410" s="617" t="s">
        <v>1386</v>
      </c>
      <c r="D410" s="131" t="s">
        <v>179</v>
      </c>
      <c r="E410" s="44" t="s">
        <v>178</v>
      </c>
      <c r="F410" s="113"/>
      <c r="G410" s="113"/>
      <c r="H410" s="114"/>
      <c r="I410" s="101"/>
      <c r="J410" s="102"/>
      <c r="K410" s="101"/>
      <c r="L410" s="101">
        <f>480000+550000</f>
        <v>1030000</v>
      </c>
      <c r="M410" s="6"/>
      <c r="N410" s="6"/>
    </row>
    <row r="411" spans="1:14" s="48" customFormat="1" ht="18" customHeight="1" x14ac:dyDescent="0.25">
      <c r="A411" s="626"/>
      <c r="B411" s="617" t="s">
        <v>163</v>
      </c>
      <c r="C411" s="617" t="s">
        <v>1386</v>
      </c>
      <c r="D411" s="131" t="s">
        <v>179</v>
      </c>
      <c r="E411" s="637" t="s">
        <v>178</v>
      </c>
      <c r="F411" s="612"/>
      <c r="G411" s="612"/>
      <c r="H411" s="689"/>
      <c r="I411" s="101"/>
      <c r="J411" s="102"/>
      <c r="K411" s="101"/>
      <c r="L411" s="101">
        <v>55680</v>
      </c>
      <c r="M411" s="6"/>
      <c r="N411" s="6"/>
    </row>
    <row r="412" spans="1:14" s="48" customFormat="1" ht="18" customHeight="1" x14ac:dyDescent="0.25">
      <c r="A412" s="626"/>
      <c r="B412" s="617" t="s">
        <v>163</v>
      </c>
      <c r="C412" s="617" t="s">
        <v>1386</v>
      </c>
      <c r="D412" s="131" t="s">
        <v>179</v>
      </c>
      <c r="E412" s="245" t="s">
        <v>178</v>
      </c>
      <c r="F412" s="703"/>
      <c r="G412" s="116"/>
      <c r="H412" s="116"/>
      <c r="I412" s="101"/>
      <c r="J412" s="102"/>
      <c r="K412" s="101"/>
      <c r="L412" s="102">
        <v>7200</v>
      </c>
      <c r="M412" s="6"/>
      <c r="N412" s="6"/>
    </row>
    <row r="413" spans="1:14" s="48" customFormat="1" ht="18" customHeight="1" x14ac:dyDescent="0.25">
      <c r="A413" s="626"/>
      <c r="B413" s="617" t="s">
        <v>163</v>
      </c>
      <c r="C413" s="617" t="s">
        <v>1386</v>
      </c>
      <c r="D413" s="131" t="s">
        <v>179</v>
      </c>
      <c r="E413" s="245" t="s">
        <v>178</v>
      </c>
      <c r="F413" s="116"/>
      <c r="G413" s="116"/>
      <c r="H413" s="116"/>
      <c r="I413" s="101"/>
      <c r="J413" s="102"/>
      <c r="K413" s="101"/>
      <c r="L413" s="101">
        <v>39000</v>
      </c>
      <c r="M413" s="6"/>
      <c r="N413" s="6"/>
    </row>
    <row r="414" spans="1:14" s="48" customFormat="1" ht="18" customHeight="1" x14ac:dyDescent="0.25">
      <c r="A414" s="626"/>
      <c r="B414" s="617" t="s">
        <v>163</v>
      </c>
      <c r="C414" s="617" t="s">
        <v>1386</v>
      </c>
      <c r="D414" s="133" t="s">
        <v>179</v>
      </c>
      <c r="E414" s="245" t="s">
        <v>178</v>
      </c>
      <c r="F414" s="116"/>
      <c r="G414" s="116"/>
      <c r="H414" s="116"/>
      <c r="I414" s="105"/>
      <c r="J414" s="106"/>
      <c r="K414" s="105"/>
      <c r="L414" s="106">
        <v>18000</v>
      </c>
      <c r="M414" s="6"/>
      <c r="N414" s="6"/>
    </row>
    <row r="415" spans="1:14" s="48" customFormat="1" ht="18" customHeight="1" x14ac:dyDescent="0.25">
      <c r="A415" s="626"/>
      <c r="B415" s="617" t="s">
        <v>163</v>
      </c>
      <c r="C415" s="617" t="s">
        <v>1386</v>
      </c>
      <c r="D415" s="131" t="s">
        <v>179</v>
      </c>
      <c r="E415" s="206" t="s">
        <v>178</v>
      </c>
      <c r="F415" s="184"/>
      <c r="G415" s="184"/>
      <c r="H415" s="185"/>
      <c r="I415" s="101"/>
      <c r="J415" s="102"/>
      <c r="K415" s="101"/>
      <c r="L415" s="101">
        <v>88800</v>
      </c>
      <c r="M415" s="6"/>
      <c r="N415" s="6"/>
    </row>
    <row r="416" spans="1:14" s="48" customFormat="1" ht="18" customHeight="1" x14ac:dyDescent="0.25">
      <c r="A416" s="626"/>
      <c r="B416" s="617" t="s">
        <v>163</v>
      </c>
      <c r="C416" s="617" t="s">
        <v>1386</v>
      </c>
      <c r="D416" s="131" t="s">
        <v>179</v>
      </c>
      <c r="E416" s="206" t="s">
        <v>178</v>
      </c>
      <c r="F416" s="184"/>
      <c r="G416" s="184"/>
      <c r="H416" s="185"/>
      <c r="I416" s="101"/>
      <c r="J416" s="102"/>
      <c r="K416" s="101"/>
      <c r="L416" s="101">
        <v>748800</v>
      </c>
      <c r="M416" s="6"/>
      <c r="N416" s="6"/>
    </row>
    <row r="417" spans="1:16" s="48" customFormat="1" ht="18" customHeight="1" x14ac:dyDescent="0.15">
      <c r="A417" s="626"/>
      <c r="B417" s="617" t="s">
        <v>163</v>
      </c>
      <c r="C417" s="617" t="s">
        <v>1386</v>
      </c>
      <c r="D417" s="131" t="s">
        <v>179</v>
      </c>
      <c r="E417" s="180" t="s">
        <v>178</v>
      </c>
      <c r="F417" s="184"/>
      <c r="G417" s="184"/>
      <c r="H417" s="185"/>
      <c r="I417" s="101"/>
      <c r="J417" s="102"/>
      <c r="K417" s="101"/>
      <c r="L417" s="101">
        <v>88800</v>
      </c>
      <c r="M417" s="6"/>
      <c r="N417" s="6"/>
    </row>
    <row r="418" spans="1:16" s="48" customFormat="1" ht="18" customHeight="1" x14ac:dyDescent="0.25">
      <c r="A418" s="626"/>
      <c r="B418" s="617" t="s">
        <v>163</v>
      </c>
      <c r="C418" s="617" t="s">
        <v>1386</v>
      </c>
      <c r="D418" s="131" t="s">
        <v>179</v>
      </c>
      <c r="E418" s="206" t="s">
        <v>178</v>
      </c>
      <c r="F418" s="184"/>
      <c r="G418" s="184"/>
      <c r="H418" s="185"/>
      <c r="I418" s="101"/>
      <c r="J418" s="102"/>
      <c r="K418" s="101"/>
      <c r="L418" s="101"/>
      <c r="M418" s="6"/>
      <c r="N418" s="6"/>
    </row>
    <row r="419" spans="1:16" s="48" customFormat="1" ht="18" customHeight="1" x14ac:dyDescent="0.25">
      <c r="A419" s="626"/>
      <c r="B419" s="617" t="s">
        <v>163</v>
      </c>
      <c r="C419" s="617" t="s">
        <v>1386</v>
      </c>
      <c r="D419" s="133" t="s">
        <v>179</v>
      </c>
      <c r="E419" s="206" t="s">
        <v>178</v>
      </c>
      <c r="F419" s="184"/>
      <c r="G419" s="184"/>
      <c r="H419" s="185"/>
      <c r="I419" s="105"/>
      <c r="J419" s="106"/>
      <c r="K419" s="105"/>
      <c r="L419" s="106">
        <v>54000</v>
      </c>
      <c r="M419" s="6"/>
      <c r="N419" s="6"/>
    </row>
    <row r="420" spans="1:16" s="48" customFormat="1" ht="18" customHeight="1" x14ac:dyDescent="0.25">
      <c r="A420" s="615"/>
      <c r="B420" s="617" t="s">
        <v>163</v>
      </c>
      <c r="C420" s="617" t="s">
        <v>1386</v>
      </c>
      <c r="D420" s="131" t="s">
        <v>179</v>
      </c>
      <c r="E420" s="206" t="s">
        <v>178</v>
      </c>
      <c r="F420" s="185"/>
      <c r="G420" s="688"/>
      <c r="H420" s="688"/>
      <c r="I420" s="101"/>
      <c r="J420" s="102"/>
      <c r="K420" s="101"/>
      <c r="L420" s="102">
        <v>42000</v>
      </c>
      <c r="M420" s="6"/>
      <c r="N420" s="6"/>
    </row>
    <row r="421" spans="1:16" ht="18" customHeight="1" x14ac:dyDescent="0.25">
      <c r="A421" s="626"/>
      <c r="B421" s="617" t="s">
        <v>163</v>
      </c>
      <c r="C421" s="617" t="s">
        <v>1386</v>
      </c>
      <c r="D421" s="131" t="s">
        <v>179</v>
      </c>
      <c r="E421" s="700" t="s">
        <v>178</v>
      </c>
      <c r="F421" s="688"/>
      <c r="G421" s="688"/>
      <c r="H421" s="688"/>
      <c r="I421" s="101"/>
      <c r="J421" s="102"/>
      <c r="K421" s="101"/>
      <c r="L421" s="101">
        <v>54000</v>
      </c>
      <c r="M421" s="188"/>
      <c r="N421" s="188"/>
    </row>
    <row r="422" spans="1:16" ht="18" customHeight="1" x14ac:dyDescent="0.25">
      <c r="A422" s="626"/>
      <c r="B422" s="617" t="s">
        <v>163</v>
      </c>
      <c r="C422" s="617" t="s">
        <v>1386</v>
      </c>
      <c r="D422" s="131" t="s">
        <v>179</v>
      </c>
      <c r="E422" s="700" t="s">
        <v>178</v>
      </c>
      <c r="F422" s="688"/>
      <c r="G422" s="688"/>
      <c r="H422" s="688"/>
      <c r="I422" s="101"/>
      <c r="J422" s="102"/>
      <c r="K422" s="101"/>
      <c r="L422" s="101">
        <v>70800</v>
      </c>
      <c r="M422" s="188"/>
      <c r="N422" s="188"/>
    </row>
    <row r="423" spans="1:16" ht="18" customHeight="1" x14ac:dyDescent="0.25">
      <c r="A423" s="626"/>
      <c r="B423" s="617" t="s">
        <v>163</v>
      </c>
      <c r="C423" s="617" t="s">
        <v>1386</v>
      </c>
      <c r="D423" s="131" t="s">
        <v>179</v>
      </c>
      <c r="E423" s="245" t="s">
        <v>178</v>
      </c>
      <c r="F423" s="116"/>
      <c r="G423" s="116"/>
      <c r="H423" s="116"/>
      <c r="I423" s="101"/>
      <c r="J423" s="102"/>
      <c r="K423" s="101"/>
      <c r="L423" s="101">
        <f>12000+42000</f>
        <v>54000</v>
      </c>
      <c r="M423" s="188"/>
      <c r="N423" s="188"/>
    </row>
    <row r="424" spans="1:16" ht="18" customHeight="1" x14ac:dyDescent="0.25">
      <c r="A424" s="626"/>
      <c r="B424" s="617" t="s">
        <v>163</v>
      </c>
      <c r="C424" s="617" t="s">
        <v>1386</v>
      </c>
      <c r="D424" s="131" t="s">
        <v>179</v>
      </c>
      <c r="E424" s="245" t="s">
        <v>178</v>
      </c>
      <c r="F424" s="116"/>
      <c r="G424" s="116"/>
      <c r="H424" s="116"/>
      <c r="I424" s="101"/>
      <c r="J424" s="102"/>
      <c r="K424" s="101"/>
      <c r="L424" s="101">
        <v>60000</v>
      </c>
      <c r="M424" s="188"/>
      <c r="N424" s="188"/>
    </row>
    <row r="425" spans="1:16" x14ac:dyDescent="0.25">
      <c r="A425" s="626"/>
      <c r="B425" s="617" t="s">
        <v>163</v>
      </c>
      <c r="C425" s="617" t="s">
        <v>1386</v>
      </c>
      <c r="D425" s="131" t="s">
        <v>179</v>
      </c>
      <c r="E425" s="44" t="s">
        <v>178</v>
      </c>
      <c r="F425" s="125"/>
      <c r="G425" s="125"/>
      <c r="H425" s="134"/>
      <c r="I425" s="101"/>
      <c r="J425" s="102">
        <v>0</v>
      </c>
      <c r="K425" s="101"/>
      <c r="L425" s="101">
        <v>50000</v>
      </c>
      <c r="M425" s="188"/>
      <c r="N425" s="188"/>
    </row>
    <row r="426" spans="1:16" ht="18" customHeight="1" x14ac:dyDescent="0.25">
      <c r="A426" s="626"/>
      <c r="B426" s="617" t="s">
        <v>163</v>
      </c>
      <c r="C426" s="617" t="s">
        <v>1386</v>
      </c>
      <c r="D426" s="131" t="s">
        <v>179</v>
      </c>
      <c r="E426" s="245" t="s">
        <v>178</v>
      </c>
      <c r="F426" s="97"/>
      <c r="G426" s="97"/>
      <c r="H426" s="97"/>
      <c r="I426" s="101"/>
      <c r="J426" s="102"/>
      <c r="K426" s="101"/>
      <c r="L426" s="101">
        <v>100800</v>
      </c>
      <c r="M426" s="188"/>
      <c r="N426" s="188"/>
    </row>
    <row r="427" spans="1:16" ht="18" customHeight="1" x14ac:dyDescent="0.25">
      <c r="A427" s="626"/>
      <c r="B427" s="617" t="s">
        <v>163</v>
      </c>
      <c r="C427" s="617" t="s">
        <v>1386</v>
      </c>
      <c r="D427" s="131" t="s">
        <v>179</v>
      </c>
      <c r="E427" s="245" t="s">
        <v>178</v>
      </c>
      <c r="F427" s="97"/>
      <c r="G427" s="97"/>
      <c r="H427" s="97"/>
      <c r="I427" s="105"/>
      <c r="J427" s="106"/>
      <c r="K427" s="105"/>
      <c r="L427" s="105">
        <v>49200</v>
      </c>
    </row>
    <row r="428" spans="1:16" s="146" customFormat="1" ht="18" customHeight="1" x14ac:dyDescent="0.25">
      <c r="A428" s="615"/>
      <c r="B428" s="617" t="s">
        <v>163</v>
      </c>
      <c r="C428" s="617" t="s">
        <v>1386</v>
      </c>
      <c r="D428" s="97"/>
      <c r="E428" s="44" t="s">
        <v>178</v>
      </c>
      <c r="F428" s="171"/>
      <c r="G428" s="690"/>
      <c r="H428" s="690"/>
      <c r="I428" s="102"/>
      <c r="J428" s="102"/>
      <c r="K428" s="102"/>
      <c r="L428" s="102">
        <v>18000</v>
      </c>
      <c r="M428" s="10"/>
      <c r="N428" s="10"/>
      <c r="O428"/>
      <c r="P428"/>
    </row>
    <row r="429" spans="1:16" ht="18" customHeight="1" x14ac:dyDescent="0.25">
      <c r="A429" s="626"/>
      <c r="B429" s="617" t="s">
        <v>163</v>
      </c>
      <c r="C429" s="617" t="s">
        <v>1386</v>
      </c>
      <c r="D429" s="131" t="s">
        <v>179</v>
      </c>
      <c r="E429" s="44" t="s">
        <v>178</v>
      </c>
      <c r="F429" s="125"/>
      <c r="G429" s="125"/>
      <c r="H429" s="134"/>
      <c r="I429" s="101"/>
      <c r="J429" s="102"/>
      <c r="K429" s="101"/>
      <c r="L429" s="101">
        <v>42000</v>
      </c>
      <c r="M429" s="10">
        <f>SUM(L410:L429)</f>
        <v>2671080</v>
      </c>
    </row>
    <row r="430" spans="1:16" ht="18" customHeight="1" x14ac:dyDescent="0.25">
      <c r="A430" s="626"/>
      <c r="B430" s="617" t="s">
        <v>163</v>
      </c>
      <c r="C430" s="617" t="s">
        <v>1386</v>
      </c>
      <c r="D430" s="131" t="s">
        <v>183</v>
      </c>
      <c r="E430" s="44" t="s">
        <v>182</v>
      </c>
      <c r="F430" s="113"/>
      <c r="G430" s="113"/>
      <c r="H430" s="114"/>
      <c r="I430" s="101"/>
      <c r="J430" s="102">
        <v>30000</v>
      </c>
      <c r="K430" s="101">
        <v>19808.71</v>
      </c>
      <c r="L430" s="101">
        <v>48000</v>
      </c>
    </row>
    <row r="431" spans="1:16" ht="18" customHeight="1" x14ac:dyDescent="0.25">
      <c r="A431" s="626"/>
      <c r="B431" s="617" t="s">
        <v>163</v>
      </c>
      <c r="C431" s="617" t="s">
        <v>1386</v>
      </c>
      <c r="D431" s="131" t="s">
        <v>183</v>
      </c>
      <c r="E431" s="44" t="s">
        <v>182</v>
      </c>
      <c r="F431" s="113"/>
      <c r="G431" s="113"/>
      <c r="H431" s="114"/>
      <c r="I431" s="101">
        <v>0</v>
      </c>
      <c r="J431" s="102">
        <v>42000</v>
      </c>
      <c r="K431" s="101"/>
      <c r="L431" s="102">
        <v>42000</v>
      </c>
    </row>
    <row r="432" spans="1:16" ht="18" customHeight="1" x14ac:dyDescent="0.25">
      <c r="A432" s="626"/>
      <c r="B432" s="617" t="s">
        <v>163</v>
      </c>
      <c r="C432" s="617" t="s">
        <v>1386</v>
      </c>
      <c r="D432" s="172" t="s">
        <v>183</v>
      </c>
      <c r="E432" s="44" t="s">
        <v>182</v>
      </c>
      <c r="F432" s="170"/>
      <c r="G432" s="170"/>
      <c r="H432" s="171"/>
      <c r="I432" s="102">
        <v>26388</v>
      </c>
      <c r="J432" s="102">
        <v>30000</v>
      </c>
      <c r="K432" s="102">
        <v>15393</v>
      </c>
      <c r="L432" s="102">
        <v>30000</v>
      </c>
    </row>
    <row r="433" spans="1:14" ht="18" customHeight="1" x14ac:dyDescent="0.25">
      <c r="A433" s="626"/>
      <c r="B433" s="617" t="s">
        <v>163</v>
      </c>
      <c r="C433" s="617" t="s">
        <v>1386</v>
      </c>
      <c r="D433" s="131" t="s">
        <v>183</v>
      </c>
      <c r="E433" s="44" t="s">
        <v>182</v>
      </c>
      <c r="F433" s="113"/>
      <c r="G433" s="113"/>
      <c r="H433" s="114"/>
      <c r="I433" s="101">
        <v>38401.5</v>
      </c>
      <c r="J433" s="102">
        <v>72000</v>
      </c>
      <c r="K433" s="101">
        <v>33172.68</v>
      </c>
      <c r="L433" s="101">
        <v>72000</v>
      </c>
    </row>
    <row r="434" spans="1:14" ht="18" customHeight="1" x14ac:dyDescent="0.25">
      <c r="A434" s="626"/>
      <c r="B434" s="617" t="s">
        <v>163</v>
      </c>
      <c r="C434" s="617" t="s">
        <v>1386</v>
      </c>
      <c r="D434" s="131" t="s">
        <v>183</v>
      </c>
      <c r="E434" s="44" t="s">
        <v>182</v>
      </c>
      <c r="F434" s="113"/>
      <c r="G434" s="113"/>
      <c r="H434" s="114"/>
      <c r="I434" s="101">
        <v>7944.43</v>
      </c>
      <c r="J434" s="102">
        <v>72000</v>
      </c>
      <c r="K434" s="101"/>
      <c r="L434" s="101">
        <v>72000</v>
      </c>
    </row>
    <row r="435" spans="1:14" ht="18" customHeight="1" x14ac:dyDescent="0.25">
      <c r="A435" s="626"/>
      <c r="B435" s="617" t="s">
        <v>163</v>
      </c>
      <c r="C435" s="617" t="s">
        <v>1386</v>
      </c>
      <c r="D435" s="131" t="s">
        <v>183</v>
      </c>
      <c r="E435" s="206" t="s">
        <v>314</v>
      </c>
      <c r="F435" s="184"/>
      <c r="G435" s="184"/>
      <c r="H435" s="185"/>
      <c r="I435" s="101">
        <v>29058.16</v>
      </c>
      <c r="J435" s="102">
        <v>72000</v>
      </c>
      <c r="K435" s="101">
        <v>16793</v>
      </c>
      <c r="L435" s="101">
        <v>72000</v>
      </c>
    </row>
    <row r="436" spans="1:14" ht="18" customHeight="1" x14ac:dyDescent="0.25">
      <c r="A436" s="626"/>
      <c r="B436" s="617" t="s">
        <v>163</v>
      </c>
      <c r="C436" s="617" t="s">
        <v>1386</v>
      </c>
      <c r="D436" s="131" t="s">
        <v>183</v>
      </c>
      <c r="E436" s="206" t="s">
        <v>182</v>
      </c>
      <c r="F436" s="184"/>
      <c r="G436" s="184"/>
      <c r="H436" s="185"/>
      <c r="I436" s="101">
        <v>26389</v>
      </c>
      <c r="J436" s="102">
        <v>67200</v>
      </c>
      <c r="K436" s="101">
        <v>14394</v>
      </c>
      <c r="L436" s="101"/>
    </row>
    <row r="437" spans="1:14" ht="18" customHeight="1" x14ac:dyDescent="0.25">
      <c r="A437" s="626"/>
      <c r="B437" s="617" t="s">
        <v>163</v>
      </c>
      <c r="C437" s="617" t="s">
        <v>1386</v>
      </c>
      <c r="D437" s="131" t="s">
        <v>183</v>
      </c>
      <c r="E437" s="206" t="s">
        <v>182</v>
      </c>
      <c r="F437" s="184"/>
      <c r="G437" s="184"/>
      <c r="H437" s="185"/>
      <c r="I437" s="105"/>
      <c r="J437" s="106"/>
      <c r="K437" s="105"/>
      <c r="L437" s="105">
        <v>42000</v>
      </c>
    </row>
    <row r="438" spans="1:14" s="208" customFormat="1" ht="17.45" customHeight="1" x14ac:dyDescent="0.25">
      <c r="A438" s="154"/>
      <c r="B438" s="617" t="s">
        <v>163</v>
      </c>
      <c r="C438" s="617" t="s">
        <v>1386</v>
      </c>
      <c r="D438" s="950" t="s">
        <v>183</v>
      </c>
      <c r="E438" s="44" t="s">
        <v>182</v>
      </c>
      <c r="F438" s="113"/>
      <c r="G438" s="113"/>
      <c r="H438" s="113"/>
      <c r="I438" s="101"/>
      <c r="J438" s="145"/>
      <c r="K438" s="121"/>
      <c r="L438" s="121">
        <v>42000</v>
      </c>
      <c r="M438" s="207"/>
      <c r="N438" s="207"/>
    </row>
    <row r="439" spans="1:14" s="208" customFormat="1" ht="17.45" customHeight="1" x14ac:dyDescent="0.25">
      <c r="A439" s="154"/>
      <c r="B439" s="617" t="s">
        <v>163</v>
      </c>
      <c r="C439" s="617" t="s">
        <v>1386</v>
      </c>
      <c r="D439" s="131" t="s">
        <v>183</v>
      </c>
      <c r="E439" s="44" t="s">
        <v>182</v>
      </c>
      <c r="F439" s="113"/>
      <c r="G439" s="113"/>
      <c r="H439" s="113"/>
      <c r="I439" s="101">
        <v>4995</v>
      </c>
      <c r="J439" s="102">
        <v>20400</v>
      </c>
      <c r="K439" s="101"/>
      <c r="L439" s="101">
        <v>36000</v>
      </c>
      <c r="M439" s="207"/>
      <c r="N439" s="207"/>
    </row>
    <row r="440" spans="1:14" s="208" customFormat="1" ht="17.45" customHeight="1" x14ac:dyDescent="0.25">
      <c r="A440" s="154"/>
      <c r="B440" s="617" t="s">
        <v>163</v>
      </c>
      <c r="C440" s="617" t="s">
        <v>1386</v>
      </c>
      <c r="D440" s="131" t="s">
        <v>183</v>
      </c>
      <c r="E440" s="44" t="s">
        <v>182</v>
      </c>
      <c r="F440" s="125"/>
      <c r="G440" s="125"/>
      <c r="H440" s="125"/>
      <c r="I440" s="101">
        <v>36525.360000000001</v>
      </c>
      <c r="J440" s="102">
        <v>42000</v>
      </c>
      <c r="K440" s="101">
        <v>21306.46</v>
      </c>
      <c r="L440" s="101">
        <v>42000</v>
      </c>
      <c r="M440" s="207"/>
      <c r="N440" s="207"/>
    </row>
    <row r="441" spans="1:14" s="208" customFormat="1" ht="17.45" customHeight="1" x14ac:dyDescent="0.25">
      <c r="A441" s="154"/>
      <c r="B441" s="617" t="s">
        <v>163</v>
      </c>
      <c r="C441" s="617" t="s">
        <v>1386</v>
      </c>
      <c r="D441" s="131" t="s">
        <v>183</v>
      </c>
      <c r="E441" s="44" t="s">
        <v>182</v>
      </c>
      <c r="F441" s="125"/>
      <c r="G441" s="125"/>
      <c r="H441" s="125"/>
      <c r="I441" s="101">
        <v>24189</v>
      </c>
      <c r="J441" s="102">
        <v>27000</v>
      </c>
      <c r="K441" s="101">
        <v>15239.07</v>
      </c>
      <c r="L441" s="102">
        <v>54000</v>
      </c>
      <c r="M441" s="207">
        <f>SUM(L430:L441)</f>
        <v>552000</v>
      </c>
      <c r="N441" s="207"/>
    </row>
    <row r="442" spans="1:14" s="208" customFormat="1" ht="17.45" customHeight="1" x14ac:dyDescent="0.25">
      <c r="A442" s="154"/>
      <c r="B442" s="617" t="s">
        <v>163</v>
      </c>
      <c r="C442" s="617" t="s">
        <v>1386</v>
      </c>
      <c r="D442" s="131" t="s">
        <v>218</v>
      </c>
      <c r="E442" s="44" t="s">
        <v>217</v>
      </c>
      <c r="F442" s="125"/>
      <c r="G442" s="125"/>
      <c r="H442" s="125"/>
      <c r="I442" s="101"/>
      <c r="J442" s="102">
        <v>7200</v>
      </c>
      <c r="K442" s="101"/>
      <c r="L442" s="101">
        <v>7200</v>
      </c>
      <c r="M442" s="207"/>
      <c r="N442" s="207"/>
    </row>
    <row r="443" spans="1:14" s="208" customFormat="1" ht="17.45" customHeight="1" x14ac:dyDescent="0.25">
      <c r="A443" s="154"/>
      <c r="B443" s="617" t="s">
        <v>163</v>
      </c>
      <c r="C443" s="617" t="s">
        <v>1386</v>
      </c>
      <c r="D443" s="131" t="s">
        <v>218</v>
      </c>
      <c r="E443" s="44" t="s">
        <v>217</v>
      </c>
      <c r="F443" s="125"/>
      <c r="G443" s="125"/>
      <c r="H443" s="125"/>
      <c r="I443" s="101">
        <v>5700</v>
      </c>
      <c r="J443" s="102">
        <v>5700</v>
      </c>
      <c r="K443" s="101">
        <v>3325</v>
      </c>
      <c r="L443" s="101">
        <v>5700</v>
      </c>
      <c r="M443" s="207">
        <f>SUM(L442:L443)</f>
        <v>12900</v>
      </c>
      <c r="N443" s="207"/>
    </row>
    <row r="444" spans="1:14" s="212" customFormat="1" ht="17.45" customHeight="1" x14ac:dyDescent="0.25">
      <c r="A444" s="211"/>
      <c r="B444" s="617" t="s">
        <v>163</v>
      </c>
      <c r="C444" s="617" t="s">
        <v>1386</v>
      </c>
      <c r="D444" s="131" t="s">
        <v>185</v>
      </c>
      <c r="E444" s="44" t="s">
        <v>184</v>
      </c>
      <c r="F444" s="113"/>
      <c r="G444" s="113"/>
      <c r="H444" s="113"/>
      <c r="I444" s="101">
        <v>0</v>
      </c>
      <c r="J444" s="102">
        <v>221605.21</v>
      </c>
      <c r="K444" s="101"/>
      <c r="L444" s="101">
        <v>232912.19</v>
      </c>
      <c r="M444" s="207"/>
      <c r="N444" s="207"/>
    </row>
    <row r="445" spans="1:14" s="212" customFormat="1" ht="17.45" customHeight="1" x14ac:dyDescent="0.25">
      <c r="A445" s="211"/>
      <c r="B445" s="617" t="s">
        <v>163</v>
      </c>
      <c r="C445" s="617" t="s">
        <v>1386</v>
      </c>
      <c r="D445" s="131" t="s">
        <v>308</v>
      </c>
      <c r="E445" s="206" t="s">
        <v>307</v>
      </c>
      <c r="F445" s="184"/>
      <c r="G445" s="184"/>
      <c r="H445" s="184"/>
      <c r="I445" s="101"/>
      <c r="J445" s="102">
        <v>350000</v>
      </c>
      <c r="K445" s="101"/>
      <c r="L445" s="101">
        <v>350000</v>
      </c>
      <c r="M445" s="207"/>
      <c r="N445" s="207"/>
    </row>
    <row r="446" spans="1:14" s="212" customFormat="1" ht="17.45" customHeight="1" x14ac:dyDescent="0.25">
      <c r="A446" s="211"/>
      <c r="B446" s="617" t="s">
        <v>163</v>
      </c>
      <c r="C446" s="617" t="s">
        <v>1386</v>
      </c>
      <c r="D446" s="131" t="s">
        <v>187</v>
      </c>
      <c r="E446" s="44" t="s">
        <v>186</v>
      </c>
      <c r="F446" s="113"/>
      <c r="G446" s="113"/>
      <c r="H446" s="113"/>
      <c r="I446" s="101"/>
      <c r="J446" s="102">
        <v>150000</v>
      </c>
      <c r="K446" s="101">
        <v>22308.16</v>
      </c>
      <c r="L446" s="101">
        <v>200000</v>
      </c>
      <c r="M446" s="207"/>
      <c r="N446" s="207"/>
    </row>
    <row r="447" spans="1:14" s="212" customFormat="1" ht="17.45" customHeight="1" x14ac:dyDescent="0.25">
      <c r="A447" s="211"/>
      <c r="B447" s="617" t="s">
        <v>163</v>
      </c>
      <c r="C447" s="617" t="s">
        <v>1386</v>
      </c>
      <c r="D447" s="131" t="s">
        <v>187</v>
      </c>
      <c r="E447" s="44" t="s">
        <v>186</v>
      </c>
      <c r="F447" s="113"/>
      <c r="G447" s="113"/>
      <c r="H447" s="113"/>
      <c r="I447" s="101">
        <v>0</v>
      </c>
      <c r="J447" s="102">
        <v>10000</v>
      </c>
      <c r="K447" s="101"/>
      <c r="L447" s="101">
        <v>10000</v>
      </c>
      <c r="M447" s="207"/>
      <c r="N447" s="207"/>
    </row>
    <row r="448" spans="1:14" s="212" customFormat="1" ht="17.45" customHeight="1" x14ac:dyDescent="0.25">
      <c r="A448" s="211"/>
      <c r="B448" s="617" t="s">
        <v>163</v>
      </c>
      <c r="C448" s="617" t="s">
        <v>1386</v>
      </c>
      <c r="D448" s="131" t="s">
        <v>187</v>
      </c>
      <c r="E448" s="44" t="s">
        <v>186</v>
      </c>
      <c r="F448" s="113"/>
      <c r="G448" s="113"/>
      <c r="H448" s="113"/>
      <c r="I448" s="101">
        <v>0</v>
      </c>
      <c r="J448" s="102">
        <v>15000</v>
      </c>
      <c r="K448" s="101"/>
      <c r="L448" s="101">
        <v>15000</v>
      </c>
      <c r="M448" s="207"/>
      <c r="N448" s="207"/>
    </row>
    <row r="449" spans="1:14" ht="17.45" customHeight="1" x14ac:dyDescent="0.25">
      <c r="A449" s="626"/>
      <c r="B449" s="617" t="s">
        <v>163</v>
      </c>
      <c r="C449" s="617" t="s">
        <v>1386</v>
      </c>
      <c r="D449" s="133" t="s">
        <v>187</v>
      </c>
      <c r="E449" s="245" t="s">
        <v>186</v>
      </c>
      <c r="F449" s="116"/>
      <c r="G449" s="116"/>
      <c r="H449" s="116"/>
      <c r="I449" s="105">
        <v>0</v>
      </c>
      <c r="J449" s="106">
        <v>30000</v>
      </c>
      <c r="K449" s="105"/>
      <c r="L449" s="105">
        <v>110000</v>
      </c>
    </row>
    <row r="450" spans="1:14" s="48" customFormat="1" ht="18" customHeight="1" x14ac:dyDescent="0.25">
      <c r="A450" s="626"/>
      <c r="B450" s="617" t="s">
        <v>163</v>
      </c>
      <c r="C450" s="617" t="s">
        <v>1386</v>
      </c>
      <c r="D450" s="131" t="s">
        <v>187</v>
      </c>
      <c r="E450" s="700" t="s">
        <v>297</v>
      </c>
      <c r="F450" s="688"/>
      <c r="G450" s="688"/>
      <c r="H450" s="688"/>
      <c r="I450" s="101"/>
      <c r="J450" s="102">
        <v>100000</v>
      </c>
      <c r="K450" s="101"/>
      <c r="L450" s="101">
        <v>100000</v>
      </c>
      <c r="M450" s="6"/>
      <c r="N450" s="6"/>
    </row>
    <row r="451" spans="1:14" s="48" customFormat="1" ht="18" customHeight="1" x14ac:dyDescent="0.25">
      <c r="A451" s="626"/>
      <c r="B451" s="617" t="s">
        <v>163</v>
      </c>
      <c r="C451" s="617" t="s">
        <v>1386</v>
      </c>
      <c r="D451" s="131" t="s">
        <v>187</v>
      </c>
      <c r="E451" s="700" t="s">
        <v>297</v>
      </c>
      <c r="F451" s="688"/>
      <c r="G451" s="688"/>
      <c r="H451" s="688"/>
      <c r="I451" s="101">
        <v>0</v>
      </c>
      <c r="J451" s="102">
        <v>200000</v>
      </c>
      <c r="K451" s="101">
        <v>770</v>
      </c>
      <c r="L451" s="101">
        <v>200000</v>
      </c>
      <c r="M451" s="6"/>
      <c r="N451" s="6"/>
    </row>
    <row r="452" spans="1:14" s="48" customFormat="1" ht="18" customHeight="1" x14ac:dyDescent="0.25">
      <c r="A452" s="626"/>
      <c r="B452" s="617" t="s">
        <v>163</v>
      </c>
      <c r="C452" s="617" t="s">
        <v>1386</v>
      </c>
      <c r="D452" s="131" t="s">
        <v>187</v>
      </c>
      <c r="E452" s="700" t="s">
        <v>297</v>
      </c>
      <c r="F452" s="688"/>
      <c r="G452" s="688"/>
      <c r="H452" s="688"/>
      <c r="I452" s="101"/>
      <c r="J452" s="102">
        <v>250000</v>
      </c>
      <c r="K452" s="101"/>
      <c r="L452" s="101">
        <v>250000</v>
      </c>
      <c r="M452" s="6"/>
      <c r="N452" s="6"/>
    </row>
    <row r="453" spans="1:14" s="48" customFormat="1" ht="18" customHeight="1" x14ac:dyDescent="0.25">
      <c r="A453" s="626"/>
      <c r="B453" s="617" t="s">
        <v>163</v>
      </c>
      <c r="C453" s="617" t="s">
        <v>1386</v>
      </c>
      <c r="D453" s="131" t="s">
        <v>187</v>
      </c>
      <c r="E453" s="700" t="s">
        <v>297</v>
      </c>
      <c r="F453" s="688"/>
      <c r="G453" s="688"/>
      <c r="H453" s="688"/>
      <c r="I453" s="101">
        <v>0</v>
      </c>
      <c r="J453" s="102">
        <v>30000</v>
      </c>
      <c r="K453" s="101"/>
      <c r="L453" s="101"/>
      <c r="M453" s="6"/>
      <c r="N453" s="6"/>
    </row>
    <row r="454" spans="1:14" s="48" customFormat="1" ht="18" customHeight="1" x14ac:dyDescent="0.25">
      <c r="A454" s="626"/>
      <c r="B454" s="617" t="s">
        <v>163</v>
      </c>
      <c r="C454" s="617" t="s">
        <v>1386</v>
      </c>
      <c r="D454" s="131" t="s">
        <v>187</v>
      </c>
      <c r="E454" s="700" t="s">
        <v>297</v>
      </c>
      <c r="F454" s="688"/>
      <c r="G454" s="688"/>
      <c r="H454" s="688"/>
      <c r="I454" s="101">
        <v>0</v>
      </c>
      <c r="J454" s="102">
        <v>10000</v>
      </c>
      <c r="K454" s="101"/>
      <c r="L454" s="102">
        <v>10000</v>
      </c>
      <c r="M454" s="6"/>
      <c r="N454" s="6"/>
    </row>
    <row r="455" spans="1:14" s="48" customFormat="1" ht="18" customHeight="1" x14ac:dyDescent="0.25">
      <c r="A455" s="626"/>
      <c r="B455" s="617" t="s">
        <v>163</v>
      </c>
      <c r="C455" s="617" t="s">
        <v>1386</v>
      </c>
      <c r="D455" s="131" t="s">
        <v>187</v>
      </c>
      <c r="E455" s="700" t="s">
        <v>297</v>
      </c>
      <c r="F455" s="688"/>
      <c r="G455" s="688"/>
      <c r="H455" s="688"/>
      <c r="I455" s="101">
        <v>784</v>
      </c>
      <c r="J455" s="102">
        <v>25000</v>
      </c>
      <c r="K455" s="101"/>
      <c r="L455" s="101">
        <v>25000</v>
      </c>
      <c r="M455" s="6"/>
      <c r="N455" s="6"/>
    </row>
    <row r="456" spans="1:14" s="48" customFormat="1" ht="18" customHeight="1" x14ac:dyDescent="0.25">
      <c r="A456" s="626"/>
      <c r="B456" s="617" t="s">
        <v>163</v>
      </c>
      <c r="C456" s="617" t="s">
        <v>1386</v>
      </c>
      <c r="D456" s="172" t="s">
        <v>187</v>
      </c>
      <c r="E456" s="700" t="s">
        <v>297</v>
      </c>
      <c r="F456" s="694"/>
      <c r="G456" s="694"/>
      <c r="H456" s="694"/>
      <c r="I456" s="102"/>
      <c r="J456" s="102">
        <v>60000</v>
      </c>
      <c r="K456" s="102">
        <v>24258</v>
      </c>
      <c r="L456" s="102">
        <v>80000</v>
      </c>
      <c r="M456" s="6"/>
      <c r="N456" s="6"/>
    </row>
    <row r="457" spans="1:14" s="48" customFormat="1" ht="18" customHeight="1" x14ac:dyDescent="0.25">
      <c r="A457" s="626"/>
      <c r="B457" s="617" t="s">
        <v>163</v>
      </c>
      <c r="C457" s="617" t="s">
        <v>1386</v>
      </c>
      <c r="D457" s="131" t="s">
        <v>187</v>
      </c>
      <c r="E457" s="245" t="s">
        <v>186</v>
      </c>
      <c r="F457" s="116"/>
      <c r="G457" s="116"/>
      <c r="H457" s="116"/>
      <c r="I457" s="101">
        <v>9061.92</v>
      </c>
      <c r="J457" s="102">
        <v>50000</v>
      </c>
      <c r="K457" s="101">
        <v>11044.12</v>
      </c>
      <c r="L457" s="101">
        <v>50000</v>
      </c>
      <c r="M457" s="6"/>
      <c r="N457" s="6"/>
    </row>
    <row r="458" spans="1:14" s="48" customFormat="1" ht="18" customHeight="1" x14ac:dyDescent="0.25">
      <c r="A458" s="626"/>
      <c r="B458" s="617" t="s">
        <v>163</v>
      </c>
      <c r="C458" s="617" t="s">
        <v>1386</v>
      </c>
      <c r="D458" s="131" t="s">
        <v>187</v>
      </c>
      <c r="E458" s="245" t="s">
        <v>386</v>
      </c>
      <c r="F458" s="97"/>
      <c r="G458" s="97"/>
      <c r="H458" s="97"/>
      <c r="I458" s="101">
        <v>0</v>
      </c>
      <c r="J458" s="102">
        <v>190000</v>
      </c>
      <c r="K458" s="101"/>
      <c r="L458" s="102">
        <v>700000</v>
      </c>
      <c r="M458" s="6"/>
      <c r="N458" s="6"/>
    </row>
    <row r="459" spans="1:14" s="48" customFormat="1" ht="18" customHeight="1" x14ac:dyDescent="0.25">
      <c r="A459" s="626"/>
      <c r="B459" s="617" t="s">
        <v>163</v>
      </c>
      <c r="C459" s="617" t="s">
        <v>1386</v>
      </c>
      <c r="D459" s="131" t="s">
        <v>187</v>
      </c>
      <c r="E459" s="245" t="s">
        <v>186</v>
      </c>
      <c r="F459" s="97"/>
      <c r="G459" s="97"/>
      <c r="H459" s="97"/>
      <c r="I459" s="101"/>
      <c r="J459" s="102">
        <v>50000</v>
      </c>
      <c r="K459" s="101"/>
      <c r="L459" s="101">
        <v>50000</v>
      </c>
      <c r="M459" s="6"/>
      <c r="N459" s="6"/>
    </row>
    <row r="460" spans="1:14" s="48" customFormat="1" ht="18" customHeight="1" x14ac:dyDescent="0.25">
      <c r="A460" s="626"/>
      <c r="B460" s="617" t="s">
        <v>163</v>
      </c>
      <c r="C460" s="617" t="s">
        <v>1386</v>
      </c>
      <c r="D460" s="131" t="s">
        <v>187</v>
      </c>
      <c r="E460" s="245" t="s">
        <v>186</v>
      </c>
      <c r="F460" s="97"/>
      <c r="G460" s="97"/>
      <c r="H460" s="97"/>
      <c r="I460" s="101"/>
      <c r="J460" s="102">
        <v>10000</v>
      </c>
      <c r="K460" s="101"/>
      <c r="L460" s="101">
        <v>10000</v>
      </c>
      <c r="M460" s="6"/>
      <c r="N460" s="6"/>
    </row>
    <row r="461" spans="1:14" s="48" customFormat="1" ht="18" customHeight="1" x14ac:dyDescent="0.25">
      <c r="A461" s="626"/>
      <c r="B461" s="617" t="s">
        <v>163</v>
      </c>
      <c r="C461" s="617" t="s">
        <v>1386</v>
      </c>
      <c r="D461" s="131" t="s">
        <v>356</v>
      </c>
      <c r="E461" s="245" t="s">
        <v>355</v>
      </c>
      <c r="F461" s="116"/>
      <c r="G461" s="116"/>
      <c r="H461" s="116"/>
      <c r="I461" s="101">
        <v>8967.84</v>
      </c>
      <c r="J461" s="102">
        <v>30000</v>
      </c>
      <c r="K461" s="101"/>
      <c r="L461" s="101">
        <v>30000</v>
      </c>
      <c r="M461" s="6"/>
      <c r="N461" s="6"/>
    </row>
    <row r="462" spans="1:14" s="48" customFormat="1" ht="18" customHeight="1" x14ac:dyDescent="0.25">
      <c r="A462" s="626"/>
      <c r="B462" s="617" t="s">
        <v>163</v>
      </c>
      <c r="C462" s="617" t="s">
        <v>1386</v>
      </c>
      <c r="D462" s="131" t="s">
        <v>356</v>
      </c>
      <c r="E462" s="44" t="s">
        <v>355</v>
      </c>
      <c r="F462" s="125"/>
      <c r="G462" s="125"/>
      <c r="H462" s="134"/>
      <c r="I462" s="101">
        <v>0</v>
      </c>
      <c r="J462" s="102">
        <v>50000</v>
      </c>
      <c r="K462" s="101"/>
      <c r="L462" s="101">
        <v>50000</v>
      </c>
      <c r="M462" s="6">
        <f>SUM(L446:L462)</f>
        <v>1890000</v>
      </c>
      <c r="N462" s="6"/>
    </row>
    <row r="463" spans="1:14" s="48" customFormat="1" ht="18" customHeight="1" x14ac:dyDescent="0.25">
      <c r="A463" s="626"/>
      <c r="B463" s="617" t="s">
        <v>163</v>
      </c>
      <c r="C463" s="617" t="s">
        <v>1386</v>
      </c>
      <c r="D463" s="131" t="s">
        <v>388</v>
      </c>
      <c r="E463" s="44" t="s">
        <v>387</v>
      </c>
      <c r="F463" s="125"/>
      <c r="G463" s="125"/>
      <c r="H463" s="134"/>
      <c r="I463" s="101"/>
      <c r="J463" s="102">
        <v>300000</v>
      </c>
      <c r="K463" s="101"/>
      <c r="L463" s="102">
        <v>300000</v>
      </c>
      <c r="M463" s="6"/>
      <c r="N463" s="6"/>
    </row>
    <row r="464" spans="1:14" s="48" customFormat="1" ht="18" customHeight="1" x14ac:dyDescent="0.25">
      <c r="A464" s="626"/>
      <c r="B464" s="617" t="s">
        <v>163</v>
      </c>
      <c r="C464" s="617" t="s">
        <v>1386</v>
      </c>
      <c r="D464" s="131" t="s">
        <v>388</v>
      </c>
      <c r="E464" s="245" t="s">
        <v>389</v>
      </c>
      <c r="F464" s="97"/>
      <c r="G464" s="97"/>
      <c r="H464" s="97"/>
      <c r="I464" s="101"/>
      <c r="J464" s="102">
        <v>200000</v>
      </c>
      <c r="K464" s="101"/>
      <c r="L464" s="102">
        <v>200000</v>
      </c>
      <c r="M464" s="6"/>
      <c r="N464" s="6"/>
    </row>
    <row r="465" spans="1:14" s="48" customFormat="1" ht="18" customHeight="1" x14ac:dyDescent="0.25">
      <c r="A465" s="626"/>
      <c r="B465" s="617" t="s">
        <v>163</v>
      </c>
      <c r="C465" s="617" t="s">
        <v>1386</v>
      </c>
      <c r="D465" s="131" t="s">
        <v>391</v>
      </c>
      <c r="E465" s="44" t="s">
        <v>390</v>
      </c>
      <c r="F465" s="125"/>
      <c r="G465" s="125"/>
      <c r="H465" s="134"/>
      <c r="I465" s="101">
        <v>148597</v>
      </c>
      <c r="J465" s="102">
        <v>500000</v>
      </c>
      <c r="K465" s="101"/>
      <c r="L465" s="102">
        <v>500000</v>
      </c>
      <c r="M465" s="6"/>
      <c r="N465" s="6"/>
    </row>
    <row r="466" spans="1:14" s="48" customFormat="1" ht="18" customHeight="1" x14ac:dyDescent="0.25">
      <c r="A466" s="626"/>
      <c r="B466" s="617" t="s">
        <v>163</v>
      </c>
      <c r="C466" s="617" t="s">
        <v>1386</v>
      </c>
      <c r="D466" s="131" t="s">
        <v>189</v>
      </c>
      <c r="E466" s="245" t="s">
        <v>188</v>
      </c>
      <c r="F466" s="116"/>
      <c r="G466" s="116"/>
      <c r="H466" s="116"/>
      <c r="I466" s="101">
        <v>178931</v>
      </c>
      <c r="J466" s="102">
        <v>1000000</v>
      </c>
      <c r="K466" s="101">
        <v>64181.86</v>
      </c>
      <c r="L466" s="101">
        <v>800000</v>
      </c>
      <c r="M466" s="6"/>
      <c r="N466" s="6"/>
    </row>
    <row r="467" spans="1:14" s="48" customFormat="1" ht="18" customHeight="1" x14ac:dyDescent="0.25">
      <c r="A467" s="626"/>
      <c r="B467" s="617" t="s">
        <v>163</v>
      </c>
      <c r="C467" s="617" t="s">
        <v>1386</v>
      </c>
      <c r="D467" s="131" t="s">
        <v>189</v>
      </c>
      <c r="E467" s="700" t="s">
        <v>298</v>
      </c>
      <c r="F467" s="688"/>
      <c r="G467" s="688"/>
      <c r="H467" s="688"/>
      <c r="I467" s="101">
        <v>180668.74</v>
      </c>
      <c r="J467" s="102">
        <v>350000</v>
      </c>
      <c r="K467" s="101">
        <v>5775</v>
      </c>
      <c r="L467" s="101">
        <v>350000</v>
      </c>
      <c r="M467" s="6"/>
      <c r="N467" s="6"/>
    </row>
    <row r="468" spans="1:14" s="48" customFormat="1" ht="18" customHeight="1" x14ac:dyDescent="0.25">
      <c r="A468" s="626"/>
      <c r="B468" s="617" t="s">
        <v>163</v>
      </c>
      <c r="C468" s="617" t="s">
        <v>1386</v>
      </c>
      <c r="D468" s="131" t="s">
        <v>189</v>
      </c>
      <c r="E468" s="700" t="s">
        <v>298</v>
      </c>
      <c r="F468" s="688"/>
      <c r="G468" s="688"/>
      <c r="H468" s="688"/>
      <c r="I468" s="101"/>
      <c r="J468" s="102">
        <v>200000</v>
      </c>
      <c r="K468" s="101"/>
      <c r="L468" s="101">
        <v>200000</v>
      </c>
      <c r="M468" s="6"/>
      <c r="N468" s="6"/>
    </row>
    <row r="469" spans="1:14" s="48" customFormat="1" ht="18" customHeight="1" x14ac:dyDescent="0.25">
      <c r="A469" s="626"/>
      <c r="B469" s="617" t="s">
        <v>163</v>
      </c>
      <c r="C469" s="617" t="s">
        <v>1386</v>
      </c>
      <c r="D469" s="131" t="s">
        <v>189</v>
      </c>
      <c r="E469" s="700" t="s">
        <v>298</v>
      </c>
      <c r="F469" s="688"/>
      <c r="G469" s="688"/>
      <c r="H469" s="688"/>
      <c r="I469" s="105">
        <v>0</v>
      </c>
      <c r="J469" s="106">
        <v>100000</v>
      </c>
      <c r="K469" s="105"/>
      <c r="L469" s="105">
        <v>100000</v>
      </c>
      <c r="M469" s="6"/>
      <c r="N469" s="6"/>
    </row>
    <row r="470" spans="1:14" s="48" customFormat="1" ht="18" customHeight="1" x14ac:dyDescent="0.25">
      <c r="A470" s="154"/>
      <c r="B470" s="617" t="s">
        <v>163</v>
      </c>
      <c r="C470" s="617" t="s">
        <v>1386</v>
      </c>
      <c r="D470" s="131" t="s">
        <v>189</v>
      </c>
      <c r="E470" s="44" t="s">
        <v>392</v>
      </c>
      <c r="F470" s="125"/>
      <c r="G470" s="125"/>
      <c r="H470" s="134"/>
      <c r="I470" s="101">
        <v>0</v>
      </c>
      <c r="J470" s="102">
        <v>3730000</v>
      </c>
      <c r="K470" s="101">
        <v>22871.4</v>
      </c>
      <c r="L470" s="102">
        <v>6753266</v>
      </c>
      <c r="M470" s="6">
        <f>SUM(L466:L470)</f>
        <v>8203266</v>
      </c>
      <c r="N470" s="6"/>
    </row>
    <row r="471" spans="1:14" s="48" customFormat="1" ht="18" customHeight="1" x14ac:dyDescent="0.25">
      <c r="A471" s="154"/>
      <c r="B471" s="617" t="s">
        <v>163</v>
      </c>
      <c r="C471" s="617" t="s">
        <v>1386</v>
      </c>
      <c r="D471" s="131" t="s">
        <v>431</v>
      </c>
      <c r="E471" s="44" t="s">
        <v>430</v>
      </c>
      <c r="F471" s="125"/>
      <c r="G471" s="125"/>
      <c r="H471" s="134"/>
      <c r="I471" s="101">
        <v>274275</v>
      </c>
      <c r="J471" s="102">
        <v>350000</v>
      </c>
      <c r="K471" s="101">
        <v>29250</v>
      </c>
      <c r="L471" s="101">
        <v>400000</v>
      </c>
      <c r="M471" s="6"/>
      <c r="N471" s="6">
        <v>40000</v>
      </c>
    </row>
    <row r="472" spans="1:14" s="48" customFormat="1" ht="18" customHeight="1" x14ac:dyDescent="0.25">
      <c r="A472" s="154"/>
      <c r="B472" s="617" t="s">
        <v>163</v>
      </c>
      <c r="C472" s="617" t="s">
        <v>1386</v>
      </c>
      <c r="D472" s="176" t="s">
        <v>395</v>
      </c>
      <c r="E472" s="180" t="s">
        <v>394</v>
      </c>
      <c r="F472" s="225"/>
      <c r="G472" s="225"/>
      <c r="H472" s="226"/>
      <c r="I472" s="101"/>
      <c r="J472" s="102"/>
      <c r="K472" s="101"/>
      <c r="L472" s="101"/>
      <c r="M472" s="6"/>
      <c r="N472" s="6"/>
    </row>
    <row r="473" spans="1:14" s="48" customFormat="1" ht="18" customHeight="1" x14ac:dyDescent="0.25">
      <c r="A473" s="154"/>
      <c r="B473" s="617" t="s">
        <v>163</v>
      </c>
      <c r="C473" s="617" t="s">
        <v>1386</v>
      </c>
      <c r="D473" s="176" t="s">
        <v>395</v>
      </c>
      <c r="E473" s="180" t="s">
        <v>396</v>
      </c>
      <c r="F473" s="225"/>
      <c r="G473" s="225"/>
      <c r="H473" s="226"/>
      <c r="I473" s="101">
        <v>159551.29999999999</v>
      </c>
      <c r="J473" s="102">
        <v>304000</v>
      </c>
      <c r="K473" s="101">
        <v>65712.539999999994</v>
      </c>
      <c r="L473" s="101">
        <v>304000</v>
      </c>
      <c r="M473" s="6"/>
      <c r="N473" s="6">
        <v>40000</v>
      </c>
    </row>
    <row r="474" spans="1:14" s="48" customFormat="1" ht="18" customHeight="1" x14ac:dyDescent="0.25">
      <c r="A474" s="154"/>
      <c r="B474" s="617" t="s">
        <v>163</v>
      </c>
      <c r="C474" s="617" t="s">
        <v>1386</v>
      </c>
      <c r="D474" s="176" t="s">
        <v>395</v>
      </c>
      <c r="E474" s="180" t="s">
        <v>397</v>
      </c>
      <c r="F474" s="225"/>
      <c r="G474" s="225"/>
      <c r="H474" s="226"/>
      <c r="I474" s="101">
        <v>442353.9</v>
      </c>
      <c r="J474" s="102">
        <v>1470000</v>
      </c>
      <c r="K474" s="101">
        <v>216394.47</v>
      </c>
      <c r="L474" s="101">
        <v>1465000</v>
      </c>
      <c r="M474" s="6"/>
      <c r="N474" s="6"/>
    </row>
    <row r="475" spans="1:14" s="48" customFormat="1" ht="18" customHeight="1" x14ac:dyDescent="0.25">
      <c r="A475" s="154"/>
      <c r="B475" s="617" t="s">
        <v>163</v>
      </c>
      <c r="C475" s="617" t="s">
        <v>1386</v>
      </c>
      <c r="D475" s="176" t="s">
        <v>395</v>
      </c>
      <c r="E475" s="180" t="s">
        <v>398</v>
      </c>
      <c r="F475" s="225"/>
      <c r="G475" s="225"/>
      <c r="H475" s="226"/>
      <c r="I475" s="101">
        <v>45400</v>
      </c>
      <c r="J475" s="102">
        <v>39700</v>
      </c>
      <c r="K475" s="101">
        <v>17536</v>
      </c>
      <c r="L475" s="101">
        <v>52400</v>
      </c>
      <c r="M475" s="6"/>
      <c r="N475" s="6"/>
    </row>
    <row r="476" spans="1:14" s="48" customFormat="1" ht="18" customHeight="1" x14ac:dyDescent="0.25">
      <c r="A476" s="154"/>
      <c r="B476" s="617" t="s">
        <v>163</v>
      </c>
      <c r="C476" s="617" t="s">
        <v>1386</v>
      </c>
      <c r="D476" s="131" t="s">
        <v>395</v>
      </c>
      <c r="E476" s="44" t="s">
        <v>399</v>
      </c>
      <c r="F476" s="125"/>
      <c r="G476" s="125"/>
      <c r="H476" s="134"/>
      <c r="I476" s="101">
        <v>502096</v>
      </c>
      <c r="J476" s="102">
        <v>760000</v>
      </c>
      <c r="K476" s="101">
        <v>361222.40000000002</v>
      </c>
      <c r="L476" s="101">
        <v>760000</v>
      </c>
      <c r="M476" s="6"/>
      <c r="N476" s="6"/>
    </row>
    <row r="477" spans="1:14" s="48" customFormat="1" ht="18" customHeight="1" x14ac:dyDescent="0.25">
      <c r="A477" s="154"/>
      <c r="B477" s="617" t="s">
        <v>163</v>
      </c>
      <c r="C477" s="617" t="s">
        <v>1386</v>
      </c>
      <c r="D477" s="131" t="s">
        <v>191</v>
      </c>
      <c r="E477" s="44" t="s">
        <v>190</v>
      </c>
      <c r="F477" s="113"/>
      <c r="G477" s="113"/>
      <c r="H477" s="114"/>
      <c r="I477" s="101"/>
      <c r="J477" s="102">
        <v>120000</v>
      </c>
      <c r="K477" s="101"/>
      <c r="L477" s="101">
        <v>120000</v>
      </c>
      <c r="M477" s="6"/>
      <c r="N477" s="6"/>
    </row>
    <row r="478" spans="1:14" s="48" customFormat="1" ht="18" customHeight="1" x14ac:dyDescent="0.25">
      <c r="A478" s="154"/>
      <c r="B478" s="617" t="s">
        <v>163</v>
      </c>
      <c r="C478" s="617" t="s">
        <v>1386</v>
      </c>
      <c r="D478" s="131" t="s">
        <v>191</v>
      </c>
      <c r="E478" s="206" t="s">
        <v>190</v>
      </c>
      <c r="F478" s="184"/>
      <c r="G478" s="184"/>
      <c r="H478" s="185"/>
      <c r="I478" s="101">
        <v>5000</v>
      </c>
      <c r="J478" s="102">
        <v>150000</v>
      </c>
      <c r="K478" s="101"/>
      <c r="L478" s="101">
        <v>150000</v>
      </c>
      <c r="M478" s="6"/>
      <c r="N478" s="6"/>
    </row>
    <row r="479" spans="1:14" s="48" customFormat="1" ht="18" customHeight="1" x14ac:dyDescent="0.25">
      <c r="A479" s="154"/>
      <c r="B479" s="617" t="s">
        <v>163</v>
      </c>
      <c r="C479" s="617" t="s">
        <v>1386</v>
      </c>
      <c r="D479" s="131" t="s">
        <v>191</v>
      </c>
      <c r="E479" s="206" t="s">
        <v>190</v>
      </c>
      <c r="F479" s="184"/>
      <c r="G479" s="184"/>
      <c r="H479" s="185"/>
      <c r="I479" s="101"/>
      <c r="J479" s="102"/>
      <c r="K479" s="101"/>
      <c r="L479" s="101">
        <v>125000</v>
      </c>
      <c r="M479" s="6">
        <f>SUM(L477:L479)</f>
        <v>395000</v>
      </c>
      <c r="N479" s="6">
        <v>20000</v>
      </c>
    </row>
    <row r="480" spans="1:14" s="48" customFormat="1" ht="18" customHeight="1" x14ac:dyDescent="0.25">
      <c r="A480" s="154"/>
      <c r="B480" s="617" t="s">
        <v>163</v>
      </c>
      <c r="C480" s="617" t="s">
        <v>1386</v>
      </c>
      <c r="D480" s="131" t="s">
        <v>282</v>
      </c>
      <c r="E480" s="206" t="s">
        <v>331</v>
      </c>
      <c r="F480" s="184"/>
      <c r="G480" s="184"/>
      <c r="H480" s="185"/>
      <c r="I480" s="101">
        <v>0</v>
      </c>
      <c r="J480" s="102">
        <v>100000</v>
      </c>
      <c r="K480" s="101"/>
      <c r="L480" s="101">
        <v>100000</v>
      </c>
      <c r="M480" s="6"/>
      <c r="N480" s="6"/>
    </row>
    <row r="481" spans="1:16" s="48" customFormat="1" ht="18" customHeight="1" x14ac:dyDescent="0.25">
      <c r="A481" s="154"/>
      <c r="B481" s="617" t="s">
        <v>163</v>
      </c>
      <c r="C481" s="617" t="s">
        <v>1386</v>
      </c>
      <c r="D481" s="131" t="s">
        <v>282</v>
      </c>
      <c r="E481" s="206" t="s">
        <v>342</v>
      </c>
      <c r="F481" s="184"/>
      <c r="G481" s="184"/>
      <c r="H481" s="185"/>
      <c r="I481" s="101">
        <v>7275</v>
      </c>
      <c r="J481" s="102">
        <v>20000</v>
      </c>
      <c r="K481" s="101"/>
      <c r="L481" s="101">
        <v>50000</v>
      </c>
      <c r="M481" s="6">
        <f>SUM(L480:L481)</f>
        <v>150000</v>
      </c>
      <c r="N481" s="6"/>
    </row>
    <row r="482" spans="1:16" s="48" customFormat="1" ht="18" customHeight="1" x14ac:dyDescent="0.25">
      <c r="A482" s="154"/>
      <c r="B482" s="617" t="s">
        <v>163</v>
      </c>
      <c r="C482" s="617" t="s">
        <v>1386</v>
      </c>
      <c r="D482" s="131" t="s">
        <v>193</v>
      </c>
      <c r="E482" s="44" t="s">
        <v>192</v>
      </c>
      <c r="F482" s="113"/>
      <c r="G482" s="113"/>
      <c r="H482" s="114"/>
      <c r="I482" s="101">
        <v>817830</v>
      </c>
      <c r="J482" s="102">
        <v>2400000</v>
      </c>
      <c r="K482" s="101">
        <v>56665</v>
      </c>
      <c r="L482" s="101">
        <v>2900000</v>
      </c>
      <c r="M482" s="6"/>
      <c r="N482" s="6"/>
    </row>
    <row r="483" spans="1:16" s="48" customFormat="1" ht="18" customHeight="1" x14ac:dyDescent="0.25">
      <c r="A483" s="154"/>
      <c r="B483" s="617" t="s">
        <v>163</v>
      </c>
      <c r="C483" s="617" t="s">
        <v>1386</v>
      </c>
      <c r="D483" s="131" t="s">
        <v>193</v>
      </c>
      <c r="E483" s="206" t="s">
        <v>192</v>
      </c>
      <c r="F483" s="184"/>
      <c r="G483" s="184"/>
      <c r="H483" s="185"/>
      <c r="I483" s="101">
        <v>30600</v>
      </c>
      <c r="J483" s="102">
        <v>300000</v>
      </c>
      <c r="K483" s="101"/>
      <c r="L483" s="101">
        <v>300000</v>
      </c>
      <c r="M483" s="6"/>
      <c r="N483" s="6"/>
    </row>
    <row r="484" spans="1:16" s="48" customFormat="1" ht="18" customHeight="1" x14ac:dyDescent="0.25">
      <c r="A484" s="154"/>
      <c r="B484" s="617" t="s">
        <v>163</v>
      </c>
      <c r="C484" s="617" t="s">
        <v>1386</v>
      </c>
      <c r="D484" s="131" t="s">
        <v>193</v>
      </c>
      <c r="E484" s="206" t="s">
        <v>192</v>
      </c>
      <c r="F484" s="184"/>
      <c r="G484" s="184"/>
      <c r="H484" s="185"/>
      <c r="I484" s="101">
        <v>0</v>
      </c>
      <c r="J484" s="102">
        <v>500000</v>
      </c>
      <c r="K484" s="101">
        <v>6000</v>
      </c>
      <c r="L484" s="101">
        <v>500000</v>
      </c>
      <c r="M484" s="6">
        <f>SUM(L482:L484)</f>
        <v>3700000</v>
      </c>
      <c r="N484" s="6"/>
    </row>
    <row r="485" spans="1:16" s="48" customFormat="1" ht="18" customHeight="1" x14ac:dyDescent="0.25">
      <c r="A485" s="154"/>
      <c r="B485" s="617" t="s">
        <v>163</v>
      </c>
      <c r="C485" s="617" t="s">
        <v>1386</v>
      </c>
      <c r="D485" s="131" t="s">
        <v>237</v>
      </c>
      <c r="E485" s="206" t="s">
        <v>299</v>
      </c>
      <c r="F485" s="184"/>
      <c r="G485" s="184"/>
      <c r="H485" s="185"/>
      <c r="I485" s="101">
        <v>0</v>
      </c>
      <c r="J485" s="102">
        <v>20000</v>
      </c>
      <c r="K485" s="101"/>
      <c r="L485" s="101">
        <v>20000</v>
      </c>
      <c r="M485" s="207"/>
      <c r="N485" s="207"/>
      <c r="O485" s="212"/>
      <c r="P485" s="212"/>
    </row>
    <row r="486" spans="1:16" s="48" customFormat="1" ht="18" customHeight="1" x14ac:dyDescent="0.25">
      <c r="A486" s="154"/>
      <c r="B486" s="617" t="s">
        <v>163</v>
      </c>
      <c r="C486" s="617" t="s">
        <v>1386</v>
      </c>
      <c r="D486" s="131" t="s">
        <v>237</v>
      </c>
      <c r="E486" s="206" t="s">
        <v>299</v>
      </c>
      <c r="F486" s="184"/>
      <c r="G486" s="184"/>
      <c r="H486" s="185"/>
      <c r="I486" s="101">
        <v>15000</v>
      </c>
      <c r="J486" s="102">
        <v>125000</v>
      </c>
      <c r="K486" s="101"/>
      <c r="L486" s="101">
        <v>500000</v>
      </c>
      <c r="M486" s="6"/>
      <c r="N486" s="6"/>
    </row>
    <row r="487" spans="1:16" s="48" customFormat="1" ht="18" customHeight="1" x14ac:dyDescent="0.25">
      <c r="A487" s="154"/>
      <c r="B487" s="617" t="s">
        <v>163</v>
      </c>
      <c r="C487" s="617" t="s">
        <v>1386</v>
      </c>
      <c r="D487" s="131" t="s">
        <v>237</v>
      </c>
      <c r="E487" s="206" t="s">
        <v>327</v>
      </c>
      <c r="F487" s="184"/>
      <c r="G487" s="184"/>
      <c r="H487" s="185"/>
      <c r="I487" s="101">
        <v>0</v>
      </c>
      <c r="J487" s="102">
        <v>6000</v>
      </c>
      <c r="K487" s="101"/>
      <c r="L487" s="102">
        <v>6000</v>
      </c>
      <c r="M487" s="6"/>
      <c r="N487" s="6"/>
    </row>
    <row r="488" spans="1:16" s="48" customFormat="1" ht="18" customHeight="1" x14ac:dyDescent="0.25">
      <c r="A488" s="154"/>
      <c r="B488" s="617" t="s">
        <v>163</v>
      </c>
      <c r="C488" s="617" t="s">
        <v>1386</v>
      </c>
      <c r="D488" s="131" t="s">
        <v>237</v>
      </c>
      <c r="E488" s="206" t="s">
        <v>299</v>
      </c>
      <c r="F488" s="184"/>
      <c r="G488" s="184"/>
      <c r="H488" s="185"/>
      <c r="I488" s="101">
        <v>0</v>
      </c>
      <c r="J488" s="102">
        <v>8000</v>
      </c>
      <c r="K488" s="101"/>
      <c r="L488" s="101">
        <v>8000</v>
      </c>
      <c r="M488" s="6"/>
      <c r="N488" s="6"/>
    </row>
    <row r="489" spans="1:16" s="48" customFormat="1" ht="18" customHeight="1" x14ac:dyDescent="0.25">
      <c r="A489" s="154"/>
      <c r="B489" s="617" t="s">
        <v>163</v>
      </c>
      <c r="C489" s="617" t="s">
        <v>1386</v>
      </c>
      <c r="D489" s="131" t="s">
        <v>237</v>
      </c>
      <c r="E489" s="206" t="s">
        <v>299</v>
      </c>
      <c r="F489" s="184"/>
      <c r="G489" s="184"/>
      <c r="H489" s="185"/>
      <c r="I489" s="101">
        <v>5000</v>
      </c>
      <c r="J489" s="102">
        <v>12000</v>
      </c>
      <c r="K489" s="101"/>
      <c r="L489" s="101">
        <v>12000</v>
      </c>
      <c r="M489" s="6"/>
      <c r="N489" s="6"/>
    </row>
    <row r="490" spans="1:16" s="48" customFormat="1" ht="18" customHeight="1" thickBot="1" x14ac:dyDescent="0.3">
      <c r="A490" s="214"/>
      <c r="B490" s="617" t="s">
        <v>163</v>
      </c>
      <c r="C490" s="617" t="s">
        <v>1386</v>
      </c>
      <c r="D490" s="218" t="s">
        <v>237</v>
      </c>
      <c r="E490" s="215" t="s">
        <v>236</v>
      </c>
      <c r="F490" s="718"/>
      <c r="G490" s="718"/>
      <c r="H490" s="584"/>
      <c r="I490" s="219">
        <v>0</v>
      </c>
      <c r="J490" s="220">
        <v>6000</v>
      </c>
      <c r="K490" s="219"/>
      <c r="L490" s="219">
        <v>6000</v>
      </c>
      <c r="M490" s="6"/>
      <c r="N490" s="6"/>
    </row>
    <row r="491" spans="1:16" s="48" customFormat="1" ht="18" customHeight="1" x14ac:dyDescent="0.25">
      <c r="A491" s="154"/>
      <c r="B491" s="617" t="s">
        <v>163</v>
      </c>
      <c r="C491" s="617" t="s">
        <v>1386</v>
      </c>
      <c r="D491" s="131" t="s">
        <v>237</v>
      </c>
      <c r="E491" s="44" t="s">
        <v>357</v>
      </c>
      <c r="F491" s="113"/>
      <c r="G491" s="113"/>
      <c r="H491" s="114"/>
      <c r="I491" s="101">
        <v>300</v>
      </c>
      <c r="J491" s="102">
        <v>10000</v>
      </c>
      <c r="K491" s="101"/>
      <c r="L491" s="101">
        <v>10000</v>
      </c>
      <c r="M491" s="6"/>
      <c r="N491" s="6"/>
    </row>
    <row r="492" spans="1:16" s="48" customFormat="1" ht="18" customHeight="1" x14ac:dyDescent="0.25">
      <c r="A492" s="154"/>
      <c r="B492" s="617" t="s">
        <v>163</v>
      </c>
      <c r="C492" s="617" t="s">
        <v>1386</v>
      </c>
      <c r="D492" s="131" t="s">
        <v>237</v>
      </c>
      <c r="E492" s="44" t="s">
        <v>400</v>
      </c>
      <c r="F492" s="125"/>
      <c r="G492" s="125"/>
      <c r="H492" s="134"/>
      <c r="I492" s="101"/>
      <c r="J492" s="102">
        <v>6000</v>
      </c>
      <c r="K492" s="101"/>
      <c r="L492" s="101">
        <v>6000</v>
      </c>
      <c r="M492" s="6"/>
      <c r="N492" s="6"/>
    </row>
    <row r="493" spans="1:16" s="48" customFormat="1" ht="18" customHeight="1" x14ac:dyDescent="0.25">
      <c r="A493" s="154"/>
      <c r="B493" s="617" t="s">
        <v>163</v>
      </c>
      <c r="C493" s="617" t="s">
        <v>1386</v>
      </c>
      <c r="D493" s="131" t="s">
        <v>237</v>
      </c>
      <c r="E493" s="44" t="s">
        <v>432</v>
      </c>
      <c r="F493" s="125"/>
      <c r="G493" s="125"/>
      <c r="H493" s="134"/>
      <c r="I493" s="101">
        <v>0</v>
      </c>
      <c r="J493" s="102">
        <v>12000</v>
      </c>
      <c r="K493" s="101"/>
      <c r="L493" s="101">
        <v>12000</v>
      </c>
      <c r="M493" s="222"/>
      <c r="N493" s="222"/>
      <c r="O493" s="223"/>
      <c r="P493" s="223"/>
    </row>
    <row r="494" spans="1:16" s="48" customFormat="1" ht="18" customHeight="1" x14ac:dyDescent="0.25">
      <c r="A494" s="154"/>
      <c r="B494" s="617" t="s">
        <v>163</v>
      </c>
      <c r="C494" s="617" t="s">
        <v>1386</v>
      </c>
      <c r="D494" s="131" t="s">
        <v>197</v>
      </c>
      <c r="E494" s="44" t="s">
        <v>196</v>
      </c>
      <c r="F494" s="113"/>
      <c r="G494" s="113"/>
      <c r="H494" s="114"/>
      <c r="I494" s="101">
        <v>180000</v>
      </c>
      <c r="J494" s="102">
        <v>250000</v>
      </c>
      <c r="K494" s="101">
        <v>180000</v>
      </c>
      <c r="L494" s="101">
        <v>300000</v>
      </c>
      <c r="M494" s="6"/>
      <c r="N494" s="6"/>
    </row>
    <row r="495" spans="1:16" s="48" customFormat="1" ht="18" customHeight="1" x14ac:dyDescent="0.25">
      <c r="A495" s="154"/>
      <c r="B495" s="617" t="s">
        <v>163</v>
      </c>
      <c r="C495" s="617" t="s">
        <v>1386</v>
      </c>
      <c r="D495" s="131" t="s">
        <v>237</v>
      </c>
      <c r="E495" s="44" t="s">
        <v>439</v>
      </c>
      <c r="F495" s="125"/>
      <c r="G495" s="125"/>
      <c r="H495" s="134"/>
      <c r="I495" s="101">
        <v>0</v>
      </c>
      <c r="J495" s="102">
        <v>6000</v>
      </c>
      <c r="K495" s="101"/>
      <c r="L495" s="101">
        <v>6000</v>
      </c>
      <c r="M495" s="207">
        <f>SUM(L485:L495)</f>
        <v>886000</v>
      </c>
      <c r="N495" s="207"/>
      <c r="O495" s="212"/>
      <c r="P495" s="212"/>
    </row>
    <row r="496" spans="1:16" s="48" customFormat="1" ht="18" customHeight="1" x14ac:dyDescent="0.25">
      <c r="A496" s="154"/>
      <c r="B496" s="617" t="s">
        <v>163</v>
      </c>
      <c r="C496" s="617" t="s">
        <v>1386</v>
      </c>
      <c r="D496" s="131" t="s">
        <v>195</v>
      </c>
      <c r="E496" s="44" t="s">
        <v>194</v>
      </c>
      <c r="F496" s="113"/>
      <c r="G496" s="113"/>
      <c r="H496" s="114"/>
      <c r="I496" s="101">
        <v>0</v>
      </c>
      <c r="J496" s="102">
        <v>120000</v>
      </c>
      <c r="K496" s="101"/>
      <c r="L496" s="101">
        <v>120000</v>
      </c>
      <c r="M496" s="222"/>
      <c r="N496" s="222"/>
      <c r="O496" s="212"/>
      <c r="P496" s="212"/>
    </row>
    <row r="497" spans="1:16" s="212" customFormat="1" ht="18" customHeight="1" x14ac:dyDescent="0.25">
      <c r="A497" s="154"/>
      <c r="B497" s="617" t="s">
        <v>163</v>
      </c>
      <c r="C497" s="617" t="s">
        <v>1386</v>
      </c>
      <c r="D497" s="131" t="s">
        <v>199</v>
      </c>
      <c r="E497" s="44" t="s">
        <v>198</v>
      </c>
      <c r="F497" s="113"/>
      <c r="G497" s="113"/>
      <c r="H497" s="114"/>
      <c r="I497" s="101">
        <v>929000.65</v>
      </c>
      <c r="J497" s="102">
        <v>3000000</v>
      </c>
      <c r="K497" s="101">
        <v>444340.9</v>
      </c>
      <c r="L497" s="101">
        <v>3000000</v>
      </c>
      <c r="M497" s="222"/>
      <c r="N497" s="222"/>
    </row>
    <row r="498" spans="1:16" s="227" customFormat="1" ht="18" customHeight="1" x14ac:dyDescent="0.25">
      <c r="A498" s="224"/>
      <c r="B498" s="617" t="s">
        <v>163</v>
      </c>
      <c r="C498" s="617" t="s">
        <v>1386</v>
      </c>
      <c r="D498" s="131" t="s">
        <v>199</v>
      </c>
      <c r="E498" s="44" t="s">
        <v>198</v>
      </c>
      <c r="F498" s="125"/>
      <c r="G498" s="125"/>
      <c r="H498" s="134"/>
      <c r="I498" s="101">
        <v>1192217.23</v>
      </c>
      <c r="J498" s="102">
        <v>2926687.92</v>
      </c>
      <c r="K498" s="101">
        <v>552261.06999999995</v>
      </c>
      <c r="L498" s="101">
        <v>3055235.04</v>
      </c>
      <c r="M498" s="177"/>
      <c r="N498" s="177"/>
      <c r="O498" s="179"/>
      <c r="P498" s="179"/>
    </row>
    <row r="499" spans="1:16" s="179" customFormat="1" ht="18" customHeight="1" x14ac:dyDescent="0.25">
      <c r="A499" s="224"/>
      <c r="B499" s="617" t="s">
        <v>163</v>
      </c>
      <c r="C499" s="617" t="s">
        <v>1386</v>
      </c>
      <c r="D499" s="131" t="s">
        <v>199</v>
      </c>
      <c r="E499" s="44" t="s">
        <v>198</v>
      </c>
      <c r="F499" s="113"/>
      <c r="G499" s="113"/>
      <c r="H499" s="114"/>
      <c r="I499" s="101">
        <v>0</v>
      </c>
      <c r="J499" s="102">
        <v>5000</v>
      </c>
      <c r="K499" s="101"/>
      <c r="L499" s="101">
        <v>5000</v>
      </c>
      <c r="M499" s="177"/>
      <c r="N499" s="177"/>
    </row>
    <row r="500" spans="1:16" s="179" customFormat="1" ht="18" customHeight="1" x14ac:dyDescent="0.25">
      <c r="A500" s="224"/>
      <c r="B500" s="617" t="s">
        <v>163</v>
      </c>
      <c r="C500" s="617" t="s">
        <v>1386</v>
      </c>
      <c r="D500" s="131" t="s">
        <v>199</v>
      </c>
      <c r="E500" s="44" t="s">
        <v>198</v>
      </c>
      <c r="F500" s="113"/>
      <c r="G500" s="113"/>
      <c r="H500" s="114"/>
      <c r="I500" s="101">
        <v>250723.37</v>
      </c>
      <c r="J500" s="102">
        <v>470953.44</v>
      </c>
      <c r="K500" s="101">
        <v>135125.38</v>
      </c>
      <c r="L500" s="101">
        <v>470953.44</v>
      </c>
      <c r="M500" s="177"/>
      <c r="N500" s="177"/>
    </row>
    <row r="501" spans="1:16" s="179" customFormat="1" ht="18" customHeight="1" x14ac:dyDescent="0.25">
      <c r="A501" s="224"/>
      <c r="B501" s="617" t="s">
        <v>163</v>
      </c>
      <c r="C501" s="617" t="s">
        <v>1386</v>
      </c>
      <c r="D501" s="131" t="s">
        <v>199</v>
      </c>
      <c r="E501" s="44" t="s">
        <v>198</v>
      </c>
      <c r="F501" s="113"/>
      <c r="G501" s="113"/>
      <c r="H501" s="114"/>
      <c r="I501" s="101">
        <v>212843.66</v>
      </c>
      <c r="J501" s="102">
        <v>470953.44</v>
      </c>
      <c r="K501" s="101">
        <v>118466.51</v>
      </c>
      <c r="L501" s="101">
        <v>615600</v>
      </c>
      <c r="M501" s="177"/>
      <c r="N501" s="177"/>
    </row>
    <row r="502" spans="1:16" s="212" customFormat="1" ht="18" customHeight="1" x14ac:dyDescent="0.25">
      <c r="A502" s="154"/>
      <c r="B502" s="617" t="s">
        <v>163</v>
      </c>
      <c r="C502" s="617" t="s">
        <v>1386</v>
      </c>
      <c r="D502" s="131" t="s">
        <v>199</v>
      </c>
      <c r="E502" s="44" t="s">
        <v>198</v>
      </c>
      <c r="F502" s="113"/>
      <c r="G502" s="113"/>
      <c r="H502" s="114"/>
      <c r="I502" s="101">
        <v>276338.58</v>
      </c>
      <c r="J502" s="102">
        <v>1360194.72</v>
      </c>
      <c r="K502" s="101">
        <v>178921.72</v>
      </c>
      <c r="L502" s="101">
        <v>1360194.72</v>
      </c>
      <c r="M502" s="6"/>
      <c r="N502" s="6"/>
      <c r="O502" s="48"/>
      <c r="P502" s="48"/>
    </row>
    <row r="503" spans="1:16" s="212" customFormat="1" ht="18" customHeight="1" x14ac:dyDescent="0.25">
      <c r="A503" s="154"/>
      <c r="B503" s="617" t="s">
        <v>163</v>
      </c>
      <c r="C503" s="617" t="s">
        <v>1386</v>
      </c>
      <c r="D503" s="131" t="s">
        <v>199</v>
      </c>
      <c r="E503" s="206" t="s">
        <v>300</v>
      </c>
      <c r="F503" s="184"/>
      <c r="G503" s="184"/>
      <c r="H503" s="185"/>
      <c r="I503" s="101"/>
      <c r="J503" s="102">
        <v>1000000</v>
      </c>
      <c r="K503" s="101"/>
      <c r="L503" s="101">
        <v>1000000</v>
      </c>
      <c r="M503" s="207"/>
      <c r="N503" s="207"/>
    </row>
    <row r="504" spans="1:16" s="212" customFormat="1" ht="18" customHeight="1" x14ac:dyDescent="0.25">
      <c r="A504" s="154"/>
      <c r="B504" s="617" t="s">
        <v>163</v>
      </c>
      <c r="C504" s="617" t="s">
        <v>1386</v>
      </c>
      <c r="D504" s="131" t="s">
        <v>199</v>
      </c>
      <c r="E504" s="206" t="s">
        <v>300</v>
      </c>
      <c r="F504" s="184"/>
      <c r="G504" s="184"/>
      <c r="H504" s="185"/>
      <c r="I504" s="105"/>
      <c r="J504" s="106">
        <v>200000</v>
      </c>
      <c r="K504" s="105"/>
      <c r="L504" s="105">
        <v>200000</v>
      </c>
      <c r="M504" s="207"/>
      <c r="N504" s="207"/>
    </row>
    <row r="505" spans="1:16" ht="18" customHeight="1" x14ac:dyDescent="0.25">
      <c r="A505" s="615"/>
      <c r="B505" s="617" t="s">
        <v>163</v>
      </c>
      <c r="C505" s="617" t="s">
        <v>1386</v>
      </c>
      <c r="D505" s="131" t="s">
        <v>199</v>
      </c>
      <c r="E505" s="206" t="s">
        <v>300</v>
      </c>
      <c r="F505" s="184"/>
      <c r="G505" s="184"/>
      <c r="H505" s="185"/>
      <c r="I505" s="101">
        <v>12664</v>
      </c>
      <c r="J505" s="102">
        <v>33000</v>
      </c>
      <c r="K505" s="101">
        <v>6556</v>
      </c>
      <c r="L505" s="121"/>
    </row>
    <row r="506" spans="1:16" ht="18" customHeight="1" x14ac:dyDescent="0.25">
      <c r="A506" s="615"/>
      <c r="B506" s="617" t="s">
        <v>163</v>
      </c>
      <c r="C506" s="617" t="s">
        <v>1386</v>
      </c>
      <c r="D506" s="131" t="s">
        <v>199</v>
      </c>
      <c r="E506" s="206" t="s">
        <v>300</v>
      </c>
      <c r="F506" s="184"/>
      <c r="G506" s="184"/>
      <c r="H506" s="185"/>
      <c r="I506" s="101">
        <v>0</v>
      </c>
      <c r="J506" s="102">
        <v>150000</v>
      </c>
      <c r="K506" s="101"/>
      <c r="L506" s="102">
        <v>150000</v>
      </c>
    </row>
    <row r="507" spans="1:16" ht="18" customHeight="1" x14ac:dyDescent="0.25">
      <c r="A507" s="615"/>
      <c r="B507" s="617" t="s">
        <v>163</v>
      </c>
      <c r="C507" s="617" t="s">
        <v>1386</v>
      </c>
      <c r="D507" s="131" t="s">
        <v>199</v>
      </c>
      <c r="E507" s="206" t="s">
        <v>300</v>
      </c>
      <c r="F507" s="184"/>
      <c r="G507" s="184"/>
      <c r="H507" s="185"/>
      <c r="I507" s="101">
        <v>0</v>
      </c>
      <c r="J507" s="102">
        <v>46600</v>
      </c>
      <c r="K507" s="101"/>
      <c r="L507" s="102">
        <v>46600</v>
      </c>
    </row>
    <row r="508" spans="1:16" ht="18" customHeight="1" x14ac:dyDescent="0.25">
      <c r="A508" s="615"/>
      <c r="B508" s="617" t="s">
        <v>163</v>
      </c>
      <c r="C508" s="617" t="s">
        <v>1386</v>
      </c>
      <c r="D508" s="131" t="s">
        <v>199</v>
      </c>
      <c r="E508" s="206" t="s">
        <v>300</v>
      </c>
      <c r="F508" s="184"/>
      <c r="G508" s="184"/>
      <c r="H508" s="185"/>
      <c r="I508" s="101">
        <v>48000</v>
      </c>
      <c r="J508" s="102">
        <v>140000</v>
      </c>
      <c r="K508" s="101"/>
      <c r="L508" s="101">
        <v>145000</v>
      </c>
    </row>
    <row r="509" spans="1:16" ht="18" customHeight="1" x14ac:dyDescent="0.25">
      <c r="A509" s="615"/>
      <c r="B509" s="617" t="s">
        <v>163</v>
      </c>
      <c r="C509" s="617" t="s">
        <v>1386</v>
      </c>
      <c r="D509" s="131" t="s">
        <v>199</v>
      </c>
      <c r="E509" s="206" t="s">
        <v>300</v>
      </c>
      <c r="F509" s="184"/>
      <c r="G509" s="184"/>
      <c r="H509" s="185"/>
      <c r="I509" s="101"/>
      <c r="J509" s="102">
        <v>186796.08</v>
      </c>
      <c r="K509" s="101"/>
      <c r="L509" s="101">
        <v>375310.76</v>
      </c>
    </row>
    <row r="510" spans="1:16" ht="18" customHeight="1" x14ac:dyDescent="0.25">
      <c r="A510" s="615"/>
      <c r="B510" s="617" t="s">
        <v>163</v>
      </c>
      <c r="C510" s="617" t="s">
        <v>1386</v>
      </c>
      <c r="D510" s="131" t="s">
        <v>199</v>
      </c>
      <c r="E510" s="44" t="s">
        <v>198</v>
      </c>
      <c r="F510" s="113"/>
      <c r="G510" s="113"/>
      <c r="H510" s="114"/>
      <c r="I510" s="101">
        <v>130911.65</v>
      </c>
      <c r="J510" s="102">
        <v>257704</v>
      </c>
      <c r="K510" s="101">
        <v>35268.300000000003</v>
      </c>
      <c r="L510" s="101">
        <v>282000</v>
      </c>
    </row>
    <row r="511" spans="1:16" ht="18" customHeight="1" x14ac:dyDescent="0.25">
      <c r="A511" s="615"/>
      <c r="B511" s="617" t="s">
        <v>163</v>
      </c>
      <c r="C511" s="617" t="s">
        <v>1386</v>
      </c>
      <c r="D511" s="131" t="s">
        <v>199</v>
      </c>
      <c r="E511" s="44" t="s">
        <v>198</v>
      </c>
      <c r="F511" s="113"/>
      <c r="G511" s="113"/>
      <c r="H511" s="114"/>
      <c r="I511" s="101">
        <v>379521.71</v>
      </c>
      <c r="J511" s="102">
        <v>552764.80000000005</v>
      </c>
      <c r="K511" s="101">
        <v>163277.51999999999</v>
      </c>
      <c r="L511" s="101">
        <v>550790.64</v>
      </c>
    </row>
    <row r="512" spans="1:16" ht="18" customHeight="1" x14ac:dyDescent="0.25">
      <c r="A512" s="615"/>
      <c r="B512" s="617" t="s">
        <v>163</v>
      </c>
      <c r="C512" s="617" t="s">
        <v>1386</v>
      </c>
      <c r="D512" s="131" t="s">
        <v>199</v>
      </c>
      <c r="E512" s="44" t="s">
        <v>198</v>
      </c>
      <c r="F512" s="125"/>
      <c r="G512" s="125"/>
      <c r="H512" s="134"/>
      <c r="I512" s="101">
        <v>1846475.78</v>
      </c>
      <c r="J512" s="102">
        <v>4250364.6399999997</v>
      </c>
      <c r="K512" s="101">
        <v>890407.89</v>
      </c>
      <c r="L512" s="101">
        <v>4375332</v>
      </c>
    </row>
    <row r="513" spans="1:16" ht="18" customHeight="1" x14ac:dyDescent="0.25">
      <c r="A513" s="615"/>
      <c r="B513" s="617" t="s">
        <v>163</v>
      </c>
      <c r="C513" s="617" t="s">
        <v>1386</v>
      </c>
      <c r="D513" s="131" t="s">
        <v>199</v>
      </c>
      <c r="E513" s="44" t="s">
        <v>198</v>
      </c>
      <c r="F513" s="125"/>
      <c r="G513" s="125"/>
      <c r="H513" s="134"/>
      <c r="I513" s="101">
        <v>119631.61</v>
      </c>
      <c r="J513" s="102">
        <v>156984.48000000001</v>
      </c>
      <c r="K513" s="101">
        <v>7574.4</v>
      </c>
      <c r="L513" s="101">
        <v>156984.48000000001</v>
      </c>
    </row>
    <row r="514" spans="1:16" ht="18" customHeight="1" x14ac:dyDescent="0.25">
      <c r="A514" s="615"/>
      <c r="B514" s="617" t="s">
        <v>163</v>
      </c>
      <c r="C514" s="617" t="s">
        <v>1386</v>
      </c>
      <c r="D514" s="131" t="s">
        <v>199</v>
      </c>
      <c r="E514" s="245" t="s">
        <v>198</v>
      </c>
      <c r="F514" s="97"/>
      <c r="G514" s="97"/>
      <c r="H514" s="97"/>
      <c r="I514" s="101">
        <v>795170.9</v>
      </c>
      <c r="J514" s="102">
        <v>470953.44</v>
      </c>
      <c r="K514" s="101">
        <v>164400.6</v>
      </c>
      <c r="L514" s="101">
        <v>470953.44</v>
      </c>
    </row>
    <row r="515" spans="1:16" ht="18" customHeight="1" x14ac:dyDescent="0.25">
      <c r="A515" s="615"/>
      <c r="B515" s="617" t="s">
        <v>163</v>
      </c>
      <c r="C515" s="617" t="s">
        <v>1386</v>
      </c>
      <c r="D515" s="131" t="s">
        <v>199</v>
      </c>
      <c r="E515" s="245" t="s">
        <v>198</v>
      </c>
      <c r="F515" s="97"/>
      <c r="G515" s="97"/>
      <c r="H515" s="97"/>
      <c r="I515" s="101">
        <v>125475.13</v>
      </c>
      <c r="J515" s="102">
        <v>313968.96000000002</v>
      </c>
      <c r="K515" s="101">
        <v>62236.942999999999</v>
      </c>
      <c r="L515" s="101">
        <v>319968.96000000002</v>
      </c>
      <c r="M515" s="10">
        <f>SUM(L497:L515)</f>
        <v>16579923.480000002</v>
      </c>
    </row>
    <row r="516" spans="1:16" s="146" customFormat="1" ht="18" customHeight="1" x14ac:dyDescent="0.25">
      <c r="A516" s="615"/>
      <c r="B516" s="617" t="s">
        <v>163</v>
      </c>
      <c r="C516" s="617" t="s">
        <v>1386</v>
      </c>
      <c r="D516" s="97"/>
      <c r="E516" s="618" t="s">
        <v>441</v>
      </c>
      <c r="F516" s="611"/>
      <c r="G516" s="612"/>
      <c r="H516" s="612"/>
      <c r="I516" s="101">
        <v>0</v>
      </c>
      <c r="J516" s="102">
        <v>50000</v>
      </c>
      <c r="K516" s="101"/>
      <c r="L516" s="101">
        <v>50000</v>
      </c>
      <c r="M516" s="10"/>
      <c r="N516" s="10"/>
      <c r="O516"/>
      <c r="P516"/>
    </row>
    <row r="517" spans="1:16" s="146" customFormat="1" x14ac:dyDescent="0.25">
      <c r="A517" s="615"/>
      <c r="B517" s="617" t="s">
        <v>163</v>
      </c>
      <c r="C517" s="617" t="s">
        <v>1386</v>
      </c>
      <c r="D517" s="97"/>
      <c r="E517" s="618" t="s">
        <v>443</v>
      </c>
      <c r="F517" s="611"/>
      <c r="G517" s="612"/>
      <c r="H517" s="612"/>
      <c r="I517" s="101">
        <v>362232.12</v>
      </c>
      <c r="J517" s="102">
        <v>1000000</v>
      </c>
      <c r="K517" s="101">
        <v>62550.92</v>
      </c>
      <c r="L517" s="101">
        <v>1000000</v>
      </c>
      <c r="M517" s="10"/>
      <c r="N517" s="10"/>
      <c r="O517"/>
      <c r="P517"/>
    </row>
    <row r="518" spans="1:16" s="146" customFormat="1" ht="18" customHeight="1" x14ac:dyDescent="0.25">
      <c r="A518" s="615"/>
      <c r="B518" s="617" t="s">
        <v>163</v>
      </c>
      <c r="C518" s="617" t="s">
        <v>1386</v>
      </c>
      <c r="D518" s="97"/>
      <c r="E518" s="700" t="s">
        <v>301</v>
      </c>
      <c r="F518" s="688"/>
      <c r="G518" s="688"/>
      <c r="H518" s="688"/>
      <c r="I518" s="101">
        <v>0</v>
      </c>
      <c r="J518" s="102">
        <v>750000</v>
      </c>
      <c r="K518" s="101"/>
      <c r="L518" s="101">
        <v>750000</v>
      </c>
      <c r="M518" s="10"/>
      <c r="N518" s="10"/>
      <c r="O518"/>
      <c r="P518"/>
    </row>
    <row r="519" spans="1:16" s="146" customFormat="1" ht="18" customHeight="1" x14ac:dyDescent="0.25">
      <c r="A519" s="615"/>
      <c r="B519" s="617" t="s">
        <v>163</v>
      </c>
      <c r="C519" s="617" t="s">
        <v>1386</v>
      </c>
      <c r="D519" s="97"/>
      <c r="E519" s="206" t="s">
        <v>301</v>
      </c>
      <c r="F519" s="185"/>
      <c r="G519" s="688"/>
      <c r="H519" s="688"/>
      <c r="I519" s="101">
        <v>0</v>
      </c>
      <c r="J519" s="102">
        <v>1000000</v>
      </c>
      <c r="K519" s="101"/>
      <c r="L519" s="101">
        <v>1000000</v>
      </c>
      <c r="M519" s="10"/>
      <c r="N519" s="10"/>
      <c r="O519"/>
      <c r="P519"/>
    </row>
    <row r="520" spans="1:16" s="146" customFormat="1" ht="18" customHeight="1" x14ac:dyDescent="0.25">
      <c r="A520" s="615"/>
      <c r="B520" s="617" t="s">
        <v>163</v>
      </c>
      <c r="C520" s="617" t="s">
        <v>1386</v>
      </c>
      <c r="D520" s="97"/>
      <c r="E520" s="206" t="s">
        <v>315</v>
      </c>
      <c r="F520" s="185"/>
      <c r="G520" s="688"/>
      <c r="H520" s="688"/>
      <c r="I520" s="101"/>
      <c r="J520" s="102">
        <v>150000</v>
      </c>
      <c r="K520" s="101"/>
      <c r="L520" s="101">
        <v>150000</v>
      </c>
      <c r="M520" s="10"/>
      <c r="N520" s="10"/>
      <c r="O520"/>
      <c r="P520"/>
    </row>
    <row r="521" spans="1:16" s="146" customFormat="1" x14ac:dyDescent="0.25">
      <c r="A521" s="615"/>
      <c r="B521" s="617"/>
      <c r="C521" s="617"/>
      <c r="D521" s="97"/>
      <c r="E521" s="618"/>
      <c r="F521" s="611"/>
      <c r="G521" s="612"/>
      <c r="H521" s="612"/>
      <c r="I521" s="101"/>
      <c r="J521" s="102"/>
      <c r="K521" s="101"/>
      <c r="M521" s="101">
        <f>SUM(L330:L520)</f>
        <v>86101974.769999996</v>
      </c>
      <c r="N521" s="10"/>
      <c r="O521"/>
      <c r="P521"/>
    </row>
    <row r="522" spans="1:16" s="146" customFormat="1" x14ac:dyDescent="0.25">
      <c r="A522" s="615"/>
      <c r="B522" s="617"/>
      <c r="C522" s="617"/>
      <c r="D522" s="97"/>
      <c r="E522" s="618"/>
      <c r="F522" s="611"/>
      <c r="G522" s="612"/>
      <c r="H522" s="612"/>
      <c r="I522" s="101"/>
      <c r="J522" s="102"/>
      <c r="K522" s="101"/>
      <c r="L522" s="101"/>
      <c r="M522" s="10"/>
      <c r="N522" s="10"/>
      <c r="O522"/>
      <c r="P522"/>
    </row>
    <row r="523" spans="1:16" s="146" customFormat="1" ht="36.75" customHeight="1" x14ac:dyDescent="0.25">
      <c r="A523" s="615"/>
      <c r="B523" s="617" t="s">
        <v>123</v>
      </c>
      <c r="C523" s="617" t="s">
        <v>1386</v>
      </c>
      <c r="D523" s="131" t="s">
        <v>125</v>
      </c>
      <c r="E523" s="619" t="s">
        <v>124</v>
      </c>
      <c r="F523" s="612"/>
      <c r="G523" s="612"/>
      <c r="H523" s="612"/>
      <c r="I523" s="101">
        <v>3147218.82</v>
      </c>
      <c r="J523" s="102">
        <v>3501828</v>
      </c>
      <c r="K523" s="101">
        <v>1888265.32</v>
      </c>
      <c r="L523" s="101">
        <v>3709416</v>
      </c>
      <c r="M523" s="10"/>
      <c r="N523" s="10"/>
      <c r="O523"/>
      <c r="P523"/>
    </row>
    <row r="524" spans="1:16" s="146" customFormat="1" ht="18" customHeight="1" x14ac:dyDescent="0.25">
      <c r="A524" s="615"/>
      <c r="B524" s="617" t="s">
        <v>123</v>
      </c>
      <c r="C524" s="617" t="s">
        <v>1386</v>
      </c>
      <c r="D524" s="131" t="s">
        <v>125</v>
      </c>
      <c r="E524" s="619" t="s">
        <v>124</v>
      </c>
      <c r="F524" s="612"/>
      <c r="G524" s="612"/>
      <c r="H524" s="612"/>
      <c r="I524" s="101">
        <v>94995.56</v>
      </c>
      <c r="J524" s="102">
        <v>1818504</v>
      </c>
      <c r="K524" s="101">
        <v>114765.45</v>
      </c>
      <c r="L524" s="101">
        <v>2081280</v>
      </c>
      <c r="M524" s="10"/>
      <c r="N524" s="10"/>
      <c r="O524"/>
      <c r="P524"/>
    </row>
    <row r="525" spans="1:16" s="146" customFormat="1" ht="18" customHeight="1" x14ac:dyDescent="0.25">
      <c r="A525" s="615"/>
      <c r="B525" s="617" t="s">
        <v>123</v>
      </c>
      <c r="C525" s="617" t="s">
        <v>1386</v>
      </c>
      <c r="D525" s="131" t="s">
        <v>125</v>
      </c>
      <c r="E525" s="619" t="s">
        <v>124</v>
      </c>
      <c r="F525" s="612"/>
      <c r="G525" s="612"/>
      <c r="H525" s="612"/>
      <c r="I525" s="101">
        <v>648024</v>
      </c>
      <c r="J525" s="102">
        <v>648024</v>
      </c>
      <c r="K525" s="101">
        <v>396419.55</v>
      </c>
      <c r="L525" s="105">
        <v>712428</v>
      </c>
      <c r="M525" s="10"/>
      <c r="N525" s="10"/>
      <c r="O525"/>
      <c r="P525"/>
    </row>
    <row r="526" spans="1:16" s="146" customFormat="1" ht="18" customHeight="1" x14ac:dyDescent="0.25">
      <c r="A526" s="626"/>
      <c r="B526" s="617" t="s">
        <v>123</v>
      </c>
      <c r="C526" s="617" t="s">
        <v>1386</v>
      </c>
      <c r="D526" s="131" t="s">
        <v>125</v>
      </c>
      <c r="E526" s="619" t="s">
        <v>124</v>
      </c>
      <c r="F526" s="612"/>
      <c r="G526" s="612"/>
      <c r="H526" s="612"/>
      <c r="I526" s="101">
        <v>303132</v>
      </c>
      <c r="J526" s="102">
        <v>825072</v>
      </c>
      <c r="K526" s="101">
        <v>204255.55</v>
      </c>
      <c r="L526" s="101">
        <v>908568</v>
      </c>
      <c r="M526" s="10"/>
      <c r="N526" s="10"/>
      <c r="O526"/>
      <c r="P526"/>
    </row>
    <row r="527" spans="1:16" s="146" customFormat="1" ht="18" customHeight="1" x14ac:dyDescent="0.25">
      <c r="A527" s="626"/>
      <c r="B527" s="617" t="s">
        <v>123</v>
      </c>
      <c r="C527" s="617" t="s">
        <v>1386</v>
      </c>
      <c r="D527" s="131" t="s">
        <v>125</v>
      </c>
      <c r="E527" s="619" t="s">
        <v>124</v>
      </c>
      <c r="F527" s="612"/>
      <c r="G527" s="612"/>
      <c r="H527" s="612"/>
      <c r="I527" s="101">
        <v>346788</v>
      </c>
      <c r="J527" s="102">
        <v>654492</v>
      </c>
      <c r="K527" s="101">
        <v>249702.59</v>
      </c>
      <c r="L527" s="101">
        <v>726192</v>
      </c>
      <c r="M527" s="10"/>
      <c r="N527" s="10"/>
      <c r="O527"/>
      <c r="P527"/>
    </row>
    <row r="528" spans="1:16" s="146" customFormat="1" ht="18" customHeight="1" x14ac:dyDescent="0.25">
      <c r="A528" s="626"/>
      <c r="B528" s="617" t="s">
        <v>123</v>
      </c>
      <c r="C528" s="617" t="s">
        <v>1386</v>
      </c>
      <c r="D528" s="131" t="s">
        <v>125</v>
      </c>
      <c r="E528" s="619" t="s">
        <v>124</v>
      </c>
      <c r="F528" s="612"/>
      <c r="G528" s="612"/>
      <c r="H528" s="612"/>
      <c r="I528" s="101">
        <v>989760</v>
      </c>
      <c r="J528" s="102">
        <v>1157808</v>
      </c>
      <c r="K528" s="101">
        <v>644216.14</v>
      </c>
      <c r="L528" s="101">
        <v>1230660</v>
      </c>
      <c r="M528" s="10"/>
      <c r="N528" s="10"/>
      <c r="O528"/>
      <c r="P528"/>
    </row>
    <row r="529" spans="1:16" s="146" customFormat="1" ht="18" customHeight="1" x14ac:dyDescent="0.25">
      <c r="A529" s="626"/>
      <c r="B529" s="617" t="s">
        <v>123</v>
      </c>
      <c r="C529" s="617" t="s">
        <v>1386</v>
      </c>
      <c r="D529" s="131" t="s">
        <v>125</v>
      </c>
      <c r="E529" s="619" t="s">
        <v>124</v>
      </c>
      <c r="F529" s="612"/>
      <c r="G529" s="612"/>
      <c r="H529" s="612"/>
      <c r="I529" s="101">
        <v>1421340</v>
      </c>
      <c r="J529" s="102">
        <v>1992948</v>
      </c>
      <c r="K529" s="101">
        <v>849681</v>
      </c>
      <c r="L529" s="101">
        <v>2117868</v>
      </c>
      <c r="M529" s="10"/>
      <c r="N529" s="10"/>
      <c r="O529"/>
      <c r="P529"/>
    </row>
    <row r="530" spans="1:16" s="146" customFormat="1" ht="18" customHeight="1" x14ac:dyDescent="0.25">
      <c r="A530" s="626"/>
      <c r="B530" s="617" t="s">
        <v>123</v>
      </c>
      <c r="C530" s="617" t="s">
        <v>1386</v>
      </c>
      <c r="D530" s="131" t="s">
        <v>125</v>
      </c>
      <c r="E530" s="619" t="s">
        <v>124</v>
      </c>
      <c r="F530" s="612"/>
      <c r="G530" s="612"/>
      <c r="H530" s="612"/>
      <c r="I530" s="101">
        <v>11279299.199999999</v>
      </c>
      <c r="J530" s="102">
        <v>11325852</v>
      </c>
      <c r="K530" s="101">
        <v>6736268</v>
      </c>
      <c r="L530" s="101">
        <v>11801532</v>
      </c>
      <c r="M530" s="10"/>
      <c r="N530" s="101">
        <v>11769948</v>
      </c>
      <c r="O530"/>
      <c r="P530"/>
    </row>
    <row r="531" spans="1:16" s="146" customFormat="1" x14ac:dyDescent="0.25">
      <c r="A531" s="626"/>
      <c r="B531" s="617" t="s">
        <v>123</v>
      </c>
      <c r="C531" s="617" t="s">
        <v>1386</v>
      </c>
      <c r="D531" s="131" t="s">
        <v>125</v>
      </c>
      <c r="E531" s="619" t="s">
        <v>124</v>
      </c>
      <c r="F531" s="612"/>
      <c r="G531" s="612"/>
      <c r="H531" s="612"/>
      <c r="I531" s="101">
        <v>2334932</v>
      </c>
      <c r="J531" s="102">
        <v>3681852</v>
      </c>
      <c r="K531" s="101">
        <v>1413803</v>
      </c>
      <c r="L531" s="101">
        <v>3990060</v>
      </c>
      <c r="M531" s="10"/>
      <c r="N531" s="10"/>
      <c r="O531"/>
      <c r="P531"/>
    </row>
    <row r="532" spans="1:16" s="146" customFormat="1" ht="18" customHeight="1" x14ac:dyDescent="0.25">
      <c r="A532" s="626"/>
      <c r="B532" s="617" t="s">
        <v>123</v>
      </c>
      <c r="C532" s="617" t="s">
        <v>1386</v>
      </c>
      <c r="D532" s="131" t="s">
        <v>125</v>
      </c>
      <c r="E532" s="619" t="s">
        <v>124</v>
      </c>
      <c r="F532" s="612"/>
      <c r="G532" s="612"/>
      <c r="H532" s="612"/>
      <c r="I532" s="101"/>
      <c r="J532" s="102">
        <v>1080084</v>
      </c>
      <c r="K532" s="101"/>
      <c r="L532" s="101">
        <v>1129584</v>
      </c>
      <c r="M532" s="10"/>
      <c r="N532" s="10"/>
      <c r="O532"/>
      <c r="P532"/>
    </row>
    <row r="533" spans="1:16" s="146" customFormat="1" ht="18" customHeight="1" x14ac:dyDescent="0.25">
      <c r="A533" s="626"/>
      <c r="B533" s="617" t="s">
        <v>123</v>
      </c>
      <c r="C533" s="617" t="s">
        <v>1386</v>
      </c>
      <c r="D533" s="131" t="s">
        <v>125</v>
      </c>
      <c r="E533" s="619" t="s">
        <v>124</v>
      </c>
      <c r="F533" s="612"/>
      <c r="G533" s="612"/>
      <c r="H533" s="612"/>
      <c r="I533" s="101">
        <v>0</v>
      </c>
      <c r="J533" s="102">
        <v>1063608</v>
      </c>
      <c r="K533" s="101"/>
      <c r="L533" s="101">
        <v>1111488</v>
      </c>
      <c r="M533" s="10"/>
      <c r="N533" s="10"/>
      <c r="O533"/>
      <c r="P533"/>
    </row>
    <row r="534" spans="1:16" s="146" customFormat="1" x14ac:dyDescent="0.25">
      <c r="A534" s="626"/>
      <c r="B534" s="617" t="s">
        <v>123</v>
      </c>
      <c r="C534" s="617" t="s">
        <v>1386</v>
      </c>
      <c r="D534" s="131" t="s">
        <v>125</v>
      </c>
      <c r="E534" s="619" t="s">
        <v>124</v>
      </c>
      <c r="F534" s="612"/>
      <c r="G534" s="612"/>
      <c r="H534" s="612"/>
      <c r="I534" s="101">
        <v>1525368</v>
      </c>
      <c r="J534" s="102">
        <v>1833072</v>
      </c>
      <c r="K534" s="101">
        <v>944784.36</v>
      </c>
      <c r="L534" s="101">
        <v>1957500</v>
      </c>
      <c r="M534" s="10"/>
      <c r="N534" s="10"/>
      <c r="O534"/>
      <c r="P534"/>
    </row>
    <row r="535" spans="1:16" s="146" customFormat="1" ht="18" customHeight="1" x14ac:dyDescent="0.25">
      <c r="A535" s="626"/>
      <c r="B535" s="617" t="s">
        <v>123</v>
      </c>
      <c r="C535" s="617" t="s">
        <v>1386</v>
      </c>
      <c r="D535" s="131" t="s">
        <v>125</v>
      </c>
      <c r="E535" s="619" t="s">
        <v>124</v>
      </c>
      <c r="F535" s="612"/>
      <c r="G535" s="612"/>
      <c r="H535" s="612"/>
      <c r="I535" s="101">
        <v>2495148.87</v>
      </c>
      <c r="J535" s="102">
        <v>3863268</v>
      </c>
      <c r="K535" s="101">
        <v>1539327.49</v>
      </c>
      <c r="L535" s="101">
        <v>4183836</v>
      </c>
      <c r="M535" s="10"/>
      <c r="N535" s="10"/>
      <c r="O535"/>
      <c r="P535"/>
    </row>
    <row r="536" spans="1:16" s="146" customFormat="1" x14ac:dyDescent="0.25">
      <c r="A536" s="626"/>
      <c r="B536" s="617" t="s">
        <v>123</v>
      </c>
      <c r="C536" s="617" t="s">
        <v>1386</v>
      </c>
      <c r="D536" s="131" t="s">
        <v>125</v>
      </c>
      <c r="E536" s="619" t="s">
        <v>124</v>
      </c>
      <c r="F536" s="612"/>
      <c r="G536" s="612"/>
      <c r="H536" s="612"/>
      <c r="I536" s="101">
        <v>1641384</v>
      </c>
      <c r="J536" s="102">
        <v>1800708</v>
      </c>
      <c r="K536" s="101">
        <v>1049520.79</v>
      </c>
      <c r="L536" s="101">
        <v>1928580</v>
      </c>
      <c r="M536" s="10"/>
      <c r="N536" s="10"/>
      <c r="O536"/>
      <c r="P536"/>
    </row>
    <row r="537" spans="1:16" s="146" customFormat="1" x14ac:dyDescent="0.25">
      <c r="A537" s="626"/>
      <c r="B537" s="617" t="s">
        <v>123</v>
      </c>
      <c r="C537" s="617" t="s">
        <v>1386</v>
      </c>
      <c r="D537" s="131" t="s">
        <v>125</v>
      </c>
      <c r="E537" s="618" t="s">
        <v>124</v>
      </c>
      <c r="F537" s="617"/>
      <c r="G537" s="617"/>
      <c r="H537" s="611"/>
      <c r="I537" s="101">
        <v>2672016</v>
      </c>
      <c r="J537" s="102">
        <v>3489036</v>
      </c>
      <c r="K537" s="101">
        <v>1796430.88</v>
      </c>
      <c r="L537" s="101">
        <v>3771696</v>
      </c>
      <c r="M537" s="10"/>
      <c r="N537" s="10"/>
      <c r="O537"/>
      <c r="P537"/>
    </row>
    <row r="538" spans="1:16" s="146" customFormat="1" x14ac:dyDescent="0.25">
      <c r="A538" s="626"/>
      <c r="B538" s="617" t="s">
        <v>123</v>
      </c>
      <c r="C538" s="617" t="s">
        <v>1386</v>
      </c>
      <c r="D538" s="131" t="s">
        <v>125</v>
      </c>
      <c r="E538" s="618" t="s">
        <v>124</v>
      </c>
      <c r="F538" s="617"/>
      <c r="G538" s="617"/>
      <c r="H538" s="611"/>
      <c r="I538" s="101">
        <v>5231866.72</v>
      </c>
      <c r="J538" s="102">
        <v>6175824</v>
      </c>
      <c r="K538" s="101">
        <v>3191880.4</v>
      </c>
      <c r="L538" s="101">
        <v>6696612</v>
      </c>
      <c r="M538" s="10"/>
      <c r="N538" s="10"/>
      <c r="O538"/>
      <c r="P538"/>
    </row>
    <row r="539" spans="1:16" s="146" customFormat="1" ht="18" customHeight="1" x14ac:dyDescent="0.25">
      <c r="A539" s="626"/>
      <c r="B539" s="617" t="s">
        <v>123</v>
      </c>
      <c r="C539" s="617" t="s">
        <v>1386</v>
      </c>
      <c r="D539" s="131" t="s">
        <v>125</v>
      </c>
      <c r="E539" s="619" t="s">
        <v>124</v>
      </c>
      <c r="F539" s="612"/>
      <c r="G539" s="612"/>
      <c r="H539" s="612"/>
      <c r="I539" s="101">
        <v>4246299.0599999996</v>
      </c>
      <c r="J539" s="102">
        <v>4687776</v>
      </c>
      <c r="K539" s="101">
        <v>2067893.54</v>
      </c>
      <c r="L539" s="101">
        <v>5074056</v>
      </c>
      <c r="M539" s="10"/>
      <c r="N539" s="10"/>
      <c r="O539"/>
      <c r="P539"/>
    </row>
    <row r="540" spans="1:16" s="146" customFormat="1" ht="18" customHeight="1" x14ac:dyDescent="0.25">
      <c r="A540" s="626"/>
      <c r="B540" s="617" t="s">
        <v>123</v>
      </c>
      <c r="C540" s="617" t="s">
        <v>1386</v>
      </c>
      <c r="D540" s="131" t="s">
        <v>125</v>
      </c>
      <c r="E540" s="618" t="s">
        <v>124</v>
      </c>
      <c r="F540" s="617"/>
      <c r="G540" s="617"/>
      <c r="H540" s="611"/>
      <c r="I540" s="101">
        <v>2384640</v>
      </c>
      <c r="J540" s="102">
        <v>3827988</v>
      </c>
      <c r="K540" s="101">
        <v>1369901.56</v>
      </c>
      <c r="L540" s="101">
        <v>4120764</v>
      </c>
      <c r="M540" s="10"/>
      <c r="N540" s="10"/>
      <c r="O540"/>
      <c r="P540"/>
    </row>
    <row r="541" spans="1:16" s="146" customFormat="1" ht="18" customHeight="1" x14ac:dyDescent="0.25">
      <c r="A541" s="626"/>
      <c r="B541" s="617" t="s">
        <v>123</v>
      </c>
      <c r="C541" s="617" t="s">
        <v>1386</v>
      </c>
      <c r="D541" s="131" t="s">
        <v>125</v>
      </c>
      <c r="E541" s="619" t="s">
        <v>124</v>
      </c>
      <c r="F541" s="612"/>
      <c r="G541" s="612"/>
      <c r="H541" s="612"/>
      <c r="I541" s="101">
        <v>1476000</v>
      </c>
      <c r="J541" s="102">
        <v>1476000</v>
      </c>
      <c r="K541" s="101">
        <v>886277.55</v>
      </c>
      <c r="L541" s="101">
        <v>1561524</v>
      </c>
      <c r="M541" s="10">
        <f>SUM(L523:L541)</f>
        <v>58813644</v>
      </c>
      <c r="N541" s="10"/>
      <c r="O541"/>
      <c r="P541"/>
    </row>
    <row r="542" spans="1:16" s="146" customFormat="1" ht="18" customHeight="1" x14ac:dyDescent="0.25">
      <c r="A542" s="626"/>
      <c r="B542" s="617" t="s">
        <v>123</v>
      </c>
      <c r="C542" s="617" t="s">
        <v>1386</v>
      </c>
      <c r="D542" s="131" t="s">
        <v>1389</v>
      </c>
      <c r="E542" s="619" t="s">
        <v>128</v>
      </c>
      <c r="F542" s="612"/>
      <c r="G542" s="612"/>
      <c r="H542" s="612"/>
      <c r="I542" s="101">
        <v>0</v>
      </c>
      <c r="J542" s="102">
        <v>0</v>
      </c>
      <c r="K542" s="101"/>
      <c r="L542" s="101">
        <v>18936.91</v>
      </c>
      <c r="M542" s="10"/>
      <c r="N542" s="10"/>
      <c r="O542"/>
      <c r="P542"/>
    </row>
    <row r="543" spans="1:16" s="146" customFormat="1" ht="18" customHeight="1" x14ac:dyDescent="0.25">
      <c r="A543" s="626"/>
      <c r="B543" s="617" t="s">
        <v>123</v>
      </c>
      <c r="C543" s="617" t="s">
        <v>1386</v>
      </c>
      <c r="D543" s="131" t="s">
        <v>1389</v>
      </c>
      <c r="E543" s="619" t="s">
        <v>128</v>
      </c>
      <c r="F543" s="612"/>
      <c r="G543" s="612"/>
      <c r="H543" s="612"/>
      <c r="I543" s="101"/>
      <c r="J543" s="102">
        <v>810</v>
      </c>
      <c r="K543" s="101"/>
      <c r="L543" s="101">
        <v>3477.64</v>
      </c>
      <c r="M543" s="10"/>
      <c r="N543" s="10"/>
      <c r="O543"/>
      <c r="P543"/>
    </row>
    <row r="544" spans="1:16" s="146" customFormat="1" ht="18" customHeight="1" x14ac:dyDescent="0.25">
      <c r="A544" s="626"/>
      <c r="B544" s="617" t="s">
        <v>123</v>
      </c>
      <c r="C544" s="617" t="s">
        <v>1386</v>
      </c>
      <c r="D544" s="131" t="s">
        <v>1389</v>
      </c>
      <c r="E544" s="619" t="s">
        <v>128</v>
      </c>
      <c r="F544" s="687"/>
      <c r="G544" s="612"/>
      <c r="H544" s="612"/>
      <c r="I544" s="105"/>
      <c r="J544" s="106"/>
      <c r="K544" s="105"/>
      <c r="L544" s="105">
        <v>878.18</v>
      </c>
      <c r="M544" s="10"/>
      <c r="N544" s="10"/>
      <c r="O544"/>
      <c r="P544"/>
    </row>
    <row r="545" spans="1:16" s="229" customFormat="1" ht="18" customHeight="1" x14ac:dyDescent="0.25">
      <c r="A545" s="154"/>
      <c r="B545" s="617" t="s">
        <v>123</v>
      </c>
      <c r="C545" s="617" t="s">
        <v>1386</v>
      </c>
      <c r="D545" s="131" t="s">
        <v>1389</v>
      </c>
      <c r="E545" s="618" t="s">
        <v>128</v>
      </c>
      <c r="F545" s="617"/>
      <c r="G545" s="617"/>
      <c r="H545" s="611"/>
      <c r="I545" s="101">
        <v>0</v>
      </c>
      <c r="J545" s="102">
        <v>0</v>
      </c>
      <c r="K545" s="101"/>
      <c r="L545" s="101">
        <v>9443.59</v>
      </c>
      <c r="M545" s="207"/>
      <c r="N545" s="207"/>
      <c r="O545" s="212"/>
      <c r="P545" s="212"/>
    </row>
    <row r="546" spans="1:16" s="229" customFormat="1" ht="18" customHeight="1" x14ac:dyDescent="0.25">
      <c r="A546" s="154"/>
      <c r="B546" s="617" t="s">
        <v>123</v>
      </c>
      <c r="C546" s="617" t="s">
        <v>1386</v>
      </c>
      <c r="D546" s="131" t="s">
        <v>1389</v>
      </c>
      <c r="E546" s="618" t="s">
        <v>128</v>
      </c>
      <c r="F546" s="617"/>
      <c r="G546" s="617"/>
      <c r="H546" s="611"/>
      <c r="I546" s="101">
        <v>0</v>
      </c>
      <c r="J546" s="102"/>
      <c r="K546" s="101"/>
      <c r="L546" s="101">
        <v>9037</v>
      </c>
      <c r="M546" s="207"/>
      <c r="N546" s="207"/>
      <c r="O546" s="212"/>
      <c r="P546" s="212"/>
    </row>
    <row r="547" spans="1:16" s="229" customFormat="1" ht="18" customHeight="1" x14ac:dyDescent="0.25">
      <c r="A547" s="154"/>
      <c r="B547" s="617" t="s">
        <v>123</v>
      </c>
      <c r="C547" s="617" t="s">
        <v>1386</v>
      </c>
      <c r="D547" s="131" t="s">
        <v>1389</v>
      </c>
      <c r="E547" s="618" t="s">
        <v>128</v>
      </c>
      <c r="F547" s="617"/>
      <c r="G547" s="617"/>
      <c r="H547" s="611"/>
      <c r="I547" s="101"/>
      <c r="J547" s="102">
        <v>2574</v>
      </c>
      <c r="K547" s="101">
        <v>6000</v>
      </c>
      <c r="L547" s="101">
        <v>3078.55</v>
      </c>
      <c r="M547" s="207"/>
      <c r="N547" s="207"/>
      <c r="O547" s="212"/>
      <c r="P547" s="212"/>
    </row>
    <row r="548" spans="1:16" s="229" customFormat="1" x14ac:dyDescent="0.25">
      <c r="A548" s="154"/>
      <c r="B548" s="617" t="s">
        <v>123</v>
      </c>
      <c r="C548" s="617" t="s">
        <v>1386</v>
      </c>
      <c r="D548" s="131" t="s">
        <v>1389</v>
      </c>
      <c r="E548" s="618" t="s">
        <v>128</v>
      </c>
      <c r="F548" s="611"/>
      <c r="G548" s="612"/>
      <c r="H548" s="612"/>
      <c r="I548" s="101">
        <v>0</v>
      </c>
      <c r="J548" s="102">
        <v>3636</v>
      </c>
      <c r="K548" s="101"/>
      <c r="L548" s="101">
        <v>3764.09</v>
      </c>
      <c r="M548" s="207"/>
      <c r="N548" s="207"/>
      <c r="O548" s="212"/>
      <c r="P548" s="212"/>
    </row>
    <row r="549" spans="1:16" s="229" customFormat="1" ht="18" customHeight="1" x14ac:dyDescent="0.25">
      <c r="A549" s="154"/>
      <c r="B549" s="617" t="s">
        <v>123</v>
      </c>
      <c r="C549" s="617" t="s">
        <v>1386</v>
      </c>
      <c r="D549" s="131" t="s">
        <v>1389</v>
      </c>
      <c r="E549" s="618" t="s">
        <v>128</v>
      </c>
      <c r="F549" s="617"/>
      <c r="G549" s="617"/>
      <c r="H549" s="611"/>
      <c r="I549" s="101"/>
      <c r="J549" s="102">
        <v>9816</v>
      </c>
      <c r="K549" s="101"/>
      <c r="L549" s="101">
        <v>9022</v>
      </c>
      <c r="M549" s="207"/>
      <c r="N549" s="207"/>
      <c r="O549" s="212"/>
      <c r="P549" s="212"/>
    </row>
    <row r="550" spans="1:16" s="229" customFormat="1" x14ac:dyDescent="0.25">
      <c r="A550" s="154"/>
      <c r="B550" s="617" t="s">
        <v>123</v>
      </c>
      <c r="C550" s="617" t="s">
        <v>1386</v>
      </c>
      <c r="D550" s="131" t="s">
        <v>1389</v>
      </c>
      <c r="E550" s="618" t="s">
        <v>128</v>
      </c>
      <c r="F550" s="617"/>
      <c r="G550" s="617"/>
      <c r="H550" s="617"/>
      <c r="I550" s="101">
        <v>0</v>
      </c>
      <c r="J550" s="102">
        <v>5141</v>
      </c>
      <c r="K550" s="101"/>
      <c r="L550" s="101">
        <v>19583.43</v>
      </c>
      <c r="M550" s="207"/>
      <c r="N550" s="207"/>
      <c r="O550" s="212"/>
      <c r="P550" s="212"/>
    </row>
    <row r="551" spans="1:16" s="229" customFormat="1" ht="18" customHeight="1" x14ac:dyDescent="0.25">
      <c r="A551" s="154"/>
      <c r="B551" s="617" t="s">
        <v>123</v>
      </c>
      <c r="C551" s="617" t="s">
        <v>1386</v>
      </c>
      <c r="D551" s="131" t="s">
        <v>1389</v>
      </c>
      <c r="E551" s="618" t="s">
        <v>128</v>
      </c>
      <c r="F551" s="617"/>
      <c r="G551" s="617"/>
      <c r="H551" s="611"/>
      <c r="I551" s="101"/>
      <c r="J551" s="102">
        <v>16612</v>
      </c>
      <c r="K551" s="101"/>
      <c r="L551" s="101">
        <v>6644.59</v>
      </c>
      <c r="M551" s="207"/>
      <c r="N551" s="207"/>
      <c r="O551" s="212"/>
      <c r="P551" s="212"/>
    </row>
    <row r="552" spans="1:16" s="229" customFormat="1" ht="18" customHeight="1" x14ac:dyDescent="0.25">
      <c r="A552" s="154"/>
      <c r="B552" s="617" t="s">
        <v>123</v>
      </c>
      <c r="C552" s="617" t="s">
        <v>1386</v>
      </c>
      <c r="D552" s="131" t="s">
        <v>1389</v>
      </c>
      <c r="E552" s="618" t="s">
        <v>128</v>
      </c>
      <c r="F552" s="617"/>
      <c r="G552" s="617"/>
      <c r="H552" s="611"/>
      <c r="I552" s="101">
        <v>0</v>
      </c>
      <c r="J552" s="102">
        <v>12048</v>
      </c>
      <c r="K552" s="101"/>
      <c r="L552" s="101">
        <v>5807</v>
      </c>
      <c r="M552" s="207"/>
      <c r="N552" s="207"/>
      <c r="O552" s="212"/>
      <c r="P552" s="212"/>
    </row>
    <row r="553" spans="1:16" s="146" customFormat="1" x14ac:dyDescent="0.25">
      <c r="A553" s="615"/>
      <c r="B553" s="617" t="s">
        <v>123</v>
      </c>
      <c r="C553" s="617" t="s">
        <v>1386</v>
      </c>
      <c r="D553" s="131" t="s">
        <v>1389</v>
      </c>
      <c r="E553" s="618" t="s">
        <v>128</v>
      </c>
      <c r="F553" s="617"/>
      <c r="G553" s="617"/>
      <c r="H553" s="617"/>
      <c r="I553" s="101">
        <v>0</v>
      </c>
      <c r="J553" s="102">
        <v>1140</v>
      </c>
      <c r="K553" s="101"/>
      <c r="L553" s="101">
        <v>7193.13</v>
      </c>
      <c r="M553" s="10"/>
      <c r="N553" s="10"/>
      <c r="O553"/>
      <c r="P553"/>
    </row>
    <row r="554" spans="1:16" s="146" customFormat="1" x14ac:dyDescent="0.25">
      <c r="A554" s="626"/>
      <c r="B554" s="617" t="s">
        <v>123</v>
      </c>
      <c r="C554" s="617" t="s">
        <v>1386</v>
      </c>
      <c r="D554" s="131" t="s">
        <v>1389</v>
      </c>
      <c r="E554" s="618" t="s">
        <v>128</v>
      </c>
      <c r="F554" s="618"/>
      <c r="G554" s="617"/>
      <c r="H554" s="611"/>
      <c r="I554" s="101"/>
      <c r="J554" s="102"/>
      <c r="K554" s="101"/>
      <c r="L554" s="101">
        <v>10384</v>
      </c>
      <c r="M554" s="10"/>
      <c r="N554" s="10"/>
      <c r="O554"/>
      <c r="P554"/>
    </row>
    <row r="555" spans="1:16" s="146" customFormat="1" x14ac:dyDescent="0.25">
      <c r="A555" s="626"/>
      <c r="B555" s="617" t="s">
        <v>123</v>
      </c>
      <c r="C555" s="617" t="s">
        <v>1386</v>
      </c>
      <c r="D555" s="131" t="s">
        <v>1389</v>
      </c>
      <c r="E555" s="618" t="s">
        <v>128</v>
      </c>
      <c r="F555" s="617"/>
      <c r="G555" s="617"/>
      <c r="H555" s="611"/>
      <c r="I555" s="101"/>
      <c r="J555" s="102"/>
      <c r="K555" s="101"/>
      <c r="L555" s="101">
        <v>71976</v>
      </c>
      <c r="M555" s="10"/>
      <c r="N555" s="101">
        <v>87768</v>
      </c>
      <c r="O555"/>
      <c r="P555"/>
    </row>
    <row r="556" spans="1:16" s="146" customFormat="1" ht="36" customHeight="1" x14ac:dyDescent="0.25">
      <c r="A556" s="626"/>
      <c r="B556" s="617" t="s">
        <v>123</v>
      </c>
      <c r="C556" s="617" t="s">
        <v>1386</v>
      </c>
      <c r="D556" s="131" t="s">
        <v>1389</v>
      </c>
      <c r="E556" s="618" t="s">
        <v>128</v>
      </c>
      <c r="F556" s="617"/>
      <c r="G556" s="617"/>
      <c r="H556" s="611"/>
      <c r="I556" s="101"/>
      <c r="J556" s="102">
        <v>10572</v>
      </c>
      <c r="K556" s="101">
        <v>12493.6</v>
      </c>
      <c r="L556" s="101">
        <v>8197.3700000000008</v>
      </c>
      <c r="M556" s="10">
        <f>SUM(L542:L556)</f>
        <v>187423.48</v>
      </c>
      <c r="N556" s="10"/>
      <c r="O556"/>
      <c r="P556"/>
    </row>
    <row r="557" spans="1:16" s="229" customFormat="1" ht="18" customHeight="1" x14ac:dyDescent="0.25">
      <c r="A557" s="154"/>
      <c r="B557" s="617" t="s">
        <v>123</v>
      </c>
      <c r="C557" s="617" t="s">
        <v>1386</v>
      </c>
      <c r="D557" s="131" t="s">
        <v>127</v>
      </c>
      <c r="E557" s="618" t="s">
        <v>126</v>
      </c>
      <c r="F557" s="617"/>
      <c r="G557" s="617"/>
      <c r="H557" s="611"/>
      <c r="I557" s="101">
        <v>1033913.74</v>
      </c>
      <c r="J557" s="102">
        <v>382512</v>
      </c>
      <c r="K557" s="101">
        <v>205139.85</v>
      </c>
      <c r="L557" s="101">
        <v>415128</v>
      </c>
      <c r="M557" s="207"/>
      <c r="N557" s="207"/>
      <c r="O557" s="212"/>
      <c r="P557" s="212"/>
    </row>
    <row r="558" spans="1:16" s="229" customFormat="1" ht="18" customHeight="1" x14ac:dyDescent="0.25">
      <c r="A558" s="154"/>
      <c r="B558" s="617" t="s">
        <v>123</v>
      </c>
      <c r="C558" s="617" t="s">
        <v>1386</v>
      </c>
      <c r="D558" s="131" t="s">
        <v>127</v>
      </c>
      <c r="E558" s="618" t="s">
        <v>126</v>
      </c>
      <c r="F558" s="617"/>
      <c r="G558" s="617"/>
      <c r="H558" s="611"/>
      <c r="I558" s="101">
        <v>1249579.1200000001</v>
      </c>
      <c r="J558" s="102">
        <v>2310216</v>
      </c>
      <c r="K558" s="101">
        <v>827059.91</v>
      </c>
      <c r="L558" s="101">
        <v>2507424</v>
      </c>
      <c r="M558" s="207"/>
      <c r="N558" s="207"/>
      <c r="O558" s="212"/>
      <c r="P558" s="212"/>
    </row>
    <row r="559" spans="1:16" s="229" customFormat="1" ht="18" customHeight="1" x14ac:dyDescent="0.25">
      <c r="A559" s="154"/>
      <c r="B559" s="617" t="s">
        <v>123</v>
      </c>
      <c r="C559" s="617" t="s">
        <v>1386</v>
      </c>
      <c r="D559" s="131" t="s">
        <v>127</v>
      </c>
      <c r="E559" s="618" t="s">
        <v>126</v>
      </c>
      <c r="F559" s="617"/>
      <c r="G559" s="617"/>
      <c r="H559" s="611"/>
      <c r="I559" s="101">
        <v>147691.04999999999</v>
      </c>
      <c r="J559" s="102">
        <v>132552</v>
      </c>
      <c r="K559" s="101">
        <v>70776.45</v>
      </c>
      <c r="L559" s="101">
        <v>143928</v>
      </c>
      <c r="M559" s="207"/>
      <c r="N559" s="207"/>
      <c r="O559" s="212"/>
      <c r="P559" s="212"/>
    </row>
    <row r="560" spans="1:16" s="229" customFormat="1" ht="18" customHeight="1" x14ac:dyDescent="0.25">
      <c r="A560" s="154"/>
      <c r="B560" s="617" t="s">
        <v>123</v>
      </c>
      <c r="C560" s="617" t="s">
        <v>1386</v>
      </c>
      <c r="D560" s="131" t="s">
        <v>127</v>
      </c>
      <c r="E560" s="618" t="s">
        <v>126</v>
      </c>
      <c r="F560" s="617"/>
      <c r="G560" s="617"/>
      <c r="H560" s="611"/>
      <c r="I560" s="101">
        <v>324211.21000000002</v>
      </c>
      <c r="J560" s="102">
        <v>298056</v>
      </c>
      <c r="K560" s="101">
        <v>159251.1</v>
      </c>
      <c r="L560" s="101">
        <v>324048</v>
      </c>
      <c r="M560" s="207"/>
      <c r="N560" s="207"/>
      <c r="O560" s="212"/>
      <c r="P560" s="212"/>
    </row>
    <row r="561" spans="1:16" s="229" customFormat="1" ht="18" customHeight="1" x14ac:dyDescent="0.25">
      <c r="A561" s="154"/>
      <c r="B561" s="617" t="s">
        <v>123</v>
      </c>
      <c r="C561" s="617" t="s">
        <v>1386</v>
      </c>
      <c r="D561" s="131" t="s">
        <v>127</v>
      </c>
      <c r="E561" s="618" t="s">
        <v>126</v>
      </c>
      <c r="F561" s="617"/>
      <c r="G561" s="617"/>
      <c r="H561" s="611"/>
      <c r="I561" s="101">
        <v>3235998.63</v>
      </c>
      <c r="J561" s="102">
        <v>3031836</v>
      </c>
      <c r="K561" s="101">
        <v>1540600.2</v>
      </c>
      <c r="L561" s="101">
        <v>3295536</v>
      </c>
      <c r="M561" s="207"/>
      <c r="N561" s="207"/>
      <c r="O561" s="212"/>
      <c r="P561" s="212"/>
    </row>
    <row r="562" spans="1:16" s="229" customFormat="1" ht="18" customHeight="1" x14ac:dyDescent="0.25">
      <c r="A562" s="154"/>
      <c r="B562" s="617" t="s">
        <v>123</v>
      </c>
      <c r="C562" s="617" t="s">
        <v>1386</v>
      </c>
      <c r="D562" s="131" t="s">
        <v>127</v>
      </c>
      <c r="E562" s="618" t="s">
        <v>126</v>
      </c>
      <c r="F562" s="617"/>
      <c r="G562" s="617"/>
      <c r="H562" s="611"/>
      <c r="I562" s="101">
        <v>329001.84999999998</v>
      </c>
      <c r="J562" s="102">
        <v>298056</v>
      </c>
      <c r="K562" s="101">
        <v>159251.1</v>
      </c>
      <c r="L562" s="101">
        <v>324048</v>
      </c>
      <c r="M562" s="207"/>
      <c r="N562" s="207"/>
      <c r="O562" s="212"/>
      <c r="P562" s="212"/>
    </row>
    <row r="563" spans="1:16" s="229" customFormat="1" ht="18" customHeight="1" x14ac:dyDescent="0.25">
      <c r="A563" s="154"/>
      <c r="B563" s="617" t="s">
        <v>123</v>
      </c>
      <c r="C563" s="617" t="s">
        <v>1386</v>
      </c>
      <c r="D563" s="131" t="s">
        <v>127</v>
      </c>
      <c r="E563" s="618" t="s">
        <v>126</v>
      </c>
      <c r="F563" s="617"/>
      <c r="G563" s="617"/>
      <c r="H563" s="611"/>
      <c r="I563" s="101"/>
      <c r="J563" s="102">
        <v>132552</v>
      </c>
      <c r="K563" s="101"/>
      <c r="L563" s="101">
        <v>143928</v>
      </c>
      <c r="M563" s="207"/>
      <c r="N563" s="207"/>
      <c r="O563" s="212"/>
      <c r="P563" s="212"/>
    </row>
    <row r="564" spans="1:16" s="229" customFormat="1" ht="18" customHeight="1" x14ac:dyDescent="0.25">
      <c r="A564" s="154"/>
      <c r="B564" s="617" t="s">
        <v>123</v>
      </c>
      <c r="C564" s="617" t="s">
        <v>1386</v>
      </c>
      <c r="D564" s="131" t="s">
        <v>127</v>
      </c>
      <c r="E564" s="618" t="s">
        <v>126</v>
      </c>
      <c r="F564" s="617"/>
      <c r="G564" s="617"/>
      <c r="H564" s="611"/>
      <c r="I564" s="105">
        <v>175541.43</v>
      </c>
      <c r="J564" s="106">
        <v>157992</v>
      </c>
      <c r="K564" s="105">
        <v>71943</v>
      </c>
      <c r="L564" s="105">
        <v>171828</v>
      </c>
      <c r="M564" s="207"/>
      <c r="N564" s="207"/>
      <c r="O564" s="212"/>
      <c r="P564" s="212"/>
    </row>
    <row r="565" spans="1:16" s="146" customFormat="1" x14ac:dyDescent="0.25">
      <c r="A565" s="615"/>
      <c r="B565" s="617" t="s">
        <v>123</v>
      </c>
      <c r="C565" s="617" t="s">
        <v>1386</v>
      </c>
      <c r="D565" s="131" t="s">
        <v>127</v>
      </c>
      <c r="E565" s="618" t="s">
        <v>126</v>
      </c>
      <c r="F565" s="617"/>
      <c r="G565" s="617"/>
      <c r="H565" s="617"/>
      <c r="I565" s="101">
        <v>147691.04999999999</v>
      </c>
      <c r="J565" s="102">
        <v>132552</v>
      </c>
      <c r="K565" s="101">
        <v>54543.92</v>
      </c>
      <c r="L565" s="121">
        <v>143928</v>
      </c>
      <c r="M565" s="10"/>
      <c r="N565" s="10"/>
      <c r="O565"/>
      <c r="P565"/>
    </row>
    <row r="566" spans="1:16" s="146" customFormat="1" x14ac:dyDescent="0.25">
      <c r="A566" s="615"/>
      <c r="B566" s="617" t="s">
        <v>123</v>
      </c>
      <c r="C566" s="617" t="s">
        <v>1386</v>
      </c>
      <c r="D566" s="131" t="s">
        <v>127</v>
      </c>
      <c r="E566" s="618" t="s">
        <v>126</v>
      </c>
      <c r="F566" s="617"/>
      <c r="G566" s="617"/>
      <c r="H566" s="617"/>
      <c r="I566" s="101">
        <v>979409.38</v>
      </c>
      <c r="J566" s="102">
        <v>999840</v>
      </c>
      <c r="K566" s="101">
        <v>434656.46</v>
      </c>
      <c r="L566" s="101">
        <v>1084800</v>
      </c>
      <c r="M566" s="10">
        <f>SUM(L557:L566)</f>
        <v>8554596</v>
      </c>
      <c r="N566" s="10"/>
      <c r="O566"/>
      <c r="P566"/>
    </row>
    <row r="567" spans="1:16" s="146" customFormat="1" ht="18" customHeight="1" x14ac:dyDescent="0.25">
      <c r="A567" s="615"/>
      <c r="B567" s="617" t="s">
        <v>123</v>
      </c>
      <c r="C567" s="617" t="s">
        <v>1386</v>
      </c>
      <c r="D567" s="132" t="s">
        <v>130</v>
      </c>
      <c r="E567" s="619" t="s">
        <v>129</v>
      </c>
      <c r="F567" s="612"/>
      <c r="G567" s="612"/>
      <c r="H567" s="612"/>
      <c r="I567" s="105">
        <v>246908.67</v>
      </c>
      <c r="J567" s="106">
        <v>264000</v>
      </c>
      <c r="K567" s="105">
        <v>120636.34</v>
      </c>
      <c r="L567" s="105">
        <v>264000</v>
      </c>
      <c r="M567" s="10"/>
      <c r="N567" s="10"/>
      <c r="O567"/>
      <c r="P567"/>
    </row>
    <row r="568" spans="1:16" ht="17.45" customHeight="1" x14ac:dyDescent="0.25">
      <c r="A568" s="626"/>
      <c r="B568" s="617" t="s">
        <v>123</v>
      </c>
      <c r="C568" s="617" t="s">
        <v>1386</v>
      </c>
      <c r="D568" s="132" t="s">
        <v>130</v>
      </c>
      <c r="E568" s="619" t="s">
        <v>129</v>
      </c>
      <c r="F568" s="612"/>
      <c r="G568" s="612"/>
      <c r="H568" s="612"/>
      <c r="I568" s="101">
        <v>135000</v>
      </c>
      <c r="J568" s="102">
        <v>720000</v>
      </c>
      <c r="K568" s="101">
        <v>155909.01</v>
      </c>
      <c r="L568" s="101">
        <v>720000</v>
      </c>
    </row>
    <row r="569" spans="1:16" ht="17.45" customHeight="1" x14ac:dyDescent="0.25">
      <c r="A569" s="626"/>
      <c r="B569" s="617" t="s">
        <v>123</v>
      </c>
      <c r="C569" s="617" t="s">
        <v>1386</v>
      </c>
      <c r="D569" s="132" t="s">
        <v>130</v>
      </c>
      <c r="E569" s="619" t="s">
        <v>129</v>
      </c>
      <c r="F569" s="612"/>
      <c r="G569" s="612"/>
      <c r="H569" s="612"/>
      <c r="I569" s="101">
        <v>86181.56</v>
      </c>
      <c r="J569" s="102">
        <v>96000</v>
      </c>
      <c r="K569" s="101">
        <v>54181.81</v>
      </c>
      <c r="L569" s="101">
        <v>96000</v>
      </c>
    </row>
    <row r="570" spans="1:16" ht="17.45" customHeight="1" x14ac:dyDescent="0.25">
      <c r="A570" s="626"/>
      <c r="B570" s="617" t="s">
        <v>123</v>
      </c>
      <c r="C570" s="617" t="s">
        <v>1386</v>
      </c>
      <c r="D570" s="132" t="s">
        <v>130</v>
      </c>
      <c r="E570" s="619" t="s">
        <v>129</v>
      </c>
      <c r="F570" s="612"/>
      <c r="G570" s="612"/>
      <c r="H570" s="612"/>
      <c r="I570" s="101">
        <v>48000</v>
      </c>
      <c r="J570" s="102">
        <v>96000</v>
      </c>
      <c r="K570" s="101">
        <v>28000</v>
      </c>
      <c r="L570" s="101">
        <v>96000</v>
      </c>
    </row>
    <row r="571" spans="1:16" ht="17.45" customHeight="1" x14ac:dyDescent="0.25">
      <c r="A571" s="626"/>
      <c r="B571" s="617" t="s">
        <v>123</v>
      </c>
      <c r="C571" s="617" t="s">
        <v>1386</v>
      </c>
      <c r="D571" s="132" t="s">
        <v>130</v>
      </c>
      <c r="E571" s="619" t="s">
        <v>129</v>
      </c>
      <c r="F571" s="612"/>
      <c r="G571" s="612"/>
      <c r="H571" s="612"/>
      <c r="I571" s="101">
        <v>48000</v>
      </c>
      <c r="J571" s="102">
        <v>72000</v>
      </c>
      <c r="K571" s="101">
        <v>28000</v>
      </c>
      <c r="L571" s="101">
        <v>72000</v>
      </c>
    </row>
    <row r="572" spans="1:16" ht="17.45" customHeight="1" x14ac:dyDescent="0.25">
      <c r="A572" s="626"/>
      <c r="B572" s="617" t="s">
        <v>123</v>
      </c>
      <c r="C572" s="617" t="s">
        <v>1386</v>
      </c>
      <c r="D572" s="132" t="s">
        <v>130</v>
      </c>
      <c r="E572" s="619" t="s">
        <v>129</v>
      </c>
      <c r="F572" s="612"/>
      <c r="G572" s="612"/>
      <c r="H572" s="612"/>
      <c r="I572" s="101">
        <v>72000</v>
      </c>
      <c r="J572" s="102">
        <v>96000</v>
      </c>
      <c r="K572" s="101">
        <v>48818.18</v>
      </c>
      <c r="L572" s="101">
        <v>96000</v>
      </c>
    </row>
    <row r="573" spans="1:16" s="146" customFormat="1" ht="17.45" customHeight="1" x14ac:dyDescent="0.25">
      <c r="A573" s="626"/>
      <c r="B573" s="617" t="s">
        <v>123</v>
      </c>
      <c r="C573" s="617" t="s">
        <v>1386</v>
      </c>
      <c r="D573" s="132" t="s">
        <v>130</v>
      </c>
      <c r="E573" s="618" t="s">
        <v>129</v>
      </c>
      <c r="F573" s="617"/>
      <c r="G573" s="617"/>
      <c r="H573" s="611"/>
      <c r="I573" s="101">
        <v>76363.28</v>
      </c>
      <c r="J573" s="102">
        <v>168000</v>
      </c>
      <c r="K573" s="101">
        <v>52363.62</v>
      </c>
      <c r="L573" s="101">
        <v>168000</v>
      </c>
      <c r="M573" s="10"/>
      <c r="N573" s="10"/>
      <c r="O573"/>
      <c r="P573"/>
    </row>
    <row r="574" spans="1:16" s="146" customFormat="1" ht="17.45" customHeight="1" x14ac:dyDescent="0.25">
      <c r="A574" s="626"/>
      <c r="B574" s="617" t="s">
        <v>123</v>
      </c>
      <c r="C574" s="617" t="s">
        <v>1386</v>
      </c>
      <c r="D574" s="132" t="s">
        <v>130</v>
      </c>
      <c r="E574" s="619" t="s">
        <v>129</v>
      </c>
      <c r="F574" s="612"/>
      <c r="G574" s="612"/>
      <c r="H574" s="612"/>
      <c r="I574" s="101">
        <v>620131.31000000006</v>
      </c>
      <c r="J574" s="102">
        <v>888000</v>
      </c>
      <c r="K574" s="101">
        <v>457636.19</v>
      </c>
      <c r="L574" s="101">
        <v>888000</v>
      </c>
      <c r="M574" s="10"/>
      <c r="N574" s="10"/>
      <c r="O574"/>
      <c r="P574"/>
    </row>
    <row r="575" spans="1:16" s="146" customFormat="1" ht="17.45" customHeight="1" x14ac:dyDescent="0.25">
      <c r="A575" s="626"/>
      <c r="B575" s="617" t="s">
        <v>123</v>
      </c>
      <c r="C575" s="617" t="s">
        <v>1386</v>
      </c>
      <c r="D575" s="132" t="s">
        <v>130</v>
      </c>
      <c r="E575" s="619" t="s">
        <v>129</v>
      </c>
      <c r="F575" s="612"/>
      <c r="G575" s="612"/>
      <c r="H575" s="612"/>
      <c r="I575" s="101">
        <v>244363.28</v>
      </c>
      <c r="J575" s="102">
        <v>432000</v>
      </c>
      <c r="K575" s="101">
        <v>150363.62</v>
      </c>
      <c r="L575" s="101">
        <v>432000</v>
      </c>
      <c r="M575" s="10"/>
      <c r="N575" s="10"/>
      <c r="O575"/>
      <c r="P575"/>
    </row>
    <row r="576" spans="1:16" s="146" customFormat="1" ht="17.45" customHeight="1" x14ac:dyDescent="0.25">
      <c r="A576" s="626"/>
      <c r="B576" s="617" t="s">
        <v>123</v>
      </c>
      <c r="C576" s="617" t="s">
        <v>1386</v>
      </c>
      <c r="D576" s="132" t="s">
        <v>130</v>
      </c>
      <c r="E576" s="619" t="s">
        <v>129</v>
      </c>
      <c r="F576" s="612"/>
      <c r="G576" s="612"/>
      <c r="H576" s="612"/>
      <c r="I576" s="101"/>
      <c r="J576" s="102">
        <v>72000</v>
      </c>
      <c r="K576" s="101"/>
      <c r="L576" s="101">
        <v>72000</v>
      </c>
      <c r="M576" s="10"/>
      <c r="N576" s="10"/>
      <c r="O576"/>
      <c r="P576"/>
    </row>
    <row r="577" spans="1:16" s="146" customFormat="1" ht="17.45" customHeight="1" x14ac:dyDescent="0.25">
      <c r="A577" s="626"/>
      <c r="B577" s="617" t="s">
        <v>123</v>
      </c>
      <c r="C577" s="617" t="s">
        <v>1386</v>
      </c>
      <c r="D577" s="132" t="s">
        <v>130</v>
      </c>
      <c r="E577" s="619" t="s">
        <v>129</v>
      </c>
      <c r="F577" s="612"/>
      <c r="G577" s="612"/>
      <c r="H577" s="612"/>
      <c r="I577" s="101">
        <v>0</v>
      </c>
      <c r="J577" s="102">
        <v>48000</v>
      </c>
      <c r="K577" s="101"/>
      <c r="L577" s="101">
        <v>48000</v>
      </c>
      <c r="M577" s="10"/>
      <c r="N577" s="10"/>
      <c r="O577"/>
      <c r="P577"/>
    </row>
    <row r="578" spans="1:16" s="146" customFormat="1" ht="17.45" customHeight="1" x14ac:dyDescent="0.25">
      <c r="A578" s="626"/>
      <c r="B578" s="617" t="s">
        <v>123</v>
      </c>
      <c r="C578" s="617" t="s">
        <v>1386</v>
      </c>
      <c r="D578" s="132" t="s">
        <v>130</v>
      </c>
      <c r="E578" s="619" t="s">
        <v>129</v>
      </c>
      <c r="F578" s="612"/>
      <c r="G578" s="612"/>
      <c r="H578" s="612"/>
      <c r="I578" s="101">
        <v>72000</v>
      </c>
      <c r="J578" s="102">
        <v>96000</v>
      </c>
      <c r="K578" s="101">
        <v>42000</v>
      </c>
      <c r="L578" s="101">
        <v>96000</v>
      </c>
      <c r="M578" s="10"/>
      <c r="N578" s="10"/>
      <c r="O578"/>
      <c r="P578"/>
    </row>
    <row r="579" spans="1:16" s="146" customFormat="1" ht="17.45" customHeight="1" x14ac:dyDescent="0.25">
      <c r="A579" s="626"/>
      <c r="B579" s="617" t="s">
        <v>123</v>
      </c>
      <c r="C579" s="617" t="s">
        <v>1386</v>
      </c>
      <c r="D579" s="132" t="s">
        <v>130</v>
      </c>
      <c r="E579" s="618" t="s">
        <v>129</v>
      </c>
      <c r="F579" s="617"/>
      <c r="G579" s="617"/>
      <c r="H579" s="611"/>
      <c r="I579" s="101">
        <v>205908.83</v>
      </c>
      <c r="J579" s="102">
        <v>336000</v>
      </c>
      <c r="K579" s="101">
        <v>123727.26</v>
      </c>
      <c r="L579" s="101">
        <v>336000</v>
      </c>
      <c r="M579" s="10"/>
      <c r="N579" s="10"/>
      <c r="O579"/>
      <c r="P579"/>
    </row>
    <row r="580" spans="1:16" s="146" customFormat="1" ht="17.45" customHeight="1" x14ac:dyDescent="0.25">
      <c r="A580" s="626"/>
      <c r="B580" s="617" t="s">
        <v>123</v>
      </c>
      <c r="C580" s="617" t="s">
        <v>1386</v>
      </c>
      <c r="D580" s="132" t="s">
        <v>130</v>
      </c>
      <c r="E580" s="618" t="s">
        <v>129</v>
      </c>
      <c r="F580" s="617"/>
      <c r="G580" s="617"/>
      <c r="H580" s="611"/>
      <c r="I580" s="101">
        <v>110181.56</v>
      </c>
      <c r="J580" s="102">
        <v>144000</v>
      </c>
      <c r="K580" s="101">
        <v>74000.02</v>
      </c>
      <c r="L580" s="101">
        <v>144000</v>
      </c>
      <c r="M580" s="10"/>
      <c r="N580" s="10"/>
      <c r="O580"/>
      <c r="P580"/>
    </row>
    <row r="581" spans="1:16" s="146" customFormat="1" ht="17.45" customHeight="1" x14ac:dyDescent="0.25">
      <c r="A581" s="626"/>
      <c r="B581" s="617" t="s">
        <v>123</v>
      </c>
      <c r="C581" s="617" t="s">
        <v>1386</v>
      </c>
      <c r="D581" s="131" t="s">
        <v>130</v>
      </c>
      <c r="E581" s="619" t="s">
        <v>129</v>
      </c>
      <c r="F581" s="612"/>
      <c r="G581" s="612"/>
      <c r="H581" s="612"/>
      <c r="I581" s="101">
        <v>192000</v>
      </c>
      <c r="J581" s="102">
        <v>312000</v>
      </c>
      <c r="K581" s="101">
        <v>137090.91</v>
      </c>
      <c r="L581" s="101">
        <v>312000</v>
      </c>
      <c r="M581" s="10"/>
      <c r="N581" s="10"/>
      <c r="O581"/>
      <c r="P581"/>
    </row>
    <row r="582" spans="1:16" s="146" customFormat="1" ht="17.45" customHeight="1" x14ac:dyDescent="0.25">
      <c r="A582" s="626"/>
      <c r="B582" s="617" t="s">
        <v>123</v>
      </c>
      <c r="C582" s="617" t="s">
        <v>1386</v>
      </c>
      <c r="D582" s="132" t="s">
        <v>130</v>
      </c>
      <c r="E582" s="618" t="s">
        <v>129</v>
      </c>
      <c r="F582" s="617"/>
      <c r="G582" s="617"/>
      <c r="H582" s="611"/>
      <c r="I582" s="101">
        <v>821362.72</v>
      </c>
      <c r="J582" s="102">
        <v>1080000</v>
      </c>
      <c r="K582" s="101">
        <v>499454.53</v>
      </c>
      <c r="L582" s="101">
        <v>1080000</v>
      </c>
      <c r="M582" s="10"/>
      <c r="N582" s="10"/>
      <c r="O582"/>
      <c r="P582"/>
    </row>
    <row r="583" spans="1:16" s="146" customFormat="1" ht="17.45" customHeight="1" x14ac:dyDescent="0.25">
      <c r="A583" s="626"/>
      <c r="B583" s="617" t="s">
        <v>123</v>
      </c>
      <c r="C583" s="617" t="s">
        <v>1386</v>
      </c>
      <c r="D583" s="131" t="s">
        <v>130</v>
      </c>
      <c r="E583" s="619" t="s">
        <v>129</v>
      </c>
      <c r="F583" s="612"/>
      <c r="G583" s="612"/>
      <c r="H583" s="612"/>
      <c r="I583" s="101">
        <v>378272.75</v>
      </c>
      <c r="J583" s="102">
        <v>432000</v>
      </c>
      <c r="K583" s="101">
        <v>196000</v>
      </c>
      <c r="L583" s="101">
        <v>432000</v>
      </c>
      <c r="M583" s="10"/>
      <c r="N583" s="10"/>
      <c r="O583"/>
      <c r="P583"/>
    </row>
    <row r="584" spans="1:16" s="146" customFormat="1" ht="17.45" customHeight="1" x14ac:dyDescent="0.25">
      <c r="A584" s="626"/>
      <c r="B584" s="617" t="s">
        <v>123</v>
      </c>
      <c r="C584" s="617" t="s">
        <v>1386</v>
      </c>
      <c r="D584" s="132" t="s">
        <v>130</v>
      </c>
      <c r="E584" s="619" t="s">
        <v>129</v>
      </c>
      <c r="F584" s="612"/>
      <c r="G584" s="612"/>
      <c r="H584" s="612"/>
      <c r="I584" s="101">
        <v>192000</v>
      </c>
      <c r="J584" s="102">
        <v>288000</v>
      </c>
      <c r="K584" s="101">
        <v>100000</v>
      </c>
      <c r="L584" s="101">
        <v>288000</v>
      </c>
      <c r="M584" s="10"/>
      <c r="N584" s="10"/>
      <c r="O584"/>
      <c r="P584"/>
    </row>
    <row r="585" spans="1:16" s="146" customFormat="1" ht="17.45" customHeight="1" x14ac:dyDescent="0.25">
      <c r="A585" s="626"/>
      <c r="B585" s="617" t="s">
        <v>123</v>
      </c>
      <c r="C585" s="617" t="s">
        <v>1386</v>
      </c>
      <c r="D585" s="132" t="s">
        <v>130</v>
      </c>
      <c r="E585" s="619" t="s">
        <v>129</v>
      </c>
      <c r="F585" s="612"/>
      <c r="G585" s="612"/>
      <c r="H585" s="612"/>
      <c r="I585" s="101">
        <v>96000</v>
      </c>
      <c r="J585" s="102">
        <v>96000</v>
      </c>
      <c r="K585" s="101">
        <v>56000</v>
      </c>
      <c r="L585" s="101">
        <v>96000</v>
      </c>
      <c r="M585" s="10">
        <f>SUM(L567:L585)</f>
        <v>5736000</v>
      </c>
      <c r="N585" s="10"/>
      <c r="O585"/>
      <c r="P585"/>
    </row>
    <row r="586" spans="1:16" s="146" customFormat="1" ht="17.45" customHeight="1" x14ac:dyDescent="0.25">
      <c r="A586" s="626"/>
      <c r="B586" s="617" t="s">
        <v>123</v>
      </c>
      <c r="C586" s="617" t="s">
        <v>1386</v>
      </c>
      <c r="D586" s="131" t="s">
        <v>132</v>
      </c>
      <c r="E586" s="619" t="s">
        <v>131</v>
      </c>
      <c r="F586" s="612"/>
      <c r="G586" s="612"/>
      <c r="H586" s="612"/>
      <c r="I586" s="105">
        <v>96000</v>
      </c>
      <c r="J586" s="106">
        <v>96000</v>
      </c>
      <c r="K586" s="105">
        <v>56000</v>
      </c>
      <c r="L586" s="105">
        <v>96000</v>
      </c>
      <c r="M586" s="10"/>
      <c r="N586" s="10"/>
      <c r="O586"/>
      <c r="P586"/>
    </row>
    <row r="587" spans="1:16" s="229" customFormat="1" ht="17.45" customHeight="1" x14ac:dyDescent="0.25">
      <c r="A587" s="154"/>
      <c r="B587" s="617" t="s">
        <v>123</v>
      </c>
      <c r="C587" s="617" t="s">
        <v>1386</v>
      </c>
      <c r="D587" s="131" t="s">
        <v>132</v>
      </c>
      <c r="E587" s="618" t="s">
        <v>131</v>
      </c>
      <c r="F587" s="617"/>
      <c r="G587" s="617"/>
      <c r="H587" s="611"/>
      <c r="I587" s="101">
        <v>86400</v>
      </c>
      <c r="J587" s="102">
        <v>86400</v>
      </c>
      <c r="K587" s="101">
        <v>50400</v>
      </c>
      <c r="L587" s="101">
        <v>86400</v>
      </c>
      <c r="M587" s="207"/>
      <c r="N587" s="207"/>
      <c r="O587" s="212"/>
      <c r="P587" s="212"/>
    </row>
    <row r="588" spans="1:16" s="229" customFormat="1" ht="17.45" customHeight="1" x14ac:dyDescent="0.25">
      <c r="A588" s="154"/>
      <c r="B588" s="617" t="s">
        <v>123</v>
      </c>
      <c r="C588" s="617" t="s">
        <v>1386</v>
      </c>
      <c r="D588" s="131" t="s">
        <v>132</v>
      </c>
      <c r="E588" s="618" t="s">
        <v>131</v>
      </c>
      <c r="F588" s="617"/>
      <c r="G588" s="617"/>
      <c r="H588" s="611"/>
      <c r="I588" s="101">
        <v>853500</v>
      </c>
      <c r="J588" s="102">
        <v>864000</v>
      </c>
      <c r="K588" s="101">
        <v>492000</v>
      </c>
      <c r="L588" s="101">
        <v>864000</v>
      </c>
      <c r="M588" s="207"/>
      <c r="N588" s="207"/>
      <c r="O588" s="212"/>
      <c r="P588" s="212"/>
    </row>
    <row r="589" spans="1:16" s="229" customFormat="1" ht="17.45" customHeight="1" x14ac:dyDescent="0.25">
      <c r="A589" s="154"/>
      <c r="B589" s="617" t="s">
        <v>123</v>
      </c>
      <c r="C589" s="617" t="s">
        <v>1386</v>
      </c>
      <c r="D589" s="131" t="s">
        <v>132</v>
      </c>
      <c r="E589" s="618" t="s">
        <v>131</v>
      </c>
      <c r="F589" s="617"/>
      <c r="G589" s="617"/>
      <c r="H589" s="611"/>
      <c r="I589" s="101">
        <v>73500</v>
      </c>
      <c r="J589" s="102">
        <v>72000</v>
      </c>
      <c r="K589" s="101">
        <v>43500</v>
      </c>
      <c r="L589" s="101">
        <v>72000</v>
      </c>
      <c r="M589" s="207"/>
      <c r="N589" s="207"/>
      <c r="O589" s="212"/>
      <c r="P589" s="212"/>
    </row>
    <row r="590" spans="1:16" s="229" customFormat="1" ht="17.45" customHeight="1" x14ac:dyDescent="0.25">
      <c r="A590" s="154"/>
      <c r="B590" s="617" t="s">
        <v>123</v>
      </c>
      <c r="C590" s="617" t="s">
        <v>1386</v>
      </c>
      <c r="D590" s="131" t="s">
        <v>132</v>
      </c>
      <c r="E590" s="618" t="s">
        <v>131</v>
      </c>
      <c r="F590" s="617"/>
      <c r="G590" s="617"/>
      <c r="H590" s="611"/>
      <c r="I590" s="101"/>
      <c r="J590" s="102">
        <v>72000</v>
      </c>
      <c r="K590" s="101"/>
      <c r="L590" s="101">
        <v>72000</v>
      </c>
      <c r="M590" s="207"/>
      <c r="N590" s="207"/>
      <c r="O590" s="212"/>
      <c r="P590" s="212"/>
    </row>
    <row r="591" spans="1:16" s="229" customFormat="1" ht="17.45" customHeight="1" x14ac:dyDescent="0.25">
      <c r="A591" s="154"/>
      <c r="B591" s="617" t="s">
        <v>123</v>
      </c>
      <c r="C591" s="617" t="s">
        <v>1386</v>
      </c>
      <c r="D591" s="131" t="s">
        <v>132</v>
      </c>
      <c r="E591" s="618" t="s">
        <v>131</v>
      </c>
      <c r="F591" s="617"/>
      <c r="G591" s="617"/>
      <c r="H591" s="611"/>
      <c r="I591" s="101">
        <v>0</v>
      </c>
      <c r="J591" s="102">
        <v>72000</v>
      </c>
      <c r="K591" s="101"/>
      <c r="L591" s="101">
        <v>72000</v>
      </c>
      <c r="M591" s="207"/>
      <c r="N591" s="207"/>
      <c r="O591" s="212"/>
      <c r="P591" s="212"/>
    </row>
    <row r="592" spans="1:16" s="229" customFormat="1" ht="17.45" customHeight="1" x14ac:dyDescent="0.25">
      <c r="A592" s="154"/>
      <c r="B592" s="617" t="s">
        <v>123</v>
      </c>
      <c r="C592" s="617" t="s">
        <v>1386</v>
      </c>
      <c r="D592" s="131" t="s">
        <v>132</v>
      </c>
      <c r="E592" s="618" t="s">
        <v>131</v>
      </c>
      <c r="F592" s="617"/>
      <c r="G592" s="617"/>
      <c r="H592" s="611"/>
      <c r="I592" s="101">
        <v>72000</v>
      </c>
      <c r="J592" s="102">
        <v>72000</v>
      </c>
      <c r="K592" s="101">
        <v>42000</v>
      </c>
      <c r="L592" s="101">
        <v>72000</v>
      </c>
      <c r="M592" s="207"/>
      <c r="N592" s="207"/>
      <c r="O592" s="212"/>
      <c r="P592" s="212"/>
    </row>
    <row r="593" spans="1:16" s="229" customFormat="1" ht="17.45" customHeight="1" x14ac:dyDescent="0.25">
      <c r="A593" s="154"/>
      <c r="B593" s="617" t="s">
        <v>123</v>
      </c>
      <c r="C593" s="617" t="s">
        <v>1386</v>
      </c>
      <c r="D593" s="131" t="s">
        <v>132</v>
      </c>
      <c r="E593" s="618" t="s">
        <v>131</v>
      </c>
      <c r="F593" s="617"/>
      <c r="G593" s="617"/>
      <c r="H593" s="611"/>
      <c r="I593" s="101">
        <v>72000</v>
      </c>
      <c r="J593" s="102">
        <v>72000</v>
      </c>
      <c r="K593" s="101">
        <v>42000</v>
      </c>
      <c r="L593" s="101">
        <v>72000</v>
      </c>
      <c r="M593" s="207"/>
      <c r="N593" s="207"/>
      <c r="O593" s="212"/>
      <c r="P593" s="212"/>
    </row>
    <row r="594" spans="1:16" s="229" customFormat="1" ht="17.45" customHeight="1" x14ac:dyDescent="0.25">
      <c r="A594" s="154"/>
      <c r="B594" s="617" t="s">
        <v>123</v>
      </c>
      <c r="C594" s="617" t="s">
        <v>1386</v>
      </c>
      <c r="D594" s="131" t="s">
        <v>132</v>
      </c>
      <c r="E594" s="618" t="s">
        <v>131</v>
      </c>
      <c r="F594" s="617"/>
      <c r="G594" s="617"/>
      <c r="H594" s="611"/>
      <c r="I594" s="101">
        <v>72000</v>
      </c>
      <c r="J594" s="102">
        <v>72000</v>
      </c>
      <c r="K594" s="101">
        <v>42000</v>
      </c>
      <c r="L594" s="101">
        <v>72000</v>
      </c>
      <c r="M594" s="207"/>
      <c r="N594" s="207"/>
      <c r="O594" s="212"/>
      <c r="P594" s="212"/>
    </row>
    <row r="595" spans="1:16" s="229" customFormat="1" ht="17.45" customHeight="1" x14ac:dyDescent="0.25">
      <c r="A595" s="154"/>
      <c r="B595" s="617" t="s">
        <v>123</v>
      </c>
      <c r="C595" s="617" t="s">
        <v>1386</v>
      </c>
      <c r="D595" s="131" t="s">
        <v>132</v>
      </c>
      <c r="E595" s="618" t="s">
        <v>131</v>
      </c>
      <c r="F595" s="617"/>
      <c r="G595" s="617"/>
      <c r="H595" s="611"/>
      <c r="I595" s="101">
        <v>72000</v>
      </c>
      <c r="J595" s="102">
        <v>72000</v>
      </c>
      <c r="K595" s="101">
        <v>40500</v>
      </c>
      <c r="L595" s="101">
        <v>72000</v>
      </c>
      <c r="M595" s="207"/>
      <c r="N595" s="207"/>
      <c r="O595" s="212"/>
      <c r="P595" s="212"/>
    </row>
    <row r="596" spans="1:16" s="229" customFormat="1" ht="17.45" customHeight="1" x14ac:dyDescent="0.25">
      <c r="A596" s="154"/>
      <c r="B596" s="617" t="s">
        <v>123</v>
      </c>
      <c r="C596" s="617" t="s">
        <v>1386</v>
      </c>
      <c r="D596" s="131" t="s">
        <v>132</v>
      </c>
      <c r="E596" s="618" t="s">
        <v>131</v>
      </c>
      <c r="F596" s="617"/>
      <c r="G596" s="617"/>
      <c r="H596" s="611"/>
      <c r="I596" s="101">
        <v>70500</v>
      </c>
      <c r="J596" s="102">
        <v>72000</v>
      </c>
      <c r="K596" s="101">
        <v>40500</v>
      </c>
      <c r="L596" s="101">
        <v>72000</v>
      </c>
      <c r="M596" s="207"/>
      <c r="N596" s="207"/>
      <c r="O596" s="212"/>
      <c r="P596" s="212"/>
    </row>
    <row r="597" spans="1:16" s="229" customFormat="1" ht="17.45" customHeight="1" x14ac:dyDescent="0.25">
      <c r="A597" s="154"/>
      <c r="B597" s="617" t="s">
        <v>123</v>
      </c>
      <c r="C597" s="617" t="s">
        <v>1386</v>
      </c>
      <c r="D597" s="131" t="s">
        <v>132</v>
      </c>
      <c r="E597" s="618" t="s">
        <v>131</v>
      </c>
      <c r="F597" s="617"/>
      <c r="G597" s="617"/>
      <c r="H597" s="611"/>
      <c r="I597" s="101">
        <v>112000</v>
      </c>
      <c r="J597" s="102">
        <v>120000</v>
      </c>
      <c r="K597" s="101">
        <v>40500</v>
      </c>
      <c r="L597" s="101">
        <v>120000</v>
      </c>
      <c r="M597" s="207"/>
      <c r="N597" s="207"/>
      <c r="O597" s="212"/>
      <c r="P597" s="212"/>
    </row>
    <row r="598" spans="1:16" s="229" customFormat="1" ht="17.45" customHeight="1" x14ac:dyDescent="0.25">
      <c r="A598" s="154"/>
      <c r="B598" s="617" t="s">
        <v>123</v>
      </c>
      <c r="C598" s="617" t="s">
        <v>1386</v>
      </c>
      <c r="D598" s="131" t="s">
        <v>132</v>
      </c>
      <c r="E598" s="618" t="s">
        <v>131</v>
      </c>
      <c r="F598" s="617"/>
      <c r="G598" s="617"/>
      <c r="H598" s="611"/>
      <c r="I598" s="101">
        <v>70500</v>
      </c>
      <c r="J598" s="102">
        <v>120000</v>
      </c>
      <c r="K598" s="101">
        <v>40500</v>
      </c>
      <c r="L598" s="101">
        <v>120000</v>
      </c>
      <c r="M598" s="207"/>
      <c r="N598" s="207"/>
      <c r="O598" s="212"/>
      <c r="P598" s="212"/>
    </row>
    <row r="599" spans="1:16" s="146" customFormat="1" ht="17.45" customHeight="1" x14ac:dyDescent="0.25">
      <c r="A599" s="626"/>
      <c r="B599" s="617" t="s">
        <v>123</v>
      </c>
      <c r="C599" s="617" t="s">
        <v>1386</v>
      </c>
      <c r="D599" s="131" t="s">
        <v>132</v>
      </c>
      <c r="E599" s="618" t="s">
        <v>131</v>
      </c>
      <c r="F599" s="617"/>
      <c r="G599" s="617"/>
      <c r="H599" s="611"/>
      <c r="I599" s="101">
        <v>72000</v>
      </c>
      <c r="J599" s="102">
        <v>72000</v>
      </c>
      <c r="K599" s="101">
        <v>42000</v>
      </c>
      <c r="L599" s="101">
        <v>72000</v>
      </c>
      <c r="M599" s="10">
        <f>SUM(L586:L599)</f>
        <v>1934400</v>
      </c>
      <c r="N599" s="10"/>
      <c r="O599"/>
      <c r="P599"/>
    </row>
    <row r="600" spans="1:16" s="146" customFormat="1" ht="17.45" customHeight="1" x14ac:dyDescent="0.25">
      <c r="A600" s="626"/>
      <c r="B600" s="617" t="s">
        <v>123</v>
      </c>
      <c r="C600" s="617" t="s">
        <v>1386</v>
      </c>
      <c r="D600" s="131" t="s">
        <v>134</v>
      </c>
      <c r="E600" s="619" t="s">
        <v>133</v>
      </c>
      <c r="F600" s="612"/>
      <c r="G600" s="612"/>
      <c r="H600" s="612"/>
      <c r="I600" s="101">
        <v>853500</v>
      </c>
      <c r="J600" s="102">
        <v>864000</v>
      </c>
      <c r="K600" s="101">
        <v>492000</v>
      </c>
      <c r="L600" s="101">
        <v>864000</v>
      </c>
      <c r="M600" s="10"/>
      <c r="N600" s="10"/>
      <c r="O600"/>
      <c r="P600"/>
    </row>
    <row r="601" spans="1:16" s="146" customFormat="1" ht="17.45" customHeight="1" x14ac:dyDescent="0.25">
      <c r="A601" s="626"/>
      <c r="B601" s="617" t="s">
        <v>123</v>
      </c>
      <c r="C601" s="617" t="s">
        <v>1386</v>
      </c>
      <c r="D601" s="131" t="s">
        <v>134</v>
      </c>
      <c r="E601" s="619" t="s">
        <v>133</v>
      </c>
      <c r="F601" s="612"/>
      <c r="G601" s="612"/>
      <c r="H601" s="612"/>
      <c r="I601" s="105">
        <v>73500</v>
      </c>
      <c r="J601" s="106">
        <v>72000</v>
      </c>
      <c r="K601" s="105">
        <v>43500</v>
      </c>
      <c r="L601" s="105">
        <v>72000</v>
      </c>
      <c r="M601" s="10"/>
      <c r="N601" s="10"/>
      <c r="O601"/>
      <c r="P601"/>
    </row>
    <row r="602" spans="1:16" s="146" customFormat="1" ht="17.45" customHeight="1" x14ac:dyDescent="0.25">
      <c r="A602" s="615"/>
      <c r="B602" s="617" t="s">
        <v>123</v>
      </c>
      <c r="C602" s="617" t="s">
        <v>1386</v>
      </c>
      <c r="D602" s="131" t="s">
        <v>134</v>
      </c>
      <c r="E602" s="701" t="s">
        <v>133</v>
      </c>
      <c r="F602" s="632"/>
      <c r="G602" s="617"/>
      <c r="H602" s="617"/>
      <c r="I602" s="101"/>
      <c r="J602" s="102">
        <v>72000</v>
      </c>
      <c r="K602" s="101"/>
      <c r="L602" s="121">
        <v>72000</v>
      </c>
      <c r="M602" s="10"/>
      <c r="N602" s="10">
        <f>115000*3</f>
        <v>345000</v>
      </c>
      <c r="O602"/>
      <c r="P602"/>
    </row>
    <row r="603" spans="1:16" s="146" customFormat="1" ht="17.45" customHeight="1" x14ac:dyDescent="0.25">
      <c r="A603" s="615"/>
      <c r="B603" s="617" t="s">
        <v>123</v>
      </c>
      <c r="C603" s="617" t="s">
        <v>1386</v>
      </c>
      <c r="D603" s="131" t="s">
        <v>134</v>
      </c>
      <c r="E603" s="618" t="s">
        <v>133</v>
      </c>
      <c r="F603" s="617"/>
      <c r="G603" s="617"/>
      <c r="H603" s="617"/>
      <c r="I603" s="101">
        <v>0</v>
      </c>
      <c r="J603" s="102">
        <v>72000</v>
      </c>
      <c r="K603" s="101"/>
      <c r="L603" s="101">
        <v>72000</v>
      </c>
      <c r="M603" s="10"/>
      <c r="N603" s="10">
        <f>80000*3</f>
        <v>240000</v>
      </c>
      <c r="O603"/>
      <c r="P603"/>
    </row>
    <row r="604" spans="1:16" s="146" customFormat="1" ht="17.45" customHeight="1" x14ac:dyDescent="0.25">
      <c r="A604" s="615"/>
      <c r="B604" s="617" t="s">
        <v>123</v>
      </c>
      <c r="C604" s="617" t="s">
        <v>1386</v>
      </c>
      <c r="D604" s="131" t="s">
        <v>134</v>
      </c>
      <c r="E604" s="618" t="s">
        <v>133</v>
      </c>
      <c r="F604" s="617"/>
      <c r="G604" s="617"/>
      <c r="H604" s="617"/>
      <c r="I604" s="101">
        <v>72000</v>
      </c>
      <c r="J604" s="102">
        <v>72000</v>
      </c>
      <c r="K604" s="101">
        <v>36000</v>
      </c>
      <c r="L604" s="101">
        <v>72000</v>
      </c>
      <c r="M604" s="10"/>
      <c r="N604" s="10"/>
      <c r="O604"/>
      <c r="P604"/>
    </row>
    <row r="605" spans="1:16" s="146" customFormat="1" ht="17.45" customHeight="1" x14ac:dyDescent="0.25">
      <c r="A605" s="615"/>
      <c r="B605" s="617" t="s">
        <v>123</v>
      </c>
      <c r="C605" s="617" t="s">
        <v>1386</v>
      </c>
      <c r="D605" s="131" t="s">
        <v>134</v>
      </c>
      <c r="E605" s="618" t="s">
        <v>133</v>
      </c>
      <c r="F605" s="617"/>
      <c r="G605" s="617"/>
      <c r="H605" s="617"/>
      <c r="I605" s="101">
        <v>72000</v>
      </c>
      <c r="J605" s="102">
        <v>72000</v>
      </c>
      <c r="K605" s="101">
        <v>42000</v>
      </c>
      <c r="L605" s="101">
        <v>72000</v>
      </c>
      <c r="M605" s="10"/>
      <c r="N605" s="10"/>
      <c r="O605"/>
      <c r="P605"/>
    </row>
    <row r="606" spans="1:16" s="146" customFormat="1" ht="17.45" customHeight="1" x14ac:dyDescent="0.25">
      <c r="A606" s="615"/>
      <c r="B606" s="617" t="s">
        <v>123</v>
      </c>
      <c r="C606" s="617" t="s">
        <v>1386</v>
      </c>
      <c r="D606" s="131" t="s">
        <v>134</v>
      </c>
      <c r="E606" s="618" t="s">
        <v>133</v>
      </c>
      <c r="F606" s="617"/>
      <c r="G606" s="617"/>
      <c r="H606" s="617"/>
      <c r="I606" s="101">
        <v>72000</v>
      </c>
      <c r="J606" s="102">
        <v>72000</v>
      </c>
      <c r="K606" s="101">
        <v>42000</v>
      </c>
      <c r="L606" s="101">
        <v>72000</v>
      </c>
      <c r="M606" s="10"/>
      <c r="N606" s="10"/>
      <c r="O606"/>
      <c r="P606"/>
    </row>
    <row r="607" spans="1:16" s="146" customFormat="1" ht="17.45" customHeight="1" x14ac:dyDescent="0.25">
      <c r="A607" s="615"/>
      <c r="B607" s="617" t="s">
        <v>123</v>
      </c>
      <c r="C607" s="617" t="s">
        <v>1386</v>
      </c>
      <c r="D607" s="131" t="s">
        <v>134</v>
      </c>
      <c r="E607" s="618" t="s">
        <v>133</v>
      </c>
      <c r="F607" s="617"/>
      <c r="G607" s="617"/>
      <c r="H607" s="617"/>
      <c r="I607" s="101">
        <v>72000</v>
      </c>
      <c r="J607" s="102">
        <v>72000</v>
      </c>
      <c r="K607" s="101">
        <v>40500</v>
      </c>
      <c r="L607" s="101">
        <v>72000</v>
      </c>
      <c r="M607" s="10"/>
      <c r="N607" s="10"/>
      <c r="O607"/>
      <c r="P607"/>
    </row>
    <row r="608" spans="1:16" s="146" customFormat="1" ht="17.45" customHeight="1" x14ac:dyDescent="0.25">
      <c r="A608" s="615"/>
      <c r="B608" s="617" t="s">
        <v>123</v>
      </c>
      <c r="C608" s="617" t="s">
        <v>1386</v>
      </c>
      <c r="D608" s="131" t="s">
        <v>134</v>
      </c>
      <c r="E608" s="618" t="s">
        <v>133</v>
      </c>
      <c r="F608" s="617"/>
      <c r="G608" s="617"/>
      <c r="H608" s="617"/>
      <c r="I608" s="101">
        <v>70500</v>
      </c>
      <c r="J608" s="102">
        <v>72000</v>
      </c>
      <c r="K608" s="101">
        <v>40500</v>
      </c>
      <c r="L608" s="101">
        <v>72000</v>
      </c>
      <c r="M608" s="10"/>
      <c r="N608" s="10"/>
      <c r="O608"/>
      <c r="P608"/>
    </row>
    <row r="609" spans="1:16" s="146" customFormat="1" ht="17.45" customHeight="1" x14ac:dyDescent="0.25">
      <c r="A609" s="615"/>
      <c r="B609" s="617" t="s">
        <v>123</v>
      </c>
      <c r="C609" s="617" t="s">
        <v>1386</v>
      </c>
      <c r="D609" s="131" t="s">
        <v>134</v>
      </c>
      <c r="E609" s="618" t="s">
        <v>133</v>
      </c>
      <c r="F609" s="617"/>
      <c r="G609" s="617"/>
      <c r="H609" s="617"/>
      <c r="I609" s="101">
        <v>112000</v>
      </c>
      <c r="J609" s="102">
        <v>120000</v>
      </c>
      <c r="K609" s="101">
        <v>40500</v>
      </c>
      <c r="L609" s="101">
        <v>120000</v>
      </c>
      <c r="M609" s="10"/>
      <c r="N609" s="10"/>
      <c r="O609"/>
      <c r="P609"/>
    </row>
    <row r="610" spans="1:16" s="146" customFormat="1" ht="17.45" customHeight="1" x14ac:dyDescent="0.25">
      <c r="A610" s="615"/>
      <c r="B610" s="617" t="s">
        <v>123</v>
      </c>
      <c r="C610" s="617" t="s">
        <v>1386</v>
      </c>
      <c r="D610" s="131" t="s">
        <v>134</v>
      </c>
      <c r="E610" s="618" t="s">
        <v>133</v>
      </c>
      <c r="F610" s="617"/>
      <c r="G610" s="617"/>
      <c r="H610" s="617"/>
      <c r="I610" s="101">
        <v>70500</v>
      </c>
      <c r="J610" s="102">
        <v>120000</v>
      </c>
      <c r="K610" s="101">
        <v>40500</v>
      </c>
      <c r="L610" s="101">
        <v>120000</v>
      </c>
      <c r="M610" s="10"/>
      <c r="N610" s="10"/>
      <c r="O610"/>
      <c r="P610"/>
    </row>
    <row r="611" spans="1:16" s="146" customFormat="1" ht="17.45" customHeight="1" x14ac:dyDescent="0.25">
      <c r="A611" s="615"/>
      <c r="B611" s="617" t="s">
        <v>123</v>
      </c>
      <c r="C611" s="617" t="s">
        <v>1386</v>
      </c>
      <c r="D611" s="131" t="s">
        <v>134</v>
      </c>
      <c r="E611" s="619" t="s">
        <v>133</v>
      </c>
      <c r="F611" s="612"/>
      <c r="G611" s="612"/>
      <c r="H611" s="612"/>
      <c r="I611" s="101">
        <v>72000</v>
      </c>
      <c r="J611" s="102">
        <v>72000</v>
      </c>
      <c r="K611" s="101">
        <v>42000</v>
      </c>
      <c r="L611" s="101">
        <v>72000</v>
      </c>
      <c r="M611" s="10">
        <f>SUM(L600:L611)</f>
        <v>1752000</v>
      </c>
      <c r="N611" s="10"/>
      <c r="O611"/>
      <c r="P611"/>
    </row>
    <row r="612" spans="1:16" s="146" customFormat="1" ht="17.45" customHeight="1" x14ac:dyDescent="0.25">
      <c r="A612" s="615"/>
      <c r="B612" s="617" t="s">
        <v>123</v>
      </c>
      <c r="C612" s="617" t="s">
        <v>1386</v>
      </c>
      <c r="D612" s="131" t="s">
        <v>138</v>
      </c>
      <c r="E612" s="619" t="s">
        <v>137</v>
      </c>
      <c r="F612" s="612"/>
      <c r="G612" s="612"/>
      <c r="H612" s="612"/>
      <c r="I612" s="101">
        <v>36000</v>
      </c>
      <c r="J612" s="102">
        <v>66000</v>
      </c>
      <c r="K612" s="101">
        <v>54000</v>
      </c>
      <c r="L612" s="101">
        <v>66000</v>
      </c>
      <c r="M612" s="10"/>
      <c r="N612" s="10"/>
      <c r="O612"/>
      <c r="P612"/>
    </row>
    <row r="613" spans="1:16" s="146" customFormat="1" ht="17.45" customHeight="1" x14ac:dyDescent="0.25">
      <c r="A613" s="615"/>
      <c r="B613" s="617" t="s">
        <v>123</v>
      </c>
      <c r="C613" s="617" t="s">
        <v>1386</v>
      </c>
      <c r="D613" s="131" t="s">
        <v>138</v>
      </c>
      <c r="E613" s="619" t="s">
        <v>137</v>
      </c>
      <c r="F613" s="612"/>
      <c r="G613" s="612"/>
      <c r="H613" s="612"/>
      <c r="I613" s="101">
        <v>0</v>
      </c>
      <c r="J613" s="102">
        <v>180000</v>
      </c>
      <c r="K613" s="101">
        <v>72000</v>
      </c>
      <c r="L613" s="101">
        <v>180000</v>
      </c>
      <c r="M613" s="10"/>
      <c r="N613" s="10"/>
      <c r="O613"/>
      <c r="P613"/>
    </row>
    <row r="614" spans="1:16" s="146" customFormat="1" ht="17.45" customHeight="1" x14ac:dyDescent="0.25">
      <c r="A614" s="615"/>
      <c r="B614" s="617" t="s">
        <v>123</v>
      </c>
      <c r="C614" s="617" t="s">
        <v>1386</v>
      </c>
      <c r="D614" s="131" t="s">
        <v>138</v>
      </c>
      <c r="E614" s="619" t="s">
        <v>137</v>
      </c>
      <c r="F614" s="612"/>
      <c r="G614" s="612"/>
      <c r="H614" s="612"/>
      <c r="I614" s="105">
        <v>18000</v>
      </c>
      <c r="J614" s="106">
        <v>24000</v>
      </c>
      <c r="K614" s="105">
        <v>24000</v>
      </c>
      <c r="L614" s="105">
        <v>24000</v>
      </c>
      <c r="M614" s="10"/>
      <c r="N614" s="10"/>
      <c r="O614"/>
      <c r="P614"/>
    </row>
    <row r="615" spans="1:16" s="146" customFormat="1" ht="18" customHeight="1" x14ac:dyDescent="0.25">
      <c r="A615" s="626"/>
      <c r="B615" s="617" t="s">
        <v>123</v>
      </c>
      <c r="C615" s="617" t="s">
        <v>1386</v>
      </c>
      <c r="D615" s="131" t="s">
        <v>138</v>
      </c>
      <c r="E615" s="619" t="s">
        <v>137</v>
      </c>
      <c r="F615" s="612"/>
      <c r="G615" s="612"/>
      <c r="H615" s="612"/>
      <c r="I615" s="101">
        <v>12000</v>
      </c>
      <c r="J615" s="102">
        <v>24000</v>
      </c>
      <c r="K615" s="101">
        <v>12000</v>
      </c>
      <c r="L615" s="101">
        <v>24000</v>
      </c>
      <c r="M615" s="10"/>
      <c r="N615" s="10"/>
      <c r="O615"/>
      <c r="P615"/>
    </row>
    <row r="616" spans="1:16" s="146" customFormat="1" ht="18" customHeight="1" x14ac:dyDescent="0.25">
      <c r="A616" s="626"/>
      <c r="B616" s="617" t="s">
        <v>123</v>
      </c>
      <c r="C616" s="617" t="s">
        <v>1386</v>
      </c>
      <c r="D616" s="131" t="s">
        <v>138</v>
      </c>
      <c r="E616" s="619" t="s">
        <v>137</v>
      </c>
      <c r="F616" s="612"/>
      <c r="G616" s="612"/>
      <c r="H616" s="612"/>
      <c r="I616" s="101">
        <v>12000</v>
      </c>
      <c r="J616" s="102">
        <v>18000</v>
      </c>
      <c r="K616" s="101">
        <v>12000</v>
      </c>
      <c r="L616" s="101">
        <v>18000</v>
      </c>
      <c r="M616" s="10"/>
      <c r="N616" s="10"/>
      <c r="O616"/>
      <c r="P616"/>
    </row>
    <row r="617" spans="1:16" s="146" customFormat="1" ht="18" customHeight="1" x14ac:dyDescent="0.25">
      <c r="A617" s="626"/>
      <c r="B617" s="617" t="s">
        <v>123</v>
      </c>
      <c r="C617" s="617" t="s">
        <v>1386</v>
      </c>
      <c r="D617" s="131" t="s">
        <v>138</v>
      </c>
      <c r="E617" s="619" t="s">
        <v>137</v>
      </c>
      <c r="F617" s="612"/>
      <c r="G617" s="612"/>
      <c r="H617" s="612"/>
      <c r="I617" s="101">
        <v>18000</v>
      </c>
      <c r="J617" s="102">
        <v>24000</v>
      </c>
      <c r="K617" s="101">
        <v>18000</v>
      </c>
      <c r="L617" s="101">
        <v>24000</v>
      </c>
      <c r="M617" s="10"/>
      <c r="N617" s="10"/>
      <c r="O617"/>
      <c r="P617"/>
    </row>
    <row r="618" spans="1:16" s="146" customFormat="1" ht="18" customHeight="1" x14ac:dyDescent="0.25">
      <c r="A618" s="626"/>
      <c r="B618" s="617" t="s">
        <v>123</v>
      </c>
      <c r="C618" s="617" t="s">
        <v>1386</v>
      </c>
      <c r="D618" s="131" t="s">
        <v>138</v>
      </c>
      <c r="E618" s="619" t="s">
        <v>137</v>
      </c>
      <c r="F618" s="612"/>
      <c r="G618" s="612"/>
      <c r="H618" s="612"/>
      <c r="I618" s="101">
        <v>6000</v>
      </c>
      <c r="J618" s="102">
        <v>42000</v>
      </c>
      <c r="K618" s="101">
        <v>24000</v>
      </c>
      <c r="L618" s="101">
        <v>42000</v>
      </c>
      <c r="M618" s="10"/>
      <c r="N618" s="10"/>
      <c r="O618"/>
      <c r="P618"/>
    </row>
    <row r="619" spans="1:16" s="146" customFormat="1" ht="18" customHeight="1" x14ac:dyDescent="0.25">
      <c r="A619" s="626"/>
      <c r="B619" s="617" t="s">
        <v>123</v>
      </c>
      <c r="C619" s="617" t="s">
        <v>1386</v>
      </c>
      <c r="D619" s="131" t="s">
        <v>138</v>
      </c>
      <c r="E619" s="619" t="s">
        <v>137</v>
      </c>
      <c r="F619" s="612"/>
      <c r="G619" s="612"/>
      <c r="H619" s="612"/>
      <c r="I619" s="101">
        <v>72000</v>
      </c>
      <c r="J619" s="102">
        <v>222000</v>
      </c>
      <c r="K619" s="101">
        <v>198000</v>
      </c>
      <c r="L619" s="101">
        <v>222000</v>
      </c>
      <c r="M619" s="10"/>
      <c r="N619" s="10"/>
      <c r="O619"/>
      <c r="P619"/>
    </row>
    <row r="620" spans="1:16" s="146" customFormat="1" ht="18" customHeight="1" x14ac:dyDescent="0.25">
      <c r="A620" s="626"/>
      <c r="B620" s="617" t="s">
        <v>123</v>
      </c>
      <c r="C620" s="617" t="s">
        <v>1386</v>
      </c>
      <c r="D620" s="131" t="s">
        <v>138</v>
      </c>
      <c r="E620" s="619" t="s">
        <v>137</v>
      </c>
      <c r="F620" s="612"/>
      <c r="G620" s="612"/>
      <c r="H620" s="612"/>
      <c r="I620" s="101">
        <v>54000</v>
      </c>
      <c r="J620" s="102">
        <v>108000</v>
      </c>
      <c r="K620" s="101">
        <v>66000</v>
      </c>
      <c r="L620" s="101">
        <v>108000</v>
      </c>
      <c r="M620" s="10"/>
      <c r="N620" s="10"/>
      <c r="O620"/>
      <c r="P620"/>
    </row>
    <row r="621" spans="1:16" s="146" customFormat="1" ht="18" customHeight="1" x14ac:dyDescent="0.25">
      <c r="A621" s="626"/>
      <c r="B621" s="617" t="s">
        <v>123</v>
      </c>
      <c r="C621" s="617" t="s">
        <v>1386</v>
      </c>
      <c r="D621" s="131" t="s">
        <v>138</v>
      </c>
      <c r="E621" s="619" t="s">
        <v>137</v>
      </c>
      <c r="F621" s="612"/>
      <c r="G621" s="612"/>
      <c r="H621" s="612"/>
      <c r="I621" s="101"/>
      <c r="J621" s="102">
        <v>18000</v>
      </c>
      <c r="K621" s="101"/>
      <c r="L621" s="101">
        <v>18000</v>
      </c>
      <c r="M621" s="10"/>
      <c r="N621" s="10"/>
      <c r="O621"/>
      <c r="P621"/>
    </row>
    <row r="622" spans="1:16" s="146" customFormat="1" x14ac:dyDescent="0.25">
      <c r="A622" s="626"/>
      <c r="B622" s="617" t="s">
        <v>123</v>
      </c>
      <c r="C622" s="617" t="s">
        <v>1386</v>
      </c>
      <c r="D622" s="131" t="s">
        <v>138</v>
      </c>
      <c r="E622" s="619" t="s">
        <v>137</v>
      </c>
      <c r="F622" s="612"/>
      <c r="G622" s="612"/>
      <c r="H622" s="612"/>
      <c r="I622" s="101">
        <v>0</v>
      </c>
      <c r="J622" s="102">
        <v>12000</v>
      </c>
      <c r="K622" s="101"/>
      <c r="L622" s="101">
        <v>12000</v>
      </c>
      <c r="M622" s="10"/>
      <c r="N622" s="10"/>
      <c r="O622"/>
      <c r="P622"/>
    </row>
    <row r="623" spans="1:16" s="146" customFormat="1" ht="18" customHeight="1" x14ac:dyDescent="0.25">
      <c r="A623" s="626"/>
      <c r="B623" s="617" t="s">
        <v>123</v>
      </c>
      <c r="C623" s="617" t="s">
        <v>1386</v>
      </c>
      <c r="D623" s="131" t="s">
        <v>138</v>
      </c>
      <c r="E623" s="619" t="s">
        <v>137</v>
      </c>
      <c r="F623" s="612"/>
      <c r="G623" s="612"/>
      <c r="H623" s="612"/>
      <c r="I623" s="101">
        <v>18000</v>
      </c>
      <c r="J623" s="102">
        <v>24000</v>
      </c>
      <c r="K623" s="101">
        <v>18000</v>
      </c>
      <c r="L623" s="101">
        <v>24000</v>
      </c>
      <c r="M623" s="10"/>
      <c r="N623" s="10"/>
      <c r="O623"/>
      <c r="P623"/>
    </row>
    <row r="624" spans="1:16" s="146" customFormat="1" x14ac:dyDescent="0.25">
      <c r="A624" s="626"/>
      <c r="B624" s="617" t="s">
        <v>123</v>
      </c>
      <c r="C624" s="617" t="s">
        <v>1386</v>
      </c>
      <c r="D624" s="131" t="s">
        <v>138</v>
      </c>
      <c r="E624" s="618" t="s">
        <v>137</v>
      </c>
      <c r="F624" s="611"/>
      <c r="G624" s="612"/>
      <c r="H624" s="612"/>
      <c r="I624" s="101">
        <v>48000</v>
      </c>
      <c r="J624" s="102">
        <v>84000</v>
      </c>
      <c r="K624" s="101">
        <v>54000</v>
      </c>
      <c r="L624" s="101">
        <v>84000</v>
      </c>
      <c r="M624" s="10"/>
      <c r="N624" s="10"/>
      <c r="O624"/>
      <c r="P624"/>
    </row>
    <row r="625" spans="1:16" s="146" customFormat="1" x14ac:dyDescent="0.25">
      <c r="A625" s="626"/>
      <c r="B625" s="617" t="s">
        <v>123</v>
      </c>
      <c r="C625" s="617" t="s">
        <v>1386</v>
      </c>
      <c r="D625" s="131" t="s">
        <v>138</v>
      </c>
      <c r="E625" s="618" t="s">
        <v>137</v>
      </c>
      <c r="F625" s="611"/>
      <c r="G625" s="612"/>
      <c r="H625" s="612"/>
      <c r="I625" s="101">
        <v>24000</v>
      </c>
      <c r="J625" s="102">
        <v>36000</v>
      </c>
      <c r="K625" s="101">
        <v>30000</v>
      </c>
      <c r="L625" s="101">
        <v>36000</v>
      </c>
      <c r="M625" s="10"/>
      <c r="N625" s="10"/>
      <c r="O625"/>
      <c r="P625"/>
    </row>
    <row r="626" spans="1:16" s="146" customFormat="1" ht="18" customHeight="1" x14ac:dyDescent="0.25">
      <c r="A626" s="626"/>
      <c r="B626" s="617" t="s">
        <v>123</v>
      </c>
      <c r="C626" s="617" t="s">
        <v>1386</v>
      </c>
      <c r="D626" s="131" t="s">
        <v>138</v>
      </c>
      <c r="E626" s="619" t="s">
        <v>137</v>
      </c>
      <c r="F626" s="612"/>
      <c r="G626" s="612"/>
      <c r="H626" s="612"/>
      <c r="I626" s="101">
        <v>48000</v>
      </c>
      <c r="J626" s="102">
        <v>78000</v>
      </c>
      <c r="K626" s="101">
        <v>48000</v>
      </c>
      <c r="L626" s="101">
        <v>78000</v>
      </c>
      <c r="M626" s="10"/>
      <c r="N626" s="10"/>
      <c r="O626"/>
      <c r="P626"/>
    </row>
    <row r="627" spans="1:16" s="146" customFormat="1" x14ac:dyDescent="0.25">
      <c r="A627" s="626"/>
      <c r="B627" s="617" t="s">
        <v>123</v>
      </c>
      <c r="C627" s="617" t="s">
        <v>1386</v>
      </c>
      <c r="D627" s="131" t="s">
        <v>138</v>
      </c>
      <c r="E627" s="619" t="s">
        <v>137</v>
      </c>
      <c r="F627" s="612"/>
      <c r="G627" s="612"/>
      <c r="H627" s="612"/>
      <c r="I627" s="101">
        <v>180000</v>
      </c>
      <c r="J627" s="102">
        <v>270000</v>
      </c>
      <c r="K627" s="101">
        <v>222000</v>
      </c>
      <c r="L627" s="101">
        <v>270000</v>
      </c>
      <c r="M627" s="10"/>
      <c r="N627" s="10"/>
      <c r="O627"/>
      <c r="P627"/>
    </row>
    <row r="628" spans="1:16" s="146" customFormat="1" ht="18" customHeight="1" x14ac:dyDescent="0.25">
      <c r="A628" s="626"/>
      <c r="B628" s="617" t="s">
        <v>123</v>
      </c>
      <c r="C628" s="617" t="s">
        <v>1386</v>
      </c>
      <c r="D628" s="131" t="s">
        <v>138</v>
      </c>
      <c r="E628" s="618" t="s">
        <v>137</v>
      </c>
      <c r="F628" s="617"/>
      <c r="G628" s="617"/>
      <c r="H628" s="611"/>
      <c r="I628" s="101">
        <v>102000</v>
      </c>
      <c r="J628" s="102">
        <v>108000</v>
      </c>
      <c r="K628" s="101">
        <v>84000</v>
      </c>
      <c r="L628" s="101">
        <v>108000</v>
      </c>
      <c r="M628" s="10"/>
      <c r="N628" s="10"/>
      <c r="O628"/>
      <c r="P628"/>
    </row>
    <row r="629" spans="1:16" s="146" customFormat="1" ht="18" customHeight="1" x14ac:dyDescent="0.25">
      <c r="A629" s="626"/>
      <c r="B629" s="617" t="s">
        <v>123</v>
      </c>
      <c r="C629" s="617" t="s">
        <v>1386</v>
      </c>
      <c r="D629" s="131" t="s">
        <v>138</v>
      </c>
      <c r="E629" s="619" t="s">
        <v>137</v>
      </c>
      <c r="F629" s="612"/>
      <c r="G629" s="612"/>
      <c r="H629" s="612"/>
      <c r="I629" s="101">
        <v>48000</v>
      </c>
      <c r="J629" s="102">
        <v>72000</v>
      </c>
      <c r="K629" s="101">
        <v>42000</v>
      </c>
      <c r="L629" s="101">
        <v>72000</v>
      </c>
      <c r="M629" s="10"/>
      <c r="N629" s="10"/>
      <c r="O629"/>
      <c r="P629"/>
    </row>
    <row r="630" spans="1:16" s="146" customFormat="1" ht="18" customHeight="1" x14ac:dyDescent="0.25">
      <c r="A630" s="626"/>
      <c r="B630" s="617" t="s">
        <v>123</v>
      </c>
      <c r="C630" s="617" t="s">
        <v>1386</v>
      </c>
      <c r="D630" s="131" t="s">
        <v>138</v>
      </c>
      <c r="E630" s="619" t="s">
        <v>137</v>
      </c>
      <c r="F630" s="612"/>
      <c r="G630" s="612"/>
      <c r="H630" s="612"/>
      <c r="I630" s="101">
        <v>24000</v>
      </c>
      <c r="J630" s="102">
        <v>24000</v>
      </c>
      <c r="K630" s="101">
        <v>24000</v>
      </c>
      <c r="L630" s="101">
        <v>24000</v>
      </c>
      <c r="M630" s="10">
        <f>SUM(L612:L630)</f>
        <v>1434000</v>
      </c>
      <c r="N630" s="10"/>
      <c r="O630"/>
      <c r="P630"/>
    </row>
    <row r="631" spans="1:16" s="146" customFormat="1" ht="18" customHeight="1" x14ac:dyDescent="0.25">
      <c r="A631" s="626"/>
      <c r="B631" s="617" t="s">
        <v>123</v>
      </c>
      <c r="C631" s="617" t="s">
        <v>1386</v>
      </c>
      <c r="D631" s="131" t="s">
        <v>212</v>
      </c>
      <c r="E631" s="637" t="s">
        <v>211</v>
      </c>
      <c r="F631" s="612"/>
      <c r="G631" s="612"/>
      <c r="H631" s="612"/>
      <c r="I631" s="101"/>
      <c r="J631" s="102"/>
      <c r="K631" s="101"/>
      <c r="L631" s="101">
        <v>1800</v>
      </c>
      <c r="M631" s="10"/>
      <c r="N631" s="10"/>
      <c r="O631"/>
      <c r="P631"/>
    </row>
    <row r="632" spans="1:16" s="146" customFormat="1" ht="18" customHeight="1" x14ac:dyDescent="0.25">
      <c r="A632" s="626"/>
      <c r="B632" s="617" t="s">
        <v>123</v>
      </c>
      <c r="C632" s="617" t="s">
        <v>1386</v>
      </c>
      <c r="D632" s="131" t="s">
        <v>146</v>
      </c>
      <c r="E632" s="619" t="s">
        <v>145</v>
      </c>
      <c r="F632" s="612"/>
      <c r="G632" s="612"/>
      <c r="H632" s="612"/>
      <c r="I632" s="101">
        <v>65000</v>
      </c>
      <c r="J632" s="102">
        <v>55000</v>
      </c>
      <c r="K632" s="101"/>
      <c r="L632" s="101">
        <v>55000</v>
      </c>
      <c r="M632" s="10"/>
      <c r="N632" s="10"/>
      <c r="O632"/>
      <c r="P632"/>
    </row>
    <row r="633" spans="1:16" s="229" customFormat="1" ht="18" customHeight="1" x14ac:dyDescent="0.25">
      <c r="A633" s="154"/>
      <c r="B633" s="617" t="s">
        <v>123</v>
      </c>
      <c r="C633" s="617" t="s">
        <v>1386</v>
      </c>
      <c r="D633" s="131" t="s">
        <v>146</v>
      </c>
      <c r="E633" s="618" t="s">
        <v>145</v>
      </c>
      <c r="F633" s="617"/>
      <c r="G633" s="617"/>
      <c r="H633" s="611"/>
      <c r="I633" s="101">
        <v>45000</v>
      </c>
      <c r="J633" s="102">
        <v>150000</v>
      </c>
      <c r="K633" s="101"/>
      <c r="L633" s="101">
        <v>150000</v>
      </c>
      <c r="M633" s="207"/>
      <c r="N633" s="207"/>
      <c r="O633" s="212"/>
      <c r="P633" s="212"/>
    </row>
    <row r="634" spans="1:16" s="229" customFormat="1" ht="18" customHeight="1" x14ac:dyDescent="0.25">
      <c r="A634" s="154"/>
      <c r="B634" s="617" t="s">
        <v>123</v>
      </c>
      <c r="C634" s="617" t="s">
        <v>1386</v>
      </c>
      <c r="D634" s="131" t="s">
        <v>146</v>
      </c>
      <c r="E634" s="618" t="s">
        <v>145</v>
      </c>
      <c r="F634" s="617"/>
      <c r="G634" s="617"/>
      <c r="H634" s="611"/>
      <c r="I634" s="101">
        <v>20000</v>
      </c>
      <c r="J634" s="102">
        <v>20000</v>
      </c>
      <c r="K634" s="101"/>
      <c r="L634" s="101">
        <v>20000</v>
      </c>
      <c r="M634" s="207"/>
      <c r="N634" s="207"/>
      <c r="O634" s="212"/>
      <c r="P634" s="212"/>
    </row>
    <row r="635" spans="1:16" s="229" customFormat="1" ht="18" customHeight="1" x14ac:dyDescent="0.25">
      <c r="A635" s="154"/>
      <c r="B635" s="617" t="s">
        <v>123</v>
      </c>
      <c r="C635" s="617" t="s">
        <v>1386</v>
      </c>
      <c r="D635" s="131" t="s">
        <v>146</v>
      </c>
      <c r="E635" s="618" t="s">
        <v>145</v>
      </c>
      <c r="F635" s="617"/>
      <c r="G635" s="617"/>
      <c r="H635" s="611"/>
      <c r="I635" s="101">
        <v>10000</v>
      </c>
      <c r="J635" s="102">
        <v>20000</v>
      </c>
      <c r="K635" s="101"/>
      <c r="L635" s="101">
        <v>20000</v>
      </c>
      <c r="M635" s="207"/>
      <c r="N635" s="207"/>
      <c r="O635" s="212"/>
      <c r="P635" s="212"/>
    </row>
    <row r="636" spans="1:16" s="229" customFormat="1" ht="18" customHeight="1" x14ac:dyDescent="0.25">
      <c r="A636" s="154"/>
      <c r="B636" s="617" t="s">
        <v>123</v>
      </c>
      <c r="C636" s="617" t="s">
        <v>1386</v>
      </c>
      <c r="D636" s="131" t="s">
        <v>146</v>
      </c>
      <c r="E636" s="618" t="s">
        <v>145</v>
      </c>
      <c r="F636" s="617"/>
      <c r="G636" s="617"/>
      <c r="H636" s="611"/>
      <c r="I636" s="101">
        <v>10000</v>
      </c>
      <c r="J636" s="102">
        <v>15000</v>
      </c>
      <c r="K636" s="101"/>
      <c r="L636" s="101">
        <v>15000</v>
      </c>
      <c r="M636" s="207"/>
      <c r="N636" s="207"/>
      <c r="O636" s="212"/>
      <c r="P636" s="212"/>
    </row>
    <row r="637" spans="1:16" s="229" customFormat="1" ht="18" customHeight="1" x14ac:dyDescent="0.25">
      <c r="A637" s="154"/>
      <c r="B637" s="617" t="s">
        <v>123</v>
      </c>
      <c r="C637" s="617" t="s">
        <v>1386</v>
      </c>
      <c r="D637" s="131" t="s">
        <v>146</v>
      </c>
      <c r="E637" s="618" t="s">
        <v>145</v>
      </c>
      <c r="F637" s="617"/>
      <c r="G637" s="617"/>
      <c r="H637" s="611"/>
      <c r="I637" s="101">
        <v>15000</v>
      </c>
      <c r="J637" s="102">
        <v>20000</v>
      </c>
      <c r="K637" s="101"/>
      <c r="L637" s="101">
        <v>20000</v>
      </c>
      <c r="M637" s="207"/>
      <c r="N637" s="207"/>
      <c r="O637" s="212"/>
      <c r="P637" s="212"/>
    </row>
    <row r="638" spans="1:16" s="229" customFormat="1" ht="18" customHeight="1" x14ac:dyDescent="0.25">
      <c r="A638" s="154"/>
      <c r="B638" s="617" t="s">
        <v>123</v>
      </c>
      <c r="C638" s="617" t="s">
        <v>1386</v>
      </c>
      <c r="D638" s="131" t="s">
        <v>146</v>
      </c>
      <c r="E638" s="618" t="s">
        <v>145</v>
      </c>
      <c r="F638" s="617"/>
      <c r="G638" s="617"/>
      <c r="H638" s="611"/>
      <c r="I638" s="101">
        <v>20000</v>
      </c>
      <c r="J638" s="102">
        <v>35000</v>
      </c>
      <c r="K638" s="101"/>
      <c r="L638" s="101">
        <v>35000</v>
      </c>
      <c r="M638" s="207"/>
      <c r="N638" s="207"/>
      <c r="O638" s="212"/>
      <c r="P638" s="212"/>
    </row>
    <row r="639" spans="1:16" s="229" customFormat="1" ht="18" customHeight="1" x14ac:dyDescent="0.25">
      <c r="A639" s="154"/>
      <c r="B639" s="617" t="s">
        <v>123</v>
      </c>
      <c r="C639" s="617" t="s">
        <v>1386</v>
      </c>
      <c r="D639" s="131" t="s">
        <v>146</v>
      </c>
      <c r="E639" s="618" t="s">
        <v>145</v>
      </c>
      <c r="F639" s="617"/>
      <c r="G639" s="617"/>
      <c r="H639" s="617"/>
      <c r="I639" s="101">
        <v>176500</v>
      </c>
      <c r="J639" s="102">
        <v>185000</v>
      </c>
      <c r="K639" s="101"/>
      <c r="L639" s="101">
        <v>185000</v>
      </c>
      <c r="M639" s="207"/>
      <c r="N639" s="207"/>
      <c r="O639" s="212"/>
      <c r="P639" s="212"/>
    </row>
    <row r="640" spans="1:16" s="229" customFormat="1" ht="18" customHeight="1" x14ac:dyDescent="0.25">
      <c r="A640" s="154"/>
      <c r="B640" s="617" t="s">
        <v>123</v>
      </c>
      <c r="C640" s="617" t="s">
        <v>1386</v>
      </c>
      <c r="D640" s="131" t="s">
        <v>146</v>
      </c>
      <c r="E640" s="618" t="s">
        <v>145</v>
      </c>
      <c r="F640" s="617"/>
      <c r="G640" s="617"/>
      <c r="H640" s="617"/>
      <c r="I640" s="101">
        <v>55000</v>
      </c>
      <c r="J640" s="102">
        <v>90000</v>
      </c>
      <c r="K640" s="101"/>
      <c r="L640" s="101">
        <v>90000</v>
      </c>
      <c r="M640" s="207"/>
      <c r="N640" s="207"/>
      <c r="O640" s="212"/>
      <c r="P640" s="212"/>
    </row>
    <row r="641" spans="1:16" s="229" customFormat="1" ht="18" customHeight="1" x14ac:dyDescent="0.25">
      <c r="A641" s="154"/>
      <c r="B641" s="617" t="s">
        <v>123</v>
      </c>
      <c r="C641" s="617" t="s">
        <v>1386</v>
      </c>
      <c r="D641" s="131" t="s">
        <v>146</v>
      </c>
      <c r="E641" s="618" t="s">
        <v>145</v>
      </c>
      <c r="F641" s="617"/>
      <c r="G641" s="617"/>
      <c r="H641" s="611"/>
      <c r="I641" s="101"/>
      <c r="J641" s="102">
        <v>15000</v>
      </c>
      <c r="K641" s="101"/>
      <c r="L641" s="101">
        <v>15000</v>
      </c>
      <c r="M641" s="207"/>
      <c r="N641" s="207"/>
      <c r="O641" s="212"/>
      <c r="P641" s="212"/>
    </row>
    <row r="642" spans="1:16" s="229" customFormat="1" ht="18" customHeight="1" x14ac:dyDescent="0.25">
      <c r="A642" s="154"/>
      <c r="B642" s="617" t="s">
        <v>123</v>
      </c>
      <c r="C642" s="617" t="s">
        <v>1386</v>
      </c>
      <c r="D642" s="131" t="s">
        <v>146</v>
      </c>
      <c r="E642" s="618" t="s">
        <v>145</v>
      </c>
      <c r="F642" s="617"/>
      <c r="G642" s="617"/>
      <c r="H642" s="611"/>
      <c r="I642" s="101">
        <v>0</v>
      </c>
      <c r="J642" s="102">
        <v>10000</v>
      </c>
      <c r="K642" s="101"/>
      <c r="L642" s="101">
        <v>10000</v>
      </c>
      <c r="M642" s="207"/>
      <c r="N642" s="207"/>
      <c r="O642" s="212"/>
      <c r="P642" s="212"/>
    </row>
    <row r="643" spans="1:16" s="229" customFormat="1" ht="18" customHeight="1" x14ac:dyDescent="0.25">
      <c r="A643" s="154"/>
      <c r="B643" s="617" t="s">
        <v>123</v>
      </c>
      <c r="C643" s="617" t="s">
        <v>1386</v>
      </c>
      <c r="D643" s="131" t="s">
        <v>146</v>
      </c>
      <c r="E643" s="618" t="s">
        <v>145</v>
      </c>
      <c r="F643" s="617"/>
      <c r="G643" s="617"/>
      <c r="H643" s="611"/>
      <c r="I643" s="101">
        <v>15000</v>
      </c>
      <c r="J643" s="102">
        <v>20000</v>
      </c>
      <c r="K643" s="101"/>
      <c r="L643" s="101">
        <v>20000</v>
      </c>
      <c r="M643" s="207"/>
      <c r="N643" s="207"/>
      <c r="O643" s="212"/>
      <c r="P643" s="212"/>
    </row>
    <row r="644" spans="1:16" s="229" customFormat="1" ht="18" customHeight="1" x14ac:dyDescent="0.25">
      <c r="A644" s="154"/>
      <c r="B644" s="617" t="s">
        <v>123</v>
      </c>
      <c r="C644" s="617" t="s">
        <v>1386</v>
      </c>
      <c r="D644" s="131" t="s">
        <v>146</v>
      </c>
      <c r="E644" s="618" t="s">
        <v>145</v>
      </c>
      <c r="F644" s="617"/>
      <c r="G644" s="617"/>
      <c r="H644" s="611"/>
      <c r="I644" s="105">
        <v>45000</v>
      </c>
      <c r="J644" s="106">
        <v>70000</v>
      </c>
      <c r="K644" s="105"/>
      <c r="L644" s="105">
        <v>70000</v>
      </c>
      <c r="M644" s="207"/>
      <c r="N644" s="207"/>
      <c r="O644" s="212"/>
      <c r="P644" s="212"/>
    </row>
    <row r="645" spans="1:16" s="146" customFormat="1" ht="18" customHeight="1" x14ac:dyDescent="0.25">
      <c r="A645" s="615"/>
      <c r="B645" s="617" t="s">
        <v>123</v>
      </c>
      <c r="C645" s="617" t="s">
        <v>1386</v>
      </c>
      <c r="D645" s="131" t="s">
        <v>146</v>
      </c>
      <c r="E645" s="618" t="s">
        <v>145</v>
      </c>
      <c r="F645" s="617"/>
      <c r="G645" s="617"/>
      <c r="H645" s="617"/>
      <c r="I645" s="101">
        <v>25000</v>
      </c>
      <c r="J645" s="102">
        <v>30000</v>
      </c>
      <c r="K645" s="101"/>
      <c r="L645" s="121">
        <v>30000</v>
      </c>
      <c r="M645" s="10"/>
      <c r="N645" s="10">
        <f>80000*2</f>
        <v>160000</v>
      </c>
      <c r="O645"/>
      <c r="P645"/>
    </row>
    <row r="646" spans="1:16" s="146" customFormat="1" ht="18" customHeight="1" x14ac:dyDescent="0.25">
      <c r="A646" s="615"/>
      <c r="B646" s="617" t="s">
        <v>123</v>
      </c>
      <c r="C646" s="617" t="s">
        <v>1386</v>
      </c>
      <c r="D646" s="131" t="s">
        <v>146</v>
      </c>
      <c r="E646" s="618" t="s">
        <v>145</v>
      </c>
      <c r="F646" s="617"/>
      <c r="G646" s="617"/>
      <c r="H646" s="617"/>
      <c r="I646" s="101">
        <v>40000</v>
      </c>
      <c r="J646" s="102">
        <v>65000</v>
      </c>
      <c r="K646" s="101"/>
      <c r="L646" s="101">
        <v>65000</v>
      </c>
      <c r="M646" s="10"/>
      <c r="N646" s="10"/>
      <c r="O646"/>
      <c r="P646"/>
    </row>
    <row r="647" spans="1:16" s="146" customFormat="1" ht="18" customHeight="1" x14ac:dyDescent="0.25">
      <c r="A647" s="615"/>
      <c r="B647" s="617" t="s">
        <v>123</v>
      </c>
      <c r="C647" s="617" t="s">
        <v>1386</v>
      </c>
      <c r="D647" s="131" t="s">
        <v>146</v>
      </c>
      <c r="E647" s="618" t="s">
        <v>145</v>
      </c>
      <c r="F647" s="617"/>
      <c r="G647" s="617"/>
      <c r="H647" s="617"/>
      <c r="I647" s="101">
        <v>185000</v>
      </c>
      <c r="J647" s="102">
        <v>225000</v>
      </c>
      <c r="K647" s="101"/>
      <c r="L647" s="101">
        <v>225000</v>
      </c>
      <c r="M647" s="10"/>
      <c r="N647" s="10"/>
      <c r="O647"/>
      <c r="P647"/>
    </row>
    <row r="648" spans="1:16" s="146" customFormat="1" ht="18" customHeight="1" x14ac:dyDescent="0.25">
      <c r="A648" s="615"/>
      <c r="B648" s="617" t="s">
        <v>123</v>
      </c>
      <c r="C648" s="617" t="s">
        <v>1386</v>
      </c>
      <c r="D648" s="131" t="s">
        <v>146</v>
      </c>
      <c r="E648" s="619" t="s">
        <v>145</v>
      </c>
      <c r="F648" s="612"/>
      <c r="G648" s="612"/>
      <c r="H648" s="612"/>
      <c r="I648" s="101">
        <v>75000</v>
      </c>
      <c r="J648" s="102">
        <v>90000</v>
      </c>
      <c r="K648" s="101"/>
      <c r="L648" s="101">
        <v>90000</v>
      </c>
      <c r="M648" s="10"/>
      <c r="N648" s="10"/>
      <c r="O648"/>
      <c r="P648"/>
    </row>
    <row r="649" spans="1:16" s="146" customFormat="1" ht="18" customHeight="1" x14ac:dyDescent="0.25">
      <c r="A649" s="615"/>
      <c r="B649" s="617" t="s">
        <v>123</v>
      </c>
      <c r="C649" s="617" t="s">
        <v>1386</v>
      </c>
      <c r="D649" s="131" t="s">
        <v>146</v>
      </c>
      <c r="E649" s="619" t="s">
        <v>145</v>
      </c>
      <c r="F649" s="612"/>
      <c r="G649" s="612"/>
      <c r="H649" s="612"/>
      <c r="I649" s="101">
        <v>40000</v>
      </c>
      <c r="J649" s="102">
        <v>60000</v>
      </c>
      <c r="K649" s="101"/>
      <c r="L649" s="101">
        <v>60000</v>
      </c>
      <c r="M649" s="10"/>
      <c r="N649" s="10"/>
      <c r="O649"/>
      <c r="P649"/>
    </row>
    <row r="650" spans="1:16" s="146" customFormat="1" ht="18" customHeight="1" x14ac:dyDescent="0.25">
      <c r="A650" s="615"/>
      <c r="B650" s="617" t="s">
        <v>123</v>
      </c>
      <c r="C650" s="617" t="s">
        <v>1386</v>
      </c>
      <c r="D650" s="131" t="s">
        <v>146</v>
      </c>
      <c r="E650" s="619" t="s">
        <v>145</v>
      </c>
      <c r="F650" s="612"/>
      <c r="G650" s="612"/>
      <c r="H650" s="612"/>
      <c r="I650" s="105">
        <v>20000</v>
      </c>
      <c r="J650" s="106">
        <v>20000</v>
      </c>
      <c r="K650" s="105"/>
      <c r="L650" s="105">
        <v>20000</v>
      </c>
      <c r="M650" s="10">
        <f>SUM(L632:L650)</f>
        <v>1195000</v>
      </c>
      <c r="N650" s="10"/>
      <c r="O650"/>
      <c r="P650"/>
    </row>
    <row r="651" spans="1:16" s="146" customFormat="1" ht="18" customHeight="1" x14ac:dyDescent="0.25">
      <c r="A651" s="626"/>
      <c r="B651" s="617" t="s">
        <v>123</v>
      </c>
      <c r="C651" s="617" t="s">
        <v>1386</v>
      </c>
      <c r="D651" s="131" t="s">
        <v>150</v>
      </c>
      <c r="E651" s="619" t="s">
        <v>149</v>
      </c>
      <c r="F651" s="612"/>
      <c r="G651" s="612"/>
      <c r="H651" s="612"/>
      <c r="I651" s="101">
        <v>144900</v>
      </c>
      <c r="J651" s="102">
        <v>0</v>
      </c>
      <c r="K651" s="101"/>
      <c r="L651" s="101">
        <v>84234</v>
      </c>
      <c r="M651" s="10"/>
      <c r="N651" s="10"/>
      <c r="O651"/>
      <c r="P651"/>
    </row>
    <row r="652" spans="1:16" s="146" customFormat="1" ht="18" customHeight="1" x14ac:dyDescent="0.25">
      <c r="A652" s="626"/>
      <c r="B652" s="617" t="s">
        <v>123</v>
      </c>
      <c r="C652" s="617" t="s">
        <v>1386</v>
      </c>
      <c r="D652" s="131" t="s">
        <v>232</v>
      </c>
      <c r="E652" s="637" t="s">
        <v>231</v>
      </c>
      <c r="F652" s="612"/>
      <c r="G652" s="612"/>
      <c r="H652" s="612"/>
      <c r="I652" s="101"/>
      <c r="J652" s="102"/>
      <c r="K652" s="101"/>
      <c r="L652" s="101">
        <v>35000</v>
      </c>
      <c r="M652" s="10"/>
      <c r="N652" s="10"/>
      <c r="O652"/>
      <c r="P652"/>
    </row>
    <row r="653" spans="1:16" s="146" customFormat="1" ht="18" customHeight="1" x14ac:dyDescent="0.25">
      <c r="A653" s="626"/>
      <c r="B653" s="617" t="s">
        <v>123</v>
      </c>
      <c r="C653" s="617" t="s">
        <v>1386</v>
      </c>
      <c r="D653" s="131" t="s">
        <v>232</v>
      </c>
      <c r="E653" s="637" t="s">
        <v>231</v>
      </c>
      <c r="F653" s="612"/>
      <c r="G653" s="612"/>
      <c r="H653" s="612"/>
      <c r="I653" s="101"/>
      <c r="J653" s="102"/>
      <c r="K653" s="101"/>
      <c r="L653" s="101">
        <v>10000</v>
      </c>
      <c r="M653" s="10"/>
      <c r="N653" s="10">
        <f>40680+1023332.96</f>
        <v>1064012.96</v>
      </c>
      <c r="O653"/>
      <c r="P653"/>
    </row>
    <row r="654" spans="1:16" s="146" customFormat="1" ht="18" customHeight="1" x14ac:dyDescent="0.25">
      <c r="A654" s="626"/>
      <c r="B654" s="617" t="s">
        <v>123</v>
      </c>
      <c r="C654" s="617" t="s">
        <v>1386</v>
      </c>
      <c r="D654" s="131" t="s">
        <v>232</v>
      </c>
      <c r="E654" s="619" t="s">
        <v>231</v>
      </c>
      <c r="F654" s="612"/>
      <c r="G654" s="612"/>
      <c r="H654" s="612"/>
      <c r="I654" s="101">
        <v>20000</v>
      </c>
      <c r="J654" s="102">
        <v>10000</v>
      </c>
      <c r="K654" s="101"/>
      <c r="L654" s="101">
        <v>30000</v>
      </c>
      <c r="M654" s="10"/>
      <c r="N654" s="10">
        <f>13620+490354.24</f>
        <v>503974.24</v>
      </c>
      <c r="O654"/>
      <c r="P654"/>
    </row>
    <row r="655" spans="1:16" s="212" customFormat="1" x14ac:dyDescent="0.25">
      <c r="A655" s="154"/>
      <c r="B655" s="617" t="s">
        <v>123</v>
      </c>
      <c r="C655" s="617" t="s">
        <v>1386</v>
      </c>
      <c r="D655" s="131" t="s">
        <v>232</v>
      </c>
      <c r="E655" s="636" t="s">
        <v>231</v>
      </c>
      <c r="F655" s="611"/>
      <c r="G655" s="612"/>
      <c r="H655" s="612"/>
      <c r="I655" s="101"/>
      <c r="J655" s="102"/>
      <c r="K655" s="101"/>
      <c r="L655" s="101">
        <v>5000</v>
      </c>
      <c r="M655" s="207"/>
      <c r="N655" s="207"/>
    </row>
    <row r="656" spans="1:16" s="146" customFormat="1" ht="18" customHeight="1" x14ac:dyDescent="0.25">
      <c r="A656" s="626"/>
      <c r="B656" s="617" t="s">
        <v>123</v>
      </c>
      <c r="C656" s="617" t="s">
        <v>1386</v>
      </c>
      <c r="D656" s="131" t="s">
        <v>148</v>
      </c>
      <c r="E656" s="636" t="s">
        <v>231</v>
      </c>
      <c r="F656" s="617"/>
      <c r="G656" s="617"/>
      <c r="H656" s="611"/>
      <c r="I656" s="101">
        <v>5000</v>
      </c>
      <c r="J656" s="102">
        <v>10000</v>
      </c>
      <c r="K656" s="101"/>
      <c r="L656" s="101">
        <v>5000</v>
      </c>
      <c r="M656" s="10"/>
      <c r="N656" s="10"/>
      <c r="O656"/>
      <c r="P656"/>
    </row>
    <row r="657" spans="1:16" s="212" customFormat="1" ht="18" customHeight="1" x14ac:dyDescent="0.25">
      <c r="A657" s="154"/>
      <c r="B657" s="617" t="s">
        <v>123</v>
      </c>
      <c r="C657" s="617" t="s">
        <v>1386</v>
      </c>
      <c r="D657" s="131" t="s">
        <v>232</v>
      </c>
      <c r="E657" s="618" t="s">
        <v>231</v>
      </c>
      <c r="F657" s="617"/>
      <c r="G657" s="617"/>
      <c r="H657" s="611"/>
      <c r="I657" s="101">
        <v>15000</v>
      </c>
      <c r="J657" s="102">
        <v>10000</v>
      </c>
      <c r="K657" s="101"/>
      <c r="L657" s="101">
        <v>10000</v>
      </c>
      <c r="M657" s="207">
        <f>SUM(L652:L657)</f>
        <v>95000</v>
      </c>
      <c r="N657" s="207"/>
    </row>
    <row r="658" spans="1:16" s="212" customFormat="1" ht="18" customHeight="1" x14ac:dyDescent="0.25">
      <c r="A658" s="154"/>
      <c r="B658" s="617" t="s">
        <v>123</v>
      </c>
      <c r="C658" s="617" t="s">
        <v>1386</v>
      </c>
      <c r="D658" s="131" t="s">
        <v>232</v>
      </c>
      <c r="E658" s="636" t="s">
        <v>135</v>
      </c>
      <c r="F658" s="617"/>
      <c r="G658" s="617"/>
      <c r="H658" s="611"/>
      <c r="I658" s="101">
        <v>2729.06</v>
      </c>
      <c r="J658" s="102">
        <v>93729.55</v>
      </c>
      <c r="K658" s="101">
        <v>57231.78</v>
      </c>
      <c r="L658" s="102">
        <v>306733.64</v>
      </c>
      <c r="M658" s="207"/>
      <c r="N658" s="207"/>
    </row>
    <row r="659" spans="1:16" s="212" customFormat="1" ht="18" customHeight="1" x14ac:dyDescent="0.25">
      <c r="A659" s="154"/>
      <c r="B659" s="617" t="s">
        <v>123</v>
      </c>
      <c r="C659" s="617" t="s">
        <v>1386</v>
      </c>
      <c r="D659" s="131" t="s">
        <v>136</v>
      </c>
      <c r="E659" s="618" t="s">
        <v>135</v>
      </c>
      <c r="F659" s="617"/>
      <c r="G659" s="617"/>
      <c r="H659" s="611"/>
      <c r="I659" s="101">
        <v>477040.65</v>
      </c>
      <c r="J659" s="102">
        <v>129892.15</v>
      </c>
      <c r="K659" s="101">
        <v>188147.95</v>
      </c>
      <c r="L659" s="102">
        <v>449366.65</v>
      </c>
      <c r="M659" s="207"/>
      <c r="N659" s="207"/>
    </row>
    <row r="660" spans="1:16" s="212" customFormat="1" ht="18" customHeight="1" x14ac:dyDescent="0.25">
      <c r="A660" s="154"/>
      <c r="B660" s="617" t="s">
        <v>123</v>
      </c>
      <c r="C660" s="617" t="s">
        <v>1386</v>
      </c>
      <c r="D660" s="131" t="s">
        <v>136</v>
      </c>
      <c r="E660" s="618" t="s">
        <v>135</v>
      </c>
      <c r="F660" s="617"/>
      <c r="G660" s="617"/>
      <c r="H660" s="611"/>
      <c r="I660" s="101">
        <v>176070.76</v>
      </c>
      <c r="J660" s="102">
        <v>701230</v>
      </c>
      <c r="K660" s="101">
        <v>215394.07</v>
      </c>
      <c r="L660" s="101">
        <v>625404.56000000006</v>
      </c>
      <c r="M660" s="207"/>
      <c r="N660" s="207"/>
    </row>
    <row r="661" spans="1:16" s="212" customFormat="1" ht="18" customHeight="1" x14ac:dyDescent="0.25">
      <c r="A661" s="154"/>
      <c r="B661" s="617" t="s">
        <v>123</v>
      </c>
      <c r="C661" s="617" t="s">
        <v>1386</v>
      </c>
      <c r="D661" s="131" t="s">
        <v>136</v>
      </c>
      <c r="E661" s="636" t="s">
        <v>135</v>
      </c>
      <c r="F661" s="617"/>
      <c r="G661" s="617"/>
      <c r="H661" s="611"/>
      <c r="I661" s="101"/>
      <c r="J661" s="102">
        <v>62788.800000000003</v>
      </c>
      <c r="K661" s="101"/>
      <c r="L661" s="102">
        <v>62788.800000000003</v>
      </c>
      <c r="M661" s="207"/>
      <c r="N661" s="207"/>
    </row>
    <row r="662" spans="1:16" s="212" customFormat="1" ht="18" customHeight="1" x14ac:dyDescent="0.25">
      <c r="A662" s="154"/>
      <c r="B662" s="617" t="s">
        <v>123</v>
      </c>
      <c r="C662" s="617" t="s">
        <v>1386</v>
      </c>
      <c r="D662" s="131" t="s">
        <v>136</v>
      </c>
      <c r="E662" s="618" t="s">
        <v>135</v>
      </c>
      <c r="F662" s="617"/>
      <c r="G662" s="617"/>
      <c r="H662" s="611"/>
      <c r="I662" s="101">
        <v>14756.63</v>
      </c>
      <c r="J662" s="102">
        <v>83000</v>
      </c>
      <c r="K662" s="101">
        <v>22218.04</v>
      </c>
      <c r="L662" s="101">
        <v>65629.69</v>
      </c>
      <c r="M662" s="207"/>
      <c r="N662" s="207"/>
    </row>
    <row r="663" spans="1:16" s="212" customFormat="1" ht="18" customHeight="1" x14ac:dyDescent="0.25">
      <c r="A663" s="154"/>
      <c r="B663" s="617" t="s">
        <v>123</v>
      </c>
      <c r="C663" s="617" t="s">
        <v>1386</v>
      </c>
      <c r="D663" s="131" t="s">
        <v>136</v>
      </c>
      <c r="E663" s="618" t="s">
        <v>135</v>
      </c>
      <c r="F663" s="617"/>
      <c r="G663" s="617"/>
      <c r="H663" s="611"/>
      <c r="I663" s="101">
        <v>17559</v>
      </c>
      <c r="J663" s="102">
        <v>46796.68</v>
      </c>
      <c r="K663" s="101"/>
      <c r="L663" s="102">
        <v>69927.27</v>
      </c>
      <c r="M663" s="207"/>
      <c r="N663" s="207"/>
    </row>
    <row r="664" spans="1:16" s="212" customFormat="1" ht="18" customHeight="1" x14ac:dyDescent="0.25">
      <c r="A664" s="154"/>
      <c r="B664" s="617" t="s">
        <v>123</v>
      </c>
      <c r="C664" s="617" t="s">
        <v>1386</v>
      </c>
      <c r="D664" s="131" t="s">
        <v>136</v>
      </c>
      <c r="E664" s="618" t="s">
        <v>135</v>
      </c>
      <c r="F664" s="617"/>
      <c r="G664" s="617"/>
      <c r="H664" s="611"/>
      <c r="I664" s="101">
        <v>213798.15</v>
      </c>
      <c r="J664" s="102">
        <v>337420</v>
      </c>
      <c r="K664" s="101">
        <v>82342.039999999994</v>
      </c>
      <c r="L664" s="101">
        <v>434249.1</v>
      </c>
      <c r="M664" s="207"/>
      <c r="N664" s="207"/>
    </row>
    <row r="665" spans="1:16" s="212" customFormat="1" ht="18" customHeight="1" x14ac:dyDescent="0.25">
      <c r="A665" s="154"/>
      <c r="B665" s="617" t="s">
        <v>123</v>
      </c>
      <c r="C665" s="617" t="s">
        <v>1386</v>
      </c>
      <c r="D665" s="131" t="s">
        <v>136</v>
      </c>
      <c r="E665" s="618" t="s">
        <v>135</v>
      </c>
      <c r="F665" s="617"/>
      <c r="G665" s="617"/>
      <c r="H665" s="611"/>
      <c r="I665" s="101">
        <v>0</v>
      </c>
      <c r="J665" s="102">
        <v>30000</v>
      </c>
      <c r="K665" s="101"/>
      <c r="L665" s="101">
        <v>30000</v>
      </c>
      <c r="M665" s="207"/>
      <c r="N665" s="207"/>
    </row>
    <row r="666" spans="1:16" s="212" customFormat="1" ht="18" customHeight="1" x14ac:dyDescent="0.25">
      <c r="A666" s="154"/>
      <c r="B666" s="617" t="s">
        <v>123</v>
      </c>
      <c r="C666" s="617" t="s">
        <v>1386</v>
      </c>
      <c r="D666" s="131" t="s">
        <v>136</v>
      </c>
      <c r="E666" s="618" t="s">
        <v>135</v>
      </c>
      <c r="F666" s="617"/>
      <c r="G666" s="617"/>
      <c r="H666" s="611"/>
      <c r="I666" s="101"/>
      <c r="J666" s="102">
        <v>100000</v>
      </c>
      <c r="K666" s="101"/>
      <c r="L666" s="102">
        <v>50000</v>
      </c>
      <c r="M666" s="112"/>
      <c r="N666" s="207"/>
    </row>
    <row r="667" spans="1:16" s="212" customFormat="1" ht="18" customHeight="1" x14ac:dyDescent="0.25">
      <c r="A667" s="154"/>
      <c r="B667" s="617" t="s">
        <v>123</v>
      </c>
      <c r="C667" s="617" t="s">
        <v>1386</v>
      </c>
      <c r="D667" s="131" t="s">
        <v>136</v>
      </c>
      <c r="E667" s="618" t="s">
        <v>135</v>
      </c>
      <c r="F667" s="617"/>
      <c r="G667" s="617"/>
      <c r="H667" s="611"/>
      <c r="I667" s="101"/>
      <c r="J667" s="102">
        <v>100000</v>
      </c>
      <c r="K667" s="101"/>
      <c r="L667" s="102">
        <v>100000</v>
      </c>
      <c r="M667" s="112"/>
      <c r="N667" s="207"/>
    </row>
    <row r="668" spans="1:16" s="229" customFormat="1" ht="18" customHeight="1" x14ac:dyDescent="0.25">
      <c r="A668" s="154"/>
      <c r="B668" s="617" t="s">
        <v>123</v>
      </c>
      <c r="C668" s="617" t="s">
        <v>1386</v>
      </c>
      <c r="D668" s="131" t="s">
        <v>136</v>
      </c>
      <c r="E668" s="618" t="s">
        <v>135</v>
      </c>
      <c r="F668" s="617"/>
      <c r="G668" s="617"/>
      <c r="H668" s="611"/>
      <c r="I668" s="101"/>
      <c r="J668" s="102">
        <v>120000</v>
      </c>
      <c r="K668" s="101"/>
      <c r="L668" s="101">
        <v>119869.8</v>
      </c>
      <c r="M668" s="207"/>
      <c r="N668" s="207"/>
      <c r="O668" s="212"/>
      <c r="P668" s="212"/>
    </row>
    <row r="669" spans="1:16" s="229" customFormat="1" ht="18" customHeight="1" x14ac:dyDescent="0.25">
      <c r="A669" s="154"/>
      <c r="B669" s="617" t="s">
        <v>123</v>
      </c>
      <c r="C669" s="617" t="s">
        <v>1386</v>
      </c>
      <c r="D669" s="131" t="s">
        <v>136</v>
      </c>
      <c r="E669" s="618" t="s">
        <v>135</v>
      </c>
      <c r="F669" s="617"/>
      <c r="G669" s="617"/>
      <c r="H669" s="611"/>
      <c r="I669" s="101">
        <v>33191.42</v>
      </c>
      <c r="J669" s="102">
        <v>136343.85999999999</v>
      </c>
      <c r="K669" s="101">
        <v>55151.28</v>
      </c>
      <c r="L669" s="102">
        <v>147000</v>
      </c>
      <c r="M669" s="207"/>
      <c r="N669" s="207"/>
      <c r="O669" s="212"/>
      <c r="P669" s="212"/>
    </row>
    <row r="670" spans="1:16" s="229" customFormat="1" ht="18" customHeight="1" x14ac:dyDescent="0.25">
      <c r="A670" s="154"/>
      <c r="B670" s="617" t="s">
        <v>123</v>
      </c>
      <c r="C670" s="617" t="s">
        <v>1386</v>
      </c>
      <c r="D670" s="131" t="s">
        <v>136</v>
      </c>
      <c r="E670" s="618" t="s">
        <v>135</v>
      </c>
      <c r="F670" s="617"/>
      <c r="G670" s="617"/>
      <c r="H670" s="611"/>
      <c r="I670" s="101">
        <v>29202.17</v>
      </c>
      <c r="J670" s="102">
        <v>68040.570000000007</v>
      </c>
      <c r="K670" s="101"/>
      <c r="L670" s="102">
        <v>68040.570000000007</v>
      </c>
      <c r="M670" s="207"/>
      <c r="N670" s="207"/>
      <c r="O670" s="212"/>
      <c r="P670" s="212"/>
    </row>
    <row r="671" spans="1:16" s="229" customFormat="1" ht="18" customHeight="1" x14ac:dyDescent="0.25">
      <c r="A671" s="154"/>
      <c r="B671" s="617" t="s">
        <v>123</v>
      </c>
      <c r="C671" s="617" t="s">
        <v>1386</v>
      </c>
      <c r="D671" s="131" t="s">
        <v>136</v>
      </c>
      <c r="E671" s="618" t="s">
        <v>135</v>
      </c>
      <c r="F671" s="617"/>
      <c r="G671" s="617"/>
      <c r="H671" s="611"/>
      <c r="I671" s="101">
        <v>60478.16</v>
      </c>
      <c r="J671" s="102">
        <v>198280.35</v>
      </c>
      <c r="K671" s="101">
        <v>79686.22</v>
      </c>
      <c r="L671" s="102">
        <v>307591.45</v>
      </c>
      <c r="M671" s="207"/>
      <c r="N671" s="207"/>
      <c r="O671" s="212"/>
      <c r="P671" s="212"/>
    </row>
    <row r="672" spans="1:16" s="229" customFormat="1" ht="18" customHeight="1" x14ac:dyDescent="0.25">
      <c r="A672" s="154"/>
      <c r="B672" s="617" t="s">
        <v>123</v>
      </c>
      <c r="C672" s="617" t="s">
        <v>1386</v>
      </c>
      <c r="D672" s="131" t="s">
        <v>136</v>
      </c>
      <c r="E672" s="618" t="s">
        <v>135</v>
      </c>
      <c r="F672" s="617"/>
      <c r="G672" s="617"/>
      <c r="H672" s="611"/>
      <c r="I672" s="101">
        <v>389188.09</v>
      </c>
      <c r="J672" s="102">
        <v>430452.6</v>
      </c>
      <c r="K672" s="101">
        <v>122167.61</v>
      </c>
      <c r="L672" s="101">
        <v>481917.36</v>
      </c>
      <c r="M672" s="207"/>
      <c r="N672" s="207"/>
      <c r="O672" s="212"/>
      <c r="P672" s="212"/>
    </row>
    <row r="673" spans="1:16" s="229" customFormat="1" ht="18" customHeight="1" x14ac:dyDescent="0.25">
      <c r="A673" s="154"/>
      <c r="B673" s="617" t="s">
        <v>123</v>
      </c>
      <c r="C673" s="617" t="s">
        <v>1386</v>
      </c>
      <c r="D673" s="131" t="s">
        <v>136</v>
      </c>
      <c r="E673" s="618" t="s">
        <v>135</v>
      </c>
      <c r="F673" s="617"/>
      <c r="G673" s="617"/>
      <c r="H673" s="611"/>
      <c r="I673" s="101">
        <v>129732.21</v>
      </c>
      <c r="J673" s="102">
        <v>113324.39</v>
      </c>
      <c r="K673" s="101">
        <v>52604.61</v>
      </c>
      <c r="L673" s="101">
        <v>171673.02</v>
      </c>
      <c r="M673" s="207">
        <f>SUM(L658:L673)</f>
        <v>3490191.9099999997</v>
      </c>
      <c r="N673" s="207"/>
      <c r="O673" s="212"/>
      <c r="P673" s="212"/>
    </row>
    <row r="674" spans="1:16" s="146" customFormat="1" x14ac:dyDescent="0.25">
      <c r="A674" s="626"/>
      <c r="B674" s="617" t="s">
        <v>123</v>
      </c>
      <c r="C674" s="617" t="s">
        <v>1386</v>
      </c>
      <c r="D674" s="131" t="s">
        <v>142</v>
      </c>
      <c r="E674" s="618" t="s">
        <v>141</v>
      </c>
      <c r="F674" s="611"/>
      <c r="G674" s="612"/>
      <c r="H674" s="612"/>
      <c r="I674" s="105">
        <v>338980</v>
      </c>
      <c r="J674" s="106">
        <v>323695</v>
      </c>
      <c r="K674" s="105"/>
      <c r="L674" s="105">
        <v>346616</v>
      </c>
      <c r="M674" s="10"/>
      <c r="N674" s="10"/>
      <c r="O674"/>
      <c r="P674"/>
    </row>
    <row r="675" spans="1:16" s="208" customFormat="1" ht="18" customHeight="1" x14ac:dyDescent="0.25">
      <c r="A675" s="154"/>
      <c r="B675" s="617" t="s">
        <v>123</v>
      </c>
      <c r="C675" s="617" t="s">
        <v>1386</v>
      </c>
      <c r="D675" s="568" t="s">
        <v>142</v>
      </c>
      <c r="E675" s="618" t="s">
        <v>141</v>
      </c>
      <c r="F675" s="617"/>
      <c r="G675" s="617"/>
      <c r="H675" s="611"/>
      <c r="I675" s="101">
        <v>94997</v>
      </c>
      <c r="J675" s="233">
        <v>344060</v>
      </c>
      <c r="K675" s="101">
        <v>133606</v>
      </c>
      <c r="L675" s="101">
        <v>382392</v>
      </c>
      <c r="M675" s="207"/>
      <c r="N675" s="207">
        <f>16000*5</f>
        <v>80000</v>
      </c>
    </row>
    <row r="676" spans="1:16" s="208" customFormat="1" ht="18" customHeight="1" x14ac:dyDescent="0.25">
      <c r="A676" s="154"/>
      <c r="B676" s="617" t="s">
        <v>123</v>
      </c>
      <c r="C676" s="617" t="s">
        <v>1386</v>
      </c>
      <c r="D676" s="568" t="s">
        <v>142</v>
      </c>
      <c r="E676" s="618" t="s">
        <v>141</v>
      </c>
      <c r="F676" s="617"/>
      <c r="G676" s="617"/>
      <c r="H676" s="611"/>
      <c r="I676" s="101">
        <v>65048</v>
      </c>
      <c r="J676" s="233">
        <v>65183</v>
      </c>
      <c r="K676" s="101"/>
      <c r="L676" s="101">
        <v>71779</v>
      </c>
      <c r="M676" s="207"/>
      <c r="N676" s="207">
        <f>75000*5</f>
        <v>375000</v>
      </c>
    </row>
    <row r="677" spans="1:16" s="208" customFormat="1" ht="18" customHeight="1" x14ac:dyDescent="0.25">
      <c r="A677" s="154"/>
      <c r="B677" s="617" t="s">
        <v>123</v>
      </c>
      <c r="C677" s="617" t="s">
        <v>1386</v>
      </c>
      <c r="D677" s="568" t="s">
        <v>142</v>
      </c>
      <c r="E677" s="618" t="s">
        <v>141</v>
      </c>
      <c r="F677" s="617"/>
      <c r="G677" s="617"/>
      <c r="H677" s="611"/>
      <c r="I677" s="101">
        <v>25261</v>
      </c>
      <c r="J677" s="233">
        <v>68756</v>
      </c>
      <c r="K677" s="101"/>
      <c r="L677" s="101">
        <v>75806</v>
      </c>
      <c r="M677" s="207"/>
      <c r="N677" s="207">
        <f>80000*6</f>
        <v>480000</v>
      </c>
    </row>
    <row r="678" spans="1:16" s="208" customFormat="1" ht="18" customHeight="1" x14ac:dyDescent="0.25">
      <c r="A678" s="154"/>
      <c r="B678" s="617" t="s">
        <v>123</v>
      </c>
      <c r="C678" s="617" t="s">
        <v>1386</v>
      </c>
      <c r="D678" s="568" t="s">
        <v>142</v>
      </c>
      <c r="E678" s="618" t="s">
        <v>141</v>
      </c>
      <c r="F678" s="617"/>
      <c r="G678" s="617"/>
      <c r="H678" s="611"/>
      <c r="I678" s="101">
        <v>28899</v>
      </c>
      <c r="J678" s="233">
        <v>54853</v>
      </c>
      <c r="K678" s="101"/>
      <c r="L678" s="101">
        <v>60516</v>
      </c>
      <c r="M678" s="207"/>
      <c r="N678" s="207"/>
    </row>
    <row r="679" spans="1:16" s="208" customFormat="1" ht="18" customHeight="1" x14ac:dyDescent="0.25">
      <c r="A679" s="154"/>
      <c r="B679" s="617" t="s">
        <v>123</v>
      </c>
      <c r="C679" s="617" t="s">
        <v>1386</v>
      </c>
      <c r="D679" s="568" t="s">
        <v>142</v>
      </c>
      <c r="E679" s="618" t="s">
        <v>141</v>
      </c>
      <c r="F679" s="617"/>
      <c r="G679" s="617"/>
      <c r="H679" s="611"/>
      <c r="I679" s="101">
        <v>82480</v>
      </c>
      <c r="J679" s="233">
        <v>96484</v>
      </c>
      <c r="K679" s="101"/>
      <c r="L679" s="101">
        <v>103560</v>
      </c>
      <c r="M679" s="207"/>
      <c r="N679" s="207"/>
    </row>
    <row r="680" spans="1:16" s="208" customFormat="1" ht="18" customHeight="1" x14ac:dyDescent="0.25">
      <c r="A680" s="154"/>
      <c r="B680" s="617" t="s">
        <v>123</v>
      </c>
      <c r="C680" s="617" t="s">
        <v>1386</v>
      </c>
      <c r="D680" s="568" t="s">
        <v>142</v>
      </c>
      <c r="E680" s="618" t="s">
        <v>141</v>
      </c>
      <c r="F680" s="617"/>
      <c r="G680" s="617"/>
      <c r="H680" s="617"/>
      <c r="I680" s="101">
        <v>143283</v>
      </c>
      <c r="J680" s="233">
        <v>190917</v>
      </c>
      <c r="K680" s="101"/>
      <c r="L680" s="101">
        <v>205346</v>
      </c>
      <c r="M680" s="207"/>
      <c r="N680" s="207"/>
    </row>
    <row r="681" spans="1:16" s="208" customFormat="1" ht="18" customHeight="1" x14ac:dyDescent="0.25">
      <c r="A681" s="154"/>
      <c r="B681" s="617" t="s">
        <v>123</v>
      </c>
      <c r="C681" s="617" t="s">
        <v>1386</v>
      </c>
      <c r="D681" s="568" t="s">
        <v>142</v>
      </c>
      <c r="E681" s="618" t="s">
        <v>141</v>
      </c>
      <c r="F681" s="617"/>
      <c r="G681" s="617"/>
      <c r="H681" s="617"/>
      <c r="I681" s="101">
        <v>1184570</v>
      </c>
      <c r="J681" s="233">
        <v>1196474</v>
      </c>
      <c r="K681" s="101"/>
      <c r="L681" s="101">
        <v>1270085</v>
      </c>
      <c r="M681" s="207"/>
      <c r="N681" s="207"/>
    </row>
    <row r="682" spans="1:16" s="208" customFormat="1" ht="18" customHeight="1" x14ac:dyDescent="0.25">
      <c r="A682" s="154"/>
      <c r="B682" s="617" t="s">
        <v>123</v>
      </c>
      <c r="C682" s="617" t="s">
        <v>1386</v>
      </c>
      <c r="D682" s="568" t="s">
        <v>142</v>
      </c>
      <c r="E682" s="618" t="s">
        <v>141</v>
      </c>
      <c r="F682" s="617"/>
      <c r="G682" s="617"/>
      <c r="H682" s="617"/>
      <c r="I682" s="101">
        <v>219143</v>
      </c>
      <c r="J682" s="233">
        <v>331659</v>
      </c>
      <c r="K682" s="101"/>
      <c r="L682" s="101">
        <v>360457</v>
      </c>
      <c r="M682" s="207"/>
      <c r="N682" s="207"/>
    </row>
    <row r="683" spans="1:16" s="208" customFormat="1" ht="18" customHeight="1" x14ac:dyDescent="0.25">
      <c r="A683" s="154"/>
      <c r="B683" s="617" t="s">
        <v>123</v>
      </c>
      <c r="C683" s="617" t="s">
        <v>1386</v>
      </c>
      <c r="D683" s="568" t="s">
        <v>142</v>
      </c>
      <c r="E683" s="618" t="s">
        <v>141</v>
      </c>
      <c r="F683" s="617"/>
      <c r="G683" s="617"/>
      <c r="H683" s="617"/>
      <c r="I683" s="101"/>
      <c r="J683" s="233">
        <v>101053</v>
      </c>
      <c r="K683" s="101"/>
      <c r="L683" s="101">
        <v>106126</v>
      </c>
      <c r="M683" s="207"/>
      <c r="N683" s="207"/>
    </row>
    <row r="684" spans="1:16" x14ac:dyDescent="0.25">
      <c r="A684" s="615"/>
      <c r="B684" s="617" t="s">
        <v>123</v>
      </c>
      <c r="C684" s="617" t="s">
        <v>1386</v>
      </c>
      <c r="D684" s="568" t="s">
        <v>142</v>
      </c>
      <c r="E684" s="618" t="s">
        <v>141</v>
      </c>
      <c r="F684" s="617"/>
      <c r="G684" s="617"/>
      <c r="H684" s="617"/>
      <c r="I684" s="101">
        <v>0</v>
      </c>
      <c r="J684" s="233">
        <v>88634</v>
      </c>
      <c r="K684" s="101"/>
      <c r="L684" s="101">
        <v>92624</v>
      </c>
    </row>
    <row r="685" spans="1:16" x14ac:dyDescent="0.25">
      <c r="A685" s="615"/>
      <c r="B685" s="617" t="s">
        <v>123</v>
      </c>
      <c r="C685" s="617" t="s">
        <v>1386</v>
      </c>
      <c r="D685" s="568" t="s">
        <v>142</v>
      </c>
      <c r="E685" s="618" t="s">
        <v>141</v>
      </c>
      <c r="F685" s="617"/>
      <c r="G685" s="617"/>
      <c r="H685" s="617"/>
      <c r="I685" s="101">
        <v>127114</v>
      </c>
      <c r="J685" s="233">
        <v>152756</v>
      </c>
      <c r="K685" s="101"/>
      <c r="L685" s="101">
        <v>163533</v>
      </c>
    </row>
    <row r="686" spans="1:16" x14ac:dyDescent="0.25">
      <c r="A686" s="615"/>
      <c r="B686" s="617" t="s">
        <v>123</v>
      </c>
      <c r="C686" s="617" t="s">
        <v>1386</v>
      </c>
      <c r="D686" s="568" t="s">
        <v>142</v>
      </c>
      <c r="E686" s="618" t="s">
        <v>141</v>
      </c>
      <c r="F686" s="617"/>
      <c r="G686" s="617"/>
      <c r="H686" s="617"/>
      <c r="I686" s="101">
        <v>221297</v>
      </c>
      <c r="J686" s="233">
        <v>336640</v>
      </c>
      <c r="K686" s="101"/>
      <c r="L686" s="101">
        <v>363814</v>
      </c>
    </row>
    <row r="687" spans="1:16" ht="18" customHeight="1" x14ac:dyDescent="0.25">
      <c r="A687" s="615"/>
      <c r="B687" s="617" t="s">
        <v>123</v>
      </c>
      <c r="C687" s="617" t="s">
        <v>1386</v>
      </c>
      <c r="D687" s="568" t="s">
        <v>142</v>
      </c>
      <c r="E687" s="618" t="s">
        <v>141</v>
      </c>
      <c r="F687" s="617"/>
      <c r="G687" s="617"/>
      <c r="H687" s="611"/>
      <c r="I687" s="101">
        <v>148686</v>
      </c>
      <c r="J687" s="233">
        <v>161408</v>
      </c>
      <c r="K687" s="101"/>
      <c r="L687" s="101">
        <v>173074</v>
      </c>
    </row>
    <row r="688" spans="1:16" ht="18" customHeight="1" x14ac:dyDescent="0.25">
      <c r="A688" s="615"/>
      <c r="B688" s="617" t="s">
        <v>123</v>
      </c>
      <c r="C688" s="617" t="s">
        <v>1386</v>
      </c>
      <c r="D688" s="568" t="s">
        <v>142</v>
      </c>
      <c r="E688" s="618" t="s">
        <v>141</v>
      </c>
      <c r="F688" s="617"/>
      <c r="G688" s="617"/>
      <c r="H688" s="611"/>
      <c r="I688" s="101">
        <v>222668</v>
      </c>
      <c r="J688" s="233">
        <v>291571</v>
      </c>
      <c r="K688" s="101"/>
      <c r="L688" s="101">
        <v>315174</v>
      </c>
    </row>
    <row r="689" spans="1:16" ht="18" customHeight="1" x14ac:dyDescent="0.25">
      <c r="A689" s="615"/>
      <c r="B689" s="617" t="s">
        <v>123</v>
      </c>
      <c r="C689" s="617" t="s">
        <v>1386</v>
      </c>
      <c r="D689" s="568" t="s">
        <v>142</v>
      </c>
      <c r="E689" s="618" t="s">
        <v>141</v>
      </c>
      <c r="F689" s="617"/>
      <c r="G689" s="617"/>
      <c r="H689" s="611"/>
      <c r="I689" s="101">
        <v>510897</v>
      </c>
      <c r="J689" s="233">
        <v>598733</v>
      </c>
      <c r="K689" s="101"/>
      <c r="L689" s="101">
        <v>650419</v>
      </c>
    </row>
    <row r="690" spans="1:16" x14ac:dyDescent="0.25">
      <c r="A690" s="615"/>
      <c r="B690" s="617" t="s">
        <v>123</v>
      </c>
      <c r="C690" s="617" t="s">
        <v>1386</v>
      </c>
      <c r="D690" s="568" t="s">
        <v>142</v>
      </c>
      <c r="E690" s="618" t="s">
        <v>141</v>
      </c>
      <c r="F690" s="617"/>
      <c r="G690" s="617"/>
      <c r="H690" s="617"/>
      <c r="I690" s="101">
        <v>364099</v>
      </c>
      <c r="J690" s="233">
        <v>392559</v>
      </c>
      <c r="K690" s="101"/>
      <c r="L690" s="101">
        <v>423507</v>
      </c>
    </row>
    <row r="691" spans="1:16" ht="18" customHeight="1" x14ac:dyDescent="0.25">
      <c r="A691" s="615"/>
      <c r="B691" s="617" t="s">
        <v>123</v>
      </c>
      <c r="C691" s="617" t="s">
        <v>1386</v>
      </c>
      <c r="D691" s="131" t="s">
        <v>142</v>
      </c>
      <c r="E691" s="618" t="s">
        <v>141</v>
      </c>
      <c r="F691" s="617"/>
      <c r="G691" s="617"/>
      <c r="H691" s="611"/>
      <c r="I691" s="101">
        <v>198720</v>
      </c>
      <c r="J691" s="233">
        <v>320003</v>
      </c>
      <c r="K691" s="101"/>
      <c r="L691" s="101">
        <v>343955</v>
      </c>
    </row>
    <row r="692" spans="1:16" ht="18" customHeight="1" x14ac:dyDescent="0.25">
      <c r="A692" s="615"/>
      <c r="B692" s="617" t="s">
        <v>123</v>
      </c>
      <c r="C692" s="617" t="s">
        <v>1386</v>
      </c>
      <c r="D692" s="131" t="s">
        <v>142</v>
      </c>
      <c r="E692" s="618" t="s">
        <v>141</v>
      </c>
      <c r="F692" s="617"/>
      <c r="G692" s="617"/>
      <c r="H692" s="611"/>
      <c r="I692" s="101">
        <v>123000</v>
      </c>
      <c r="J692" s="233">
        <v>123095</v>
      </c>
      <c r="K692" s="101"/>
      <c r="L692" s="101">
        <v>131773</v>
      </c>
      <c r="M692" s="10">
        <f>SUM(L674:L692)</f>
        <v>5640556</v>
      </c>
    </row>
    <row r="693" spans="1:16" x14ac:dyDescent="0.25">
      <c r="A693" s="615"/>
      <c r="B693" s="617" t="s">
        <v>123</v>
      </c>
      <c r="C693" s="617" t="s">
        <v>1386</v>
      </c>
      <c r="D693" s="131" t="s">
        <v>144</v>
      </c>
      <c r="E693" s="618" t="s">
        <v>143</v>
      </c>
      <c r="F693" s="617"/>
      <c r="G693" s="617"/>
      <c r="H693" s="611"/>
      <c r="I693" s="101">
        <v>65000</v>
      </c>
      <c r="J693" s="122">
        <v>55000</v>
      </c>
      <c r="K693" s="101"/>
      <c r="L693" s="101">
        <v>55000</v>
      </c>
    </row>
    <row r="694" spans="1:16" s="146" customFormat="1" ht="18" customHeight="1" x14ac:dyDescent="0.25">
      <c r="A694" s="615"/>
      <c r="B694" s="617" t="s">
        <v>123</v>
      </c>
      <c r="C694" s="617" t="s">
        <v>1386</v>
      </c>
      <c r="D694" s="131" t="s">
        <v>144</v>
      </c>
      <c r="E694" s="618" t="s">
        <v>143</v>
      </c>
      <c r="F694" s="617"/>
      <c r="G694" s="617"/>
      <c r="H694" s="611"/>
      <c r="I694" s="101">
        <v>45000</v>
      </c>
      <c r="J694" s="233">
        <v>150000</v>
      </c>
      <c r="K694" s="101"/>
      <c r="L694" s="101">
        <v>150000</v>
      </c>
      <c r="M694" s="10"/>
      <c r="N694" s="10"/>
      <c r="O694"/>
      <c r="P694"/>
    </row>
    <row r="695" spans="1:16" s="146" customFormat="1" x14ac:dyDescent="0.25">
      <c r="A695" s="615"/>
      <c r="B695" s="617" t="s">
        <v>123</v>
      </c>
      <c r="C695" s="617" t="s">
        <v>1386</v>
      </c>
      <c r="D695" s="131" t="s">
        <v>144</v>
      </c>
      <c r="E695" s="618" t="s">
        <v>143</v>
      </c>
      <c r="F695" s="617"/>
      <c r="G695" s="617"/>
      <c r="H695" s="611"/>
      <c r="I695" s="101">
        <v>20000</v>
      </c>
      <c r="J695" s="233">
        <v>20000</v>
      </c>
      <c r="K695" s="101"/>
      <c r="L695" s="101">
        <v>20000</v>
      </c>
      <c r="M695" s="10"/>
      <c r="N695" s="10"/>
      <c r="O695"/>
      <c r="P695"/>
    </row>
    <row r="696" spans="1:16" s="146" customFormat="1" x14ac:dyDescent="0.25">
      <c r="A696" s="615"/>
      <c r="B696" s="617" t="s">
        <v>123</v>
      </c>
      <c r="C696" s="617" t="s">
        <v>1386</v>
      </c>
      <c r="D696" s="131" t="s">
        <v>144</v>
      </c>
      <c r="E696" s="618" t="s">
        <v>143</v>
      </c>
      <c r="F696" s="617"/>
      <c r="G696" s="617"/>
      <c r="H696" s="611"/>
      <c r="I696" s="101">
        <v>10000</v>
      </c>
      <c r="J696" s="122">
        <v>20000</v>
      </c>
      <c r="K696" s="101"/>
      <c r="L696" s="101">
        <v>20000</v>
      </c>
      <c r="M696" s="10"/>
      <c r="N696" s="10"/>
      <c r="O696"/>
      <c r="P696"/>
    </row>
    <row r="697" spans="1:16" s="146" customFormat="1" ht="18" customHeight="1" x14ac:dyDescent="0.25">
      <c r="A697" s="615"/>
      <c r="B697" s="617" t="s">
        <v>123</v>
      </c>
      <c r="C697" s="617" t="s">
        <v>1386</v>
      </c>
      <c r="D697" s="131" t="s">
        <v>144</v>
      </c>
      <c r="E697" s="618" t="s">
        <v>143</v>
      </c>
      <c r="F697" s="617"/>
      <c r="G697" s="617"/>
      <c r="H697" s="611"/>
      <c r="I697" s="101">
        <v>10000</v>
      </c>
      <c r="J697" s="122">
        <v>15000</v>
      </c>
      <c r="K697" s="101"/>
      <c r="L697" s="101">
        <v>15000</v>
      </c>
      <c r="M697" s="10"/>
      <c r="N697" s="10"/>
      <c r="O697"/>
      <c r="P697"/>
    </row>
    <row r="698" spans="1:16" s="146" customFormat="1" ht="18" customHeight="1" x14ac:dyDescent="0.25">
      <c r="A698" s="615"/>
      <c r="B698" s="617" t="s">
        <v>123</v>
      </c>
      <c r="C698" s="617" t="s">
        <v>1386</v>
      </c>
      <c r="D698" s="131" t="s">
        <v>144</v>
      </c>
      <c r="E698" s="618" t="s">
        <v>143</v>
      </c>
      <c r="F698" s="617"/>
      <c r="G698" s="617"/>
      <c r="H698" s="611"/>
      <c r="I698" s="101">
        <v>15000</v>
      </c>
      <c r="J698" s="122">
        <v>20000</v>
      </c>
      <c r="K698" s="101"/>
      <c r="L698" s="101">
        <v>20000</v>
      </c>
      <c r="M698" s="10"/>
      <c r="N698" s="10"/>
      <c r="O698"/>
      <c r="P698"/>
    </row>
    <row r="699" spans="1:16" s="146" customFormat="1" ht="18" customHeight="1" x14ac:dyDescent="0.25">
      <c r="A699" s="615"/>
      <c r="B699" s="617" t="s">
        <v>123</v>
      </c>
      <c r="C699" s="617" t="s">
        <v>1386</v>
      </c>
      <c r="D699" s="131" t="s">
        <v>144</v>
      </c>
      <c r="E699" s="618" t="s">
        <v>143</v>
      </c>
      <c r="F699" s="617"/>
      <c r="G699" s="617"/>
      <c r="H699" s="611"/>
      <c r="I699" s="101">
        <v>20000</v>
      </c>
      <c r="J699" s="122">
        <v>35000</v>
      </c>
      <c r="K699" s="101"/>
      <c r="L699" s="101">
        <v>35000</v>
      </c>
      <c r="M699" s="10"/>
      <c r="N699" s="10"/>
      <c r="O699"/>
      <c r="P699"/>
    </row>
    <row r="700" spans="1:16" s="146" customFormat="1" x14ac:dyDescent="0.25">
      <c r="A700" s="615"/>
      <c r="B700" s="617" t="s">
        <v>123</v>
      </c>
      <c r="C700" s="617" t="s">
        <v>1386</v>
      </c>
      <c r="D700" s="131" t="s">
        <v>144</v>
      </c>
      <c r="E700" s="619" t="s">
        <v>143</v>
      </c>
      <c r="F700" s="612"/>
      <c r="G700" s="612"/>
      <c r="H700" s="612"/>
      <c r="I700" s="101">
        <v>180000</v>
      </c>
      <c r="J700" s="122">
        <v>185000</v>
      </c>
      <c r="K700" s="101"/>
      <c r="L700" s="101">
        <v>185000</v>
      </c>
      <c r="M700" s="10"/>
      <c r="N700" s="10"/>
      <c r="O700"/>
      <c r="P700"/>
    </row>
    <row r="701" spans="1:16" s="146" customFormat="1" ht="18" customHeight="1" x14ac:dyDescent="0.25">
      <c r="A701" s="615"/>
      <c r="B701" s="617" t="s">
        <v>123</v>
      </c>
      <c r="C701" s="617" t="s">
        <v>1386</v>
      </c>
      <c r="D701" s="131" t="s">
        <v>144</v>
      </c>
      <c r="E701" s="618" t="s">
        <v>143</v>
      </c>
      <c r="F701" s="617"/>
      <c r="G701" s="617"/>
      <c r="H701" s="611"/>
      <c r="I701" s="101">
        <v>55000</v>
      </c>
      <c r="J701" s="122">
        <v>90000</v>
      </c>
      <c r="K701" s="101"/>
      <c r="L701" s="101">
        <v>90000</v>
      </c>
      <c r="M701" s="10"/>
      <c r="N701" s="10"/>
      <c r="O701"/>
      <c r="P701"/>
    </row>
    <row r="702" spans="1:16" s="146" customFormat="1" x14ac:dyDescent="0.25">
      <c r="A702" s="615"/>
      <c r="B702" s="617" t="s">
        <v>123</v>
      </c>
      <c r="C702" s="617" t="s">
        <v>1386</v>
      </c>
      <c r="D702" s="131" t="s">
        <v>144</v>
      </c>
      <c r="E702" s="618" t="s">
        <v>143</v>
      </c>
      <c r="F702" s="617"/>
      <c r="G702" s="617"/>
      <c r="H702" s="611"/>
      <c r="I702" s="101"/>
      <c r="J702" s="122">
        <v>15000</v>
      </c>
      <c r="K702" s="101"/>
      <c r="L702" s="101">
        <v>15000</v>
      </c>
      <c r="M702" s="10"/>
      <c r="N702" s="10"/>
      <c r="O702"/>
      <c r="P702"/>
    </row>
    <row r="703" spans="1:16" s="146" customFormat="1" x14ac:dyDescent="0.25">
      <c r="A703" s="615"/>
      <c r="B703" s="617" t="s">
        <v>123</v>
      </c>
      <c r="C703" s="617" t="s">
        <v>1386</v>
      </c>
      <c r="D703" s="131" t="s">
        <v>144</v>
      </c>
      <c r="E703" s="618" t="s">
        <v>143</v>
      </c>
      <c r="F703" s="617"/>
      <c r="G703" s="617"/>
      <c r="H703" s="611"/>
      <c r="I703" s="101">
        <v>0</v>
      </c>
      <c r="J703" s="122">
        <v>10000</v>
      </c>
      <c r="K703" s="101"/>
      <c r="L703" s="101">
        <v>10000</v>
      </c>
      <c r="M703" s="10"/>
      <c r="N703" s="10"/>
      <c r="O703"/>
      <c r="P703"/>
    </row>
    <row r="704" spans="1:16" s="146" customFormat="1" x14ac:dyDescent="0.25">
      <c r="A704" s="615"/>
      <c r="B704" s="617" t="s">
        <v>123</v>
      </c>
      <c r="C704" s="617" t="s">
        <v>1386</v>
      </c>
      <c r="D704" s="131" t="s">
        <v>144</v>
      </c>
      <c r="E704" s="618" t="s">
        <v>143</v>
      </c>
      <c r="F704" s="617"/>
      <c r="G704" s="617"/>
      <c r="H704" s="611"/>
      <c r="I704" s="101">
        <v>15000</v>
      </c>
      <c r="J704" s="122">
        <v>20000</v>
      </c>
      <c r="K704" s="101"/>
      <c r="L704" s="101">
        <v>20000</v>
      </c>
      <c r="M704" s="10"/>
      <c r="N704" s="10"/>
      <c r="O704"/>
      <c r="P704"/>
    </row>
    <row r="705" spans="1:16" s="146" customFormat="1" x14ac:dyDescent="0.25">
      <c r="A705" s="615"/>
      <c r="B705" s="617" t="s">
        <v>123</v>
      </c>
      <c r="C705" s="617" t="s">
        <v>1386</v>
      </c>
      <c r="D705" s="131" t="s">
        <v>144</v>
      </c>
      <c r="E705" s="618" t="s">
        <v>143</v>
      </c>
      <c r="F705" s="617"/>
      <c r="G705" s="617"/>
      <c r="H705" s="611"/>
      <c r="I705" s="101">
        <v>45000</v>
      </c>
      <c r="J705" s="122">
        <v>70000</v>
      </c>
      <c r="K705" s="101"/>
      <c r="L705" s="101">
        <v>70000</v>
      </c>
      <c r="M705" s="10"/>
      <c r="N705" s="10"/>
      <c r="O705"/>
      <c r="P705"/>
    </row>
    <row r="706" spans="1:16" s="146" customFormat="1" ht="35.25" customHeight="1" x14ac:dyDescent="0.25">
      <c r="A706" s="615"/>
      <c r="B706" s="617" t="s">
        <v>123</v>
      </c>
      <c r="C706" s="617" t="s">
        <v>1386</v>
      </c>
      <c r="D706" s="131" t="s">
        <v>144</v>
      </c>
      <c r="E706" s="618" t="s">
        <v>143</v>
      </c>
      <c r="F706" s="617"/>
      <c r="G706" s="617"/>
      <c r="H706" s="611"/>
      <c r="I706" s="101">
        <v>25000</v>
      </c>
      <c r="J706" s="122">
        <v>30000</v>
      </c>
      <c r="K706" s="101"/>
      <c r="L706" s="101">
        <v>30000</v>
      </c>
      <c r="M706" s="10"/>
      <c r="N706" s="10" t="e">
        <f>161150-#REF!</f>
        <v>#REF!</v>
      </c>
      <c r="O706"/>
      <c r="P706"/>
    </row>
    <row r="707" spans="1:16" s="146" customFormat="1" ht="18" customHeight="1" x14ac:dyDescent="0.25">
      <c r="A707" s="615"/>
      <c r="B707" s="617" t="s">
        <v>123</v>
      </c>
      <c r="C707" s="617" t="s">
        <v>1386</v>
      </c>
      <c r="D707" s="131" t="s">
        <v>144</v>
      </c>
      <c r="E707" s="619" t="s">
        <v>143</v>
      </c>
      <c r="F707" s="612"/>
      <c r="G707" s="612"/>
      <c r="H707" s="612"/>
      <c r="I707" s="105">
        <v>40000</v>
      </c>
      <c r="J707" s="246">
        <v>65000</v>
      </c>
      <c r="K707" s="105"/>
      <c r="L707" s="105">
        <v>65000</v>
      </c>
      <c r="M707" s="10"/>
      <c r="N707" s="10"/>
      <c r="O707"/>
      <c r="P707"/>
    </row>
    <row r="708" spans="1:16" ht="18" customHeight="1" x14ac:dyDescent="0.25">
      <c r="A708" s="626"/>
      <c r="B708" s="617" t="s">
        <v>123</v>
      </c>
      <c r="C708" s="617" t="s">
        <v>1386</v>
      </c>
      <c r="D708" s="131" t="s">
        <v>144</v>
      </c>
      <c r="E708" s="618" t="s">
        <v>143</v>
      </c>
      <c r="F708" s="617"/>
      <c r="G708" s="617"/>
      <c r="H708" s="611"/>
      <c r="I708" s="101">
        <v>185000</v>
      </c>
      <c r="J708" s="102">
        <v>225000</v>
      </c>
      <c r="K708" s="101"/>
      <c r="L708" s="101">
        <v>225000</v>
      </c>
    </row>
    <row r="709" spans="1:16" ht="18" customHeight="1" x14ac:dyDescent="0.25">
      <c r="A709" s="626"/>
      <c r="B709" s="617" t="s">
        <v>123</v>
      </c>
      <c r="C709" s="617" t="s">
        <v>1386</v>
      </c>
      <c r="D709" s="131" t="s">
        <v>144</v>
      </c>
      <c r="E709" s="618" t="s">
        <v>143</v>
      </c>
      <c r="F709" s="617"/>
      <c r="G709" s="617"/>
      <c r="H709" s="611"/>
      <c r="I709" s="101">
        <v>81000</v>
      </c>
      <c r="J709" s="102">
        <v>90000</v>
      </c>
      <c r="K709" s="101"/>
      <c r="L709" s="101">
        <v>90000</v>
      </c>
      <c r="N709" s="10">
        <v>757402.04</v>
      </c>
    </row>
    <row r="710" spans="1:16" ht="18" customHeight="1" x14ac:dyDescent="0.25">
      <c r="A710" s="626"/>
      <c r="B710" s="617" t="s">
        <v>123</v>
      </c>
      <c r="C710" s="617" t="s">
        <v>1386</v>
      </c>
      <c r="D710" s="131" t="s">
        <v>144</v>
      </c>
      <c r="E710" s="618" t="s">
        <v>143</v>
      </c>
      <c r="F710" s="617"/>
      <c r="G710" s="617"/>
      <c r="H710" s="611"/>
      <c r="I710" s="101">
        <v>40000</v>
      </c>
      <c r="J710" s="102">
        <v>60000</v>
      </c>
      <c r="K710" s="101"/>
      <c r="L710" s="101">
        <v>60000</v>
      </c>
    </row>
    <row r="711" spans="1:16" ht="18" customHeight="1" x14ac:dyDescent="0.25">
      <c r="A711" s="626"/>
      <c r="B711" s="617" t="s">
        <v>123</v>
      </c>
      <c r="C711" s="617" t="s">
        <v>1386</v>
      </c>
      <c r="D711" s="131" t="s">
        <v>144</v>
      </c>
      <c r="E711" s="618" t="s">
        <v>143</v>
      </c>
      <c r="F711" s="617"/>
      <c r="G711" s="617"/>
      <c r="H711" s="611"/>
      <c r="I711" s="101">
        <v>20000</v>
      </c>
      <c r="J711" s="102">
        <v>20000</v>
      </c>
      <c r="K711" s="101"/>
      <c r="L711" s="101">
        <v>20000</v>
      </c>
      <c r="M711" s="10">
        <f>SUM(L693:L711)</f>
        <v>1195000</v>
      </c>
    </row>
    <row r="712" spans="1:16" ht="18" customHeight="1" x14ac:dyDescent="0.25">
      <c r="A712" s="626"/>
      <c r="B712" s="617" t="s">
        <v>123</v>
      </c>
      <c r="C712" s="617" t="s">
        <v>1386</v>
      </c>
      <c r="D712" s="131" t="s">
        <v>148</v>
      </c>
      <c r="E712" s="636" t="s">
        <v>147</v>
      </c>
      <c r="F712" s="617"/>
      <c r="G712" s="617"/>
      <c r="H712" s="611"/>
      <c r="I712" s="101"/>
      <c r="J712" s="102"/>
      <c r="K712" s="101"/>
      <c r="L712" s="101">
        <v>33000</v>
      </c>
    </row>
    <row r="713" spans="1:16" ht="18" customHeight="1" x14ac:dyDescent="0.25">
      <c r="A713" s="626"/>
      <c r="B713" s="617" t="s">
        <v>123</v>
      </c>
      <c r="C713" s="617" t="s">
        <v>1386</v>
      </c>
      <c r="D713" s="131" t="s">
        <v>148</v>
      </c>
      <c r="E713" s="636" t="s">
        <v>147</v>
      </c>
      <c r="F713" s="617"/>
      <c r="G713" s="617"/>
      <c r="H713" s="611"/>
      <c r="I713" s="101"/>
      <c r="J713" s="102"/>
      <c r="K713" s="101"/>
      <c r="L713" s="101">
        <v>84000</v>
      </c>
    </row>
    <row r="714" spans="1:16" x14ac:dyDescent="0.25">
      <c r="A714" s="626"/>
      <c r="B714" s="617" t="s">
        <v>123</v>
      </c>
      <c r="C714" s="617" t="s">
        <v>1386</v>
      </c>
      <c r="D714" s="131" t="s">
        <v>148</v>
      </c>
      <c r="E714" s="636" t="s">
        <v>147</v>
      </c>
      <c r="F714" s="617"/>
      <c r="G714" s="617"/>
      <c r="H714" s="611"/>
      <c r="I714" s="101"/>
      <c r="J714" s="102"/>
      <c r="K714" s="101"/>
      <c r="L714" s="101">
        <v>12000</v>
      </c>
    </row>
    <row r="715" spans="1:16" ht="18" customHeight="1" x14ac:dyDescent="0.25">
      <c r="A715" s="626"/>
      <c r="B715" s="617" t="s">
        <v>123</v>
      </c>
      <c r="C715" s="617" t="s">
        <v>1386</v>
      </c>
      <c r="D715" s="131" t="s">
        <v>148</v>
      </c>
      <c r="E715" s="636" t="s">
        <v>147</v>
      </c>
      <c r="F715" s="617"/>
      <c r="G715" s="617"/>
      <c r="H715" s="611"/>
      <c r="I715" s="101"/>
      <c r="J715" s="102"/>
      <c r="K715" s="101"/>
      <c r="L715" s="101">
        <v>12000</v>
      </c>
    </row>
    <row r="716" spans="1:16" ht="18" customHeight="1" x14ac:dyDescent="0.25">
      <c r="A716" s="626"/>
      <c r="B716" s="617" t="s">
        <v>123</v>
      </c>
      <c r="C716" s="617" t="s">
        <v>1386</v>
      </c>
      <c r="D716" s="131" t="s">
        <v>148</v>
      </c>
      <c r="E716" s="636" t="s">
        <v>147</v>
      </c>
      <c r="F716" s="617"/>
      <c r="G716" s="617"/>
      <c r="H716" s="611"/>
      <c r="I716" s="101"/>
      <c r="J716" s="102"/>
      <c r="K716" s="101"/>
      <c r="L716" s="101">
        <v>9000</v>
      </c>
    </row>
    <row r="717" spans="1:16" ht="18" customHeight="1" x14ac:dyDescent="0.25">
      <c r="A717" s="626"/>
      <c r="B717" s="617" t="s">
        <v>123</v>
      </c>
      <c r="C717" s="617" t="s">
        <v>1386</v>
      </c>
      <c r="D717" s="131" t="s">
        <v>148</v>
      </c>
      <c r="E717" s="636" t="s">
        <v>147</v>
      </c>
      <c r="F717" s="617"/>
      <c r="G717" s="617"/>
      <c r="H717" s="611"/>
      <c r="I717" s="101"/>
      <c r="J717" s="102"/>
      <c r="K717" s="101"/>
      <c r="L717" s="101">
        <v>12000</v>
      </c>
    </row>
    <row r="718" spans="1:16" x14ac:dyDescent="0.25">
      <c r="A718" s="626"/>
      <c r="B718" s="617" t="s">
        <v>123</v>
      </c>
      <c r="C718" s="617" t="s">
        <v>1386</v>
      </c>
      <c r="D718" s="131" t="s">
        <v>148</v>
      </c>
      <c r="E718" s="636" t="s">
        <v>147</v>
      </c>
      <c r="F718" s="617"/>
      <c r="G718" s="617"/>
      <c r="H718" s="611"/>
      <c r="I718" s="101"/>
      <c r="J718" s="102"/>
      <c r="K718" s="101"/>
      <c r="L718" s="101">
        <v>21000</v>
      </c>
    </row>
    <row r="719" spans="1:16" s="146" customFormat="1" ht="18" customHeight="1" x14ac:dyDescent="0.25">
      <c r="A719" s="626"/>
      <c r="B719" s="617" t="s">
        <v>123</v>
      </c>
      <c r="C719" s="617" t="s">
        <v>1386</v>
      </c>
      <c r="D719" s="131" t="s">
        <v>148</v>
      </c>
      <c r="E719" s="637" t="s">
        <v>147</v>
      </c>
      <c r="F719" s="612"/>
      <c r="G719" s="612"/>
      <c r="H719" s="612"/>
      <c r="I719" s="101"/>
      <c r="J719" s="102"/>
      <c r="K719" s="101"/>
      <c r="L719" s="101">
        <v>111000</v>
      </c>
      <c r="M719" s="10"/>
      <c r="N719" s="10"/>
      <c r="O719"/>
      <c r="P719"/>
    </row>
    <row r="720" spans="1:16" s="146" customFormat="1" x14ac:dyDescent="0.25">
      <c r="A720" s="626"/>
      <c r="B720" s="617" t="s">
        <v>123</v>
      </c>
      <c r="C720" s="617" t="s">
        <v>1386</v>
      </c>
      <c r="D720" s="131" t="s">
        <v>148</v>
      </c>
      <c r="E720" s="637" t="s">
        <v>147</v>
      </c>
      <c r="F720" s="629"/>
      <c r="G720" s="629"/>
      <c r="H720" s="629"/>
      <c r="I720" s="102"/>
      <c r="J720" s="102"/>
      <c r="K720" s="102"/>
      <c r="L720" s="102">
        <v>51000</v>
      </c>
      <c r="M720" s="10"/>
      <c r="N720" s="10"/>
      <c r="O720"/>
      <c r="P720"/>
    </row>
    <row r="721" spans="1:16" s="146" customFormat="1" x14ac:dyDescent="0.25">
      <c r="A721" s="626"/>
      <c r="B721" s="617" t="s">
        <v>123</v>
      </c>
      <c r="C721" s="617" t="s">
        <v>1386</v>
      </c>
      <c r="D721" s="131" t="s">
        <v>148</v>
      </c>
      <c r="E721" s="618" t="s">
        <v>147</v>
      </c>
      <c r="F721" s="617"/>
      <c r="G721" s="617"/>
      <c r="H721" s="611"/>
      <c r="I721" s="101"/>
      <c r="J721" s="102"/>
      <c r="K721" s="101"/>
      <c r="L721" s="101">
        <v>9000</v>
      </c>
      <c r="M721" s="10"/>
      <c r="N721" s="10"/>
      <c r="O721"/>
      <c r="P721"/>
    </row>
    <row r="722" spans="1:16" s="146" customFormat="1" ht="18" customHeight="1" x14ac:dyDescent="0.25">
      <c r="A722" s="626"/>
      <c r="B722" s="617" t="s">
        <v>123</v>
      </c>
      <c r="C722" s="617" t="s">
        <v>1386</v>
      </c>
      <c r="D722" s="131" t="s">
        <v>148</v>
      </c>
      <c r="E722" s="637" t="s">
        <v>147</v>
      </c>
      <c r="F722" s="612"/>
      <c r="G722" s="612"/>
      <c r="H722" s="612"/>
      <c r="I722" s="101"/>
      <c r="J722" s="102"/>
      <c r="K722" s="101"/>
      <c r="L722" s="101">
        <v>6000</v>
      </c>
      <c r="M722" s="10"/>
      <c r="N722" s="10"/>
      <c r="O722"/>
      <c r="P722"/>
    </row>
    <row r="723" spans="1:16" x14ac:dyDescent="0.25">
      <c r="A723" s="626"/>
      <c r="B723" s="617" t="s">
        <v>123</v>
      </c>
      <c r="C723" s="617" t="s">
        <v>1386</v>
      </c>
      <c r="D723" s="131" t="s">
        <v>148</v>
      </c>
      <c r="E723" s="636" t="s">
        <v>147</v>
      </c>
      <c r="F723" s="617"/>
      <c r="G723" s="617"/>
      <c r="H723" s="611"/>
      <c r="I723" s="101"/>
      <c r="J723" s="102"/>
      <c r="K723" s="101"/>
      <c r="L723" s="101">
        <v>12000</v>
      </c>
    </row>
    <row r="724" spans="1:16" ht="18" customHeight="1" x14ac:dyDescent="0.25">
      <c r="A724" s="626"/>
      <c r="B724" s="617" t="s">
        <v>123</v>
      </c>
      <c r="C724" s="617" t="s">
        <v>1386</v>
      </c>
      <c r="D724" s="131" t="s">
        <v>148</v>
      </c>
      <c r="E724" s="637" t="s">
        <v>147</v>
      </c>
      <c r="F724" s="612"/>
      <c r="G724" s="612"/>
      <c r="H724" s="612"/>
      <c r="I724" s="101"/>
      <c r="J724" s="102"/>
      <c r="K724" s="101"/>
      <c r="L724" s="101">
        <v>42000</v>
      </c>
    </row>
    <row r="725" spans="1:16" s="146" customFormat="1" ht="18" customHeight="1" x14ac:dyDescent="0.25">
      <c r="A725" s="626"/>
      <c r="B725" s="617" t="s">
        <v>123</v>
      </c>
      <c r="C725" s="617" t="s">
        <v>1386</v>
      </c>
      <c r="D725" s="131" t="s">
        <v>148</v>
      </c>
      <c r="E725" s="636" t="s">
        <v>147</v>
      </c>
      <c r="F725" s="617"/>
      <c r="G725" s="617"/>
      <c r="H725" s="611"/>
      <c r="I725" s="101"/>
      <c r="J725" s="102"/>
      <c r="K725" s="101"/>
      <c r="L725" s="101">
        <v>18000</v>
      </c>
      <c r="M725" s="10"/>
      <c r="N725" s="10"/>
      <c r="O725"/>
      <c r="P725"/>
    </row>
    <row r="726" spans="1:16" s="146" customFormat="1" ht="18" customHeight="1" x14ac:dyDescent="0.25">
      <c r="A726" s="626"/>
      <c r="B726" s="617" t="s">
        <v>123</v>
      </c>
      <c r="C726" s="617" t="s">
        <v>1386</v>
      </c>
      <c r="D726" s="131" t="s">
        <v>148</v>
      </c>
      <c r="E726" s="637" t="s">
        <v>147</v>
      </c>
      <c r="F726" s="612"/>
      <c r="G726" s="612"/>
      <c r="H726" s="612"/>
      <c r="I726" s="101"/>
      <c r="J726" s="102"/>
      <c r="K726" s="101"/>
      <c r="L726" s="101">
        <v>42000</v>
      </c>
      <c r="M726" s="10"/>
      <c r="N726" s="10"/>
      <c r="O726"/>
      <c r="P726"/>
    </row>
    <row r="727" spans="1:16" s="146" customFormat="1" ht="18" customHeight="1" x14ac:dyDescent="0.25">
      <c r="A727" s="626"/>
      <c r="B727" s="617" t="s">
        <v>123</v>
      </c>
      <c r="C727" s="617" t="s">
        <v>1386</v>
      </c>
      <c r="D727" s="131" t="s">
        <v>148</v>
      </c>
      <c r="E727" s="637" t="s">
        <v>147</v>
      </c>
      <c r="F727" s="612"/>
      <c r="G727" s="612"/>
      <c r="H727" s="612"/>
      <c r="I727" s="101"/>
      <c r="J727" s="102"/>
      <c r="K727" s="101"/>
      <c r="L727" s="101">
        <v>135000</v>
      </c>
      <c r="M727" s="10"/>
      <c r="N727" s="10"/>
      <c r="O727"/>
      <c r="P727"/>
    </row>
    <row r="728" spans="1:16" s="146" customFormat="1" ht="18" customHeight="1" x14ac:dyDescent="0.25">
      <c r="A728" s="626"/>
      <c r="B728" s="617" t="s">
        <v>123</v>
      </c>
      <c r="C728" s="617" t="s">
        <v>1386</v>
      </c>
      <c r="D728" s="131" t="s">
        <v>148</v>
      </c>
      <c r="E728" s="637" t="s">
        <v>147</v>
      </c>
      <c r="F728" s="612"/>
      <c r="G728" s="612"/>
      <c r="H728" s="612"/>
      <c r="I728" s="101"/>
      <c r="J728" s="102"/>
      <c r="K728" s="101"/>
      <c r="L728" s="101">
        <v>54000</v>
      </c>
      <c r="M728" s="10"/>
      <c r="N728" s="10"/>
      <c r="O728"/>
      <c r="P728"/>
    </row>
    <row r="729" spans="1:16" s="146" customFormat="1" ht="18" customHeight="1" x14ac:dyDescent="0.25">
      <c r="A729" s="626"/>
      <c r="B729" s="617" t="s">
        <v>123</v>
      </c>
      <c r="C729" s="617" t="s">
        <v>1386</v>
      </c>
      <c r="D729" s="172" t="s">
        <v>148</v>
      </c>
      <c r="E729" s="637" t="s">
        <v>147</v>
      </c>
      <c r="F729" s="612"/>
      <c r="G729" s="612"/>
      <c r="H729" s="612"/>
      <c r="I729" s="101"/>
      <c r="J729" s="102"/>
      <c r="K729" s="101"/>
      <c r="L729" s="101">
        <v>36000</v>
      </c>
      <c r="M729" s="10"/>
      <c r="N729" s="10"/>
      <c r="O729"/>
      <c r="P729"/>
    </row>
    <row r="730" spans="1:16" s="146" customFormat="1" ht="18" customHeight="1" x14ac:dyDescent="0.25">
      <c r="A730" s="626"/>
      <c r="B730" s="617" t="s">
        <v>123</v>
      </c>
      <c r="C730" s="617" t="s">
        <v>1386</v>
      </c>
      <c r="D730" s="131" t="s">
        <v>148</v>
      </c>
      <c r="E730" s="636" t="s">
        <v>147</v>
      </c>
      <c r="F730" s="617"/>
      <c r="G730" s="617"/>
      <c r="H730" s="611"/>
      <c r="I730" s="101"/>
      <c r="J730" s="102"/>
      <c r="K730" s="101"/>
      <c r="L730" s="101">
        <v>12000</v>
      </c>
      <c r="M730" s="10">
        <f>SUM(L712:L730)</f>
        <v>711000</v>
      </c>
      <c r="N730" s="10"/>
      <c r="O730"/>
      <c r="P730"/>
    </row>
    <row r="731" spans="1:16" s="48" customFormat="1" ht="18" customHeight="1" x14ac:dyDescent="0.25">
      <c r="A731" s="626"/>
      <c r="B731" s="617" t="s">
        <v>123</v>
      </c>
      <c r="C731" s="617" t="s">
        <v>1386</v>
      </c>
      <c r="D731" s="131" t="s">
        <v>148</v>
      </c>
      <c r="E731" s="637" t="s">
        <v>210</v>
      </c>
      <c r="F731" s="612"/>
      <c r="G731" s="612"/>
      <c r="H731" s="612"/>
      <c r="I731" s="101"/>
      <c r="J731" s="102"/>
      <c r="K731" s="101"/>
      <c r="L731" s="101">
        <v>18000</v>
      </c>
      <c r="M731" s="6"/>
      <c r="N731" s="6"/>
    </row>
    <row r="732" spans="1:16" s="48" customFormat="1" ht="18" customHeight="1" x14ac:dyDescent="0.25">
      <c r="A732" s="626"/>
      <c r="B732" s="617" t="s">
        <v>123</v>
      </c>
      <c r="C732" s="617" t="s">
        <v>1386</v>
      </c>
      <c r="D732" s="131" t="s">
        <v>154</v>
      </c>
      <c r="E732" s="618" t="s">
        <v>153</v>
      </c>
      <c r="F732" s="617"/>
      <c r="G732" s="617"/>
      <c r="H732" s="611"/>
      <c r="I732" s="101">
        <v>447627.83</v>
      </c>
      <c r="J732" s="102">
        <v>466120.8</v>
      </c>
      <c r="K732" s="101">
        <v>252515.92</v>
      </c>
      <c r="L732" s="101">
        <v>497217.71</v>
      </c>
      <c r="M732" s="6"/>
      <c r="N732" s="6"/>
    </row>
    <row r="733" spans="1:16" s="48" customFormat="1" ht="18" customHeight="1" x14ac:dyDescent="0.25">
      <c r="A733" s="626"/>
      <c r="B733" s="617" t="s">
        <v>123</v>
      </c>
      <c r="C733" s="617" t="s">
        <v>1386</v>
      </c>
      <c r="D733" s="131" t="s">
        <v>154</v>
      </c>
      <c r="E733" s="619" t="s">
        <v>153</v>
      </c>
      <c r="F733" s="612"/>
      <c r="G733" s="612"/>
      <c r="H733" s="612"/>
      <c r="I733" s="101">
        <v>87438.42</v>
      </c>
      <c r="J733" s="102">
        <v>495446.4</v>
      </c>
      <c r="K733" s="101">
        <v>117134.56</v>
      </c>
      <c r="L733" s="101">
        <v>550644.47999999998</v>
      </c>
      <c r="M733" s="6"/>
      <c r="N733" s="6"/>
    </row>
    <row r="734" spans="1:16" s="48" customFormat="1" ht="18" customHeight="1" x14ac:dyDescent="0.25">
      <c r="A734" s="626"/>
      <c r="B734" s="617" t="s">
        <v>123</v>
      </c>
      <c r="C734" s="617" t="s">
        <v>1386</v>
      </c>
      <c r="D734" s="131" t="s">
        <v>154</v>
      </c>
      <c r="E734" s="619" t="s">
        <v>153</v>
      </c>
      <c r="F734" s="612"/>
      <c r="G734" s="612"/>
      <c r="H734" s="612"/>
      <c r="I734" s="101">
        <v>87932.28</v>
      </c>
      <c r="J734" s="102">
        <v>93766.32</v>
      </c>
      <c r="K734" s="101">
        <v>56555.42</v>
      </c>
      <c r="L734" s="101">
        <v>103180.04</v>
      </c>
      <c r="M734" s="6"/>
      <c r="N734" s="6"/>
    </row>
    <row r="735" spans="1:16" s="48" customFormat="1" ht="18" customHeight="1" x14ac:dyDescent="0.25">
      <c r="A735" s="626"/>
      <c r="B735" s="617" t="s">
        <v>123</v>
      </c>
      <c r="C735" s="617" t="s">
        <v>1386</v>
      </c>
      <c r="D735" s="131" t="s">
        <v>154</v>
      </c>
      <c r="E735" s="619" t="s">
        <v>153</v>
      </c>
      <c r="F735" s="612"/>
      <c r="G735" s="612"/>
      <c r="H735" s="612"/>
      <c r="I735" s="101">
        <v>36375.839999999997</v>
      </c>
      <c r="J735" s="102">
        <v>99008.639999999999</v>
      </c>
      <c r="K735" s="101">
        <v>24372.32</v>
      </c>
      <c r="L735" s="101">
        <v>109133.54</v>
      </c>
      <c r="M735" s="6"/>
      <c r="N735" s="6"/>
    </row>
    <row r="736" spans="1:16" s="48" customFormat="1" ht="18" customHeight="1" x14ac:dyDescent="0.25">
      <c r="A736" s="626"/>
      <c r="B736" s="617" t="s">
        <v>123</v>
      </c>
      <c r="C736" s="617" t="s">
        <v>1386</v>
      </c>
      <c r="D736" s="131" t="s">
        <v>154</v>
      </c>
      <c r="E736" s="619" t="s">
        <v>153</v>
      </c>
      <c r="F736" s="612"/>
      <c r="G736" s="612"/>
      <c r="H736" s="612"/>
      <c r="I736" s="101">
        <v>41614.559999999998</v>
      </c>
      <c r="J736" s="102">
        <v>78763.679999999993</v>
      </c>
      <c r="K736" s="101">
        <v>29718.28</v>
      </c>
      <c r="L736" s="101">
        <v>87143.039999999994</v>
      </c>
      <c r="M736" s="6"/>
      <c r="N736" s="6"/>
    </row>
    <row r="737" spans="1:14" s="48" customFormat="1" ht="18" customHeight="1" x14ac:dyDescent="0.25">
      <c r="A737" s="626"/>
      <c r="B737" s="617" t="s">
        <v>123</v>
      </c>
      <c r="C737" s="617" t="s">
        <v>1386</v>
      </c>
      <c r="D737" s="131" t="s">
        <v>154</v>
      </c>
      <c r="E737" s="619" t="s">
        <v>153</v>
      </c>
      <c r="F737" s="612"/>
      <c r="G737" s="612"/>
      <c r="H737" s="612"/>
      <c r="I737" s="101">
        <v>118771.2</v>
      </c>
      <c r="J737" s="102">
        <v>138936.95999999999</v>
      </c>
      <c r="K737" s="101">
        <v>76889.740000000005</v>
      </c>
      <c r="L737" s="101">
        <v>148812.43</v>
      </c>
      <c r="M737" s="6"/>
      <c r="N737" s="6"/>
    </row>
    <row r="738" spans="1:14" s="48" customFormat="1" ht="18" customHeight="1" x14ac:dyDescent="0.25">
      <c r="A738" s="626"/>
      <c r="B738" s="617" t="s">
        <v>123</v>
      </c>
      <c r="C738" s="617" t="s">
        <v>1386</v>
      </c>
      <c r="D738" s="131" t="s">
        <v>154</v>
      </c>
      <c r="E738" s="619" t="s">
        <v>153</v>
      </c>
      <c r="F738" s="612"/>
      <c r="G738" s="612"/>
      <c r="H738" s="612"/>
      <c r="I738" s="101">
        <v>193434.36</v>
      </c>
      <c r="J738" s="102">
        <v>274920.48</v>
      </c>
      <c r="K738" s="101">
        <v>122179.32</v>
      </c>
      <c r="L738" s="101">
        <v>294276</v>
      </c>
      <c r="M738" s="6"/>
      <c r="N738" s="6"/>
    </row>
    <row r="739" spans="1:14" s="48" customFormat="1" ht="18" customHeight="1" x14ac:dyDescent="0.25">
      <c r="A739" s="626"/>
      <c r="B739" s="617" t="s">
        <v>123</v>
      </c>
      <c r="C739" s="617" t="s">
        <v>1386</v>
      </c>
      <c r="D739" s="131" t="s">
        <v>154</v>
      </c>
      <c r="E739" s="619" t="s">
        <v>153</v>
      </c>
      <c r="F739" s="612"/>
      <c r="G739" s="612"/>
      <c r="H739" s="612"/>
      <c r="I739" s="101">
        <v>1459081.1</v>
      </c>
      <c r="J739" s="102">
        <v>1722922.56</v>
      </c>
      <c r="K739" s="101">
        <v>935468.33</v>
      </c>
      <c r="L739" s="101">
        <v>1820285.28</v>
      </c>
      <c r="M739" s="6"/>
      <c r="N739" s="101">
        <v>1818390.24</v>
      </c>
    </row>
    <row r="740" spans="1:14" s="48" customFormat="1" ht="18" customHeight="1" x14ac:dyDescent="0.25">
      <c r="A740" s="626"/>
      <c r="B740" s="617" t="s">
        <v>123</v>
      </c>
      <c r="C740" s="617" t="s">
        <v>1386</v>
      </c>
      <c r="D740" s="131" t="s">
        <v>154</v>
      </c>
      <c r="E740" s="619" t="s">
        <v>153</v>
      </c>
      <c r="F740" s="612"/>
      <c r="G740" s="612"/>
      <c r="H740" s="612"/>
      <c r="I740" s="101">
        <v>303065.40000000002</v>
      </c>
      <c r="J740" s="102">
        <v>477588.96</v>
      </c>
      <c r="K740" s="101">
        <v>189873.96</v>
      </c>
      <c r="L740" s="101">
        <v>518777.4</v>
      </c>
      <c r="M740" s="6"/>
      <c r="N740" s="6"/>
    </row>
    <row r="741" spans="1:14" s="48" customFormat="1" ht="18" customHeight="1" x14ac:dyDescent="0.25">
      <c r="A741" s="626"/>
      <c r="B741" s="617" t="s">
        <v>123</v>
      </c>
      <c r="C741" s="617" t="s">
        <v>1386</v>
      </c>
      <c r="D741" s="131" t="s">
        <v>154</v>
      </c>
      <c r="E741" s="618" t="s">
        <v>153</v>
      </c>
      <c r="F741" s="617"/>
      <c r="G741" s="617"/>
      <c r="H741" s="611"/>
      <c r="I741" s="101"/>
      <c r="J741" s="102">
        <v>145516.32</v>
      </c>
      <c r="K741" s="101"/>
      <c r="L741" s="101">
        <v>152821.44</v>
      </c>
      <c r="M741" s="6"/>
      <c r="N741" s="6"/>
    </row>
    <row r="742" spans="1:14" s="48" customFormat="1" ht="18" customHeight="1" x14ac:dyDescent="0.25">
      <c r="A742" s="626"/>
      <c r="B742" s="617" t="s">
        <v>123</v>
      </c>
      <c r="C742" s="617" t="s">
        <v>1386</v>
      </c>
      <c r="D742" s="131" t="s">
        <v>154</v>
      </c>
      <c r="E742" s="618" t="s">
        <v>153</v>
      </c>
      <c r="F742" s="617"/>
      <c r="G742" s="617"/>
      <c r="H742" s="611"/>
      <c r="I742" s="101">
        <v>0</v>
      </c>
      <c r="J742" s="102">
        <v>127632.96000000001</v>
      </c>
      <c r="K742" s="101"/>
      <c r="L742" s="101">
        <v>133378.56</v>
      </c>
      <c r="M742" s="6"/>
      <c r="N742" s="6"/>
    </row>
    <row r="743" spans="1:14" s="48" customFormat="1" ht="18" customHeight="1" x14ac:dyDescent="0.25">
      <c r="A743" s="626"/>
      <c r="B743" s="617" t="s">
        <v>123</v>
      </c>
      <c r="C743" s="617" t="s">
        <v>1386</v>
      </c>
      <c r="D743" s="131" t="s">
        <v>154</v>
      </c>
      <c r="E743" s="618" t="s">
        <v>153</v>
      </c>
      <c r="F743" s="617"/>
      <c r="G743" s="617"/>
      <c r="H743" s="611"/>
      <c r="I743" s="101">
        <v>183044.16</v>
      </c>
      <c r="J743" s="102">
        <v>220277.52</v>
      </c>
      <c r="K743" s="101">
        <v>112246.78</v>
      </c>
      <c r="L743" s="101">
        <v>235269.43</v>
      </c>
      <c r="M743" s="6"/>
      <c r="N743" s="6"/>
    </row>
    <row r="744" spans="1:14" s="48" customFormat="1" ht="18" customHeight="1" x14ac:dyDescent="0.25">
      <c r="A744" s="626"/>
      <c r="B744" s="617" t="s">
        <v>123</v>
      </c>
      <c r="C744" s="617" t="s">
        <v>1386</v>
      </c>
      <c r="D744" s="131" t="s">
        <v>154</v>
      </c>
      <c r="E744" s="619" t="s">
        <v>153</v>
      </c>
      <c r="F744" s="612"/>
      <c r="G744" s="612"/>
      <c r="H744" s="612"/>
      <c r="I744" s="101">
        <v>311395.90000000002</v>
      </c>
      <c r="J744" s="102">
        <v>483819.84</v>
      </c>
      <c r="K744" s="101">
        <v>195273.15</v>
      </c>
      <c r="L744" s="101">
        <v>523663.35999999999</v>
      </c>
      <c r="M744" s="6"/>
      <c r="N744" s="6"/>
    </row>
    <row r="745" spans="1:14" s="48" customFormat="1" ht="18" customHeight="1" x14ac:dyDescent="0.25">
      <c r="A745" s="626"/>
      <c r="B745" s="617" t="s">
        <v>123</v>
      </c>
      <c r="C745" s="617" t="s">
        <v>1386</v>
      </c>
      <c r="D745" s="131" t="s">
        <v>154</v>
      </c>
      <c r="E745" s="618" t="s">
        <v>153</v>
      </c>
      <c r="F745" s="617"/>
      <c r="G745" s="617"/>
      <c r="H745" s="611"/>
      <c r="I745" s="101">
        <v>207135.48</v>
      </c>
      <c r="J745" s="102">
        <v>232427.51999999999</v>
      </c>
      <c r="K745" s="101">
        <v>131090.23999999999</v>
      </c>
      <c r="L745" s="101">
        <v>249152.65</v>
      </c>
      <c r="M745" s="6"/>
      <c r="N745" s="6"/>
    </row>
    <row r="746" spans="1:14" s="48" customFormat="1" ht="18" customHeight="1" x14ac:dyDescent="0.25">
      <c r="A746" s="626"/>
      <c r="B746" s="617" t="s">
        <v>123</v>
      </c>
      <c r="C746" s="617" t="s">
        <v>1386</v>
      </c>
      <c r="D746" s="131" t="s">
        <v>154</v>
      </c>
      <c r="E746" s="619" t="s">
        <v>153</v>
      </c>
      <c r="F746" s="612"/>
      <c r="G746" s="612"/>
      <c r="H746" s="612"/>
      <c r="I746" s="101">
        <v>320641.91999999998</v>
      </c>
      <c r="J746" s="102">
        <v>419862.24</v>
      </c>
      <c r="K746" s="101">
        <v>215091.69</v>
      </c>
      <c r="L746" s="101">
        <v>453686.16</v>
      </c>
      <c r="M746" s="6"/>
      <c r="N746" s="6"/>
    </row>
    <row r="747" spans="1:14" s="48" customFormat="1" ht="18" customHeight="1" x14ac:dyDescent="0.25">
      <c r="A747" s="626"/>
      <c r="B747" s="617" t="s">
        <v>123</v>
      </c>
      <c r="C747" s="617" t="s">
        <v>1386</v>
      </c>
      <c r="D747" s="131" t="s">
        <v>154</v>
      </c>
      <c r="E747" s="619" t="s">
        <v>153</v>
      </c>
      <c r="F747" s="612"/>
      <c r="G747" s="612"/>
      <c r="H747" s="612"/>
      <c r="I747" s="101">
        <v>694844.3</v>
      </c>
      <c r="J747" s="102">
        <v>861696.6</v>
      </c>
      <c r="K747" s="101">
        <v>437094.01</v>
      </c>
      <c r="L747" s="101">
        <v>936119.45</v>
      </c>
      <c r="M747" s="6"/>
      <c r="N747" s="6"/>
    </row>
    <row r="748" spans="1:14" s="48" customFormat="1" ht="18" customHeight="1" x14ac:dyDescent="0.25">
      <c r="A748" s="626"/>
      <c r="B748" s="617" t="s">
        <v>123</v>
      </c>
      <c r="C748" s="617" t="s">
        <v>1386</v>
      </c>
      <c r="D748" s="131" t="s">
        <v>154</v>
      </c>
      <c r="E748" s="619" t="s">
        <v>153</v>
      </c>
      <c r="F748" s="612"/>
      <c r="G748" s="612"/>
      <c r="H748" s="612"/>
      <c r="I748" s="101">
        <v>509555.88</v>
      </c>
      <c r="J748" s="102">
        <v>564526.56000000006</v>
      </c>
      <c r="K748" s="101">
        <v>248135.43</v>
      </c>
      <c r="L748" s="101">
        <v>609684.06999999995</v>
      </c>
      <c r="M748" s="6"/>
      <c r="N748" s="6"/>
    </row>
    <row r="749" spans="1:14" s="48" customFormat="1" ht="18" customHeight="1" x14ac:dyDescent="0.25">
      <c r="A749" s="626"/>
      <c r="B749" s="617" t="s">
        <v>123</v>
      </c>
      <c r="C749" s="617" t="s">
        <v>1386</v>
      </c>
      <c r="D749" s="131" t="s">
        <v>154</v>
      </c>
      <c r="E749" s="619" t="s">
        <v>153</v>
      </c>
      <c r="F749" s="612"/>
      <c r="G749" s="612"/>
      <c r="H749" s="612"/>
      <c r="I749" s="101">
        <v>286156.79999999999</v>
      </c>
      <c r="J749" s="102">
        <v>460804.32</v>
      </c>
      <c r="K749" s="101">
        <v>163852.38</v>
      </c>
      <c r="L749" s="101">
        <v>495188.52</v>
      </c>
      <c r="M749" s="6"/>
      <c r="N749" s="6"/>
    </row>
    <row r="750" spans="1:14" s="48" customFormat="1" ht="18" customHeight="1" x14ac:dyDescent="0.25">
      <c r="A750" s="154"/>
      <c r="B750" s="617" t="s">
        <v>123</v>
      </c>
      <c r="C750" s="617" t="s">
        <v>1386</v>
      </c>
      <c r="D750" s="131" t="s">
        <v>154</v>
      </c>
      <c r="E750" s="618" t="s">
        <v>153</v>
      </c>
      <c r="F750" s="617"/>
      <c r="G750" s="617"/>
      <c r="H750" s="611"/>
      <c r="I750" s="101">
        <v>177120</v>
      </c>
      <c r="J750" s="102">
        <v>177256.8</v>
      </c>
      <c r="K750" s="101">
        <v>106349.12</v>
      </c>
      <c r="L750" s="101">
        <v>188246.06</v>
      </c>
      <c r="M750" s="6">
        <f>SUM(L732:L750)</f>
        <v>8106679.6200000001</v>
      </c>
      <c r="N750" s="6"/>
    </row>
    <row r="751" spans="1:14" s="48" customFormat="1" ht="18" customHeight="1" x14ac:dyDescent="0.25">
      <c r="A751" s="154"/>
      <c r="B751" s="617" t="s">
        <v>123</v>
      </c>
      <c r="C751" s="617" t="s">
        <v>1386</v>
      </c>
      <c r="D751" s="131" t="s">
        <v>156</v>
      </c>
      <c r="E751" s="618" t="s">
        <v>155</v>
      </c>
      <c r="F751" s="617"/>
      <c r="G751" s="617"/>
      <c r="H751" s="611"/>
      <c r="I751" s="101">
        <v>12100</v>
      </c>
      <c r="J751" s="102">
        <v>13200</v>
      </c>
      <c r="K751" s="101">
        <v>6300</v>
      </c>
      <c r="L751" s="101">
        <v>13200</v>
      </c>
      <c r="M751" s="6"/>
      <c r="N751" s="6"/>
    </row>
    <row r="752" spans="1:14" s="48" customFormat="1" ht="18" customHeight="1" x14ac:dyDescent="0.25">
      <c r="A752" s="154"/>
      <c r="B752" s="617" t="s">
        <v>123</v>
      </c>
      <c r="C752" s="617" t="s">
        <v>1386</v>
      </c>
      <c r="D752" s="131" t="s">
        <v>156</v>
      </c>
      <c r="E752" s="618" t="s">
        <v>155</v>
      </c>
      <c r="F752" s="617"/>
      <c r="G752" s="617"/>
      <c r="H752" s="611"/>
      <c r="I752" s="101">
        <v>6300</v>
      </c>
      <c r="J752" s="102">
        <v>36000</v>
      </c>
      <c r="K752" s="101">
        <v>8800</v>
      </c>
      <c r="L752" s="101">
        <v>36000</v>
      </c>
      <c r="M752" s="6"/>
      <c r="N752" s="6"/>
    </row>
    <row r="753" spans="1:14" s="48" customFormat="1" ht="18" customHeight="1" x14ac:dyDescent="0.25">
      <c r="A753" s="154"/>
      <c r="B753" s="617" t="s">
        <v>123</v>
      </c>
      <c r="C753" s="617" t="s">
        <v>1386</v>
      </c>
      <c r="D753" s="131" t="s">
        <v>156</v>
      </c>
      <c r="E753" s="618" t="s">
        <v>155</v>
      </c>
      <c r="F753" s="617"/>
      <c r="G753" s="617"/>
      <c r="H753" s="611"/>
      <c r="I753" s="101">
        <v>4300</v>
      </c>
      <c r="J753" s="102">
        <v>4800</v>
      </c>
      <c r="K753" s="101">
        <v>2800</v>
      </c>
      <c r="L753" s="101">
        <v>4800</v>
      </c>
      <c r="M753" s="6"/>
      <c r="N753" s="6"/>
    </row>
    <row r="754" spans="1:14" s="48" customFormat="1" ht="18" customHeight="1" x14ac:dyDescent="0.25">
      <c r="A754" s="154"/>
      <c r="B754" s="617" t="s">
        <v>123</v>
      </c>
      <c r="C754" s="617" t="s">
        <v>1386</v>
      </c>
      <c r="D754" s="131" t="s">
        <v>156</v>
      </c>
      <c r="E754" s="618" t="s">
        <v>155</v>
      </c>
      <c r="F754" s="617"/>
      <c r="G754" s="617"/>
      <c r="H754" s="611"/>
      <c r="I754" s="101">
        <v>2400</v>
      </c>
      <c r="J754" s="102">
        <v>4800</v>
      </c>
      <c r="K754" s="101">
        <v>1400</v>
      </c>
      <c r="L754" s="101">
        <v>4800</v>
      </c>
      <c r="M754" s="6"/>
      <c r="N754" s="6"/>
    </row>
    <row r="755" spans="1:14" s="48" customFormat="1" ht="18" customHeight="1" x14ac:dyDescent="0.25">
      <c r="A755" s="154"/>
      <c r="B755" s="617" t="s">
        <v>123</v>
      </c>
      <c r="C755" s="617" t="s">
        <v>1386</v>
      </c>
      <c r="D755" s="131" t="s">
        <v>156</v>
      </c>
      <c r="E755" s="618" t="s">
        <v>155</v>
      </c>
      <c r="F755" s="617"/>
      <c r="G755" s="617"/>
      <c r="H755" s="611"/>
      <c r="I755" s="101">
        <v>2400</v>
      </c>
      <c r="J755" s="102">
        <v>3600</v>
      </c>
      <c r="K755" s="101">
        <v>1400</v>
      </c>
      <c r="L755" s="101">
        <v>3600</v>
      </c>
      <c r="M755" s="6"/>
      <c r="N755" s="6"/>
    </row>
    <row r="756" spans="1:14" s="48" customFormat="1" ht="18" customHeight="1" x14ac:dyDescent="0.25">
      <c r="A756" s="154"/>
      <c r="B756" s="617" t="s">
        <v>123</v>
      </c>
      <c r="C756" s="617" t="s">
        <v>1386</v>
      </c>
      <c r="D756" s="131" t="s">
        <v>156</v>
      </c>
      <c r="E756" s="618" t="s">
        <v>155</v>
      </c>
      <c r="F756" s="617"/>
      <c r="G756" s="617"/>
      <c r="H756" s="611"/>
      <c r="I756" s="101">
        <v>3600</v>
      </c>
      <c r="J756" s="102">
        <v>4800</v>
      </c>
      <c r="K756" s="101">
        <v>2500</v>
      </c>
      <c r="L756" s="101">
        <v>4800</v>
      </c>
      <c r="M756" s="6"/>
      <c r="N756" s="6"/>
    </row>
    <row r="757" spans="1:14" s="48" customFormat="1" ht="18" customHeight="1" x14ac:dyDescent="0.25">
      <c r="A757" s="154"/>
      <c r="B757" s="617" t="s">
        <v>123</v>
      </c>
      <c r="C757" s="617" t="s">
        <v>1386</v>
      </c>
      <c r="D757" s="131" t="s">
        <v>156</v>
      </c>
      <c r="E757" s="618" t="s">
        <v>155</v>
      </c>
      <c r="F757" s="617"/>
      <c r="G757" s="617"/>
      <c r="H757" s="611"/>
      <c r="I757" s="101">
        <v>3800</v>
      </c>
      <c r="J757" s="102">
        <v>8400</v>
      </c>
      <c r="K757" s="101">
        <v>2800</v>
      </c>
      <c r="L757" s="101">
        <v>8400</v>
      </c>
      <c r="M757" s="6"/>
      <c r="N757" s="6"/>
    </row>
    <row r="758" spans="1:14" s="48" customFormat="1" ht="18" customHeight="1" x14ac:dyDescent="0.25">
      <c r="A758" s="154"/>
      <c r="B758" s="617" t="s">
        <v>123</v>
      </c>
      <c r="C758" s="617" t="s">
        <v>1386</v>
      </c>
      <c r="D758" s="131" t="s">
        <v>156</v>
      </c>
      <c r="E758" s="618" t="s">
        <v>155</v>
      </c>
      <c r="F758" s="617"/>
      <c r="G758" s="617"/>
      <c r="H758" s="611"/>
      <c r="I758" s="101">
        <v>31000</v>
      </c>
      <c r="J758" s="102">
        <v>44400</v>
      </c>
      <c r="K758" s="101">
        <v>25100</v>
      </c>
      <c r="L758" s="101">
        <v>44400</v>
      </c>
      <c r="M758" s="6"/>
      <c r="N758" s="6"/>
    </row>
    <row r="759" spans="1:14" s="48" customFormat="1" ht="18" customHeight="1" x14ac:dyDescent="0.25">
      <c r="A759" s="154"/>
      <c r="B759" s="617" t="s">
        <v>123</v>
      </c>
      <c r="C759" s="617" t="s">
        <v>1386</v>
      </c>
      <c r="D759" s="131" t="s">
        <v>156</v>
      </c>
      <c r="E759" s="618" t="s">
        <v>155</v>
      </c>
      <c r="F759" s="617"/>
      <c r="G759" s="617"/>
      <c r="H759" s="611"/>
      <c r="I759" s="101">
        <v>12200</v>
      </c>
      <c r="J759" s="102">
        <v>21600</v>
      </c>
      <c r="K759" s="101">
        <v>7700</v>
      </c>
      <c r="L759" s="101">
        <v>21600</v>
      </c>
      <c r="M759" s="6"/>
      <c r="N759" s="6"/>
    </row>
    <row r="760" spans="1:14" s="48" customFormat="1" ht="18" customHeight="1" x14ac:dyDescent="0.25">
      <c r="A760" s="154"/>
      <c r="B760" s="617" t="s">
        <v>123</v>
      </c>
      <c r="C760" s="617" t="s">
        <v>1386</v>
      </c>
      <c r="D760" s="131" t="s">
        <v>156</v>
      </c>
      <c r="E760" s="618" t="s">
        <v>155</v>
      </c>
      <c r="F760" s="617"/>
      <c r="G760" s="617"/>
      <c r="H760" s="611"/>
      <c r="I760" s="101"/>
      <c r="J760" s="102">
        <v>3600</v>
      </c>
      <c r="K760" s="101"/>
      <c r="L760" s="101">
        <v>3600</v>
      </c>
      <c r="M760" s="6"/>
      <c r="N760" s="6"/>
    </row>
    <row r="761" spans="1:14" s="48" customFormat="1" ht="18" customHeight="1" x14ac:dyDescent="0.25">
      <c r="A761" s="154"/>
      <c r="B761" s="617" t="s">
        <v>123</v>
      </c>
      <c r="C761" s="617" t="s">
        <v>1386</v>
      </c>
      <c r="D761" s="131" t="s">
        <v>156</v>
      </c>
      <c r="E761" s="618" t="s">
        <v>155</v>
      </c>
      <c r="F761" s="617"/>
      <c r="G761" s="617"/>
      <c r="H761" s="611"/>
      <c r="I761" s="101">
        <v>0</v>
      </c>
      <c r="J761" s="102">
        <v>2400</v>
      </c>
      <c r="K761" s="101"/>
      <c r="L761" s="101">
        <v>2400</v>
      </c>
      <c r="M761" s="6"/>
      <c r="N761" s="6"/>
    </row>
    <row r="762" spans="1:14" s="48" customFormat="1" ht="18" customHeight="1" x14ac:dyDescent="0.25">
      <c r="A762" s="154"/>
      <c r="B762" s="617" t="s">
        <v>123</v>
      </c>
      <c r="C762" s="617" t="s">
        <v>1386</v>
      </c>
      <c r="D762" s="131" t="s">
        <v>156</v>
      </c>
      <c r="E762" s="618" t="s">
        <v>155</v>
      </c>
      <c r="F762" s="617"/>
      <c r="G762" s="617"/>
      <c r="H762" s="611"/>
      <c r="I762" s="101">
        <v>3600</v>
      </c>
      <c r="J762" s="102">
        <v>4800</v>
      </c>
      <c r="K762" s="101">
        <v>2100</v>
      </c>
      <c r="L762" s="101">
        <v>4800</v>
      </c>
      <c r="M762" s="6"/>
      <c r="N762" s="6"/>
    </row>
    <row r="763" spans="1:14" s="48" customFormat="1" ht="18" customHeight="1" x14ac:dyDescent="0.25">
      <c r="A763" s="154"/>
      <c r="B763" s="617" t="s">
        <v>123</v>
      </c>
      <c r="C763" s="617" t="s">
        <v>1386</v>
      </c>
      <c r="D763" s="131" t="s">
        <v>156</v>
      </c>
      <c r="E763" s="618" t="s">
        <v>155</v>
      </c>
      <c r="F763" s="617"/>
      <c r="G763" s="617"/>
      <c r="H763" s="611"/>
      <c r="I763" s="101">
        <v>10300</v>
      </c>
      <c r="J763" s="102">
        <v>16800</v>
      </c>
      <c r="K763" s="101">
        <v>6300</v>
      </c>
      <c r="L763" s="101">
        <v>16800</v>
      </c>
      <c r="M763" s="6"/>
      <c r="N763" s="6"/>
    </row>
    <row r="764" spans="1:14" s="48" customFormat="1" ht="18" customHeight="1" x14ac:dyDescent="0.25">
      <c r="A764" s="154"/>
      <c r="B764" s="617" t="s">
        <v>123</v>
      </c>
      <c r="C764" s="617" t="s">
        <v>1386</v>
      </c>
      <c r="D764" s="131" t="s">
        <v>156</v>
      </c>
      <c r="E764" s="618" t="s">
        <v>155</v>
      </c>
      <c r="F764" s="617"/>
      <c r="G764" s="617"/>
      <c r="H764" s="611"/>
      <c r="I764" s="101">
        <v>5500</v>
      </c>
      <c r="J764" s="102">
        <v>7200</v>
      </c>
      <c r="K764" s="101">
        <v>3800</v>
      </c>
      <c r="L764" s="101">
        <v>7200</v>
      </c>
      <c r="M764" s="6"/>
      <c r="N764" s="6"/>
    </row>
    <row r="765" spans="1:14" s="48" customFormat="1" ht="18" customHeight="1" x14ac:dyDescent="0.25">
      <c r="A765" s="154"/>
      <c r="B765" s="617" t="s">
        <v>123</v>
      </c>
      <c r="C765" s="617" t="s">
        <v>1386</v>
      </c>
      <c r="D765" s="131" t="s">
        <v>156</v>
      </c>
      <c r="E765" s="618" t="s">
        <v>155</v>
      </c>
      <c r="F765" s="617"/>
      <c r="G765" s="617"/>
      <c r="H765" s="611"/>
      <c r="I765" s="101">
        <v>9600</v>
      </c>
      <c r="J765" s="102">
        <v>15600</v>
      </c>
      <c r="K765" s="101">
        <v>7000</v>
      </c>
      <c r="L765" s="101">
        <v>15600</v>
      </c>
      <c r="M765" s="6"/>
      <c r="N765" s="6"/>
    </row>
    <row r="766" spans="1:14" s="48" customFormat="1" ht="18" customHeight="1" x14ac:dyDescent="0.25">
      <c r="A766" s="154"/>
      <c r="B766" s="617" t="s">
        <v>123</v>
      </c>
      <c r="C766" s="617" t="s">
        <v>1386</v>
      </c>
      <c r="D766" s="131" t="s">
        <v>156</v>
      </c>
      <c r="E766" s="618" t="s">
        <v>155</v>
      </c>
      <c r="F766" s="617"/>
      <c r="G766" s="617"/>
      <c r="H766" s="611"/>
      <c r="I766" s="101">
        <v>40900</v>
      </c>
      <c r="J766" s="102">
        <v>54000</v>
      </c>
      <c r="K766" s="101">
        <v>25500</v>
      </c>
      <c r="L766" s="101">
        <v>54000</v>
      </c>
      <c r="M766" s="112"/>
      <c r="N766" s="6"/>
    </row>
    <row r="767" spans="1:14" s="48" customFormat="1" ht="18" customHeight="1" x14ac:dyDescent="0.25">
      <c r="A767" s="154"/>
      <c r="B767" s="617" t="s">
        <v>123</v>
      </c>
      <c r="C767" s="617" t="s">
        <v>1386</v>
      </c>
      <c r="D767" s="131" t="s">
        <v>156</v>
      </c>
      <c r="E767" s="618" t="s">
        <v>155</v>
      </c>
      <c r="F767" s="617"/>
      <c r="G767" s="617"/>
      <c r="H767" s="611"/>
      <c r="I767" s="101">
        <v>19000</v>
      </c>
      <c r="J767" s="102">
        <v>21600</v>
      </c>
      <c r="K767" s="101">
        <v>9800</v>
      </c>
      <c r="L767" s="101">
        <v>21600</v>
      </c>
      <c r="M767" s="112"/>
      <c r="N767" s="6"/>
    </row>
    <row r="768" spans="1:14" s="48" customFormat="1" ht="18" customHeight="1" x14ac:dyDescent="0.25">
      <c r="A768" s="154"/>
      <c r="B768" s="617" t="s">
        <v>123</v>
      </c>
      <c r="C768" s="617" t="s">
        <v>1386</v>
      </c>
      <c r="D768" s="131" t="s">
        <v>156</v>
      </c>
      <c r="E768" s="618" t="s">
        <v>155</v>
      </c>
      <c r="F768" s="617"/>
      <c r="G768" s="617"/>
      <c r="H768" s="611"/>
      <c r="I768" s="101">
        <v>9600</v>
      </c>
      <c r="J768" s="102">
        <v>14400</v>
      </c>
      <c r="K768" s="101">
        <v>5000</v>
      </c>
      <c r="L768" s="101">
        <v>14400</v>
      </c>
      <c r="M768" s="6"/>
      <c r="N768" s="6"/>
    </row>
    <row r="769" spans="1:14" s="48" customFormat="1" ht="18" customHeight="1" x14ac:dyDescent="0.25">
      <c r="A769" s="154"/>
      <c r="B769" s="617" t="s">
        <v>123</v>
      </c>
      <c r="C769" s="617" t="s">
        <v>1386</v>
      </c>
      <c r="D769" s="131" t="s">
        <v>156</v>
      </c>
      <c r="E769" s="618" t="s">
        <v>155</v>
      </c>
      <c r="F769" s="617"/>
      <c r="G769" s="617"/>
      <c r="H769" s="611"/>
      <c r="I769" s="101">
        <v>4800</v>
      </c>
      <c r="J769" s="102">
        <v>4800</v>
      </c>
      <c r="K769" s="101">
        <v>2800</v>
      </c>
      <c r="L769" s="101">
        <v>4800</v>
      </c>
      <c r="M769" s="6">
        <f>SUM(L751:L769)</f>
        <v>286800</v>
      </c>
      <c r="N769" s="6">
        <f>155000+30000</f>
        <v>185000</v>
      </c>
    </row>
    <row r="770" spans="1:14" s="48" customFormat="1" ht="18" customHeight="1" x14ac:dyDescent="0.25">
      <c r="A770" s="154"/>
      <c r="B770" s="617" t="s">
        <v>123</v>
      </c>
      <c r="C770" s="617" t="s">
        <v>1386</v>
      </c>
      <c r="D770" s="131" t="s">
        <v>158</v>
      </c>
      <c r="E770" s="618" t="s">
        <v>157</v>
      </c>
      <c r="F770" s="617"/>
      <c r="G770" s="617"/>
      <c r="H770" s="611"/>
      <c r="I770" s="101">
        <v>40065.17</v>
      </c>
      <c r="J770" s="102">
        <v>52166.52</v>
      </c>
      <c r="K770" s="101">
        <v>22569.93</v>
      </c>
      <c r="L770" s="101">
        <v>131146.12</v>
      </c>
      <c r="M770" s="6"/>
      <c r="N770" s="6"/>
    </row>
    <row r="771" spans="1:14" s="48" customFormat="1" ht="18" customHeight="1" x14ac:dyDescent="0.25">
      <c r="A771" s="154"/>
      <c r="B771" s="617" t="s">
        <v>123</v>
      </c>
      <c r="C771" s="617" t="s">
        <v>1386</v>
      </c>
      <c r="D771" s="131" t="s">
        <v>158</v>
      </c>
      <c r="E771" s="618" t="s">
        <v>157</v>
      </c>
      <c r="F771" s="617"/>
      <c r="G771" s="617"/>
      <c r="H771" s="611"/>
      <c r="I771" s="101">
        <v>10206.41</v>
      </c>
      <c r="J771" s="102">
        <v>72252.600000000006</v>
      </c>
      <c r="K771" s="101">
        <v>15880.26</v>
      </c>
      <c r="L771" s="101">
        <v>183804</v>
      </c>
      <c r="M771" s="6"/>
      <c r="N771" s="6"/>
    </row>
    <row r="772" spans="1:14" s="48" customFormat="1" ht="18" customHeight="1" x14ac:dyDescent="0.25">
      <c r="A772" s="154"/>
      <c r="B772" s="617" t="s">
        <v>123</v>
      </c>
      <c r="C772" s="617" t="s">
        <v>1386</v>
      </c>
      <c r="D772" s="131" t="s">
        <v>158</v>
      </c>
      <c r="E772" s="618" t="s">
        <v>157</v>
      </c>
      <c r="F772" s="617"/>
      <c r="G772" s="617"/>
      <c r="H772" s="611"/>
      <c r="I772" s="101">
        <v>10908.83</v>
      </c>
      <c r="J772" s="102">
        <v>13674.26</v>
      </c>
      <c r="K772" s="101">
        <v>7155.99</v>
      </c>
      <c r="L772" s="105">
        <v>34423.11</v>
      </c>
      <c r="M772" s="6"/>
      <c r="N772" s="6"/>
    </row>
    <row r="773" spans="1:14" s="136" customFormat="1" ht="18" customHeight="1" x14ac:dyDescent="0.25">
      <c r="A773" s="164"/>
      <c r="B773" s="617" t="s">
        <v>123</v>
      </c>
      <c r="C773" s="617" t="s">
        <v>1386</v>
      </c>
      <c r="D773" s="950" t="s">
        <v>158</v>
      </c>
      <c r="E773" s="701" t="s">
        <v>157</v>
      </c>
      <c r="F773" s="632"/>
      <c r="G773" s="632"/>
      <c r="H773" s="632"/>
      <c r="I773" s="121">
        <v>4547.0600000000004</v>
      </c>
      <c r="J773" s="145">
        <v>14438.76</v>
      </c>
      <c r="K773" s="121">
        <v>3093.64</v>
      </c>
      <c r="L773" s="121">
        <v>36551.129999999997</v>
      </c>
      <c r="M773" s="6"/>
      <c r="N773" s="6"/>
    </row>
    <row r="774" spans="1:14" s="136" customFormat="1" ht="18" customHeight="1" x14ac:dyDescent="0.25">
      <c r="A774" s="626"/>
      <c r="B774" s="617" t="s">
        <v>123</v>
      </c>
      <c r="C774" s="617" t="s">
        <v>1386</v>
      </c>
      <c r="D774" s="131" t="s">
        <v>158</v>
      </c>
      <c r="E774" s="618" t="s">
        <v>157</v>
      </c>
      <c r="F774" s="617"/>
      <c r="G774" s="617"/>
      <c r="H774" s="617"/>
      <c r="I774" s="101">
        <v>5201.8999999999996</v>
      </c>
      <c r="J774" s="102">
        <v>11486.37</v>
      </c>
      <c r="K774" s="101">
        <v>3798.5</v>
      </c>
      <c r="L774" s="101">
        <v>29220</v>
      </c>
      <c r="M774" s="6"/>
      <c r="N774" s="6"/>
    </row>
    <row r="775" spans="1:14" s="136" customFormat="1" ht="18" customHeight="1" x14ac:dyDescent="0.25">
      <c r="A775" s="626"/>
      <c r="B775" s="617" t="s">
        <v>123</v>
      </c>
      <c r="C775" s="617" t="s">
        <v>1386</v>
      </c>
      <c r="D775" s="131" t="s">
        <v>158</v>
      </c>
      <c r="E775" s="618" t="s">
        <v>157</v>
      </c>
      <c r="F775" s="617"/>
      <c r="G775" s="617"/>
      <c r="H775" s="617"/>
      <c r="I775" s="101">
        <v>14846.42</v>
      </c>
      <c r="J775" s="102">
        <v>20261.64</v>
      </c>
      <c r="K775" s="101">
        <v>9792.73</v>
      </c>
      <c r="L775" s="101">
        <v>49205.74</v>
      </c>
      <c r="M775" s="6"/>
      <c r="N775" s="6"/>
    </row>
    <row r="776" spans="1:14" s="136" customFormat="1" ht="18" customHeight="1" x14ac:dyDescent="0.25">
      <c r="A776" s="626"/>
      <c r="B776" s="617" t="s">
        <v>123</v>
      </c>
      <c r="C776" s="617" t="s">
        <v>1386</v>
      </c>
      <c r="D776" s="131" t="s">
        <v>158</v>
      </c>
      <c r="E776" s="618" t="s">
        <v>157</v>
      </c>
      <c r="F776" s="617"/>
      <c r="G776" s="617"/>
      <c r="H776" s="617"/>
      <c r="I776" s="101">
        <v>18993.54</v>
      </c>
      <c r="J776" s="102">
        <v>36381.03</v>
      </c>
      <c r="K776" s="101">
        <v>12380.46</v>
      </c>
      <c r="L776" s="101">
        <v>92446.720000000001</v>
      </c>
      <c r="M776" s="6"/>
      <c r="N776" s="6"/>
    </row>
    <row r="777" spans="1:14" s="136" customFormat="1" ht="18" customHeight="1" x14ac:dyDescent="0.25">
      <c r="A777" s="626"/>
      <c r="B777" s="617" t="s">
        <v>123</v>
      </c>
      <c r="C777" s="617" t="s">
        <v>1386</v>
      </c>
      <c r="D777" s="131" t="s">
        <v>158</v>
      </c>
      <c r="E777" s="618" t="s">
        <v>157</v>
      </c>
      <c r="F777" s="617"/>
      <c r="G777" s="617"/>
      <c r="H777" s="617"/>
      <c r="I777" s="101">
        <v>155309.9</v>
      </c>
      <c r="J777" s="102">
        <v>229457.13</v>
      </c>
      <c r="K777" s="101">
        <v>102019.92</v>
      </c>
      <c r="L777" s="101">
        <v>592812</v>
      </c>
      <c r="M777" s="6"/>
      <c r="N777" s="6"/>
    </row>
    <row r="778" spans="1:14" s="136" customFormat="1" ht="18" customHeight="1" x14ac:dyDescent="0.25">
      <c r="A778" s="626"/>
      <c r="B778" s="617" t="s">
        <v>123</v>
      </c>
      <c r="C778" s="617" t="s">
        <v>1386</v>
      </c>
      <c r="D778" s="131" t="s">
        <v>158</v>
      </c>
      <c r="E778" s="618" t="s">
        <v>157</v>
      </c>
      <c r="F778" s="617"/>
      <c r="G778" s="617"/>
      <c r="H778" s="617"/>
      <c r="I778" s="101">
        <v>32857.300000000003</v>
      </c>
      <c r="J778" s="102">
        <v>66099.81</v>
      </c>
      <c r="K778" s="101">
        <v>20925.46</v>
      </c>
      <c r="L778" s="101">
        <v>168133.48</v>
      </c>
      <c r="M778" s="6"/>
      <c r="N778" s="6"/>
    </row>
    <row r="779" spans="1:14" s="136" customFormat="1" ht="18" customHeight="1" x14ac:dyDescent="0.25">
      <c r="A779" s="626"/>
      <c r="B779" s="617" t="s">
        <v>123</v>
      </c>
      <c r="C779" s="617" t="s">
        <v>1386</v>
      </c>
      <c r="D779" s="131" t="s">
        <v>158</v>
      </c>
      <c r="E779" s="618" t="s">
        <v>157</v>
      </c>
      <c r="F779" s="617"/>
      <c r="G779" s="617"/>
      <c r="H779" s="617"/>
      <c r="I779" s="101"/>
      <c r="J779" s="102">
        <v>19627.650000000001</v>
      </c>
      <c r="K779" s="112"/>
      <c r="L779" s="101">
        <v>50652</v>
      </c>
      <c r="M779" s="6"/>
      <c r="N779" s="6"/>
    </row>
    <row r="780" spans="1:14" s="136" customFormat="1" ht="18" customHeight="1" x14ac:dyDescent="0.25">
      <c r="A780" s="626"/>
      <c r="B780" s="617" t="s">
        <v>123</v>
      </c>
      <c r="C780" s="617" t="s">
        <v>1386</v>
      </c>
      <c r="D780" s="131" t="s">
        <v>158</v>
      </c>
      <c r="E780" s="619" t="s">
        <v>157</v>
      </c>
      <c r="F780" s="612"/>
      <c r="G780" s="612"/>
      <c r="H780" s="612"/>
      <c r="I780" s="101">
        <v>0</v>
      </c>
      <c r="J780" s="102">
        <v>17019.66</v>
      </c>
      <c r="K780" s="112"/>
      <c r="L780" s="101">
        <v>44160</v>
      </c>
      <c r="M780" s="6"/>
      <c r="N780" s="6"/>
    </row>
    <row r="781" spans="1:14" s="136" customFormat="1" ht="18" customHeight="1" x14ac:dyDescent="0.25">
      <c r="A781" s="626"/>
      <c r="B781" s="617" t="s">
        <v>123</v>
      </c>
      <c r="C781" s="617" t="s">
        <v>1386</v>
      </c>
      <c r="D781" s="568" t="s">
        <v>158</v>
      </c>
      <c r="E781" s="619" t="s">
        <v>157</v>
      </c>
      <c r="F781" s="612"/>
      <c r="G781" s="612"/>
      <c r="H781" s="612"/>
      <c r="I781" s="101">
        <v>19486.82</v>
      </c>
      <c r="J781" s="102">
        <v>30219.42</v>
      </c>
      <c r="K781" s="141">
        <v>12104.2</v>
      </c>
      <c r="L781" s="101">
        <v>76863.14</v>
      </c>
      <c r="M781" s="6"/>
      <c r="N781" s="6"/>
    </row>
    <row r="782" spans="1:14" s="136" customFormat="1" ht="18" customHeight="1" x14ac:dyDescent="0.25">
      <c r="A782" s="626"/>
      <c r="B782" s="617" t="s">
        <v>123</v>
      </c>
      <c r="C782" s="617" t="s">
        <v>1386</v>
      </c>
      <c r="D782" s="131" t="s">
        <v>158</v>
      </c>
      <c r="E782" s="619" t="s">
        <v>157</v>
      </c>
      <c r="F782" s="612"/>
      <c r="G782" s="612"/>
      <c r="H782" s="612"/>
      <c r="I782" s="101">
        <v>35224.99</v>
      </c>
      <c r="J782" s="102">
        <v>68290.11</v>
      </c>
      <c r="K782" s="112">
        <v>22298.76</v>
      </c>
      <c r="L782" s="101">
        <v>172503.89</v>
      </c>
      <c r="M782" s="6"/>
      <c r="N782" s="6"/>
    </row>
    <row r="783" spans="1:14" s="48" customFormat="1" ht="18" customHeight="1" x14ac:dyDescent="0.25">
      <c r="A783" s="615"/>
      <c r="B783" s="617" t="s">
        <v>123</v>
      </c>
      <c r="C783" s="617" t="s">
        <v>1386</v>
      </c>
      <c r="D783" s="131" t="s">
        <v>158</v>
      </c>
      <c r="E783" s="618" t="s">
        <v>157</v>
      </c>
      <c r="F783" s="617"/>
      <c r="G783" s="617"/>
      <c r="H783" s="617"/>
      <c r="I783" s="101">
        <v>22338.25</v>
      </c>
      <c r="J783" s="102">
        <v>31766.07</v>
      </c>
      <c r="K783" s="112">
        <v>14526.85</v>
      </c>
      <c r="L783" s="101">
        <v>81510.559999999998</v>
      </c>
      <c r="M783" s="6"/>
      <c r="N783" s="6"/>
    </row>
    <row r="784" spans="1:14" s="136" customFormat="1" ht="18" customHeight="1" x14ac:dyDescent="0.25">
      <c r="A784" s="626"/>
      <c r="B784" s="617" t="s">
        <v>123</v>
      </c>
      <c r="C784" s="617" t="s">
        <v>1386</v>
      </c>
      <c r="D784" s="131" t="s">
        <v>158</v>
      </c>
      <c r="E784" s="619" t="s">
        <v>157</v>
      </c>
      <c r="F784" s="612"/>
      <c r="G784" s="612"/>
      <c r="H784" s="612"/>
      <c r="I784" s="101">
        <v>35238.82</v>
      </c>
      <c r="J784" s="102">
        <v>57681.33</v>
      </c>
      <c r="K784" s="112">
        <v>24237.54</v>
      </c>
      <c r="L784" s="101">
        <v>148728.88</v>
      </c>
      <c r="M784" s="6"/>
      <c r="N784" s="6"/>
    </row>
    <row r="785" spans="1:16" s="136" customFormat="1" ht="18" customHeight="1" x14ac:dyDescent="0.25">
      <c r="A785" s="626"/>
      <c r="B785" s="617" t="s">
        <v>123</v>
      </c>
      <c r="C785" s="617" t="s">
        <v>1386</v>
      </c>
      <c r="D785" s="131" t="s">
        <v>158</v>
      </c>
      <c r="E785" s="619" t="s">
        <v>157</v>
      </c>
      <c r="F785" s="612"/>
      <c r="G785" s="612"/>
      <c r="H785" s="612"/>
      <c r="I785" s="101">
        <v>83067.11</v>
      </c>
      <c r="J785" s="102">
        <v>123534.48</v>
      </c>
      <c r="K785" s="112">
        <v>52969.89</v>
      </c>
      <c r="L785" s="101">
        <v>310779.34000000003</v>
      </c>
      <c r="M785" s="6"/>
      <c r="N785" s="6"/>
    </row>
    <row r="786" spans="1:16" s="136" customFormat="1" ht="18" customHeight="1" x14ac:dyDescent="0.25">
      <c r="A786" s="626"/>
      <c r="B786" s="617" t="s">
        <v>123</v>
      </c>
      <c r="C786" s="617" t="s">
        <v>1386</v>
      </c>
      <c r="D786" s="131" t="s">
        <v>158</v>
      </c>
      <c r="E786" s="619" t="s">
        <v>157</v>
      </c>
      <c r="F786" s="612"/>
      <c r="G786" s="612"/>
      <c r="H786" s="612"/>
      <c r="I786" s="101">
        <v>60606.12</v>
      </c>
      <c r="J786" s="102">
        <v>81889.64</v>
      </c>
      <c r="K786" s="112">
        <v>28739.58</v>
      </c>
      <c r="L786" s="101">
        <v>201109.78</v>
      </c>
      <c r="M786" s="6"/>
      <c r="N786" s="6"/>
    </row>
    <row r="787" spans="1:16" s="136" customFormat="1" ht="18" customHeight="1" x14ac:dyDescent="0.25">
      <c r="A787" s="626"/>
      <c r="B787" s="617" t="s">
        <v>123</v>
      </c>
      <c r="C787" s="617" t="s">
        <v>1386</v>
      </c>
      <c r="D787" s="131" t="s">
        <v>158</v>
      </c>
      <c r="E787" s="619" t="s">
        <v>157</v>
      </c>
      <c r="F787" s="612"/>
      <c r="G787" s="612"/>
      <c r="H787" s="612"/>
      <c r="I787" s="101">
        <v>35544.86</v>
      </c>
      <c r="J787" s="102">
        <v>65607.149999999994</v>
      </c>
      <c r="K787" s="112">
        <v>19154.97</v>
      </c>
      <c r="L787" s="101">
        <v>164872.28</v>
      </c>
      <c r="M787" s="6"/>
      <c r="N787" s="6"/>
    </row>
    <row r="788" spans="1:16" s="136" customFormat="1" ht="18" customHeight="1" x14ac:dyDescent="0.25">
      <c r="A788" s="626"/>
      <c r="B788" s="617" t="s">
        <v>123</v>
      </c>
      <c r="C788" s="617" t="s">
        <v>1386</v>
      </c>
      <c r="D788" s="131" t="s">
        <v>158</v>
      </c>
      <c r="E788" s="619" t="s">
        <v>157</v>
      </c>
      <c r="F788" s="612"/>
      <c r="G788" s="612"/>
      <c r="H788" s="612"/>
      <c r="I788" s="101">
        <v>18514.7</v>
      </c>
      <c r="J788" s="102">
        <v>23720.34</v>
      </c>
      <c r="K788" s="112">
        <v>11014.5</v>
      </c>
      <c r="L788" s="101">
        <v>61199.73</v>
      </c>
      <c r="M788" s="6">
        <f>SUM(L770:L788)</f>
        <v>2630121.899999999</v>
      </c>
      <c r="N788" s="6"/>
    </row>
    <row r="789" spans="1:16" s="136" customFormat="1" ht="18" customHeight="1" x14ac:dyDescent="0.25">
      <c r="A789" s="626"/>
      <c r="B789" s="617" t="s">
        <v>123</v>
      </c>
      <c r="C789" s="617" t="s">
        <v>1386</v>
      </c>
      <c r="D789" s="131" t="s">
        <v>160</v>
      </c>
      <c r="E789" s="619" t="s">
        <v>159</v>
      </c>
      <c r="F789" s="612"/>
      <c r="G789" s="612"/>
      <c r="H789" s="612"/>
      <c r="I789" s="101">
        <v>12102.16</v>
      </c>
      <c r="J789" s="102">
        <v>13200</v>
      </c>
      <c r="K789" s="112">
        <v>6300</v>
      </c>
      <c r="L789" s="101">
        <v>13200</v>
      </c>
      <c r="M789" s="6"/>
      <c r="N789" s="6"/>
    </row>
    <row r="790" spans="1:16" s="136" customFormat="1" ht="18" customHeight="1" x14ac:dyDescent="0.25">
      <c r="A790" s="626"/>
      <c r="B790" s="617" t="s">
        <v>123</v>
      </c>
      <c r="C790" s="617" t="s">
        <v>1386</v>
      </c>
      <c r="D790" s="131" t="s">
        <v>160</v>
      </c>
      <c r="E790" s="619" t="s">
        <v>159</v>
      </c>
      <c r="F790" s="612"/>
      <c r="G790" s="612"/>
      <c r="H790" s="612"/>
      <c r="I790" s="101">
        <v>6307.56</v>
      </c>
      <c r="J790" s="102">
        <v>36000</v>
      </c>
      <c r="K790" s="112">
        <v>8800</v>
      </c>
      <c r="L790" s="101">
        <v>36000</v>
      </c>
      <c r="M790" s="6"/>
      <c r="N790" s="6"/>
    </row>
    <row r="791" spans="1:16" s="136" customFormat="1" ht="18" customHeight="1" x14ac:dyDescent="0.25">
      <c r="A791" s="626"/>
      <c r="B791" s="617" t="s">
        <v>123</v>
      </c>
      <c r="C791" s="617" t="s">
        <v>1386</v>
      </c>
      <c r="D791" s="131" t="s">
        <v>160</v>
      </c>
      <c r="E791" s="619" t="s">
        <v>159</v>
      </c>
      <c r="F791" s="612"/>
      <c r="G791" s="612"/>
      <c r="H791" s="612"/>
      <c r="I791" s="101">
        <v>4300</v>
      </c>
      <c r="J791" s="102">
        <v>4800</v>
      </c>
      <c r="K791" s="112">
        <v>2800</v>
      </c>
      <c r="L791" s="101">
        <v>4800</v>
      </c>
      <c r="M791" s="6"/>
      <c r="N791" s="6"/>
    </row>
    <row r="792" spans="1:16" s="136" customFormat="1" ht="21" customHeight="1" x14ac:dyDescent="0.25">
      <c r="A792" s="626"/>
      <c r="B792" s="617" t="s">
        <v>123</v>
      </c>
      <c r="C792" s="617" t="s">
        <v>1386</v>
      </c>
      <c r="D792" s="131" t="s">
        <v>160</v>
      </c>
      <c r="E792" s="619" t="s">
        <v>159</v>
      </c>
      <c r="F792" s="612"/>
      <c r="G792" s="612"/>
      <c r="H792" s="612"/>
      <c r="I792" s="101">
        <v>2400</v>
      </c>
      <c r="J792" s="102">
        <v>4800</v>
      </c>
      <c r="K792" s="112">
        <v>1400</v>
      </c>
      <c r="L792" s="101">
        <v>4800</v>
      </c>
      <c r="M792" s="6"/>
      <c r="N792" s="6"/>
    </row>
    <row r="793" spans="1:16" s="136" customFormat="1" ht="18" customHeight="1" x14ac:dyDescent="0.25">
      <c r="A793" s="626"/>
      <c r="B793" s="617" t="s">
        <v>123</v>
      </c>
      <c r="C793" s="617" t="s">
        <v>1386</v>
      </c>
      <c r="D793" s="131" t="s">
        <v>160</v>
      </c>
      <c r="E793" s="619" t="s">
        <v>159</v>
      </c>
      <c r="F793" s="612"/>
      <c r="G793" s="612"/>
      <c r="H793" s="612"/>
      <c r="I793" s="101">
        <v>2400</v>
      </c>
      <c r="J793" s="102">
        <v>3600</v>
      </c>
      <c r="K793" s="112">
        <v>1400</v>
      </c>
      <c r="L793" s="101">
        <v>3600</v>
      </c>
      <c r="M793" s="6"/>
      <c r="N793" s="6"/>
    </row>
    <row r="794" spans="1:16" s="48" customFormat="1" ht="18" customHeight="1" x14ac:dyDescent="0.25">
      <c r="A794" s="615"/>
      <c r="B794" s="617" t="s">
        <v>123</v>
      </c>
      <c r="C794" s="617" t="s">
        <v>1386</v>
      </c>
      <c r="D794" s="131" t="s">
        <v>160</v>
      </c>
      <c r="E794" s="619" t="s">
        <v>159</v>
      </c>
      <c r="F794" s="612"/>
      <c r="G794" s="612"/>
      <c r="H794" s="612"/>
      <c r="I794" s="101">
        <v>3600</v>
      </c>
      <c r="J794" s="102">
        <v>4800</v>
      </c>
      <c r="K794" s="112">
        <v>2500</v>
      </c>
      <c r="L794" s="101">
        <v>4800</v>
      </c>
      <c r="M794" s="6"/>
      <c r="N794" s="6"/>
    </row>
    <row r="795" spans="1:16" s="48" customFormat="1" ht="21" customHeight="1" x14ac:dyDescent="0.25">
      <c r="A795" s="615"/>
      <c r="B795" s="617" t="s">
        <v>123</v>
      </c>
      <c r="C795" s="617" t="s">
        <v>1386</v>
      </c>
      <c r="D795" s="131" t="s">
        <v>160</v>
      </c>
      <c r="E795" s="619" t="s">
        <v>159</v>
      </c>
      <c r="F795" s="612"/>
      <c r="G795" s="612"/>
      <c r="H795" s="612"/>
      <c r="I795" s="101">
        <v>3800</v>
      </c>
      <c r="J795" s="102">
        <v>8400</v>
      </c>
      <c r="K795" s="112">
        <v>2800</v>
      </c>
      <c r="L795" s="105">
        <v>8400</v>
      </c>
      <c r="M795" s="6"/>
      <c r="N795" s="6"/>
    </row>
    <row r="796" spans="1:16" ht="18" customHeight="1" x14ac:dyDescent="0.25">
      <c r="A796" s="626"/>
      <c r="B796" s="617" t="s">
        <v>123</v>
      </c>
      <c r="C796" s="617" t="s">
        <v>1386</v>
      </c>
      <c r="D796" s="131" t="s">
        <v>160</v>
      </c>
      <c r="E796" s="619" t="s">
        <v>159</v>
      </c>
      <c r="F796" s="612"/>
      <c r="G796" s="612"/>
      <c r="H796" s="612"/>
      <c r="I796" s="101">
        <v>29860.36</v>
      </c>
      <c r="J796" s="102">
        <v>44400</v>
      </c>
      <c r="K796" s="101">
        <v>24400</v>
      </c>
      <c r="L796" s="101">
        <v>44400</v>
      </c>
    </row>
    <row r="797" spans="1:16" ht="18" customHeight="1" x14ac:dyDescent="0.25">
      <c r="A797" s="626"/>
      <c r="B797" s="617" t="s">
        <v>123</v>
      </c>
      <c r="C797" s="617" t="s">
        <v>1386</v>
      </c>
      <c r="D797" s="131" t="s">
        <v>160</v>
      </c>
      <c r="E797" s="618" t="s">
        <v>159</v>
      </c>
      <c r="F797" s="617"/>
      <c r="G797" s="617"/>
      <c r="H797" s="611"/>
      <c r="I797" s="101">
        <v>12200</v>
      </c>
      <c r="J797" s="102">
        <v>21600</v>
      </c>
      <c r="K797" s="101">
        <v>7700</v>
      </c>
      <c r="L797" s="101">
        <v>21600</v>
      </c>
    </row>
    <row r="798" spans="1:16" s="146" customFormat="1" ht="18" customHeight="1" x14ac:dyDescent="0.25">
      <c r="A798" s="626"/>
      <c r="B798" s="617" t="s">
        <v>123</v>
      </c>
      <c r="C798" s="617" t="s">
        <v>1386</v>
      </c>
      <c r="D798" s="131" t="s">
        <v>160</v>
      </c>
      <c r="E798" s="619" t="s">
        <v>159</v>
      </c>
      <c r="F798" s="612"/>
      <c r="G798" s="612"/>
      <c r="H798" s="612"/>
      <c r="I798" s="101"/>
      <c r="J798" s="102">
        <v>3600</v>
      </c>
      <c r="K798" s="101"/>
      <c r="L798" s="101">
        <v>3600</v>
      </c>
      <c r="M798" s="10"/>
      <c r="N798" s="10"/>
      <c r="O798"/>
      <c r="P798"/>
    </row>
    <row r="799" spans="1:16" s="146" customFormat="1" ht="18" customHeight="1" x14ac:dyDescent="0.25">
      <c r="A799" s="626"/>
      <c r="B799" s="617" t="s">
        <v>123</v>
      </c>
      <c r="C799" s="617" t="s">
        <v>1386</v>
      </c>
      <c r="D799" s="131" t="s">
        <v>160</v>
      </c>
      <c r="E799" s="619" t="s">
        <v>159</v>
      </c>
      <c r="F799" s="612"/>
      <c r="G799" s="612"/>
      <c r="H799" s="612"/>
      <c r="I799" s="101">
        <v>0</v>
      </c>
      <c r="J799" s="102">
        <v>2400</v>
      </c>
      <c r="K799" s="101"/>
      <c r="L799" s="101">
        <v>2400</v>
      </c>
      <c r="M799" s="10"/>
      <c r="N799" s="10"/>
      <c r="O799"/>
      <c r="P799"/>
    </row>
    <row r="800" spans="1:16" s="146" customFormat="1" ht="18" customHeight="1" x14ac:dyDescent="0.25">
      <c r="A800" s="626"/>
      <c r="B800" s="617" t="s">
        <v>123</v>
      </c>
      <c r="C800" s="617" t="s">
        <v>1386</v>
      </c>
      <c r="D800" s="131" t="s">
        <v>160</v>
      </c>
      <c r="E800" s="619" t="s">
        <v>159</v>
      </c>
      <c r="F800" s="612"/>
      <c r="G800" s="612"/>
      <c r="H800" s="612"/>
      <c r="I800" s="101">
        <v>3600</v>
      </c>
      <c r="J800" s="102">
        <v>4800</v>
      </c>
      <c r="K800" s="101">
        <v>2100</v>
      </c>
      <c r="L800" s="101">
        <v>4800</v>
      </c>
      <c r="M800" s="10"/>
      <c r="N800" s="10"/>
      <c r="O800"/>
      <c r="P800"/>
    </row>
    <row r="801" spans="1:16" s="146" customFormat="1" ht="18" customHeight="1" x14ac:dyDescent="0.25">
      <c r="A801" s="626"/>
      <c r="B801" s="617" t="s">
        <v>123</v>
      </c>
      <c r="C801" s="617" t="s">
        <v>1386</v>
      </c>
      <c r="D801" s="131" t="s">
        <v>160</v>
      </c>
      <c r="E801" s="619" t="s">
        <v>159</v>
      </c>
      <c r="F801" s="612"/>
      <c r="G801" s="612"/>
      <c r="H801" s="612"/>
      <c r="I801" s="101">
        <v>10300</v>
      </c>
      <c r="J801" s="102">
        <v>16800</v>
      </c>
      <c r="K801" s="101">
        <v>6300</v>
      </c>
      <c r="L801" s="101">
        <v>16800</v>
      </c>
      <c r="M801" s="10"/>
      <c r="N801" s="10"/>
      <c r="O801"/>
      <c r="P801"/>
    </row>
    <row r="802" spans="1:16" s="146" customFormat="1" ht="18" customHeight="1" x14ac:dyDescent="0.25">
      <c r="A802" s="626"/>
      <c r="B802" s="617" t="s">
        <v>123</v>
      </c>
      <c r="C802" s="617" t="s">
        <v>1386</v>
      </c>
      <c r="D802" s="131" t="s">
        <v>160</v>
      </c>
      <c r="E802" s="619" t="s">
        <v>159</v>
      </c>
      <c r="F802" s="612"/>
      <c r="G802" s="612"/>
      <c r="H802" s="612"/>
      <c r="I802" s="101">
        <v>5500</v>
      </c>
      <c r="J802" s="102">
        <v>7200</v>
      </c>
      <c r="K802" s="101">
        <v>3800</v>
      </c>
      <c r="L802" s="101">
        <v>7200</v>
      </c>
      <c r="M802" s="10"/>
      <c r="N802" s="10"/>
      <c r="O802"/>
      <c r="P802"/>
    </row>
    <row r="803" spans="1:16" s="146" customFormat="1" ht="18" customHeight="1" x14ac:dyDescent="0.25">
      <c r="A803" s="626"/>
      <c r="B803" s="617" t="s">
        <v>123</v>
      </c>
      <c r="C803" s="617" t="s">
        <v>1386</v>
      </c>
      <c r="D803" s="131" t="s">
        <v>160</v>
      </c>
      <c r="E803" s="619" t="s">
        <v>159</v>
      </c>
      <c r="F803" s="612"/>
      <c r="G803" s="612"/>
      <c r="H803" s="612"/>
      <c r="I803" s="101">
        <v>9600</v>
      </c>
      <c r="J803" s="102">
        <v>15600</v>
      </c>
      <c r="K803" s="101">
        <v>7000</v>
      </c>
      <c r="L803" s="101">
        <v>15600</v>
      </c>
      <c r="M803" s="10"/>
      <c r="N803" s="10"/>
      <c r="O803"/>
      <c r="P803"/>
    </row>
    <row r="804" spans="1:16" s="146" customFormat="1" ht="18" customHeight="1" x14ac:dyDescent="0.25">
      <c r="A804" s="626"/>
      <c r="B804" s="617" t="s">
        <v>123</v>
      </c>
      <c r="C804" s="617" t="s">
        <v>1386</v>
      </c>
      <c r="D804" s="131" t="s">
        <v>160</v>
      </c>
      <c r="E804" s="619" t="s">
        <v>159</v>
      </c>
      <c r="F804" s="612"/>
      <c r="G804" s="612"/>
      <c r="H804" s="612"/>
      <c r="I804" s="101">
        <v>40906.480000000003</v>
      </c>
      <c r="J804" s="102">
        <v>54000</v>
      </c>
      <c r="K804" s="101">
        <v>25500</v>
      </c>
      <c r="L804" s="101">
        <v>54000</v>
      </c>
      <c r="M804" s="10"/>
      <c r="N804" s="10"/>
      <c r="O804"/>
      <c r="P804"/>
    </row>
    <row r="805" spans="1:16" s="146" customFormat="1" ht="18" customHeight="1" x14ac:dyDescent="0.25">
      <c r="A805" s="626"/>
      <c r="B805" s="617" t="s">
        <v>123</v>
      </c>
      <c r="C805" s="617" t="s">
        <v>1386</v>
      </c>
      <c r="D805" s="131" t="s">
        <v>160</v>
      </c>
      <c r="E805" s="619" t="s">
        <v>159</v>
      </c>
      <c r="F805" s="612"/>
      <c r="G805" s="612"/>
      <c r="H805" s="612"/>
      <c r="I805" s="101">
        <v>19000</v>
      </c>
      <c r="J805" s="102">
        <v>21600</v>
      </c>
      <c r="K805" s="101">
        <v>9800</v>
      </c>
      <c r="L805" s="101">
        <v>21600</v>
      </c>
      <c r="M805" s="10"/>
      <c r="N805" s="10"/>
      <c r="O805"/>
      <c r="P805"/>
    </row>
    <row r="806" spans="1:16" s="146" customFormat="1" ht="18" customHeight="1" x14ac:dyDescent="0.25">
      <c r="A806" s="626"/>
      <c r="B806" s="617" t="s">
        <v>123</v>
      </c>
      <c r="C806" s="617" t="s">
        <v>1386</v>
      </c>
      <c r="D806" s="131" t="s">
        <v>160</v>
      </c>
      <c r="E806" s="619" t="s">
        <v>159</v>
      </c>
      <c r="F806" s="612"/>
      <c r="G806" s="612"/>
      <c r="H806" s="612"/>
      <c r="I806" s="101">
        <v>9600</v>
      </c>
      <c r="J806" s="102">
        <v>14400</v>
      </c>
      <c r="K806" s="101">
        <v>5000</v>
      </c>
      <c r="L806" s="101">
        <v>14400</v>
      </c>
      <c r="M806" s="10"/>
      <c r="N806" s="10"/>
      <c r="O806"/>
      <c r="P806"/>
    </row>
    <row r="807" spans="1:16" s="146" customFormat="1" ht="18" customHeight="1" x14ac:dyDescent="0.25">
      <c r="A807" s="626"/>
      <c r="B807" s="617" t="s">
        <v>123</v>
      </c>
      <c r="C807" s="617" t="s">
        <v>1386</v>
      </c>
      <c r="D807" s="131" t="s">
        <v>160</v>
      </c>
      <c r="E807" s="618" t="s">
        <v>159</v>
      </c>
      <c r="F807" s="617"/>
      <c r="G807" s="617"/>
      <c r="H807" s="611"/>
      <c r="I807" s="101">
        <v>4800</v>
      </c>
      <c r="J807" s="102">
        <v>4800</v>
      </c>
      <c r="K807" s="101">
        <v>2800</v>
      </c>
      <c r="L807" s="101">
        <v>4800</v>
      </c>
      <c r="M807" s="10">
        <f>SUM(L789:L807)</f>
        <v>286800</v>
      </c>
      <c r="N807" s="10"/>
      <c r="O807"/>
      <c r="P807"/>
    </row>
    <row r="808" spans="1:16" s="146" customFormat="1" ht="18" customHeight="1" x14ac:dyDescent="0.25">
      <c r="A808" s="626"/>
      <c r="B808" s="617" t="s">
        <v>123</v>
      </c>
      <c r="C808" s="617" t="s">
        <v>1386</v>
      </c>
      <c r="D808" s="131" t="s">
        <v>329</v>
      </c>
      <c r="E808" s="618" t="s">
        <v>328</v>
      </c>
      <c r="F808" s="617"/>
      <c r="G808" s="617"/>
      <c r="H808" s="611"/>
      <c r="I808" s="101">
        <v>4230773.7300000004</v>
      </c>
      <c r="J808" s="102">
        <v>7000000</v>
      </c>
      <c r="K808" s="101">
        <v>1337114.21</v>
      </c>
      <c r="L808" s="102">
        <v>7000000</v>
      </c>
      <c r="M808" s="10"/>
      <c r="N808" s="10"/>
      <c r="O808"/>
      <c r="P808"/>
    </row>
    <row r="809" spans="1:16" s="146" customFormat="1" ht="18" customHeight="1" x14ac:dyDescent="0.25">
      <c r="A809" s="626"/>
      <c r="B809" s="617" t="s">
        <v>123</v>
      </c>
      <c r="C809" s="617" t="s">
        <v>1386</v>
      </c>
      <c r="D809" s="131" t="s">
        <v>140</v>
      </c>
      <c r="E809" s="619" t="s">
        <v>139</v>
      </c>
      <c r="F809" s="612"/>
      <c r="G809" s="612"/>
      <c r="H809" s="612"/>
      <c r="I809" s="101">
        <v>326902</v>
      </c>
      <c r="J809" s="102">
        <v>323695</v>
      </c>
      <c r="K809" s="101">
        <v>303083</v>
      </c>
      <c r="L809" s="101">
        <v>344152</v>
      </c>
      <c r="M809" s="10"/>
      <c r="N809" s="10"/>
      <c r="O809"/>
      <c r="P809"/>
    </row>
    <row r="810" spans="1:16" s="146" customFormat="1" ht="18" customHeight="1" x14ac:dyDescent="0.25">
      <c r="A810" s="626"/>
      <c r="B810" s="617" t="s">
        <v>123</v>
      </c>
      <c r="C810" s="617" t="s">
        <v>1386</v>
      </c>
      <c r="D810" s="131" t="s">
        <v>140</v>
      </c>
      <c r="E810" s="618" t="s">
        <v>139</v>
      </c>
      <c r="F810" s="617"/>
      <c r="G810" s="617"/>
      <c r="H810" s="611"/>
      <c r="I810" s="101">
        <v>94997</v>
      </c>
      <c r="J810" s="102">
        <v>344060</v>
      </c>
      <c r="K810" s="101"/>
      <c r="L810" s="101">
        <v>382392</v>
      </c>
      <c r="M810" s="10"/>
      <c r="N810" s="10"/>
      <c r="O810"/>
      <c r="P810"/>
    </row>
    <row r="811" spans="1:16" s="146" customFormat="1" ht="18" customHeight="1" x14ac:dyDescent="0.25">
      <c r="A811" s="626"/>
      <c r="B811" s="617" t="s">
        <v>123</v>
      </c>
      <c r="C811" s="617" t="s">
        <v>1386</v>
      </c>
      <c r="D811" s="131" t="s">
        <v>140</v>
      </c>
      <c r="E811" s="619" t="s">
        <v>139</v>
      </c>
      <c r="F811" s="612"/>
      <c r="G811" s="612"/>
      <c r="H811" s="612"/>
      <c r="I811" s="101">
        <v>65048</v>
      </c>
      <c r="J811" s="102">
        <v>65048</v>
      </c>
      <c r="K811" s="101">
        <v>68132</v>
      </c>
      <c r="L811" s="101">
        <v>71779</v>
      </c>
      <c r="M811" s="10"/>
      <c r="N811" s="10"/>
      <c r="O811"/>
      <c r="P811"/>
    </row>
    <row r="812" spans="1:16" s="146" customFormat="1" ht="18" customHeight="1" x14ac:dyDescent="0.25">
      <c r="A812" s="626"/>
      <c r="B812" s="617" t="s">
        <v>123</v>
      </c>
      <c r="C812" s="617" t="s">
        <v>1386</v>
      </c>
      <c r="D812" s="131" t="s">
        <v>140</v>
      </c>
      <c r="E812" s="619" t="s">
        <v>139</v>
      </c>
      <c r="F812" s="612"/>
      <c r="G812" s="612"/>
      <c r="H812" s="612"/>
      <c r="I812" s="101">
        <v>25261</v>
      </c>
      <c r="J812" s="102">
        <v>68756</v>
      </c>
      <c r="K812" s="101">
        <v>30711</v>
      </c>
      <c r="L812" s="101">
        <v>75806</v>
      </c>
      <c r="M812" s="10"/>
      <c r="N812" s="10"/>
      <c r="O812"/>
      <c r="P812"/>
    </row>
    <row r="813" spans="1:16" s="146" customFormat="1" ht="18" customHeight="1" x14ac:dyDescent="0.25">
      <c r="A813" s="626"/>
      <c r="B813" s="617" t="s">
        <v>123</v>
      </c>
      <c r="C813" s="617" t="s">
        <v>1386</v>
      </c>
      <c r="D813" s="131" t="s">
        <v>140</v>
      </c>
      <c r="E813" s="619" t="s">
        <v>139</v>
      </c>
      <c r="F813" s="612"/>
      <c r="G813" s="612"/>
      <c r="H813" s="612"/>
      <c r="I813" s="101">
        <v>28899</v>
      </c>
      <c r="J813" s="102">
        <v>54541</v>
      </c>
      <c r="K813" s="101">
        <v>38380</v>
      </c>
      <c r="L813" s="101">
        <v>60516</v>
      </c>
      <c r="M813" s="10"/>
      <c r="N813" s="10"/>
      <c r="O813"/>
      <c r="P813"/>
    </row>
    <row r="814" spans="1:16" ht="18" customHeight="1" x14ac:dyDescent="0.25">
      <c r="A814" s="626"/>
      <c r="B814" s="617" t="s">
        <v>123</v>
      </c>
      <c r="C814" s="617" t="s">
        <v>1386</v>
      </c>
      <c r="D814" s="131" t="s">
        <v>140</v>
      </c>
      <c r="E814" s="619" t="s">
        <v>139</v>
      </c>
      <c r="F814" s="612"/>
      <c r="G814" s="612"/>
      <c r="H814" s="612"/>
      <c r="I814" s="101">
        <v>82480</v>
      </c>
      <c r="J814" s="102">
        <v>96484</v>
      </c>
      <c r="K814" s="101">
        <v>84920</v>
      </c>
      <c r="L814" s="101">
        <v>103560</v>
      </c>
    </row>
    <row r="815" spans="1:16" ht="18" customHeight="1" x14ac:dyDescent="0.25">
      <c r="A815" s="626"/>
      <c r="B815" s="617" t="s">
        <v>123</v>
      </c>
      <c r="C815" s="617" t="s">
        <v>1386</v>
      </c>
      <c r="D815" s="131" t="s">
        <v>140</v>
      </c>
      <c r="E815" s="618" t="s">
        <v>139</v>
      </c>
      <c r="F815" s="617"/>
      <c r="G815" s="617"/>
      <c r="H815" s="611"/>
      <c r="I815" s="101">
        <v>143283</v>
      </c>
      <c r="J815" s="102">
        <v>190917</v>
      </c>
      <c r="K815" s="101">
        <v>147303</v>
      </c>
      <c r="L815" s="101">
        <v>203493</v>
      </c>
    </row>
    <row r="816" spans="1:16" ht="18" customHeight="1" x14ac:dyDescent="0.25">
      <c r="A816" s="626"/>
      <c r="B816" s="617" t="s">
        <v>123</v>
      </c>
      <c r="C816" s="617" t="s">
        <v>1386</v>
      </c>
      <c r="D816" s="131" t="s">
        <v>140</v>
      </c>
      <c r="E816" s="618" t="s">
        <v>139</v>
      </c>
      <c r="F816" s="617"/>
      <c r="G816" s="617"/>
      <c r="H816" s="611"/>
      <c r="I816" s="101">
        <v>1186653</v>
      </c>
      <c r="J816" s="102">
        <v>1196474</v>
      </c>
      <c r="K816" s="101">
        <v>1205172</v>
      </c>
      <c r="L816" s="101">
        <v>1258089</v>
      </c>
      <c r="N816" s="101">
        <v>1255457</v>
      </c>
    </row>
    <row r="817" spans="1:16" ht="18" customHeight="1" x14ac:dyDescent="0.25">
      <c r="A817" s="626"/>
      <c r="B817" s="617" t="s">
        <v>123</v>
      </c>
      <c r="C817" s="617" t="s">
        <v>1386</v>
      </c>
      <c r="D817" s="131" t="s">
        <v>140</v>
      </c>
      <c r="E817" s="618" t="s">
        <v>139</v>
      </c>
      <c r="F817" s="617"/>
      <c r="G817" s="617"/>
      <c r="H817" s="611"/>
      <c r="I817" s="101">
        <v>219047</v>
      </c>
      <c r="J817" s="102">
        <v>331659</v>
      </c>
      <c r="K817" s="101">
        <v>227535</v>
      </c>
      <c r="L817" s="101">
        <v>360457</v>
      </c>
    </row>
    <row r="818" spans="1:16" ht="18" customHeight="1" x14ac:dyDescent="0.25">
      <c r="A818" s="626"/>
      <c r="B818" s="617" t="s">
        <v>123</v>
      </c>
      <c r="C818" s="617" t="s">
        <v>1386</v>
      </c>
      <c r="D818" s="131" t="s">
        <v>140</v>
      </c>
      <c r="E818" s="618" t="s">
        <v>139</v>
      </c>
      <c r="F818" s="617"/>
      <c r="G818" s="617"/>
      <c r="H818" s="611"/>
      <c r="I818" s="101"/>
      <c r="J818" s="102">
        <v>101053</v>
      </c>
      <c r="K818" s="101"/>
      <c r="L818" s="101">
        <v>106126</v>
      </c>
    </row>
    <row r="819" spans="1:16" ht="18" customHeight="1" x14ac:dyDescent="0.25">
      <c r="A819" s="626"/>
      <c r="B819" s="617" t="s">
        <v>123</v>
      </c>
      <c r="C819" s="617" t="s">
        <v>1386</v>
      </c>
      <c r="D819" s="131" t="s">
        <v>140</v>
      </c>
      <c r="E819" s="618" t="s">
        <v>139</v>
      </c>
      <c r="F819" s="617"/>
      <c r="G819" s="617"/>
      <c r="H819" s="611"/>
      <c r="I819" s="101">
        <v>0</v>
      </c>
      <c r="J819" s="102">
        <v>88634</v>
      </c>
      <c r="K819" s="101"/>
      <c r="L819" s="101">
        <v>92624</v>
      </c>
    </row>
    <row r="820" spans="1:16" ht="18" customHeight="1" x14ac:dyDescent="0.25">
      <c r="A820" s="626"/>
      <c r="B820" s="617" t="s">
        <v>123</v>
      </c>
      <c r="C820" s="617" t="s">
        <v>1386</v>
      </c>
      <c r="D820" s="131" t="s">
        <v>140</v>
      </c>
      <c r="E820" s="618" t="s">
        <v>139</v>
      </c>
      <c r="F820" s="617"/>
      <c r="G820" s="617"/>
      <c r="H820" s="611"/>
      <c r="I820" s="101">
        <v>127114</v>
      </c>
      <c r="J820" s="102">
        <v>152756</v>
      </c>
      <c r="K820" s="101">
        <v>142607</v>
      </c>
      <c r="L820" s="101">
        <v>163533</v>
      </c>
    </row>
    <row r="821" spans="1:16" ht="18" customHeight="1" x14ac:dyDescent="0.25">
      <c r="A821" s="626"/>
      <c r="B821" s="617" t="s">
        <v>123</v>
      </c>
      <c r="C821" s="617" t="s">
        <v>1386</v>
      </c>
      <c r="D821" s="131" t="s">
        <v>140</v>
      </c>
      <c r="E821" s="618" t="s">
        <v>139</v>
      </c>
      <c r="F821" s="617"/>
      <c r="G821" s="617"/>
      <c r="H821" s="611"/>
      <c r="I821" s="101">
        <v>221164</v>
      </c>
      <c r="J821" s="102">
        <v>335332</v>
      </c>
      <c r="K821" s="101">
        <v>236544</v>
      </c>
      <c r="L821" s="101">
        <v>363814</v>
      </c>
    </row>
    <row r="822" spans="1:16" ht="18" customHeight="1" x14ac:dyDescent="0.25">
      <c r="A822" s="626"/>
      <c r="B822" s="617" t="s">
        <v>123</v>
      </c>
      <c r="C822" s="617" t="s">
        <v>1386</v>
      </c>
      <c r="D822" s="131" t="s">
        <v>140</v>
      </c>
      <c r="E822" s="618" t="s">
        <v>139</v>
      </c>
      <c r="F822" s="617"/>
      <c r="G822" s="617"/>
      <c r="H822" s="611"/>
      <c r="I822" s="101">
        <v>147399</v>
      </c>
      <c r="J822" s="102">
        <v>161408</v>
      </c>
      <c r="K822" s="101">
        <v>155537</v>
      </c>
      <c r="L822" s="101">
        <v>173074</v>
      </c>
    </row>
    <row r="823" spans="1:16" ht="18" customHeight="1" x14ac:dyDescent="0.25">
      <c r="A823" s="626"/>
      <c r="B823" s="617" t="s">
        <v>123</v>
      </c>
      <c r="C823" s="617" t="s">
        <v>1386</v>
      </c>
      <c r="D823" s="131" t="s">
        <v>140</v>
      </c>
      <c r="E823" s="618" t="s">
        <v>139</v>
      </c>
      <c r="F823" s="617"/>
      <c r="G823" s="617"/>
      <c r="H823" s="611"/>
      <c r="I823" s="101">
        <v>222668</v>
      </c>
      <c r="J823" s="102">
        <v>291571</v>
      </c>
      <c r="K823" s="101">
        <v>231993</v>
      </c>
      <c r="L823" s="101">
        <v>315174</v>
      </c>
    </row>
    <row r="824" spans="1:16" ht="18" customHeight="1" x14ac:dyDescent="0.25">
      <c r="A824" s="630"/>
      <c r="B824" s="617" t="s">
        <v>123</v>
      </c>
      <c r="C824" s="617" t="s">
        <v>1386</v>
      </c>
      <c r="D824" s="131" t="s">
        <v>140</v>
      </c>
      <c r="E824" s="618" t="s">
        <v>139</v>
      </c>
      <c r="F824" s="617"/>
      <c r="G824" s="617"/>
      <c r="H824" s="611"/>
      <c r="I824" s="101">
        <v>488697</v>
      </c>
      <c r="J824" s="102">
        <v>598152</v>
      </c>
      <c r="K824" s="101">
        <v>521499</v>
      </c>
      <c r="L824" s="105">
        <v>650419</v>
      </c>
    </row>
    <row r="825" spans="1:16" s="194" customFormat="1" ht="18" customHeight="1" x14ac:dyDescent="0.25">
      <c r="A825" s="630"/>
      <c r="B825" s="617" t="s">
        <v>123</v>
      </c>
      <c r="C825" s="617" t="s">
        <v>1386</v>
      </c>
      <c r="D825" s="131" t="s">
        <v>140</v>
      </c>
      <c r="E825" s="618" t="s">
        <v>139</v>
      </c>
      <c r="F825" s="617"/>
      <c r="G825" s="617"/>
      <c r="H825" s="617"/>
      <c r="I825" s="101">
        <v>377251</v>
      </c>
      <c r="J825" s="102">
        <v>391001</v>
      </c>
      <c r="K825" s="101">
        <v>295338</v>
      </c>
      <c r="L825" s="101">
        <v>423507</v>
      </c>
      <c r="M825" s="10"/>
      <c r="N825" s="10"/>
      <c r="O825" s="191"/>
      <c r="P825" s="191"/>
    </row>
    <row r="826" spans="1:16" s="146" customFormat="1" ht="36" customHeight="1" x14ac:dyDescent="0.25">
      <c r="A826" s="625"/>
      <c r="B826" s="617" t="s">
        <v>123</v>
      </c>
      <c r="C826" s="617" t="s">
        <v>1386</v>
      </c>
      <c r="D826" s="133" t="s">
        <v>140</v>
      </c>
      <c r="E826" s="618" t="s">
        <v>139</v>
      </c>
      <c r="F826" s="617"/>
      <c r="G826" s="617"/>
      <c r="H826" s="611"/>
      <c r="I826" s="105">
        <v>207473.12</v>
      </c>
      <c r="J826" s="106">
        <v>320003</v>
      </c>
      <c r="K826" s="105">
        <v>197657</v>
      </c>
      <c r="L826" s="105">
        <v>343955</v>
      </c>
      <c r="M826" s="10"/>
      <c r="N826" s="10"/>
      <c r="O826"/>
      <c r="P826"/>
    </row>
    <row r="827" spans="1:16" s="146" customFormat="1" ht="36" customHeight="1" x14ac:dyDescent="0.25">
      <c r="A827" s="626"/>
      <c r="B827" s="617" t="s">
        <v>123</v>
      </c>
      <c r="C827" s="617" t="s">
        <v>1386</v>
      </c>
      <c r="D827" s="131" t="s">
        <v>140</v>
      </c>
      <c r="E827" s="618" t="s">
        <v>139</v>
      </c>
      <c r="F827" s="617"/>
      <c r="G827" s="617"/>
      <c r="H827" s="611"/>
      <c r="I827" s="101">
        <v>123000</v>
      </c>
      <c r="J827" s="102">
        <v>123095</v>
      </c>
      <c r="K827" s="101">
        <v>126612</v>
      </c>
      <c r="L827" s="101">
        <v>130414</v>
      </c>
      <c r="M827" s="10">
        <f>SUM(L809:L827)</f>
        <v>5622884</v>
      </c>
      <c r="N827" s="10"/>
      <c r="O827"/>
      <c r="P827"/>
    </row>
    <row r="828" spans="1:16" ht="18" customHeight="1" x14ac:dyDescent="0.25">
      <c r="A828" s="626"/>
      <c r="B828" s="617"/>
      <c r="C828" s="617"/>
      <c r="D828" s="131"/>
      <c r="E828" s="618"/>
      <c r="F828" s="617"/>
      <c r="G828" s="617"/>
      <c r="H828" s="611"/>
      <c r="I828" s="101"/>
      <c r="J828" s="102"/>
      <c r="K828" s="101"/>
      <c r="M828" s="101">
        <f>SUM(L523:L827)</f>
        <v>114776130.91000003</v>
      </c>
    </row>
    <row r="829" spans="1:16" ht="18" customHeight="1" x14ac:dyDescent="0.25">
      <c r="A829" s="626"/>
      <c r="B829" s="617"/>
      <c r="C829" s="617"/>
      <c r="D829" s="131"/>
      <c r="E829" s="618"/>
      <c r="F829" s="617"/>
      <c r="G829" s="617"/>
      <c r="H829" s="611"/>
      <c r="I829" s="101"/>
      <c r="J829" s="102"/>
      <c r="K829" s="101"/>
      <c r="L829" s="101"/>
    </row>
    <row r="830" spans="1:16" ht="18" customHeight="1" x14ac:dyDescent="0.25">
      <c r="A830" s="626"/>
      <c r="B830" s="617"/>
      <c r="C830" s="617"/>
      <c r="D830" s="131"/>
      <c r="E830" s="618"/>
      <c r="F830" s="617"/>
      <c r="G830" s="617"/>
      <c r="H830" s="611"/>
      <c r="I830" s="101"/>
      <c r="J830" s="102"/>
      <c r="K830" s="101"/>
      <c r="L830" s="101"/>
    </row>
    <row r="831" spans="1:16" ht="18" customHeight="1" x14ac:dyDescent="0.25">
      <c r="A831" s="626"/>
      <c r="B831" s="617"/>
      <c r="C831" s="617"/>
      <c r="D831" s="131"/>
      <c r="E831" s="618"/>
      <c r="F831" s="617"/>
      <c r="G831" s="617"/>
      <c r="H831" s="611"/>
      <c r="I831" s="101"/>
      <c r="J831" s="102"/>
      <c r="K831" s="101"/>
      <c r="L831" s="101"/>
    </row>
    <row r="832" spans="1:16" s="713" customFormat="1" ht="18" customHeight="1" x14ac:dyDescent="0.25">
      <c r="A832" s="704"/>
      <c r="B832" s="705"/>
      <c r="C832" s="705"/>
      <c r="D832" s="712"/>
      <c r="E832" s="706"/>
      <c r="F832" s="705"/>
      <c r="G832" s="705"/>
      <c r="H832" s="711"/>
      <c r="I832" s="707"/>
      <c r="J832" s="707"/>
      <c r="K832" s="707"/>
      <c r="L832" s="707"/>
      <c r="M832" s="446"/>
      <c r="N832" s="446"/>
    </row>
    <row r="833" spans="1:16" ht="18" customHeight="1" x14ac:dyDescent="0.25">
      <c r="A833" s="626"/>
      <c r="B833" s="617"/>
      <c r="C833" s="617"/>
      <c r="D833" s="131"/>
      <c r="E833" s="618"/>
      <c r="F833" s="617"/>
      <c r="G833" s="617"/>
      <c r="H833" s="611"/>
      <c r="I833" s="101"/>
      <c r="J833" s="102"/>
      <c r="K833" s="101"/>
      <c r="L833" s="101"/>
    </row>
    <row r="834" spans="1:16" ht="18" customHeight="1" x14ac:dyDescent="0.25">
      <c r="A834" s="626"/>
      <c r="B834" s="617" t="s">
        <v>201</v>
      </c>
      <c r="C834" s="617" t="s">
        <v>1387</v>
      </c>
      <c r="D834" s="97" t="s">
        <v>1421</v>
      </c>
      <c r="E834" s="618" t="s">
        <v>484</v>
      </c>
      <c r="F834" s="618"/>
      <c r="G834" s="618"/>
      <c r="H834" s="619"/>
      <c r="I834" s="101"/>
      <c r="J834" s="102"/>
      <c r="K834" s="101"/>
      <c r="L834" s="102">
        <v>17850</v>
      </c>
    </row>
    <row r="835" spans="1:16" ht="18" customHeight="1" x14ac:dyDescent="0.25">
      <c r="A835" s="626"/>
      <c r="B835" s="617" t="s">
        <v>201</v>
      </c>
      <c r="C835" s="617" t="s">
        <v>1387</v>
      </c>
      <c r="D835" s="97" t="s">
        <v>1397</v>
      </c>
      <c r="E835" s="618" t="s">
        <v>480</v>
      </c>
      <c r="F835" s="618"/>
      <c r="G835" s="618"/>
      <c r="H835" s="619"/>
      <c r="I835" s="101"/>
      <c r="J835" s="102"/>
      <c r="K835" s="101"/>
      <c r="L835" s="102">
        <v>19000</v>
      </c>
    </row>
    <row r="836" spans="1:16" s="146" customFormat="1" ht="18" customHeight="1" x14ac:dyDescent="0.25">
      <c r="A836" s="626"/>
      <c r="B836" s="617" t="s">
        <v>201</v>
      </c>
      <c r="C836" s="617" t="s">
        <v>1387</v>
      </c>
      <c r="D836" s="97" t="s">
        <v>1397</v>
      </c>
      <c r="E836" s="618" t="s">
        <v>481</v>
      </c>
      <c r="F836" s="618"/>
      <c r="G836" s="618"/>
      <c r="H836" s="619"/>
      <c r="I836" s="101"/>
      <c r="J836" s="102"/>
      <c r="K836" s="101"/>
      <c r="L836" s="102">
        <v>15300</v>
      </c>
      <c r="M836" s="10"/>
      <c r="N836" s="10"/>
      <c r="O836"/>
      <c r="P836"/>
    </row>
    <row r="837" spans="1:16" s="146" customFormat="1" ht="18" customHeight="1" x14ac:dyDescent="0.25">
      <c r="A837" s="626"/>
      <c r="B837" s="617" t="s">
        <v>201</v>
      </c>
      <c r="C837" s="617" t="s">
        <v>1387</v>
      </c>
      <c r="D837" s="97" t="s">
        <v>1404</v>
      </c>
      <c r="E837" s="636" t="s">
        <v>229</v>
      </c>
      <c r="F837" s="616"/>
      <c r="G837" s="616"/>
      <c r="H837" s="613"/>
      <c r="I837" s="101"/>
      <c r="J837" s="102"/>
      <c r="K837" s="101"/>
      <c r="L837" s="102">
        <v>50000</v>
      </c>
      <c r="M837" s="10"/>
      <c r="N837" s="10"/>
      <c r="O837"/>
      <c r="P837"/>
    </row>
    <row r="838" spans="1:16" s="146" customFormat="1" ht="18" customHeight="1" x14ac:dyDescent="0.25">
      <c r="A838" s="626"/>
      <c r="B838" s="617" t="s">
        <v>201</v>
      </c>
      <c r="C838" s="617" t="s">
        <v>1387</v>
      </c>
      <c r="D838" s="168" t="s">
        <v>1390</v>
      </c>
      <c r="E838" s="636" t="s">
        <v>477</v>
      </c>
      <c r="F838" s="636"/>
      <c r="G838" s="636"/>
      <c r="H838" s="637"/>
      <c r="I838" s="102"/>
      <c r="J838" s="102"/>
      <c r="K838" s="102"/>
      <c r="L838" s="102">
        <v>375000</v>
      </c>
      <c r="M838" s="10"/>
      <c r="N838" s="10"/>
      <c r="O838"/>
      <c r="P838"/>
    </row>
    <row r="839" spans="1:16" s="146" customFormat="1" ht="18" customHeight="1" x14ac:dyDescent="0.25">
      <c r="A839" s="626"/>
      <c r="B839" s="617" t="s">
        <v>201</v>
      </c>
      <c r="C839" s="617" t="s">
        <v>1387</v>
      </c>
      <c r="D839" s="168" t="s">
        <v>1390</v>
      </c>
      <c r="E839" s="636" t="s">
        <v>516</v>
      </c>
      <c r="F839" s="621"/>
      <c r="G839" s="621"/>
      <c r="H839" s="628"/>
      <c r="I839" s="102"/>
      <c r="J839" s="102"/>
      <c r="K839" s="102"/>
      <c r="L839" s="102">
        <v>150000</v>
      </c>
      <c r="M839" s="10"/>
      <c r="N839" s="10"/>
      <c r="O839"/>
      <c r="P839"/>
    </row>
    <row r="840" spans="1:16" s="146" customFormat="1" ht="18" customHeight="1" x14ac:dyDescent="0.25">
      <c r="A840" s="626"/>
      <c r="B840" s="617" t="s">
        <v>201</v>
      </c>
      <c r="C840" s="617" t="s">
        <v>1387</v>
      </c>
      <c r="D840" s="1569" t="s">
        <v>1391</v>
      </c>
      <c r="E840" s="409" t="s">
        <v>230</v>
      </c>
      <c r="F840" s="555"/>
      <c r="G840" s="555"/>
      <c r="H840" s="554"/>
      <c r="I840" s="138"/>
      <c r="J840" s="698"/>
      <c r="K840" s="138"/>
      <c r="L840" s="101">
        <v>160000</v>
      </c>
      <c r="M840" s="10"/>
      <c r="N840" s="10"/>
      <c r="O840"/>
      <c r="P840"/>
    </row>
    <row r="841" spans="1:16" s="146" customFormat="1" ht="18" customHeight="1" x14ac:dyDescent="0.25">
      <c r="A841" s="626"/>
      <c r="B841" s="617" t="s">
        <v>201</v>
      </c>
      <c r="C841" s="617" t="s">
        <v>1387</v>
      </c>
      <c r="D841" s="168" t="s">
        <v>1391</v>
      </c>
      <c r="E841" s="636" t="s">
        <v>478</v>
      </c>
      <c r="F841" s="636"/>
      <c r="G841" s="636"/>
      <c r="H841" s="637"/>
      <c r="I841" s="102"/>
      <c r="J841" s="102"/>
      <c r="K841" s="102"/>
      <c r="L841" s="102">
        <v>480000</v>
      </c>
      <c r="M841" s="10"/>
      <c r="N841" s="10"/>
      <c r="O841"/>
      <c r="P841"/>
    </row>
    <row r="842" spans="1:16" s="146" customFormat="1" ht="18" customHeight="1" x14ac:dyDescent="0.25">
      <c r="A842" s="626"/>
      <c r="B842" s="617" t="s">
        <v>201</v>
      </c>
      <c r="C842" s="617" t="s">
        <v>1387</v>
      </c>
      <c r="D842" s="168" t="s">
        <v>1392</v>
      </c>
      <c r="E842" s="636" t="s">
        <v>476</v>
      </c>
      <c r="F842" s="636"/>
      <c r="G842" s="636"/>
      <c r="H842" s="637"/>
      <c r="I842" s="102"/>
      <c r="J842" s="102"/>
      <c r="K842" s="102"/>
      <c r="L842" s="106">
        <v>80000</v>
      </c>
      <c r="M842" s="10"/>
      <c r="N842" s="10"/>
      <c r="O842"/>
      <c r="P842"/>
    </row>
    <row r="843" spans="1:16" s="194" customFormat="1" ht="18" customHeight="1" x14ac:dyDescent="0.25">
      <c r="A843" s="626"/>
      <c r="B843" s="617" t="s">
        <v>201</v>
      </c>
      <c r="C843" s="617" t="s">
        <v>1387</v>
      </c>
      <c r="D843" s="168" t="s">
        <v>1392</v>
      </c>
      <c r="E843" s="635" t="s">
        <v>515</v>
      </c>
      <c r="F843" s="695"/>
      <c r="G843" s="695"/>
      <c r="H843" s="695"/>
      <c r="I843" s="102"/>
      <c r="J843" s="102"/>
      <c r="K843" s="111"/>
      <c r="L843" s="145">
        <v>28000</v>
      </c>
      <c r="M843" s="10"/>
      <c r="N843" s="10"/>
      <c r="O843" s="191"/>
      <c r="P843" s="191"/>
    </row>
    <row r="844" spans="1:16" s="194" customFormat="1" ht="18" customHeight="1" x14ac:dyDescent="0.25">
      <c r="A844" s="626"/>
      <c r="B844" s="617" t="s">
        <v>201</v>
      </c>
      <c r="C844" s="617" t="s">
        <v>1387</v>
      </c>
      <c r="D844" s="97" t="s">
        <v>1420</v>
      </c>
      <c r="E844" s="618" t="s">
        <v>479</v>
      </c>
      <c r="F844" s="618"/>
      <c r="G844" s="701"/>
      <c r="H844" s="701"/>
      <c r="I844" s="101"/>
      <c r="J844" s="102"/>
      <c r="K844" s="112"/>
      <c r="L844" s="102">
        <v>60000</v>
      </c>
      <c r="M844" s="10"/>
      <c r="N844" s="10"/>
      <c r="O844" s="191"/>
      <c r="P844" s="191"/>
    </row>
    <row r="845" spans="1:16" s="194" customFormat="1" ht="18" customHeight="1" x14ac:dyDescent="0.25">
      <c r="A845" s="626"/>
      <c r="B845" s="617" t="s">
        <v>201</v>
      </c>
      <c r="C845" s="617" t="s">
        <v>1387</v>
      </c>
      <c r="D845" s="97" t="s">
        <v>1405</v>
      </c>
      <c r="E845" s="618" t="s">
        <v>482</v>
      </c>
      <c r="F845" s="618"/>
      <c r="G845" s="701"/>
      <c r="H845" s="701"/>
      <c r="I845" s="101"/>
      <c r="J845" s="102"/>
      <c r="K845" s="112"/>
      <c r="L845" s="102">
        <v>30000</v>
      </c>
      <c r="M845" s="10"/>
      <c r="N845" s="10">
        <f>115000*2</f>
        <v>230000</v>
      </c>
      <c r="O845" s="191"/>
      <c r="P845" s="191"/>
    </row>
    <row r="846" spans="1:16" s="146" customFormat="1" x14ac:dyDescent="0.25">
      <c r="A846" s="626"/>
      <c r="B846" s="617" t="s">
        <v>201</v>
      </c>
      <c r="C846" s="617" t="s">
        <v>1387</v>
      </c>
      <c r="D846" s="97" t="s">
        <v>1423</v>
      </c>
      <c r="E846" s="619" t="s">
        <v>485</v>
      </c>
      <c r="F846" s="687"/>
      <c r="G846" s="687"/>
      <c r="H846" s="687"/>
      <c r="I846" s="101"/>
      <c r="J846" s="102"/>
      <c r="K846" s="101"/>
      <c r="L846" s="102">
        <v>36000</v>
      </c>
      <c r="M846" s="10"/>
      <c r="N846" s="10"/>
      <c r="O846"/>
      <c r="P846"/>
    </row>
    <row r="847" spans="1:16" s="229" customFormat="1" ht="18" customHeight="1" x14ac:dyDescent="0.25">
      <c r="A847" s="154"/>
      <c r="B847" s="617" t="s">
        <v>201</v>
      </c>
      <c r="C847" s="617" t="s">
        <v>1387</v>
      </c>
      <c r="D847" s="97" t="s">
        <v>1422</v>
      </c>
      <c r="E847" s="618" t="s">
        <v>483</v>
      </c>
      <c r="F847" s="618"/>
      <c r="G847" s="618"/>
      <c r="H847" s="619"/>
      <c r="I847" s="101"/>
      <c r="J847" s="102"/>
      <c r="K847" s="101"/>
      <c r="L847" s="102">
        <v>25000</v>
      </c>
      <c r="M847" s="207">
        <f>SUM(L834:L847)</f>
        <v>1526150</v>
      </c>
      <c r="N847" s="207"/>
      <c r="O847" s="212"/>
      <c r="P847" s="212"/>
    </row>
    <row r="848" spans="1:16" s="229" customFormat="1" ht="18" customHeight="1" x14ac:dyDescent="0.25">
      <c r="A848" s="154"/>
      <c r="B848" s="617"/>
      <c r="C848" s="617"/>
      <c r="D848" s="168"/>
      <c r="E848" s="636"/>
      <c r="F848" s="621"/>
      <c r="G848" s="621"/>
      <c r="H848" s="628"/>
      <c r="I848" s="102"/>
      <c r="J848" s="102"/>
      <c r="K848" s="102"/>
      <c r="L848" s="102"/>
      <c r="M848" s="207"/>
      <c r="N848" s="207"/>
      <c r="O848" s="212"/>
      <c r="P848" s="212"/>
    </row>
    <row r="849" spans="1:16" s="229" customFormat="1" ht="18" customHeight="1" x14ac:dyDescent="0.25">
      <c r="A849" s="154"/>
      <c r="B849" s="617"/>
      <c r="C849" s="617"/>
      <c r="D849" s="168"/>
      <c r="E849" s="636"/>
      <c r="F849" s="621"/>
      <c r="G849" s="621"/>
      <c r="H849" s="628"/>
      <c r="I849" s="102"/>
      <c r="J849" s="102"/>
      <c r="K849" s="102"/>
      <c r="L849" s="102"/>
      <c r="M849" s="207"/>
      <c r="N849" s="207"/>
      <c r="O849" s="212"/>
      <c r="P849" s="212"/>
    </row>
    <row r="850" spans="1:16" s="229" customFormat="1" ht="18" customHeight="1" x14ac:dyDescent="0.25">
      <c r="A850" s="154"/>
      <c r="B850" s="617" t="s">
        <v>163</v>
      </c>
      <c r="C850" s="617" t="s">
        <v>1387</v>
      </c>
      <c r="D850" s="131" t="s">
        <v>165</v>
      </c>
      <c r="E850" s="44" t="s">
        <v>164</v>
      </c>
      <c r="F850" s="113"/>
      <c r="G850" s="113"/>
      <c r="H850" s="114"/>
      <c r="I850" s="101">
        <v>2550</v>
      </c>
      <c r="J850" s="102">
        <v>15000</v>
      </c>
      <c r="K850" s="101"/>
      <c r="L850" s="101">
        <v>15000</v>
      </c>
      <c r="M850" s="207"/>
      <c r="N850" s="207"/>
      <c r="O850" s="212"/>
      <c r="P850" s="212"/>
    </row>
    <row r="851" spans="1:16" s="229" customFormat="1" ht="18" customHeight="1" x14ac:dyDescent="0.25">
      <c r="A851" s="154"/>
      <c r="B851" s="617" t="s">
        <v>163</v>
      </c>
      <c r="C851" s="617" t="s">
        <v>1387</v>
      </c>
      <c r="D851" s="131" t="s">
        <v>165</v>
      </c>
      <c r="E851" s="44" t="s">
        <v>164</v>
      </c>
      <c r="F851" s="113"/>
      <c r="G851" s="113"/>
      <c r="H851" s="114"/>
      <c r="I851" s="101">
        <v>0</v>
      </c>
      <c r="J851" s="102">
        <v>15000</v>
      </c>
      <c r="K851" s="101"/>
      <c r="L851" s="102">
        <v>15000</v>
      </c>
      <c r="M851" s="207"/>
      <c r="N851" s="207"/>
      <c r="O851" s="212"/>
      <c r="P851" s="212"/>
    </row>
    <row r="852" spans="1:16" s="229" customFormat="1" ht="18" customHeight="1" x14ac:dyDescent="0.25">
      <c r="A852" s="154"/>
      <c r="B852" s="617" t="s">
        <v>163</v>
      </c>
      <c r="C852" s="617" t="s">
        <v>1387</v>
      </c>
      <c r="D852" s="131" t="s">
        <v>165</v>
      </c>
      <c r="E852" s="44" t="s">
        <v>353</v>
      </c>
      <c r="F852" s="125"/>
      <c r="G852" s="125"/>
      <c r="H852" s="134"/>
      <c r="I852" s="101">
        <v>50079.32</v>
      </c>
      <c r="J852" s="102">
        <v>826000</v>
      </c>
      <c r="K852" s="101">
        <v>2380</v>
      </c>
      <c r="L852" s="101">
        <v>176000</v>
      </c>
      <c r="M852" s="207"/>
      <c r="N852" s="207"/>
      <c r="O852" s="212"/>
      <c r="P852" s="212"/>
    </row>
    <row r="853" spans="1:16" s="229" customFormat="1" ht="18" customHeight="1" x14ac:dyDescent="0.25">
      <c r="A853" s="154"/>
      <c r="B853" s="617" t="s">
        <v>163</v>
      </c>
      <c r="C853" s="617" t="s">
        <v>1387</v>
      </c>
      <c r="D853" s="131" t="s">
        <v>165</v>
      </c>
      <c r="E853" s="44" t="s">
        <v>353</v>
      </c>
      <c r="F853" s="113"/>
      <c r="G853" s="113"/>
      <c r="H853" s="114"/>
      <c r="I853" s="101">
        <v>20722</v>
      </c>
      <c r="J853" s="102">
        <v>50000</v>
      </c>
      <c r="K853" s="101">
        <v>24300</v>
      </c>
      <c r="L853" s="102">
        <v>100000</v>
      </c>
      <c r="M853" s="207">
        <f>SUM(L850:L853)</f>
        <v>306000</v>
      </c>
      <c r="N853" s="207"/>
      <c r="O853" s="212"/>
      <c r="P853" s="212"/>
    </row>
    <row r="854" spans="1:16" s="229" customFormat="1" ht="18" customHeight="1" x14ac:dyDescent="0.25">
      <c r="A854" s="154"/>
      <c r="B854" s="617" t="s">
        <v>163</v>
      </c>
      <c r="C854" s="617" t="s">
        <v>1387</v>
      </c>
      <c r="D854" s="131" t="s">
        <v>169</v>
      </c>
      <c r="E854" s="44" t="s">
        <v>168</v>
      </c>
      <c r="F854" s="113"/>
      <c r="G854" s="113"/>
      <c r="H854" s="114"/>
      <c r="I854" s="101">
        <v>34402</v>
      </c>
      <c r="J854" s="102">
        <v>54077</v>
      </c>
      <c r="K854" s="101">
        <v>18855</v>
      </c>
      <c r="L854" s="101">
        <v>54156</v>
      </c>
      <c r="M854" s="207"/>
      <c r="N854" s="207"/>
      <c r="O854" s="212"/>
      <c r="P854" s="212"/>
    </row>
    <row r="855" spans="1:16" s="229" customFormat="1" ht="18" customHeight="1" x14ac:dyDescent="0.25">
      <c r="A855" s="154"/>
      <c r="B855" s="617" t="s">
        <v>163</v>
      </c>
      <c r="C855" s="617" t="s">
        <v>1387</v>
      </c>
      <c r="D855" s="131" t="s">
        <v>169</v>
      </c>
      <c r="E855" s="44" t="s">
        <v>168</v>
      </c>
      <c r="F855" s="113"/>
      <c r="G855" s="113"/>
      <c r="H855" s="114"/>
      <c r="I855" s="101">
        <v>0</v>
      </c>
      <c r="J855" s="102">
        <v>49952</v>
      </c>
      <c r="K855" s="101">
        <v>35368</v>
      </c>
      <c r="L855" s="106">
        <v>49952</v>
      </c>
      <c r="M855" s="207"/>
      <c r="N855" s="207"/>
      <c r="O855" s="212"/>
      <c r="P855" s="212"/>
    </row>
    <row r="856" spans="1:16" s="146" customFormat="1" ht="36" customHeight="1" x14ac:dyDescent="0.25">
      <c r="A856" s="615"/>
      <c r="B856" s="617" t="s">
        <v>163</v>
      </c>
      <c r="C856" s="617" t="s">
        <v>1387</v>
      </c>
      <c r="D856" s="131" t="s">
        <v>169</v>
      </c>
      <c r="E856" s="686" t="s">
        <v>168</v>
      </c>
      <c r="F856" s="692"/>
      <c r="G856" s="692"/>
      <c r="H856" s="719"/>
      <c r="I856" s="101">
        <v>564940.5</v>
      </c>
      <c r="J856" s="102">
        <v>763408</v>
      </c>
      <c r="K856" s="101">
        <v>377106.5</v>
      </c>
      <c r="L856" s="101">
        <v>1189083</v>
      </c>
      <c r="M856" s="10"/>
      <c r="N856" s="10"/>
      <c r="O856"/>
      <c r="P856"/>
    </row>
    <row r="857" spans="1:16" s="146" customFormat="1" ht="36" customHeight="1" x14ac:dyDescent="0.25">
      <c r="A857" s="615"/>
      <c r="B857" s="617" t="s">
        <v>163</v>
      </c>
      <c r="C857" s="617" t="s">
        <v>1387</v>
      </c>
      <c r="D857" s="131" t="s">
        <v>169</v>
      </c>
      <c r="E857" s="44" t="s">
        <v>168</v>
      </c>
      <c r="F857" s="113"/>
      <c r="G857" s="113"/>
      <c r="H857" s="114"/>
      <c r="I857" s="101">
        <v>84368.1</v>
      </c>
      <c r="J857" s="102">
        <v>120000</v>
      </c>
      <c r="K857" s="101">
        <v>111812.5</v>
      </c>
      <c r="L857" s="101">
        <v>138756</v>
      </c>
      <c r="M857" s="10">
        <f>SUM(L854:L857)</f>
        <v>1431947</v>
      </c>
      <c r="N857" s="10">
        <f>16000*2</f>
        <v>32000</v>
      </c>
      <c r="O857"/>
      <c r="P857"/>
    </row>
    <row r="858" spans="1:16" s="146" customFormat="1" x14ac:dyDescent="0.25">
      <c r="A858" s="615"/>
      <c r="B858" s="617" t="s">
        <v>163</v>
      </c>
      <c r="C858" s="617" t="s">
        <v>1387</v>
      </c>
      <c r="D858" s="131" t="s">
        <v>467</v>
      </c>
      <c r="E858" s="44" t="s">
        <v>466</v>
      </c>
      <c r="F858" s="125"/>
      <c r="G858" s="125"/>
      <c r="H858" s="134"/>
      <c r="I858" s="101"/>
      <c r="J858" s="102"/>
      <c r="K858" s="101"/>
      <c r="L858" s="101">
        <v>17571466</v>
      </c>
      <c r="M858" s="10"/>
      <c r="N858" s="10"/>
      <c r="O858"/>
      <c r="P858"/>
    </row>
    <row r="859" spans="1:16" s="146" customFormat="1" x14ac:dyDescent="0.25">
      <c r="A859" s="615"/>
      <c r="B859" s="617" t="s">
        <v>163</v>
      </c>
      <c r="C859" s="617" t="s">
        <v>1387</v>
      </c>
      <c r="D859" s="131" t="s">
        <v>469</v>
      </c>
      <c r="E859" s="44" t="s">
        <v>468</v>
      </c>
      <c r="F859" s="125"/>
      <c r="G859" s="125"/>
      <c r="H859" s="134"/>
      <c r="I859" s="101">
        <v>4463519</v>
      </c>
      <c r="J859" s="102">
        <v>11378111</v>
      </c>
      <c r="K859" s="101"/>
      <c r="L859" s="101">
        <v>41354789</v>
      </c>
      <c r="M859" s="10"/>
      <c r="N859" s="10"/>
      <c r="O859"/>
      <c r="P859"/>
    </row>
    <row r="860" spans="1:16" s="146" customFormat="1" ht="18" customHeight="1" x14ac:dyDescent="0.25">
      <c r="A860" s="626"/>
      <c r="B860" s="617" t="s">
        <v>163</v>
      </c>
      <c r="C860" s="617" t="s">
        <v>1387</v>
      </c>
      <c r="D860" s="131" t="s">
        <v>171</v>
      </c>
      <c r="E860" s="245" t="s">
        <v>213</v>
      </c>
      <c r="F860" s="116"/>
      <c r="G860" s="116"/>
      <c r="H860" s="116"/>
      <c r="I860" s="101"/>
      <c r="J860" s="102"/>
      <c r="K860" s="101"/>
      <c r="L860" s="101">
        <v>23784</v>
      </c>
      <c r="M860" s="10"/>
      <c r="N860" s="10"/>
      <c r="O860"/>
      <c r="P860"/>
    </row>
    <row r="861" spans="1:16" s="146" customFormat="1" ht="15" customHeight="1" x14ac:dyDescent="0.25">
      <c r="A861" s="626"/>
      <c r="B861" s="617" t="s">
        <v>163</v>
      </c>
      <c r="C861" s="617" t="s">
        <v>1387</v>
      </c>
      <c r="D861" s="131" t="s">
        <v>171</v>
      </c>
      <c r="E861" s="44" t="s">
        <v>288</v>
      </c>
      <c r="F861" s="113"/>
      <c r="G861" s="113"/>
      <c r="H861" s="114"/>
      <c r="I861" s="101"/>
      <c r="J861" s="102"/>
      <c r="K861" s="101"/>
      <c r="L861" s="102">
        <v>33960</v>
      </c>
      <c r="M861" s="10"/>
      <c r="N861" s="10"/>
      <c r="O861"/>
      <c r="P861"/>
    </row>
    <row r="862" spans="1:16" s="146" customFormat="1" x14ac:dyDescent="0.25">
      <c r="A862" s="626"/>
      <c r="B862" s="617" t="s">
        <v>163</v>
      </c>
      <c r="C862" s="617" t="s">
        <v>1387</v>
      </c>
      <c r="D862" s="131" t="s">
        <v>171</v>
      </c>
      <c r="E862" s="637" t="s">
        <v>170</v>
      </c>
      <c r="F862" s="687"/>
      <c r="G862" s="687"/>
      <c r="H862" s="687"/>
      <c r="I862" s="101"/>
      <c r="J862" s="102">
        <v>367100</v>
      </c>
      <c r="K862" s="101"/>
      <c r="L862" s="101">
        <v>1679955</v>
      </c>
      <c r="M862" s="10"/>
      <c r="N862" s="10"/>
      <c r="O862"/>
      <c r="P862"/>
    </row>
    <row r="863" spans="1:16" s="146" customFormat="1" x14ac:dyDescent="0.25">
      <c r="A863" s="626"/>
      <c r="B863" s="617" t="s">
        <v>163</v>
      </c>
      <c r="C863" s="617" t="s">
        <v>1387</v>
      </c>
      <c r="D863" s="131" t="s">
        <v>171</v>
      </c>
      <c r="E863" s="245" t="s">
        <v>213</v>
      </c>
      <c r="F863" s="116"/>
      <c r="G863" s="116"/>
      <c r="H863" s="116"/>
      <c r="I863" s="101">
        <v>0</v>
      </c>
      <c r="J863" s="102"/>
      <c r="K863" s="101"/>
      <c r="L863" s="101">
        <v>19415</v>
      </c>
      <c r="M863" s="10">
        <f>SUM(L860:L863)</f>
        <v>1757114</v>
      </c>
      <c r="N863" s="10"/>
      <c r="O863"/>
      <c r="P863"/>
    </row>
    <row r="864" spans="1:16" s="146" customFormat="1" x14ac:dyDescent="0.25">
      <c r="A864" s="626"/>
      <c r="B864" s="617" t="s">
        <v>163</v>
      </c>
      <c r="C864" s="617" t="s">
        <v>1387</v>
      </c>
      <c r="D864" s="131" t="s">
        <v>383</v>
      </c>
      <c r="E864" s="44" t="s">
        <v>382</v>
      </c>
      <c r="F864" s="125"/>
      <c r="G864" s="125"/>
      <c r="H864" s="134"/>
      <c r="I864" s="101">
        <v>4627.95</v>
      </c>
      <c r="J864" s="102">
        <v>10800</v>
      </c>
      <c r="K864" s="101">
        <v>1512</v>
      </c>
      <c r="L864" s="101">
        <v>10800</v>
      </c>
      <c r="M864" s="10"/>
      <c r="N864" s="10"/>
      <c r="O864"/>
      <c r="P864"/>
    </row>
    <row r="865" spans="1:16" s="146" customFormat="1" ht="18" customHeight="1" x14ac:dyDescent="0.25">
      <c r="A865" s="626"/>
      <c r="B865" s="617" t="s">
        <v>163</v>
      </c>
      <c r="C865" s="617" t="s">
        <v>1387</v>
      </c>
      <c r="D865" s="131" t="s">
        <v>177</v>
      </c>
      <c r="E865" s="245" t="s">
        <v>176</v>
      </c>
      <c r="F865" s="116"/>
      <c r="G865" s="116"/>
      <c r="H865" s="116"/>
      <c r="I865" s="101">
        <v>0</v>
      </c>
      <c r="J865" s="102">
        <v>5000</v>
      </c>
      <c r="K865" s="101"/>
      <c r="L865" s="102">
        <v>5000</v>
      </c>
      <c r="M865" s="10"/>
      <c r="N865" s="10"/>
      <c r="O865"/>
      <c r="P865"/>
    </row>
    <row r="866" spans="1:16" s="146" customFormat="1" x14ac:dyDescent="0.25">
      <c r="A866" s="626"/>
      <c r="B866" s="617" t="s">
        <v>163</v>
      </c>
      <c r="C866" s="617" t="s">
        <v>1387</v>
      </c>
      <c r="D866" s="131" t="s">
        <v>177</v>
      </c>
      <c r="E866" s="44" t="s">
        <v>296</v>
      </c>
      <c r="F866" s="125"/>
      <c r="G866" s="125"/>
      <c r="H866" s="134"/>
      <c r="I866" s="101">
        <v>0</v>
      </c>
      <c r="J866" s="102">
        <v>3000</v>
      </c>
      <c r="K866" s="101"/>
      <c r="L866" s="101">
        <v>8000</v>
      </c>
      <c r="M866" s="10"/>
      <c r="N866" s="10"/>
      <c r="O866"/>
      <c r="P866"/>
    </row>
    <row r="867" spans="1:16" s="146" customFormat="1" x14ac:dyDescent="0.25">
      <c r="A867" s="626"/>
      <c r="B867" s="617" t="s">
        <v>163</v>
      </c>
      <c r="C867" s="617" t="s">
        <v>1387</v>
      </c>
      <c r="D867" s="131" t="s">
        <v>177</v>
      </c>
      <c r="E867" s="44" t="s">
        <v>176</v>
      </c>
      <c r="F867" s="113"/>
      <c r="G867" s="113"/>
      <c r="H867" s="114"/>
      <c r="I867" s="101">
        <v>0</v>
      </c>
      <c r="J867" s="102">
        <v>1000</v>
      </c>
      <c r="K867" s="101">
        <v>200</v>
      </c>
      <c r="L867" s="101">
        <v>1000</v>
      </c>
      <c r="M867" s="10">
        <f>SUM(L865:L867)</f>
        <v>14000</v>
      </c>
      <c r="N867" s="10"/>
      <c r="O867"/>
      <c r="P867"/>
    </row>
    <row r="868" spans="1:16" s="146" customFormat="1" ht="18" customHeight="1" x14ac:dyDescent="0.25">
      <c r="A868" s="626"/>
      <c r="B868" s="617" t="s">
        <v>163</v>
      </c>
      <c r="C868" s="617" t="s">
        <v>1387</v>
      </c>
      <c r="D868" s="131" t="s">
        <v>179</v>
      </c>
      <c r="E868" s="44" t="s">
        <v>178</v>
      </c>
      <c r="F868" s="113"/>
      <c r="G868" s="113"/>
      <c r="H868" s="114"/>
      <c r="I868" s="101"/>
      <c r="J868" s="102"/>
      <c r="K868" s="101"/>
      <c r="L868" s="101">
        <v>5000</v>
      </c>
      <c r="M868" s="10"/>
      <c r="N868" s="10"/>
      <c r="O868"/>
      <c r="P868"/>
    </row>
    <row r="869" spans="1:16" s="146" customFormat="1" ht="18" customHeight="1" x14ac:dyDescent="0.25">
      <c r="A869" s="626"/>
      <c r="B869" s="617" t="s">
        <v>163</v>
      </c>
      <c r="C869" s="617" t="s">
        <v>1387</v>
      </c>
      <c r="D869" s="131" t="s">
        <v>179</v>
      </c>
      <c r="E869" s="245" t="s">
        <v>178</v>
      </c>
      <c r="F869" s="116"/>
      <c r="G869" s="116"/>
      <c r="H869" s="116"/>
      <c r="I869" s="101"/>
      <c r="J869" s="102"/>
      <c r="K869" s="101"/>
      <c r="L869" s="102">
        <v>30000</v>
      </c>
      <c r="M869" s="10"/>
      <c r="N869" s="10"/>
      <c r="O869"/>
      <c r="P869"/>
    </row>
    <row r="870" spans="1:16" s="146" customFormat="1" ht="18" customHeight="1" x14ac:dyDescent="0.25">
      <c r="A870" s="626"/>
      <c r="B870" s="617" t="s">
        <v>163</v>
      </c>
      <c r="C870" s="617" t="s">
        <v>1387</v>
      </c>
      <c r="D870" s="131" t="s">
        <v>179</v>
      </c>
      <c r="E870" s="245" t="s">
        <v>178</v>
      </c>
      <c r="F870" s="97"/>
      <c r="G870" s="97"/>
      <c r="H870" s="97"/>
      <c r="I870" s="101"/>
      <c r="J870" s="102"/>
      <c r="K870" s="101"/>
      <c r="L870" s="101">
        <v>109200</v>
      </c>
      <c r="M870" s="10"/>
      <c r="N870" s="10"/>
      <c r="O870"/>
      <c r="P870"/>
    </row>
    <row r="871" spans="1:16" s="229" customFormat="1" ht="18" customHeight="1" x14ac:dyDescent="0.25">
      <c r="A871" s="154"/>
      <c r="B871" s="617" t="s">
        <v>163</v>
      </c>
      <c r="C871" s="617" t="s">
        <v>1387</v>
      </c>
      <c r="D871" s="131" t="s">
        <v>179</v>
      </c>
      <c r="E871" s="44" t="s">
        <v>178</v>
      </c>
      <c r="F871" s="113"/>
      <c r="G871" s="113"/>
      <c r="H871" s="114"/>
      <c r="I871" s="101"/>
      <c r="J871" s="102"/>
      <c r="K871" s="101"/>
      <c r="L871" s="101">
        <v>42000</v>
      </c>
      <c r="M871" s="207">
        <f>SUM(L868:L871)</f>
        <v>186200</v>
      </c>
      <c r="N871" s="207"/>
      <c r="O871" s="212"/>
      <c r="P871" s="212"/>
    </row>
    <row r="872" spans="1:16" s="229" customFormat="1" ht="18" customHeight="1" x14ac:dyDescent="0.25">
      <c r="A872" s="154"/>
      <c r="B872" s="617" t="s">
        <v>163</v>
      </c>
      <c r="C872" s="617" t="s">
        <v>1387</v>
      </c>
      <c r="D872" s="131" t="s">
        <v>183</v>
      </c>
      <c r="E872" s="44" t="s">
        <v>182</v>
      </c>
      <c r="F872" s="113"/>
      <c r="G872" s="113"/>
      <c r="H872" s="114"/>
      <c r="I872" s="101">
        <v>11237.95</v>
      </c>
      <c r="J872" s="102">
        <v>30000</v>
      </c>
      <c r="K872" s="101">
        <v>11968.71</v>
      </c>
      <c r="L872" s="101">
        <v>48000</v>
      </c>
      <c r="M872" s="207"/>
      <c r="N872" s="207"/>
      <c r="O872" s="212"/>
      <c r="P872" s="212"/>
    </row>
    <row r="873" spans="1:16" s="229" customFormat="1" ht="18" customHeight="1" x14ac:dyDescent="0.25">
      <c r="A873" s="154"/>
      <c r="B873" s="617" t="s">
        <v>163</v>
      </c>
      <c r="C873" s="617" t="s">
        <v>1387</v>
      </c>
      <c r="D873" s="131" t="s">
        <v>183</v>
      </c>
      <c r="E873" s="44" t="s">
        <v>182</v>
      </c>
      <c r="F873" s="125"/>
      <c r="G873" s="125"/>
      <c r="H873" s="134"/>
      <c r="I873" s="101">
        <v>58770</v>
      </c>
      <c r="J873" s="102">
        <v>97200</v>
      </c>
      <c r="K873" s="101">
        <v>30786</v>
      </c>
      <c r="L873" s="101">
        <v>100000</v>
      </c>
      <c r="M873" s="207"/>
      <c r="N873" s="207"/>
      <c r="O873" s="212"/>
      <c r="P873" s="212"/>
    </row>
    <row r="874" spans="1:16" s="313" customFormat="1" ht="18" customHeight="1" x14ac:dyDescent="0.25">
      <c r="A874" s="332"/>
      <c r="B874" s="617" t="s">
        <v>163</v>
      </c>
      <c r="C874" s="617" t="s">
        <v>1387</v>
      </c>
      <c r="D874" s="131" t="s">
        <v>183</v>
      </c>
      <c r="E874" s="44" t="s">
        <v>182</v>
      </c>
      <c r="F874" s="113"/>
      <c r="G874" s="113"/>
      <c r="H874" s="113"/>
      <c r="I874" s="101"/>
      <c r="J874" s="102"/>
      <c r="K874" s="101"/>
      <c r="L874" s="101">
        <v>48000</v>
      </c>
      <c r="M874" s="193">
        <f>SUM(L872:L874)</f>
        <v>196000</v>
      </c>
      <c r="N874" s="193"/>
      <c r="O874" s="179"/>
      <c r="P874" s="179"/>
    </row>
    <row r="875" spans="1:16" s="229" customFormat="1" ht="18" customHeight="1" x14ac:dyDescent="0.25">
      <c r="A875" s="154"/>
      <c r="B875" s="617" t="s">
        <v>163</v>
      </c>
      <c r="C875" s="617" t="s">
        <v>1387</v>
      </c>
      <c r="D875" s="131" t="s">
        <v>218</v>
      </c>
      <c r="E875" s="44" t="s">
        <v>472</v>
      </c>
      <c r="F875" s="125"/>
      <c r="G875" s="125"/>
      <c r="H875" s="134"/>
      <c r="I875" s="101">
        <v>6000</v>
      </c>
      <c r="J875" s="102">
        <v>9000</v>
      </c>
      <c r="K875" s="101">
        <v>2625</v>
      </c>
      <c r="L875" s="101">
        <v>9000</v>
      </c>
      <c r="M875" s="207"/>
      <c r="N875" s="207"/>
      <c r="O875" s="212"/>
      <c r="P875" s="212"/>
    </row>
    <row r="876" spans="1:16" s="229" customFormat="1" ht="18" customHeight="1" x14ac:dyDescent="0.25">
      <c r="A876" s="154"/>
      <c r="B876" s="617" t="s">
        <v>163</v>
      </c>
      <c r="C876" s="617" t="s">
        <v>1387</v>
      </c>
      <c r="D876" s="131" t="s">
        <v>187</v>
      </c>
      <c r="E876" s="44" t="s">
        <v>186</v>
      </c>
      <c r="F876" s="113"/>
      <c r="G876" s="113"/>
      <c r="H876" s="114"/>
      <c r="I876" s="101">
        <v>0</v>
      </c>
      <c r="J876" s="102">
        <v>20000</v>
      </c>
      <c r="K876" s="101"/>
      <c r="L876" s="101">
        <v>20000</v>
      </c>
      <c r="M876" s="207"/>
      <c r="N876" s="207"/>
      <c r="O876" s="212"/>
      <c r="P876" s="212"/>
    </row>
    <row r="877" spans="1:16" s="229" customFormat="1" ht="18" customHeight="1" x14ac:dyDescent="0.25">
      <c r="A877" s="154"/>
      <c r="B877" s="617" t="s">
        <v>163</v>
      </c>
      <c r="C877" s="617" t="s">
        <v>1387</v>
      </c>
      <c r="D877" s="131" t="s">
        <v>187</v>
      </c>
      <c r="E877" s="44" t="s">
        <v>186</v>
      </c>
      <c r="F877" s="113"/>
      <c r="G877" s="113"/>
      <c r="H877" s="114"/>
      <c r="I877" s="101">
        <v>0</v>
      </c>
      <c r="J877" s="102">
        <v>5000</v>
      </c>
      <c r="K877" s="101"/>
      <c r="L877" s="102">
        <v>5000</v>
      </c>
      <c r="M877" s="207"/>
      <c r="N877" s="207"/>
      <c r="O877" s="212"/>
      <c r="P877" s="212"/>
    </row>
    <row r="878" spans="1:16" s="229" customFormat="1" ht="18" customHeight="1" x14ac:dyDescent="0.25">
      <c r="A878" s="154"/>
      <c r="B878" s="617" t="s">
        <v>163</v>
      </c>
      <c r="C878" s="617" t="s">
        <v>1387</v>
      </c>
      <c r="D878" s="131" t="s">
        <v>356</v>
      </c>
      <c r="E878" s="44" t="s">
        <v>186</v>
      </c>
      <c r="F878" s="125"/>
      <c r="G878" s="125"/>
      <c r="H878" s="134"/>
      <c r="I878" s="101">
        <v>0</v>
      </c>
      <c r="J878" s="102">
        <v>215000</v>
      </c>
      <c r="K878" s="101">
        <v>771</v>
      </c>
      <c r="L878" s="101">
        <v>250000</v>
      </c>
      <c r="M878" s="207">
        <f>SUM(L876:L878)</f>
        <v>275000</v>
      </c>
      <c r="N878" s="207"/>
      <c r="O878" s="212"/>
      <c r="P878" s="212"/>
    </row>
    <row r="879" spans="1:16" s="229" customFormat="1" ht="18" customHeight="1" x14ac:dyDescent="0.25">
      <c r="A879" s="154"/>
      <c r="B879" s="617" t="s">
        <v>163</v>
      </c>
      <c r="C879" s="617" t="s">
        <v>1387</v>
      </c>
      <c r="D879" s="131" t="s">
        <v>474</v>
      </c>
      <c r="E879" s="44" t="s">
        <v>473</v>
      </c>
      <c r="F879" s="125"/>
      <c r="G879" s="125"/>
      <c r="H879" s="125"/>
      <c r="I879" s="101">
        <v>0</v>
      </c>
      <c r="J879" s="102">
        <v>1000000</v>
      </c>
      <c r="K879" s="101"/>
      <c r="L879" s="101">
        <v>1000000</v>
      </c>
      <c r="M879" s="207"/>
      <c r="N879" s="207"/>
      <c r="O879" s="212"/>
      <c r="P879" s="212"/>
    </row>
    <row r="880" spans="1:16" s="229" customFormat="1" ht="18" customHeight="1" x14ac:dyDescent="0.25">
      <c r="A880" s="154"/>
      <c r="B880" s="617" t="s">
        <v>163</v>
      </c>
      <c r="C880" s="617" t="s">
        <v>1387</v>
      </c>
      <c r="D880" s="131" t="s">
        <v>189</v>
      </c>
      <c r="E880" s="44" t="s">
        <v>188</v>
      </c>
      <c r="F880" s="125"/>
      <c r="G880" s="125"/>
      <c r="H880" s="134"/>
      <c r="I880" s="101">
        <v>0</v>
      </c>
      <c r="J880" s="102">
        <v>105000</v>
      </c>
      <c r="K880" s="101"/>
      <c r="L880" s="101">
        <v>1000000</v>
      </c>
      <c r="M880" s="207"/>
      <c r="N880" s="207"/>
      <c r="O880" s="212"/>
      <c r="P880" s="212"/>
    </row>
    <row r="881" spans="1:16" s="229" customFormat="1" ht="18" customHeight="1" x14ac:dyDescent="0.25">
      <c r="A881" s="154"/>
      <c r="B881" s="617" t="s">
        <v>163</v>
      </c>
      <c r="C881" s="617" t="s">
        <v>1387</v>
      </c>
      <c r="D881" s="131" t="s">
        <v>237</v>
      </c>
      <c r="E881" s="44" t="s">
        <v>439</v>
      </c>
      <c r="F881" s="125"/>
      <c r="G881" s="125"/>
      <c r="H881" s="134"/>
      <c r="I881" s="101">
        <v>0</v>
      </c>
      <c r="J881" s="102">
        <v>10000</v>
      </c>
      <c r="K881" s="101"/>
      <c r="L881" s="101">
        <v>10000</v>
      </c>
      <c r="M881" s="207"/>
      <c r="N881" s="207"/>
      <c r="O881" s="212"/>
      <c r="P881" s="212"/>
    </row>
    <row r="882" spans="1:16" s="229" customFormat="1" ht="18" customHeight="1" x14ac:dyDescent="0.25">
      <c r="A882" s="154"/>
      <c r="B882" s="617" t="s">
        <v>163</v>
      </c>
      <c r="C882" s="617" t="s">
        <v>1387</v>
      </c>
      <c r="D882" s="131" t="s">
        <v>199</v>
      </c>
      <c r="E882" s="44" t="s">
        <v>198</v>
      </c>
      <c r="F882" s="113"/>
      <c r="G882" s="113"/>
      <c r="H882" s="114"/>
      <c r="I882" s="105"/>
      <c r="J882" s="106">
        <v>203519.76</v>
      </c>
      <c r="K882" s="105">
        <v>75348.990000000005</v>
      </c>
      <c r="L882" s="105">
        <v>162024</v>
      </c>
      <c r="M882" s="207"/>
      <c r="N882" s="207"/>
      <c r="O882" s="212"/>
      <c r="P882" s="212"/>
    </row>
    <row r="883" spans="1:16" s="146" customFormat="1" ht="18" customHeight="1" x14ac:dyDescent="0.25">
      <c r="A883" s="615"/>
      <c r="B883" s="617" t="s">
        <v>163</v>
      </c>
      <c r="C883" s="617" t="s">
        <v>1387</v>
      </c>
      <c r="D883" s="131" t="s">
        <v>199</v>
      </c>
      <c r="E883" s="44" t="s">
        <v>198</v>
      </c>
      <c r="F883" s="113"/>
      <c r="G883" s="113"/>
      <c r="H883" s="113"/>
      <c r="I883" s="101">
        <v>0</v>
      </c>
      <c r="J883" s="102">
        <v>5000</v>
      </c>
      <c r="K883" s="101"/>
      <c r="L883" s="102">
        <v>5000</v>
      </c>
      <c r="M883" s="10"/>
      <c r="N883" s="10"/>
      <c r="O883"/>
      <c r="P883"/>
    </row>
    <row r="884" spans="1:16" s="313" customFormat="1" ht="23.25" customHeight="1" x14ac:dyDescent="0.25">
      <c r="A884" s="332"/>
      <c r="B884" s="617" t="s">
        <v>163</v>
      </c>
      <c r="C884" s="617" t="s">
        <v>1387</v>
      </c>
      <c r="D884" s="131" t="s">
        <v>199</v>
      </c>
      <c r="E884" s="44" t="s">
        <v>198</v>
      </c>
      <c r="F884" s="125"/>
      <c r="G884" s="125"/>
      <c r="H884" s="125"/>
      <c r="I884" s="101">
        <v>1551312.8</v>
      </c>
      <c r="J884" s="102">
        <v>2303755</v>
      </c>
      <c r="K884" s="101">
        <v>1093411.57</v>
      </c>
      <c r="L884" s="101">
        <v>5608932.1600000001</v>
      </c>
      <c r="M884" s="193"/>
      <c r="N884" s="193"/>
      <c r="O884" s="179"/>
      <c r="P884" s="179"/>
    </row>
    <row r="885" spans="1:16" s="313" customFormat="1" ht="18" customHeight="1" x14ac:dyDescent="0.25">
      <c r="A885" s="332"/>
      <c r="B885" s="617" t="s">
        <v>163</v>
      </c>
      <c r="C885" s="617" t="s">
        <v>1387</v>
      </c>
      <c r="D885" s="131" t="s">
        <v>199</v>
      </c>
      <c r="E885" s="44" t="s">
        <v>198</v>
      </c>
      <c r="F885" s="113"/>
      <c r="G885" s="113"/>
      <c r="H885" s="113"/>
      <c r="I885" s="101">
        <v>1144445.42</v>
      </c>
      <c r="J885" s="102">
        <v>1051570.6399999999</v>
      </c>
      <c r="K885" s="101">
        <v>246959.51</v>
      </c>
      <c r="L885" s="101">
        <v>963526.56</v>
      </c>
      <c r="M885" s="193">
        <f>SUM(L882:L885)</f>
        <v>6739482.7200000007</v>
      </c>
      <c r="N885" s="193"/>
      <c r="O885" s="179"/>
      <c r="P885" s="179"/>
    </row>
    <row r="886" spans="1:16" s="313" customFormat="1" ht="18" customHeight="1" x14ac:dyDescent="0.25">
      <c r="A886" s="332"/>
      <c r="B886" s="617"/>
      <c r="C886" s="617"/>
      <c r="D886" s="131"/>
      <c r="E886" s="44"/>
      <c r="F886" s="113"/>
      <c r="G886" s="113"/>
      <c r="H886" s="113"/>
      <c r="I886" s="101"/>
      <c r="J886" s="102"/>
      <c r="K886" s="101"/>
      <c r="L886" s="101"/>
      <c r="M886" s="193">
        <f>SUM(L850:L885)</f>
        <v>71861798.719999999</v>
      </c>
      <c r="N886" s="193"/>
      <c r="O886" s="179"/>
      <c r="P886" s="179"/>
    </row>
    <row r="887" spans="1:16" s="313" customFormat="1" ht="18" customHeight="1" x14ac:dyDescent="0.25">
      <c r="A887" s="332"/>
      <c r="B887" s="617"/>
      <c r="C887" s="617"/>
      <c r="D887" s="131"/>
      <c r="E887" s="44"/>
      <c r="F887" s="113"/>
      <c r="G887" s="113"/>
      <c r="H887" s="113"/>
      <c r="I887" s="101"/>
      <c r="J887" s="102"/>
      <c r="K887" s="101"/>
      <c r="L887" s="101"/>
      <c r="M887" s="193"/>
      <c r="N887" s="193"/>
      <c r="O887" s="179"/>
      <c r="P887" s="179"/>
    </row>
    <row r="888" spans="1:16" s="313" customFormat="1" ht="18" customHeight="1" x14ac:dyDescent="0.25">
      <c r="A888" s="332"/>
      <c r="B888" s="617"/>
      <c r="C888" s="617"/>
      <c r="D888" s="131"/>
      <c r="E888" s="44"/>
      <c r="F888" s="113"/>
      <c r="G888" s="113"/>
      <c r="H888" s="113"/>
      <c r="I888" s="101"/>
      <c r="J888" s="102"/>
      <c r="K888" s="101"/>
      <c r="L888" s="101"/>
      <c r="M888" s="193"/>
      <c r="N888" s="193"/>
      <c r="O888" s="179"/>
      <c r="P888" s="179"/>
    </row>
    <row r="889" spans="1:16" s="313" customFormat="1" ht="18" customHeight="1" x14ac:dyDescent="0.25">
      <c r="A889" s="332"/>
      <c r="B889" s="617"/>
      <c r="C889" s="617"/>
      <c r="D889" s="131"/>
      <c r="E889" s="44"/>
      <c r="F889" s="113"/>
      <c r="G889" s="113"/>
      <c r="H889" s="113"/>
      <c r="I889" s="101"/>
      <c r="J889" s="102"/>
      <c r="K889" s="101"/>
      <c r="L889" s="101"/>
      <c r="M889" s="193"/>
      <c r="N889" s="193"/>
      <c r="O889" s="179"/>
      <c r="P889" s="179"/>
    </row>
    <row r="890" spans="1:16" s="313" customFormat="1" ht="18" customHeight="1" x14ac:dyDescent="0.25">
      <c r="A890" s="332"/>
      <c r="B890" s="617"/>
      <c r="C890" s="617"/>
      <c r="D890" s="131"/>
      <c r="E890" s="44"/>
      <c r="F890" s="113"/>
      <c r="G890" s="113"/>
      <c r="H890" s="113"/>
      <c r="I890" s="101"/>
      <c r="J890" s="102"/>
      <c r="K890" s="101"/>
      <c r="L890" s="101"/>
      <c r="M890" s="193"/>
      <c r="N890" s="193"/>
      <c r="O890" s="179"/>
      <c r="P890" s="179"/>
    </row>
    <row r="891" spans="1:16" s="313" customFormat="1" ht="18" customHeight="1" x14ac:dyDescent="0.25">
      <c r="A891" s="332"/>
      <c r="B891" s="617"/>
      <c r="C891" s="617"/>
      <c r="D891" s="131"/>
      <c r="E891" s="231"/>
      <c r="F891" s="617"/>
      <c r="G891" s="617"/>
      <c r="H891" s="617"/>
      <c r="I891" s="101"/>
      <c r="J891" s="102"/>
      <c r="K891" s="101"/>
      <c r="L891" s="101"/>
      <c r="M891" s="193"/>
      <c r="N891" s="193"/>
      <c r="O891" s="179"/>
      <c r="P891" s="179"/>
    </row>
    <row r="892" spans="1:16" s="146" customFormat="1" ht="18" customHeight="1" x14ac:dyDescent="0.25">
      <c r="A892" s="626"/>
      <c r="B892" s="617" t="s">
        <v>123</v>
      </c>
      <c r="C892" s="617" t="s">
        <v>1387</v>
      </c>
      <c r="D892" s="131" t="s">
        <v>125</v>
      </c>
      <c r="E892" s="619" t="s">
        <v>124</v>
      </c>
      <c r="F892" s="612"/>
      <c r="G892" s="612"/>
      <c r="H892" s="612"/>
      <c r="I892" s="101">
        <v>230212</v>
      </c>
      <c r="J892" s="102">
        <v>234156</v>
      </c>
      <c r="K892" s="101">
        <v>142836</v>
      </c>
      <c r="L892" s="101">
        <v>264132</v>
      </c>
      <c r="M892" s="10"/>
      <c r="N892" s="10"/>
      <c r="O892"/>
      <c r="P892"/>
    </row>
    <row r="893" spans="1:16" s="146" customFormat="1" ht="17.45" customHeight="1" x14ac:dyDescent="0.25">
      <c r="A893" s="626"/>
      <c r="B893" s="617" t="s">
        <v>123</v>
      </c>
      <c r="C893" s="617" t="s">
        <v>1387</v>
      </c>
      <c r="D893" s="131" t="s">
        <v>125</v>
      </c>
      <c r="E893" s="619" t="s">
        <v>124</v>
      </c>
      <c r="F893" s="612"/>
      <c r="G893" s="612"/>
      <c r="H893" s="612"/>
      <c r="I893" s="101"/>
      <c r="J893" s="102">
        <v>256836</v>
      </c>
      <c r="K893" s="101"/>
      <c r="L893" s="101">
        <v>286056</v>
      </c>
      <c r="M893" s="10"/>
      <c r="N893" s="10"/>
      <c r="O893"/>
      <c r="P893"/>
    </row>
    <row r="894" spans="1:16" s="146" customFormat="1" ht="18" customHeight="1" x14ac:dyDescent="0.25">
      <c r="A894" s="626"/>
      <c r="B894" s="617" t="s">
        <v>123</v>
      </c>
      <c r="C894" s="617" t="s">
        <v>1387</v>
      </c>
      <c r="D894" s="131" t="s">
        <v>125</v>
      </c>
      <c r="E894" s="619" t="s">
        <v>124</v>
      </c>
      <c r="F894" s="612"/>
      <c r="G894" s="612"/>
      <c r="H894" s="612"/>
      <c r="I894" s="101">
        <v>0</v>
      </c>
      <c r="J894" s="102">
        <v>430092</v>
      </c>
      <c r="K894" s="101"/>
      <c r="L894" s="101">
        <v>472308</v>
      </c>
      <c r="M894" s="10"/>
      <c r="N894" s="10"/>
      <c r="O894"/>
      <c r="P894"/>
    </row>
    <row r="895" spans="1:16" s="229" customFormat="1" ht="18" customHeight="1" x14ac:dyDescent="0.25">
      <c r="A895" s="154"/>
      <c r="B895" s="617" t="s">
        <v>123</v>
      </c>
      <c r="C895" s="617" t="s">
        <v>1387</v>
      </c>
      <c r="D895" s="131" t="s">
        <v>125</v>
      </c>
      <c r="E895" s="618" t="s">
        <v>124</v>
      </c>
      <c r="F895" s="617"/>
      <c r="G895" s="617"/>
      <c r="H895" s="617"/>
      <c r="I895" s="101">
        <v>8637059.4000000004</v>
      </c>
      <c r="J895" s="102">
        <v>11490024</v>
      </c>
      <c r="K895" s="101">
        <v>5343711.7699999996</v>
      </c>
      <c r="L895" s="101">
        <v>12579936</v>
      </c>
      <c r="M895" s="207"/>
      <c r="N895" s="207"/>
      <c r="O895" s="212"/>
      <c r="P895" s="212"/>
    </row>
    <row r="896" spans="1:16" s="208" customFormat="1" ht="18" customHeight="1" x14ac:dyDescent="0.25">
      <c r="A896" s="154"/>
      <c r="B896" s="617" t="s">
        <v>123</v>
      </c>
      <c r="C896" s="617" t="s">
        <v>1387</v>
      </c>
      <c r="D896" s="568" t="s">
        <v>125</v>
      </c>
      <c r="E896" s="618" t="s">
        <v>124</v>
      </c>
      <c r="F896" s="617"/>
      <c r="G896" s="617"/>
      <c r="H896" s="617"/>
      <c r="I896" s="101">
        <v>1624248</v>
      </c>
      <c r="J896" s="233">
        <v>2100000</v>
      </c>
      <c r="K896" s="101">
        <v>1168016.51</v>
      </c>
      <c r="L896" s="101">
        <v>2269440</v>
      </c>
      <c r="M896" s="207">
        <f>SUM(L892:L896)</f>
        <v>15871872</v>
      </c>
      <c r="N896" s="207"/>
    </row>
    <row r="897" spans="1:16" s="146" customFormat="1" x14ac:dyDescent="0.25">
      <c r="A897" s="615"/>
      <c r="B897" s="617" t="s">
        <v>123</v>
      </c>
      <c r="C897" s="617" t="s">
        <v>1387</v>
      </c>
      <c r="D897" s="132" t="s">
        <v>1389</v>
      </c>
      <c r="E897" s="618" t="s">
        <v>128</v>
      </c>
      <c r="F897" s="617"/>
      <c r="G897" s="617"/>
      <c r="H897" s="611"/>
      <c r="I897" s="101">
        <v>0</v>
      </c>
      <c r="J897" s="122">
        <v>29481</v>
      </c>
      <c r="K897" s="101"/>
      <c r="L897" s="101">
        <v>24171.919999999998</v>
      </c>
      <c r="M897" s="10"/>
      <c r="N897" s="10"/>
      <c r="O897"/>
      <c r="P897"/>
    </row>
    <row r="898" spans="1:16" s="146" customFormat="1" ht="18" customHeight="1" x14ac:dyDescent="0.25">
      <c r="A898" s="626"/>
      <c r="B898" s="617" t="s">
        <v>123</v>
      </c>
      <c r="C898" s="617" t="s">
        <v>1387</v>
      </c>
      <c r="D898" s="132" t="s">
        <v>1389</v>
      </c>
      <c r="E898" s="618" t="s">
        <v>128</v>
      </c>
      <c r="F898" s="617"/>
      <c r="G898" s="617"/>
      <c r="H898" s="611"/>
      <c r="I898" s="101"/>
      <c r="J898" s="102">
        <v>4395</v>
      </c>
      <c r="K898" s="101"/>
      <c r="L898" s="101">
        <v>3173.91</v>
      </c>
      <c r="M898" s="10">
        <f>SUM(L897:L898)</f>
        <v>27345.829999999998</v>
      </c>
      <c r="N898" s="10"/>
      <c r="O898"/>
      <c r="P898"/>
    </row>
    <row r="899" spans="1:16" s="48" customFormat="1" ht="18" customHeight="1" x14ac:dyDescent="0.25">
      <c r="A899" s="626"/>
      <c r="B899" s="617" t="s">
        <v>123</v>
      </c>
      <c r="C899" s="617" t="s">
        <v>1387</v>
      </c>
      <c r="D899" s="131" t="s">
        <v>127</v>
      </c>
      <c r="E899" s="619" t="s">
        <v>126</v>
      </c>
      <c r="F899" s="612"/>
      <c r="G899" s="612"/>
      <c r="H899" s="612"/>
      <c r="I899" s="101"/>
      <c r="J899" s="102">
        <v>312456</v>
      </c>
      <c r="K899" s="101"/>
      <c r="L899" s="101">
        <v>339000</v>
      </c>
      <c r="M899" s="6"/>
      <c r="N899" s="6"/>
    </row>
    <row r="900" spans="1:16" s="146" customFormat="1" ht="18" customHeight="1" x14ac:dyDescent="0.25">
      <c r="A900" s="615"/>
      <c r="B900" s="617" t="s">
        <v>123</v>
      </c>
      <c r="C900" s="617" t="s">
        <v>1387</v>
      </c>
      <c r="D900" s="131" t="s">
        <v>132</v>
      </c>
      <c r="E900" s="636" t="s">
        <v>126</v>
      </c>
      <c r="F900" s="617"/>
      <c r="G900" s="617"/>
      <c r="H900" s="617"/>
      <c r="I900" s="101"/>
      <c r="J900" s="102">
        <v>132552</v>
      </c>
      <c r="K900" s="101">
        <v>70776.45</v>
      </c>
      <c r="L900" s="101">
        <v>143928</v>
      </c>
      <c r="M900" s="10"/>
      <c r="N900" s="10"/>
      <c r="O900"/>
      <c r="P900"/>
    </row>
    <row r="901" spans="1:16" s="48" customFormat="1" ht="18" customHeight="1" x14ac:dyDescent="0.25">
      <c r="A901" s="154"/>
      <c r="B901" s="617" t="s">
        <v>123</v>
      </c>
      <c r="C901" s="617" t="s">
        <v>1387</v>
      </c>
      <c r="D901" s="131" t="s">
        <v>127</v>
      </c>
      <c r="E901" s="618" t="s">
        <v>126</v>
      </c>
      <c r="F901" s="617"/>
      <c r="G901" s="617"/>
      <c r="H901" s="611"/>
      <c r="I901" s="101">
        <v>580029.81999999995</v>
      </c>
      <c r="J901" s="102">
        <v>680340</v>
      </c>
      <c r="K901" s="101">
        <v>286774.40000000002</v>
      </c>
      <c r="L901" s="102">
        <v>750636</v>
      </c>
      <c r="M901" s="6">
        <f>SUM(L899:L901)</f>
        <v>1233564</v>
      </c>
      <c r="N901" s="6"/>
    </row>
    <row r="902" spans="1:16" s="136" customFormat="1" ht="18" customHeight="1" x14ac:dyDescent="0.25">
      <c r="A902" s="626"/>
      <c r="B902" s="617" t="s">
        <v>123</v>
      </c>
      <c r="C902" s="617" t="s">
        <v>1387</v>
      </c>
      <c r="D902" s="132" t="s">
        <v>130</v>
      </c>
      <c r="E902" s="618" t="s">
        <v>129</v>
      </c>
      <c r="F902" s="617"/>
      <c r="G902" s="617"/>
      <c r="H902" s="617"/>
      <c r="I902" s="101">
        <v>24000</v>
      </c>
      <c r="J902" s="102">
        <v>24000</v>
      </c>
      <c r="K902" s="101">
        <v>14000</v>
      </c>
      <c r="L902" s="101">
        <v>24000</v>
      </c>
      <c r="M902" s="6"/>
      <c r="N902" s="6"/>
    </row>
    <row r="903" spans="1:16" ht="18" customHeight="1" x14ac:dyDescent="0.25">
      <c r="A903" s="626"/>
      <c r="B903" s="617" t="s">
        <v>123</v>
      </c>
      <c r="C903" s="617" t="s">
        <v>1387</v>
      </c>
      <c r="D903" s="132" t="s">
        <v>130</v>
      </c>
      <c r="E903" s="619" t="s">
        <v>129</v>
      </c>
      <c r="F903" s="612"/>
      <c r="G903" s="612"/>
      <c r="H903" s="612"/>
      <c r="I903" s="101"/>
      <c r="J903" s="102">
        <v>48000</v>
      </c>
      <c r="K903" s="101">
        <v>12181.81</v>
      </c>
      <c r="L903" s="101">
        <v>48000</v>
      </c>
    </row>
    <row r="904" spans="1:16" ht="18" customHeight="1" x14ac:dyDescent="0.25">
      <c r="A904" s="626"/>
      <c r="B904" s="617" t="s">
        <v>123</v>
      </c>
      <c r="C904" s="617" t="s">
        <v>1387</v>
      </c>
      <c r="D904" s="132" t="s">
        <v>130</v>
      </c>
      <c r="E904" s="618" t="s">
        <v>129</v>
      </c>
      <c r="F904" s="617"/>
      <c r="G904" s="617"/>
      <c r="H904" s="611"/>
      <c r="I904" s="101">
        <v>0</v>
      </c>
      <c r="J904" s="102">
        <v>48000</v>
      </c>
      <c r="K904" s="101"/>
      <c r="L904" s="101">
        <v>48000</v>
      </c>
    </row>
    <row r="905" spans="1:16" s="313" customFormat="1" ht="18" customHeight="1" x14ac:dyDescent="0.25">
      <c r="A905" s="332"/>
      <c r="B905" s="617" t="s">
        <v>123</v>
      </c>
      <c r="C905" s="617" t="s">
        <v>1387</v>
      </c>
      <c r="D905" s="132" t="s">
        <v>130</v>
      </c>
      <c r="E905" s="618" t="s">
        <v>129</v>
      </c>
      <c r="F905" s="617"/>
      <c r="G905" s="617"/>
      <c r="H905" s="617"/>
      <c r="I905" s="101">
        <v>671817.99</v>
      </c>
      <c r="J905" s="102">
        <v>864000</v>
      </c>
      <c r="K905" s="101">
        <v>400909.09</v>
      </c>
      <c r="L905" s="101">
        <v>864000</v>
      </c>
      <c r="M905" s="193"/>
      <c r="N905" s="193"/>
      <c r="O905" s="179"/>
      <c r="P905" s="179"/>
    </row>
    <row r="906" spans="1:16" s="146" customFormat="1" ht="18" customHeight="1" x14ac:dyDescent="0.25">
      <c r="A906" s="615"/>
      <c r="B906" s="617" t="s">
        <v>123</v>
      </c>
      <c r="C906" s="617" t="s">
        <v>1387</v>
      </c>
      <c r="D906" s="132" t="s">
        <v>130</v>
      </c>
      <c r="E906" s="618" t="s">
        <v>129</v>
      </c>
      <c r="F906" s="617"/>
      <c r="G906" s="617"/>
      <c r="H906" s="617"/>
      <c r="I906" s="101">
        <v>162453.68</v>
      </c>
      <c r="J906" s="102">
        <v>264000</v>
      </c>
      <c r="K906" s="101">
        <v>124727.25</v>
      </c>
      <c r="L906" s="101">
        <v>264000</v>
      </c>
      <c r="M906" s="10">
        <f>SUM(L902:L906)</f>
        <v>1248000</v>
      </c>
      <c r="N906" s="10"/>
      <c r="O906"/>
      <c r="P906"/>
    </row>
    <row r="907" spans="1:16" s="146" customFormat="1" ht="18" customHeight="1" x14ac:dyDescent="0.25">
      <c r="A907" s="615"/>
      <c r="B907" s="617" t="s">
        <v>123</v>
      </c>
      <c r="C907" s="617" t="s">
        <v>1387</v>
      </c>
      <c r="D907" s="131" t="s">
        <v>132</v>
      </c>
      <c r="E907" s="618" t="s">
        <v>131</v>
      </c>
      <c r="F907" s="617"/>
      <c r="G907" s="617"/>
      <c r="H907" s="617"/>
      <c r="I907" s="101">
        <v>72000</v>
      </c>
      <c r="J907" s="102">
        <v>85200</v>
      </c>
      <c r="K907" s="101">
        <v>37500</v>
      </c>
      <c r="L907" s="101">
        <v>85200</v>
      </c>
      <c r="M907" s="10"/>
      <c r="N907" s="10"/>
      <c r="O907"/>
      <c r="P907"/>
    </row>
    <row r="908" spans="1:16" s="146" customFormat="1" ht="39.75" customHeight="1" x14ac:dyDescent="0.25">
      <c r="A908" s="615"/>
      <c r="B908" s="617" t="s">
        <v>123</v>
      </c>
      <c r="C908" s="617" t="s">
        <v>1387</v>
      </c>
      <c r="D908" s="131" t="s">
        <v>132</v>
      </c>
      <c r="E908" s="618" t="s">
        <v>131</v>
      </c>
      <c r="F908" s="617"/>
      <c r="G908" s="617"/>
      <c r="H908" s="617"/>
      <c r="I908" s="101">
        <v>72000</v>
      </c>
      <c r="J908" s="102">
        <v>72000</v>
      </c>
      <c r="K908" s="101">
        <v>39000</v>
      </c>
      <c r="L908" s="101">
        <v>72000</v>
      </c>
      <c r="M908" s="10">
        <f>SUM(L907:L908)</f>
        <v>157200</v>
      </c>
      <c r="N908" s="10"/>
      <c r="O908"/>
      <c r="P908"/>
    </row>
    <row r="909" spans="1:16" s="146" customFormat="1" ht="18" customHeight="1" x14ac:dyDescent="0.25">
      <c r="A909" s="615"/>
      <c r="B909" s="617" t="s">
        <v>123</v>
      </c>
      <c r="C909" s="617" t="s">
        <v>1387</v>
      </c>
      <c r="D909" s="131" t="s">
        <v>134</v>
      </c>
      <c r="E909" s="618" t="s">
        <v>133</v>
      </c>
      <c r="F909" s="617"/>
      <c r="G909" s="617"/>
      <c r="H909" s="617"/>
      <c r="I909" s="101">
        <v>72000</v>
      </c>
      <c r="J909" s="102">
        <v>85200</v>
      </c>
      <c r="K909" s="101">
        <v>37500</v>
      </c>
      <c r="L909" s="101">
        <v>85200</v>
      </c>
      <c r="M909" s="10"/>
      <c r="N909" s="10"/>
      <c r="O909"/>
      <c r="P909"/>
    </row>
    <row r="910" spans="1:16" s="313" customFormat="1" ht="36.75" customHeight="1" x14ac:dyDescent="0.25">
      <c r="A910" s="332"/>
      <c r="B910" s="617" t="s">
        <v>123</v>
      </c>
      <c r="C910" s="617" t="s">
        <v>1387</v>
      </c>
      <c r="D910" s="131" t="s">
        <v>134</v>
      </c>
      <c r="E910" s="618" t="s">
        <v>133</v>
      </c>
      <c r="F910" s="617"/>
      <c r="G910" s="617"/>
      <c r="H910" s="617"/>
      <c r="I910" s="101">
        <v>72000</v>
      </c>
      <c r="J910" s="102">
        <v>72000</v>
      </c>
      <c r="K910" s="101">
        <v>39000</v>
      </c>
      <c r="L910" s="101">
        <v>72000</v>
      </c>
      <c r="M910" s="193">
        <f>SUM(L909:L910)</f>
        <v>157200</v>
      </c>
      <c r="N910" s="193"/>
      <c r="O910" s="179"/>
      <c r="P910" s="179"/>
    </row>
    <row r="911" spans="1:16" s="146" customFormat="1" x14ac:dyDescent="0.25">
      <c r="A911" s="626"/>
      <c r="B911" s="617" t="s">
        <v>123</v>
      </c>
      <c r="C911" s="617" t="s">
        <v>1387</v>
      </c>
      <c r="D911" s="131" t="s">
        <v>138</v>
      </c>
      <c r="E911" s="618" t="s">
        <v>137</v>
      </c>
      <c r="F911" s="611"/>
      <c r="G911" s="612"/>
      <c r="H911" s="612"/>
      <c r="I911" s="101">
        <v>6000</v>
      </c>
      <c r="J911" s="102">
        <v>6000</v>
      </c>
      <c r="K911" s="101">
        <v>6000</v>
      </c>
      <c r="L911" s="101">
        <v>6000</v>
      </c>
      <c r="M911" s="10"/>
      <c r="N911" s="10"/>
      <c r="O911"/>
      <c r="P911"/>
    </row>
    <row r="912" spans="1:16" s="146" customFormat="1" ht="36.75" customHeight="1" x14ac:dyDescent="0.25">
      <c r="A912" s="615"/>
      <c r="B912" s="617" t="s">
        <v>123</v>
      </c>
      <c r="C912" s="617" t="s">
        <v>1387</v>
      </c>
      <c r="D912" s="131" t="s">
        <v>138</v>
      </c>
      <c r="E912" s="618" t="s">
        <v>137</v>
      </c>
      <c r="F912" s="617"/>
      <c r="G912" s="617"/>
      <c r="H912" s="617"/>
      <c r="I912" s="101"/>
      <c r="J912" s="102">
        <v>12000</v>
      </c>
      <c r="K912" s="101">
        <v>6000</v>
      </c>
      <c r="L912" s="101">
        <v>12000</v>
      </c>
      <c r="M912" s="10"/>
      <c r="N912" s="10"/>
      <c r="O912"/>
      <c r="P912"/>
    </row>
    <row r="913" spans="1:16" s="146" customFormat="1" ht="18" customHeight="1" x14ac:dyDescent="0.25">
      <c r="A913" s="615"/>
      <c r="B913" s="617" t="s">
        <v>123</v>
      </c>
      <c r="C913" s="617" t="s">
        <v>1387</v>
      </c>
      <c r="D913" s="131" t="s">
        <v>138</v>
      </c>
      <c r="E913" s="618" t="s">
        <v>137</v>
      </c>
      <c r="F913" s="617"/>
      <c r="G913" s="617"/>
      <c r="H913" s="617"/>
      <c r="I913" s="101">
        <v>0</v>
      </c>
      <c r="J913" s="102">
        <v>12000</v>
      </c>
      <c r="K913" s="101"/>
      <c r="L913" s="101">
        <v>12000</v>
      </c>
      <c r="M913" s="10"/>
      <c r="N913" s="10"/>
      <c r="O913"/>
      <c r="P913"/>
    </row>
    <row r="914" spans="1:16" s="146" customFormat="1" ht="18" customHeight="1" x14ac:dyDescent="0.25">
      <c r="A914" s="615"/>
      <c r="B914" s="617" t="s">
        <v>123</v>
      </c>
      <c r="C914" s="617" t="s">
        <v>1387</v>
      </c>
      <c r="D914" s="131" t="s">
        <v>138</v>
      </c>
      <c r="E914" s="618" t="s">
        <v>137</v>
      </c>
      <c r="F914" s="617"/>
      <c r="G914" s="617"/>
      <c r="H914" s="617"/>
      <c r="I914" s="101">
        <v>168000</v>
      </c>
      <c r="J914" s="102">
        <v>216000</v>
      </c>
      <c r="K914" s="101">
        <v>168000</v>
      </c>
      <c r="L914" s="105">
        <v>216000</v>
      </c>
      <c r="M914" s="10"/>
      <c r="N914" s="10"/>
      <c r="O914"/>
      <c r="P914"/>
    </row>
    <row r="915" spans="1:16" s="146" customFormat="1" ht="18" customHeight="1" x14ac:dyDescent="0.25">
      <c r="A915" s="626"/>
      <c r="B915" s="617" t="s">
        <v>123</v>
      </c>
      <c r="C915" s="617" t="s">
        <v>1387</v>
      </c>
      <c r="D915" s="131" t="s">
        <v>138</v>
      </c>
      <c r="E915" s="619" t="s">
        <v>137</v>
      </c>
      <c r="F915" s="612"/>
      <c r="G915" s="612"/>
      <c r="H915" s="612"/>
      <c r="I915" s="101">
        <v>30000</v>
      </c>
      <c r="J915" s="102">
        <v>66000</v>
      </c>
      <c r="K915" s="101">
        <v>48000</v>
      </c>
      <c r="L915" s="101">
        <v>66000</v>
      </c>
      <c r="M915" s="10">
        <f>SUM(L911:L915)</f>
        <v>312000</v>
      </c>
      <c r="N915" s="10"/>
      <c r="O915"/>
      <c r="P915"/>
    </row>
    <row r="916" spans="1:16" s="146" customFormat="1" ht="18" customHeight="1" x14ac:dyDescent="0.25">
      <c r="A916" s="626"/>
      <c r="B916" s="617" t="s">
        <v>123</v>
      </c>
      <c r="C916" s="617" t="s">
        <v>1387</v>
      </c>
      <c r="D916" s="131" t="s">
        <v>464</v>
      </c>
      <c r="E916" s="619" t="s">
        <v>210</v>
      </c>
      <c r="F916" s="614"/>
      <c r="G916" s="614"/>
      <c r="H916" s="614"/>
      <c r="I916" s="101">
        <v>335350</v>
      </c>
      <c r="J916" s="102">
        <v>612000</v>
      </c>
      <c r="K916" s="101">
        <v>118850</v>
      </c>
      <c r="L916" s="101">
        <v>612000</v>
      </c>
      <c r="M916" s="10"/>
      <c r="N916" s="10"/>
      <c r="O916"/>
      <c r="P916"/>
    </row>
    <row r="917" spans="1:16" s="146" customFormat="1" ht="18" customHeight="1" x14ac:dyDescent="0.25">
      <c r="A917" s="626"/>
      <c r="B917" s="617" t="s">
        <v>123</v>
      </c>
      <c r="C917" s="617" t="s">
        <v>1387</v>
      </c>
      <c r="D917" s="131" t="s">
        <v>464</v>
      </c>
      <c r="E917" s="619" t="s">
        <v>210</v>
      </c>
      <c r="F917" s="612"/>
      <c r="G917" s="612"/>
      <c r="H917" s="612"/>
      <c r="I917" s="101">
        <v>21150</v>
      </c>
      <c r="J917" s="102">
        <v>54000</v>
      </c>
      <c r="K917" s="101">
        <v>8450</v>
      </c>
      <c r="L917" s="101">
        <v>54000</v>
      </c>
      <c r="M917" s="10">
        <f>SUM(L916:L917)</f>
        <v>666000</v>
      </c>
      <c r="N917" s="10"/>
      <c r="O917"/>
      <c r="P917"/>
    </row>
    <row r="918" spans="1:16" s="146" customFormat="1" x14ac:dyDescent="0.25">
      <c r="A918" s="626"/>
      <c r="B918" s="617" t="s">
        <v>123</v>
      </c>
      <c r="C918" s="617" t="s">
        <v>1387</v>
      </c>
      <c r="D918" s="131" t="s">
        <v>212</v>
      </c>
      <c r="E918" s="619" t="s">
        <v>211</v>
      </c>
      <c r="F918" s="612"/>
      <c r="G918" s="612"/>
      <c r="H918" s="612"/>
      <c r="I918" s="101">
        <v>46733.08</v>
      </c>
      <c r="J918" s="102">
        <v>61200</v>
      </c>
      <c r="K918" s="101">
        <v>16654.900000000001</v>
      </c>
      <c r="L918" s="101">
        <v>61200</v>
      </c>
      <c r="M918" s="10">
        <f>L918</f>
        <v>61200</v>
      </c>
      <c r="N918" s="10"/>
      <c r="O918"/>
      <c r="P918"/>
    </row>
    <row r="919" spans="1:16" s="146" customFormat="1" ht="18" customHeight="1" x14ac:dyDescent="0.25">
      <c r="A919" s="626"/>
      <c r="B919" s="617" t="s">
        <v>123</v>
      </c>
      <c r="C919" s="617" t="s">
        <v>1387</v>
      </c>
      <c r="D919" s="131" t="s">
        <v>146</v>
      </c>
      <c r="E919" s="619" t="s">
        <v>145</v>
      </c>
      <c r="F919" s="612"/>
      <c r="G919" s="612"/>
      <c r="H919" s="612"/>
      <c r="I919" s="101">
        <v>5000</v>
      </c>
      <c r="J919" s="102">
        <v>5000</v>
      </c>
      <c r="K919" s="101"/>
      <c r="L919" s="101">
        <v>5000</v>
      </c>
      <c r="M919" s="10"/>
      <c r="N919" s="10"/>
      <c r="O919"/>
      <c r="P919"/>
    </row>
    <row r="920" spans="1:16" s="146" customFormat="1" ht="18" customHeight="1" x14ac:dyDescent="0.25">
      <c r="A920" s="626"/>
      <c r="B920" s="617" t="s">
        <v>123</v>
      </c>
      <c r="C920" s="617" t="s">
        <v>1387</v>
      </c>
      <c r="D920" s="131" t="s">
        <v>146</v>
      </c>
      <c r="E920" s="619" t="s">
        <v>145</v>
      </c>
      <c r="F920" s="612"/>
      <c r="G920" s="612"/>
      <c r="H920" s="612"/>
      <c r="I920" s="101"/>
      <c r="J920" s="102">
        <v>10000</v>
      </c>
      <c r="K920" s="101"/>
      <c r="L920" s="101">
        <v>10000</v>
      </c>
      <c r="M920" s="10"/>
      <c r="N920" s="10"/>
      <c r="O920"/>
      <c r="P920"/>
    </row>
    <row r="921" spans="1:16" ht="18" customHeight="1" x14ac:dyDescent="0.25">
      <c r="A921" s="626"/>
      <c r="B921" s="617" t="s">
        <v>123</v>
      </c>
      <c r="C921" s="617" t="s">
        <v>1387</v>
      </c>
      <c r="D921" s="131" t="s">
        <v>146</v>
      </c>
      <c r="E921" s="619" t="s">
        <v>145</v>
      </c>
      <c r="F921" s="612"/>
      <c r="G921" s="612"/>
      <c r="H921" s="612"/>
      <c r="I921" s="101">
        <v>0</v>
      </c>
      <c r="J921" s="102">
        <v>10000</v>
      </c>
      <c r="K921" s="101"/>
      <c r="L921" s="101">
        <v>10000</v>
      </c>
    </row>
    <row r="922" spans="1:16" x14ac:dyDescent="0.25">
      <c r="A922" s="626"/>
      <c r="B922" s="617" t="s">
        <v>123</v>
      </c>
      <c r="C922" s="617" t="s">
        <v>1387</v>
      </c>
      <c r="D922" s="131" t="s">
        <v>146</v>
      </c>
      <c r="E922" s="619" t="s">
        <v>145</v>
      </c>
      <c r="F922" s="612"/>
      <c r="G922" s="612"/>
      <c r="H922" s="612"/>
      <c r="I922" s="101">
        <v>140000</v>
      </c>
      <c r="J922" s="102">
        <v>180000</v>
      </c>
      <c r="K922" s="101"/>
      <c r="L922" s="101">
        <v>180000</v>
      </c>
    </row>
    <row r="923" spans="1:16" ht="18" customHeight="1" x14ac:dyDescent="0.25">
      <c r="A923" s="626"/>
      <c r="B923" s="617" t="s">
        <v>123</v>
      </c>
      <c r="C923" s="617" t="s">
        <v>1387</v>
      </c>
      <c r="D923" s="131" t="s">
        <v>146</v>
      </c>
      <c r="E923" s="619" t="s">
        <v>145</v>
      </c>
      <c r="F923" s="612"/>
      <c r="G923" s="612"/>
      <c r="H923" s="612"/>
      <c r="I923" s="101">
        <v>40000</v>
      </c>
      <c r="J923" s="102">
        <v>55000</v>
      </c>
      <c r="K923" s="101"/>
      <c r="L923" s="101">
        <v>55000</v>
      </c>
      <c r="M923" s="10">
        <f>SUM(L919:L923)</f>
        <v>260000</v>
      </c>
    </row>
    <row r="924" spans="1:16" x14ac:dyDescent="0.25">
      <c r="A924" s="626"/>
      <c r="B924" s="617" t="s">
        <v>123</v>
      </c>
      <c r="C924" s="617" t="s">
        <v>1387</v>
      </c>
      <c r="D924" s="131" t="s">
        <v>228</v>
      </c>
      <c r="E924" s="618" t="s">
        <v>227</v>
      </c>
      <c r="F924" s="617"/>
      <c r="G924" s="617"/>
      <c r="H924" s="617"/>
      <c r="I924" s="101"/>
      <c r="J924" s="102"/>
      <c r="K924" s="101"/>
      <c r="L924" s="101">
        <v>48000</v>
      </c>
    </row>
    <row r="925" spans="1:16" x14ac:dyDescent="0.25">
      <c r="A925" s="626"/>
      <c r="B925" s="617" t="s">
        <v>123</v>
      </c>
      <c r="C925" s="617" t="s">
        <v>1387</v>
      </c>
      <c r="D925" s="131" t="s">
        <v>150</v>
      </c>
      <c r="E925" s="618" t="s">
        <v>149</v>
      </c>
      <c r="F925" s="617"/>
      <c r="G925" s="617"/>
      <c r="H925" s="617"/>
      <c r="I925" s="101">
        <v>2069070.65</v>
      </c>
      <c r="J925" s="102">
        <v>2524277.9700000002</v>
      </c>
      <c r="K925" s="101">
        <v>871451.5</v>
      </c>
      <c r="L925" s="101">
        <v>2810470.58</v>
      </c>
      <c r="M925" s="10">
        <f>L925</f>
        <v>2810470.58</v>
      </c>
    </row>
    <row r="926" spans="1:16" s="146" customFormat="1" ht="18" customHeight="1" x14ac:dyDescent="0.25">
      <c r="A926" s="626"/>
      <c r="B926" s="617" t="s">
        <v>123</v>
      </c>
      <c r="C926" s="617" t="s">
        <v>1387</v>
      </c>
      <c r="D926" s="131" t="s">
        <v>232</v>
      </c>
      <c r="E926" s="618" t="s">
        <v>231</v>
      </c>
      <c r="F926" s="617"/>
      <c r="G926" s="617"/>
      <c r="H926" s="611"/>
      <c r="I926" s="101"/>
      <c r="J926" s="102">
        <v>20000</v>
      </c>
      <c r="K926" s="101"/>
      <c r="L926" s="101">
        <v>20000</v>
      </c>
      <c r="M926" s="10"/>
      <c r="N926" s="10"/>
      <c r="O926"/>
      <c r="P926"/>
    </row>
    <row r="927" spans="1:16" s="146" customFormat="1" ht="18" customHeight="1" x14ac:dyDescent="0.25">
      <c r="A927" s="626"/>
      <c r="B927" s="617" t="s">
        <v>123</v>
      </c>
      <c r="C927" s="617" t="s">
        <v>1387</v>
      </c>
      <c r="D927" s="131" t="s">
        <v>232</v>
      </c>
      <c r="E927" s="618" t="s">
        <v>231</v>
      </c>
      <c r="F927" s="617"/>
      <c r="G927" s="617"/>
      <c r="H927" s="611"/>
      <c r="I927" s="101">
        <v>0</v>
      </c>
      <c r="J927" s="102">
        <v>0</v>
      </c>
      <c r="K927" s="101"/>
      <c r="L927" s="101">
        <v>10000</v>
      </c>
      <c r="M927" s="10">
        <f>SUM(L926:L927)</f>
        <v>30000</v>
      </c>
      <c r="N927" s="10"/>
      <c r="O927"/>
      <c r="P927"/>
    </row>
    <row r="928" spans="1:16" s="146" customFormat="1" x14ac:dyDescent="0.25">
      <c r="A928" s="626"/>
      <c r="B928" s="617" t="s">
        <v>123</v>
      </c>
      <c r="C928" s="617" t="s">
        <v>1387</v>
      </c>
      <c r="D928" s="131" t="s">
        <v>136</v>
      </c>
      <c r="E928" s="618" t="s">
        <v>135</v>
      </c>
      <c r="F928" s="617"/>
      <c r="G928" s="617"/>
      <c r="H928" s="611"/>
      <c r="I928" s="101">
        <v>630991.15</v>
      </c>
      <c r="J928" s="102"/>
      <c r="K928" s="101">
        <v>56896.5</v>
      </c>
      <c r="L928" s="101">
        <v>700000</v>
      </c>
      <c r="M928" s="10"/>
      <c r="N928" s="10"/>
      <c r="O928"/>
      <c r="P928"/>
    </row>
    <row r="929" spans="1:16" s="146" customFormat="1" ht="18" customHeight="1" x14ac:dyDescent="0.25">
      <c r="A929" s="626"/>
      <c r="B929" s="617" t="s">
        <v>123</v>
      </c>
      <c r="C929" s="617" t="s">
        <v>1387</v>
      </c>
      <c r="D929" s="131" t="s">
        <v>136</v>
      </c>
      <c r="E929" s="618" t="s">
        <v>135</v>
      </c>
      <c r="F929" s="617"/>
      <c r="G929" s="617"/>
      <c r="H929" s="611"/>
      <c r="I929" s="101">
        <v>56675.87</v>
      </c>
      <c r="J929" s="102">
        <v>320640</v>
      </c>
      <c r="K929" s="101">
        <v>2720.98</v>
      </c>
      <c r="L929" s="102">
        <v>320640</v>
      </c>
      <c r="M929" s="10">
        <f>SUM(L928:L929)</f>
        <v>1020640</v>
      </c>
      <c r="N929" s="10"/>
      <c r="O929"/>
      <c r="P929"/>
    </row>
    <row r="930" spans="1:16" s="146" customFormat="1" ht="18" customHeight="1" x14ac:dyDescent="0.25">
      <c r="A930" s="626"/>
      <c r="B930" s="617" t="s">
        <v>123</v>
      </c>
      <c r="C930" s="617" t="s">
        <v>1387</v>
      </c>
      <c r="D930" s="131" t="s">
        <v>142</v>
      </c>
      <c r="E930" s="619" t="s">
        <v>141</v>
      </c>
      <c r="F930" s="612"/>
      <c r="G930" s="612"/>
      <c r="H930" s="612"/>
      <c r="I930" s="101">
        <v>19513</v>
      </c>
      <c r="J930" s="102">
        <v>19513</v>
      </c>
      <c r="K930" s="101"/>
      <c r="L930" s="101">
        <v>22011</v>
      </c>
      <c r="M930" s="10"/>
      <c r="N930" s="10"/>
      <c r="O930"/>
      <c r="P930"/>
    </row>
    <row r="931" spans="1:16" ht="18" customHeight="1" x14ac:dyDescent="0.25">
      <c r="A931" s="626"/>
      <c r="B931" s="617" t="s">
        <v>123</v>
      </c>
      <c r="C931" s="617" t="s">
        <v>1387</v>
      </c>
      <c r="D931" s="131" t="s">
        <v>142</v>
      </c>
      <c r="E931" s="618" t="s">
        <v>141</v>
      </c>
      <c r="F931" s="617"/>
      <c r="G931" s="617"/>
      <c r="H931" s="611"/>
      <c r="I931" s="101"/>
      <c r="J931" s="102">
        <v>32449</v>
      </c>
      <c r="K931" s="101"/>
      <c r="L931" s="101">
        <v>35832</v>
      </c>
    </row>
    <row r="932" spans="1:16" ht="18" customHeight="1" x14ac:dyDescent="0.25">
      <c r="A932" s="626"/>
      <c r="B932" s="617" t="s">
        <v>123</v>
      </c>
      <c r="C932" s="617" t="s">
        <v>1387</v>
      </c>
      <c r="D932" s="131" t="s">
        <v>142</v>
      </c>
      <c r="E932" s="619" t="s">
        <v>141</v>
      </c>
      <c r="F932" s="612"/>
      <c r="G932" s="612"/>
      <c r="H932" s="612"/>
      <c r="I932" s="101">
        <v>0</v>
      </c>
      <c r="J932" s="102">
        <v>35841</v>
      </c>
      <c r="K932" s="101"/>
      <c r="L932" s="101">
        <v>37599</v>
      </c>
    </row>
    <row r="933" spans="1:16" ht="18" customHeight="1" x14ac:dyDescent="0.25">
      <c r="A933" s="626"/>
      <c r="B933" s="617" t="s">
        <v>123</v>
      </c>
      <c r="C933" s="617" t="s">
        <v>1387</v>
      </c>
      <c r="D933" s="131" t="s">
        <v>142</v>
      </c>
      <c r="E933" s="619" t="s">
        <v>141</v>
      </c>
      <c r="F933" s="612"/>
      <c r="G933" s="612"/>
      <c r="H933" s="612"/>
      <c r="I933" s="101">
        <v>719969</v>
      </c>
      <c r="J933" s="102">
        <v>986788</v>
      </c>
      <c r="K933" s="101"/>
      <c r="L933" s="101">
        <v>1078936</v>
      </c>
    </row>
    <row r="934" spans="1:16" ht="18" customHeight="1" x14ac:dyDescent="0.25">
      <c r="A934" s="626"/>
      <c r="B934" s="617" t="s">
        <v>123</v>
      </c>
      <c r="C934" s="617" t="s">
        <v>1387</v>
      </c>
      <c r="D934" s="131" t="s">
        <v>142</v>
      </c>
      <c r="E934" s="619" t="s">
        <v>141</v>
      </c>
      <c r="F934" s="612"/>
      <c r="G934" s="612"/>
      <c r="H934" s="612"/>
      <c r="I934" s="101">
        <v>179630</v>
      </c>
      <c r="J934" s="102">
        <v>231821</v>
      </c>
      <c r="K934" s="101"/>
      <c r="L934" s="105">
        <v>251998</v>
      </c>
      <c r="M934" s="10">
        <f>SUM(L930:L934)</f>
        <v>1426376</v>
      </c>
    </row>
    <row r="935" spans="1:16" s="212" customFormat="1" ht="18" customHeight="1" x14ac:dyDescent="0.25">
      <c r="A935" s="154"/>
      <c r="B935" s="617" t="s">
        <v>123</v>
      </c>
      <c r="C935" s="617" t="s">
        <v>1387</v>
      </c>
      <c r="D935" s="131" t="s">
        <v>144</v>
      </c>
      <c r="E935" s="618" t="s">
        <v>143</v>
      </c>
      <c r="F935" s="617"/>
      <c r="G935" s="617"/>
      <c r="H935" s="611"/>
      <c r="I935" s="101">
        <v>5000</v>
      </c>
      <c r="J935" s="102">
        <v>5000</v>
      </c>
      <c r="K935" s="101"/>
      <c r="L935" s="101">
        <v>5000</v>
      </c>
      <c r="M935" s="207"/>
      <c r="N935" s="207"/>
    </row>
    <row r="936" spans="1:16" s="212" customFormat="1" ht="18" customHeight="1" x14ac:dyDescent="0.25">
      <c r="A936" s="154"/>
      <c r="B936" s="617" t="s">
        <v>123</v>
      </c>
      <c r="C936" s="617" t="s">
        <v>1387</v>
      </c>
      <c r="D936" s="131" t="s">
        <v>144</v>
      </c>
      <c r="E936" s="618" t="s">
        <v>143</v>
      </c>
      <c r="F936" s="617"/>
      <c r="G936" s="617"/>
      <c r="H936" s="611"/>
      <c r="I936" s="101"/>
      <c r="J936" s="102">
        <v>10000</v>
      </c>
      <c r="K936" s="101"/>
      <c r="L936" s="101">
        <v>10000</v>
      </c>
      <c r="M936" s="207"/>
      <c r="N936" s="207"/>
    </row>
    <row r="937" spans="1:16" s="212" customFormat="1" ht="18" customHeight="1" x14ac:dyDescent="0.25">
      <c r="A937" s="154"/>
      <c r="B937" s="617" t="s">
        <v>123</v>
      </c>
      <c r="C937" s="617" t="s">
        <v>1387</v>
      </c>
      <c r="D937" s="131" t="s">
        <v>144</v>
      </c>
      <c r="E937" s="618" t="s">
        <v>143</v>
      </c>
      <c r="F937" s="617"/>
      <c r="G937" s="617"/>
      <c r="H937" s="611"/>
      <c r="I937" s="101">
        <v>0</v>
      </c>
      <c r="J937" s="102">
        <v>10000</v>
      </c>
      <c r="K937" s="101"/>
      <c r="L937" s="101">
        <v>10000</v>
      </c>
      <c r="M937" s="207"/>
      <c r="N937" s="207"/>
    </row>
    <row r="938" spans="1:16" s="212" customFormat="1" ht="18" customHeight="1" x14ac:dyDescent="0.25">
      <c r="A938" s="154"/>
      <c r="B938" s="617" t="s">
        <v>123</v>
      </c>
      <c r="C938" s="617" t="s">
        <v>1387</v>
      </c>
      <c r="D938" s="131" t="s">
        <v>144</v>
      </c>
      <c r="E938" s="618" t="s">
        <v>143</v>
      </c>
      <c r="F938" s="617"/>
      <c r="G938" s="617"/>
      <c r="H938" s="611"/>
      <c r="I938" s="101">
        <v>140000</v>
      </c>
      <c r="J938" s="102">
        <v>180000</v>
      </c>
      <c r="K938" s="101"/>
      <c r="L938" s="101">
        <v>180000</v>
      </c>
      <c r="M938" s="207"/>
      <c r="N938" s="207"/>
    </row>
    <row r="939" spans="1:16" s="212" customFormat="1" ht="18" customHeight="1" x14ac:dyDescent="0.25">
      <c r="A939" s="154"/>
      <c r="B939" s="617" t="s">
        <v>123</v>
      </c>
      <c r="C939" s="617" t="s">
        <v>1387</v>
      </c>
      <c r="D939" s="131" t="s">
        <v>144</v>
      </c>
      <c r="E939" s="618" t="s">
        <v>143</v>
      </c>
      <c r="F939" s="617"/>
      <c r="G939" s="617"/>
      <c r="H939" s="611"/>
      <c r="I939" s="101">
        <v>40000</v>
      </c>
      <c r="J939" s="102">
        <v>55000</v>
      </c>
      <c r="K939" s="101"/>
      <c r="L939" s="101">
        <v>55000</v>
      </c>
      <c r="M939" s="207">
        <f>SUM(L935:L939)</f>
        <v>260000</v>
      </c>
      <c r="N939" s="207"/>
    </row>
    <row r="940" spans="1:16" s="212" customFormat="1" ht="18" customHeight="1" x14ac:dyDescent="0.25">
      <c r="A940" s="154"/>
      <c r="B940" s="617" t="s">
        <v>123</v>
      </c>
      <c r="C940" s="617" t="s">
        <v>1387</v>
      </c>
      <c r="D940" s="131" t="s">
        <v>148</v>
      </c>
      <c r="E940" s="636" t="s">
        <v>318</v>
      </c>
      <c r="F940" s="617"/>
      <c r="G940" s="617"/>
      <c r="H940" s="611"/>
      <c r="I940" s="101"/>
      <c r="J940" s="102"/>
      <c r="K940" s="101"/>
      <c r="L940" s="101">
        <v>3000</v>
      </c>
      <c r="M940" s="207"/>
      <c r="N940" s="207"/>
    </row>
    <row r="941" spans="1:16" s="212" customFormat="1" ht="18" customHeight="1" x14ac:dyDescent="0.25">
      <c r="A941" s="154"/>
      <c r="B941" s="617" t="s">
        <v>123</v>
      </c>
      <c r="C941" s="617" t="s">
        <v>1387</v>
      </c>
      <c r="D941" s="131" t="s">
        <v>148</v>
      </c>
      <c r="E941" s="636" t="s">
        <v>147</v>
      </c>
      <c r="F941" s="617"/>
      <c r="G941" s="617"/>
      <c r="H941" s="611"/>
      <c r="I941" s="101"/>
      <c r="J941" s="102"/>
      <c r="K941" s="101"/>
      <c r="L941" s="101">
        <v>3000</v>
      </c>
      <c r="M941" s="207"/>
      <c r="N941" s="207"/>
    </row>
    <row r="942" spans="1:16" s="212" customFormat="1" ht="18" customHeight="1" x14ac:dyDescent="0.25">
      <c r="A942" s="154"/>
      <c r="B942" s="617" t="s">
        <v>123</v>
      </c>
      <c r="C942" s="617" t="s">
        <v>1387</v>
      </c>
      <c r="D942" s="131" t="s">
        <v>148</v>
      </c>
      <c r="E942" s="636" t="s">
        <v>147</v>
      </c>
      <c r="F942" s="617"/>
      <c r="G942" s="617"/>
      <c r="H942" s="611"/>
      <c r="I942" s="101"/>
      <c r="J942" s="102"/>
      <c r="K942" s="101"/>
      <c r="L942" s="101">
        <v>6000</v>
      </c>
      <c r="M942" s="207"/>
      <c r="N942" s="207"/>
    </row>
    <row r="943" spans="1:16" s="212" customFormat="1" ht="18" customHeight="1" x14ac:dyDescent="0.25">
      <c r="A943" s="154"/>
      <c r="B943" s="617" t="s">
        <v>123</v>
      </c>
      <c r="C943" s="617" t="s">
        <v>1387</v>
      </c>
      <c r="D943" s="131" t="s">
        <v>148</v>
      </c>
      <c r="E943" s="636" t="s">
        <v>147</v>
      </c>
      <c r="F943" s="617"/>
      <c r="G943" s="617"/>
      <c r="H943" s="611"/>
      <c r="I943" s="101"/>
      <c r="J943" s="102"/>
      <c r="K943" s="101"/>
      <c r="L943" s="101">
        <v>108000</v>
      </c>
      <c r="M943" s="207"/>
      <c r="N943" s="207"/>
    </row>
    <row r="944" spans="1:16" s="212" customFormat="1" ht="18" customHeight="1" x14ac:dyDescent="0.25">
      <c r="A944" s="154"/>
      <c r="B944" s="617" t="s">
        <v>123</v>
      </c>
      <c r="C944" s="617" t="s">
        <v>1387</v>
      </c>
      <c r="D944" s="131" t="s">
        <v>148</v>
      </c>
      <c r="E944" s="636" t="s">
        <v>147</v>
      </c>
      <c r="F944" s="617"/>
      <c r="G944" s="617"/>
      <c r="H944" s="611"/>
      <c r="I944" s="101"/>
      <c r="J944" s="102"/>
      <c r="K944" s="101"/>
      <c r="L944" s="101">
        <v>33000</v>
      </c>
      <c r="M944" s="207">
        <f>SUM(L940:L944)</f>
        <v>153000</v>
      </c>
      <c r="N944" s="207"/>
    </row>
    <row r="945" spans="1:16" s="212" customFormat="1" ht="18" customHeight="1" x14ac:dyDescent="0.25">
      <c r="A945" s="154"/>
      <c r="B945" s="617" t="s">
        <v>123</v>
      </c>
      <c r="C945" s="617" t="s">
        <v>1387</v>
      </c>
      <c r="D945" s="131" t="s">
        <v>154</v>
      </c>
      <c r="E945" s="618" t="s">
        <v>153</v>
      </c>
      <c r="F945" s="617"/>
      <c r="G945" s="617"/>
      <c r="H945" s="611"/>
      <c r="I945" s="101">
        <v>27625.439999999999</v>
      </c>
      <c r="J945" s="102">
        <v>28098.720000000001</v>
      </c>
      <c r="K945" s="101">
        <v>17140.32</v>
      </c>
      <c r="L945" s="105">
        <v>29897.279999999999</v>
      </c>
      <c r="M945" s="207"/>
      <c r="N945" s="207"/>
    </row>
    <row r="946" spans="1:16" s="191" customFormat="1" ht="18" customHeight="1" x14ac:dyDescent="0.25">
      <c r="A946" s="626"/>
      <c r="B946" s="617" t="s">
        <v>123</v>
      </c>
      <c r="C946" s="617" t="s">
        <v>1387</v>
      </c>
      <c r="D946" s="131" t="s">
        <v>154</v>
      </c>
      <c r="E946" s="618" t="s">
        <v>153</v>
      </c>
      <c r="F946" s="617"/>
      <c r="G946" s="617"/>
      <c r="H946" s="611"/>
      <c r="I946" s="101"/>
      <c r="J946" s="102">
        <v>46726.559999999998</v>
      </c>
      <c r="K946" s="101">
        <v>8985.6</v>
      </c>
      <c r="L946" s="250">
        <v>51598.080000000002</v>
      </c>
      <c r="M946" s="10"/>
      <c r="N946" s="10"/>
    </row>
    <row r="947" spans="1:16" s="191" customFormat="1" ht="18" customHeight="1" x14ac:dyDescent="0.25">
      <c r="A947" s="626"/>
      <c r="B947" s="617" t="s">
        <v>123</v>
      </c>
      <c r="C947" s="617" t="s">
        <v>1387</v>
      </c>
      <c r="D947" s="131" t="s">
        <v>154</v>
      </c>
      <c r="E947" s="618" t="s">
        <v>153</v>
      </c>
      <c r="F947" s="617"/>
      <c r="G947" s="617"/>
      <c r="H947" s="611"/>
      <c r="I947" s="101">
        <v>0</v>
      </c>
      <c r="J947" s="102">
        <v>51611.040000000001</v>
      </c>
      <c r="K947" s="101"/>
      <c r="L947" s="250">
        <v>56676.959999999999</v>
      </c>
      <c r="M947" s="10"/>
      <c r="N947" s="10"/>
    </row>
    <row r="948" spans="1:16" s="208" customFormat="1" x14ac:dyDescent="0.25">
      <c r="A948" s="154"/>
      <c r="B948" s="617" t="s">
        <v>123</v>
      </c>
      <c r="C948" s="617" t="s">
        <v>1387</v>
      </c>
      <c r="D948" s="131" t="s">
        <v>154</v>
      </c>
      <c r="E948" s="618" t="s">
        <v>153</v>
      </c>
      <c r="F948" s="617"/>
      <c r="G948" s="617"/>
      <c r="H948" s="611"/>
      <c r="I948" s="101">
        <v>1036447.13</v>
      </c>
      <c r="J948" s="102">
        <v>976315.32</v>
      </c>
      <c r="K948" s="101">
        <v>640802.73</v>
      </c>
      <c r="L948" s="250">
        <v>1064012.96</v>
      </c>
      <c r="M948" s="207"/>
      <c r="N948" s="207"/>
    </row>
    <row r="949" spans="1:16" s="208" customFormat="1" x14ac:dyDescent="0.25">
      <c r="A949" s="154"/>
      <c r="B949" s="617" t="s">
        <v>123</v>
      </c>
      <c r="C949" s="617" t="s">
        <v>1387</v>
      </c>
      <c r="D949" s="131" t="s">
        <v>154</v>
      </c>
      <c r="E949" s="618" t="s">
        <v>153</v>
      </c>
      <c r="F949" s="617"/>
      <c r="G949" s="617"/>
      <c r="H949" s="611"/>
      <c r="I949" s="101">
        <v>235633.2</v>
      </c>
      <c r="J949" s="102">
        <v>334168.2</v>
      </c>
      <c r="K949" s="101">
        <v>175241.37</v>
      </c>
      <c r="L949" s="250">
        <v>362789.99</v>
      </c>
      <c r="M949" s="207">
        <f>SUM(L945:L949)</f>
        <v>1564975.27</v>
      </c>
      <c r="N949" s="207"/>
    </row>
    <row r="950" spans="1:16" s="208" customFormat="1" x14ac:dyDescent="0.25">
      <c r="A950" s="154"/>
      <c r="B950" s="617" t="s">
        <v>123</v>
      </c>
      <c r="C950" s="617" t="s">
        <v>1387</v>
      </c>
      <c r="D950" s="131" t="s">
        <v>156</v>
      </c>
      <c r="E950" s="618" t="s">
        <v>155</v>
      </c>
      <c r="F950" s="617"/>
      <c r="G950" s="617"/>
      <c r="H950" s="611"/>
      <c r="I950" s="101">
        <v>1200</v>
      </c>
      <c r="J950" s="102">
        <v>1200</v>
      </c>
      <c r="K950" s="101">
        <v>700</v>
      </c>
      <c r="L950" s="250">
        <v>1200</v>
      </c>
      <c r="M950" s="207"/>
      <c r="N950" s="207"/>
    </row>
    <row r="951" spans="1:16" x14ac:dyDescent="0.25">
      <c r="A951" s="459"/>
      <c r="B951" s="617" t="s">
        <v>123</v>
      </c>
      <c r="C951" s="617" t="s">
        <v>1387</v>
      </c>
      <c r="D951" s="131" t="s">
        <v>156</v>
      </c>
      <c r="E951" s="618" t="s">
        <v>155</v>
      </c>
      <c r="F951" s="617"/>
      <c r="G951" s="617"/>
      <c r="H951" s="611"/>
      <c r="I951" s="101"/>
      <c r="J951" s="102">
        <v>2400</v>
      </c>
      <c r="K951" s="101">
        <v>700</v>
      </c>
      <c r="L951" s="105">
        <v>2400</v>
      </c>
    </row>
    <row r="952" spans="1:16" s="146" customFormat="1" ht="18" customHeight="1" x14ac:dyDescent="0.25">
      <c r="A952" s="626"/>
      <c r="B952" s="617" t="s">
        <v>123</v>
      </c>
      <c r="C952" s="617" t="s">
        <v>1387</v>
      </c>
      <c r="D952" s="131" t="s">
        <v>156</v>
      </c>
      <c r="E952" s="619" t="s">
        <v>155</v>
      </c>
      <c r="F952" s="612"/>
      <c r="G952" s="612"/>
      <c r="H952" s="612"/>
      <c r="I952" s="101">
        <v>0</v>
      </c>
      <c r="J952" s="102">
        <v>2400</v>
      </c>
      <c r="K952" s="112"/>
      <c r="L952" s="101">
        <v>2400</v>
      </c>
      <c r="M952" s="10"/>
      <c r="N952" s="10"/>
      <c r="O952"/>
      <c r="P952"/>
    </row>
    <row r="953" spans="1:16" s="146" customFormat="1" ht="18" customHeight="1" x14ac:dyDescent="0.25">
      <c r="A953" s="626"/>
      <c r="B953" s="617" t="s">
        <v>123</v>
      </c>
      <c r="C953" s="617" t="s">
        <v>1387</v>
      </c>
      <c r="D953" s="131" t="s">
        <v>156</v>
      </c>
      <c r="E953" s="619" t="s">
        <v>155</v>
      </c>
      <c r="F953" s="612"/>
      <c r="G953" s="612"/>
      <c r="H953" s="612"/>
      <c r="I953" s="101">
        <v>33600</v>
      </c>
      <c r="J953" s="102">
        <v>43200</v>
      </c>
      <c r="K953" s="101">
        <v>20000</v>
      </c>
      <c r="L953" s="101">
        <v>43200</v>
      </c>
      <c r="M953" s="10"/>
      <c r="N953" s="10"/>
      <c r="O953"/>
      <c r="P953"/>
    </row>
    <row r="954" spans="1:16" s="146" customFormat="1" ht="18" customHeight="1" x14ac:dyDescent="0.25">
      <c r="A954" s="626"/>
      <c r="B954" s="617" t="s">
        <v>123</v>
      </c>
      <c r="C954" s="617" t="s">
        <v>1387</v>
      </c>
      <c r="D954" s="131" t="s">
        <v>156</v>
      </c>
      <c r="E954" s="619" t="s">
        <v>155</v>
      </c>
      <c r="F954" s="612"/>
      <c r="G954" s="612"/>
      <c r="H954" s="612"/>
      <c r="I954" s="101">
        <v>8100</v>
      </c>
      <c r="J954" s="102">
        <v>13200</v>
      </c>
      <c r="K954" s="101">
        <v>6600</v>
      </c>
      <c r="L954" s="101">
        <v>13200</v>
      </c>
      <c r="M954" s="10">
        <f>SUM(L950:L954)</f>
        <v>62400</v>
      </c>
      <c r="N954" s="10"/>
      <c r="O954"/>
      <c r="P954"/>
    </row>
    <row r="955" spans="1:16" s="146" customFormat="1" x14ac:dyDescent="0.25">
      <c r="A955" s="626"/>
      <c r="B955" s="617" t="s">
        <v>123</v>
      </c>
      <c r="C955" s="617" t="s">
        <v>1387</v>
      </c>
      <c r="D955" s="131" t="s">
        <v>158</v>
      </c>
      <c r="E955" s="619" t="s">
        <v>157</v>
      </c>
      <c r="F955" s="612"/>
      <c r="G955" s="612"/>
      <c r="H955" s="612"/>
      <c r="I955" s="101">
        <v>3453.24</v>
      </c>
      <c r="J955" s="102">
        <v>4097.7299999999996</v>
      </c>
      <c r="K955" s="101">
        <v>2142.5500000000002</v>
      </c>
      <c r="L955" s="101">
        <v>11000</v>
      </c>
      <c r="M955" s="10"/>
      <c r="N955" s="10"/>
      <c r="O955"/>
      <c r="P955"/>
    </row>
    <row r="956" spans="1:16" s="146" customFormat="1" ht="18" customHeight="1" x14ac:dyDescent="0.25">
      <c r="A956" s="626"/>
      <c r="B956" s="617" t="s">
        <v>123</v>
      </c>
      <c r="C956" s="617" t="s">
        <v>1387</v>
      </c>
      <c r="D956" s="131" t="s">
        <v>158</v>
      </c>
      <c r="E956" s="619" t="s">
        <v>157</v>
      </c>
      <c r="F956" s="612"/>
      <c r="G956" s="612"/>
      <c r="H956" s="612"/>
      <c r="I956" s="101"/>
      <c r="J956" s="102">
        <v>6814.29</v>
      </c>
      <c r="K956" s="101">
        <v>1209.5999999999999</v>
      </c>
      <c r="L956" s="101">
        <v>17208</v>
      </c>
      <c r="M956" s="10"/>
      <c r="N956" s="10"/>
      <c r="O956"/>
      <c r="P956"/>
    </row>
    <row r="957" spans="1:16" s="146" customFormat="1" ht="18" customHeight="1" x14ac:dyDescent="0.25">
      <c r="A957" s="626"/>
      <c r="B957" s="617" t="s">
        <v>123</v>
      </c>
      <c r="C957" s="617" t="s">
        <v>1387</v>
      </c>
      <c r="D957" s="131" t="s">
        <v>158</v>
      </c>
      <c r="E957" s="619" t="s">
        <v>157</v>
      </c>
      <c r="F957" s="612"/>
      <c r="G957" s="612"/>
      <c r="H957" s="612"/>
      <c r="I957" s="101">
        <v>0</v>
      </c>
      <c r="J957" s="102">
        <v>7526.61</v>
      </c>
      <c r="K957" s="101"/>
      <c r="L957" s="101">
        <v>18912</v>
      </c>
      <c r="M957" s="10"/>
      <c r="N957" s="10"/>
      <c r="O957"/>
      <c r="P957"/>
    </row>
    <row r="958" spans="1:16" s="146" customFormat="1" ht="18" customHeight="1" x14ac:dyDescent="0.25">
      <c r="A958" s="626"/>
      <c r="B958" s="617" t="s">
        <v>123</v>
      </c>
      <c r="C958" s="617" t="s">
        <v>1387</v>
      </c>
      <c r="D958" s="131" t="s">
        <v>158</v>
      </c>
      <c r="E958" s="619" t="s">
        <v>157</v>
      </c>
      <c r="F958" s="612"/>
      <c r="G958" s="612"/>
      <c r="H958" s="612"/>
      <c r="I958" s="101">
        <v>124832.06</v>
      </c>
      <c r="J958" s="102">
        <v>197948.85</v>
      </c>
      <c r="K958" s="101">
        <v>77183.490000000005</v>
      </c>
      <c r="L958" s="101">
        <v>503974.24</v>
      </c>
      <c r="M958" s="10"/>
      <c r="N958" s="10"/>
      <c r="O958"/>
      <c r="P958"/>
    </row>
    <row r="959" spans="1:16" s="146" customFormat="1" x14ac:dyDescent="0.25">
      <c r="A959" s="626"/>
      <c r="B959" s="617" t="s">
        <v>123</v>
      </c>
      <c r="C959" s="617" t="s">
        <v>1387</v>
      </c>
      <c r="D959" s="131" t="s">
        <v>158</v>
      </c>
      <c r="E959" s="619" t="s">
        <v>157</v>
      </c>
      <c r="F959" s="612"/>
      <c r="G959" s="612"/>
      <c r="H959" s="612"/>
      <c r="I959" s="101">
        <v>25728.51</v>
      </c>
      <c r="J959" s="102">
        <v>46828.480000000003</v>
      </c>
      <c r="K959" s="101">
        <v>20560.78</v>
      </c>
      <c r="L959" s="101">
        <v>119430.96</v>
      </c>
      <c r="M959" s="10">
        <f>SUM(L955:L959)</f>
        <v>670525.19999999995</v>
      </c>
      <c r="N959" s="10"/>
      <c r="O959"/>
      <c r="P959"/>
    </row>
    <row r="960" spans="1:16" s="146" customFormat="1" ht="18" customHeight="1" x14ac:dyDescent="0.25">
      <c r="A960" s="626"/>
      <c r="B960" s="617" t="s">
        <v>123</v>
      </c>
      <c r="C960" s="617" t="s">
        <v>1387</v>
      </c>
      <c r="D960" s="131" t="s">
        <v>160</v>
      </c>
      <c r="E960" s="619" t="s">
        <v>159</v>
      </c>
      <c r="F960" s="612"/>
      <c r="G960" s="612"/>
      <c r="H960" s="612"/>
      <c r="I960" s="101">
        <v>1200</v>
      </c>
      <c r="J960" s="102">
        <v>1200</v>
      </c>
      <c r="K960" s="101">
        <v>700</v>
      </c>
      <c r="L960" s="101">
        <v>1200</v>
      </c>
      <c r="M960" s="10"/>
      <c r="N960" s="10"/>
      <c r="O960"/>
      <c r="P960"/>
    </row>
    <row r="961" spans="1:16" s="146" customFormat="1" x14ac:dyDescent="0.25">
      <c r="A961" s="626"/>
      <c r="B961" s="617" t="s">
        <v>123</v>
      </c>
      <c r="C961" s="617" t="s">
        <v>1387</v>
      </c>
      <c r="D961" s="131" t="s">
        <v>160</v>
      </c>
      <c r="E961" s="619" t="s">
        <v>159</v>
      </c>
      <c r="F961" s="612"/>
      <c r="G961" s="612"/>
      <c r="H961" s="612"/>
      <c r="I961" s="101"/>
      <c r="J961" s="102">
        <v>2400</v>
      </c>
      <c r="K961" s="101">
        <v>700</v>
      </c>
      <c r="L961" s="101">
        <v>2400</v>
      </c>
      <c r="M961" s="10"/>
      <c r="N961" s="10"/>
      <c r="O961"/>
      <c r="P961"/>
    </row>
    <row r="962" spans="1:16" s="146" customFormat="1" ht="18" customHeight="1" x14ac:dyDescent="0.25">
      <c r="A962" s="626"/>
      <c r="B962" s="617" t="s">
        <v>123</v>
      </c>
      <c r="C962" s="617" t="s">
        <v>1387</v>
      </c>
      <c r="D962" s="131" t="s">
        <v>160</v>
      </c>
      <c r="E962" s="619" t="s">
        <v>159</v>
      </c>
      <c r="F962" s="612"/>
      <c r="G962" s="612"/>
      <c r="H962" s="612"/>
      <c r="I962" s="101">
        <v>0</v>
      </c>
      <c r="J962" s="102">
        <v>2400</v>
      </c>
      <c r="K962" s="101"/>
      <c r="L962" s="101">
        <v>2400</v>
      </c>
      <c r="M962" s="10"/>
      <c r="N962" s="10"/>
      <c r="O962"/>
      <c r="P962"/>
    </row>
    <row r="963" spans="1:16" s="146" customFormat="1" x14ac:dyDescent="0.25">
      <c r="A963" s="626"/>
      <c r="B963" s="617" t="s">
        <v>123</v>
      </c>
      <c r="C963" s="617" t="s">
        <v>1387</v>
      </c>
      <c r="D963" s="131" t="s">
        <v>160</v>
      </c>
      <c r="E963" s="618" t="s">
        <v>159</v>
      </c>
      <c r="F963" s="617"/>
      <c r="G963" s="617"/>
      <c r="H963" s="611"/>
      <c r="I963" s="101">
        <v>33600</v>
      </c>
      <c r="J963" s="102">
        <v>43200</v>
      </c>
      <c r="K963" s="101">
        <v>20000</v>
      </c>
      <c r="L963" s="101">
        <v>43200</v>
      </c>
      <c r="M963" s="10"/>
      <c r="N963" s="10"/>
      <c r="O963"/>
      <c r="P963"/>
    </row>
    <row r="964" spans="1:16" s="146" customFormat="1" x14ac:dyDescent="0.25">
      <c r="A964" s="626"/>
      <c r="B964" s="617" t="s">
        <v>123</v>
      </c>
      <c r="C964" s="617" t="s">
        <v>1387</v>
      </c>
      <c r="D964" s="131" t="s">
        <v>160</v>
      </c>
      <c r="E964" s="618" t="s">
        <v>159</v>
      </c>
      <c r="F964" s="617"/>
      <c r="G964" s="617"/>
      <c r="H964" s="611"/>
      <c r="I964" s="101">
        <v>8100</v>
      </c>
      <c r="J964" s="102">
        <v>13200</v>
      </c>
      <c r="K964" s="101">
        <v>6600</v>
      </c>
      <c r="L964" s="101">
        <v>13200</v>
      </c>
      <c r="M964" s="10">
        <f>SUM(L960:L964)</f>
        <v>62400</v>
      </c>
      <c r="N964" s="10"/>
      <c r="O964"/>
      <c r="P964"/>
    </row>
    <row r="965" spans="1:16" s="146" customFormat="1" ht="15" customHeight="1" x14ac:dyDescent="0.25">
      <c r="A965" s="626"/>
      <c r="B965" s="617" t="s">
        <v>123</v>
      </c>
      <c r="C965" s="617" t="s">
        <v>1387</v>
      </c>
      <c r="D965" s="131" t="s">
        <v>140</v>
      </c>
      <c r="E965" s="618" t="s">
        <v>139</v>
      </c>
      <c r="F965" s="617"/>
      <c r="G965" s="617"/>
      <c r="H965" s="611"/>
      <c r="I965" s="101">
        <v>19513</v>
      </c>
      <c r="J965" s="102">
        <v>19513</v>
      </c>
      <c r="K965" s="101">
        <v>20762</v>
      </c>
      <c r="L965" s="101">
        <v>22011</v>
      </c>
      <c r="M965" s="10"/>
      <c r="N965" s="10"/>
      <c r="O965"/>
      <c r="P965"/>
    </row>
    <row r="966" spans="1:16" s="146" customFormat="1" ht="18" customHeight="1" x14ac:dyDescent="0.25">
      <c r="A966" s="626"/>
      <c r="B966" s="617" t="s">
        <v>123</v>
      </c>
      <c r="C966" s="617" t="s">
        <v>1387</v>
      </c>
      <c r="D966" s="131" t="s">
        <v>140</v>
      </c>
      <c r="E966" s="619" t="s">
        <v>139</v>
      </c>
      <c r="F966" s="612"/>
      <c r="G966" s="612"/>
      <c r="H966" s="612"/>
      <c r="I966" s="101"/>
      <c r="J966" s="102">
        <v>32449</v>
      </c>
      <c r="K966" s="101">
        <v>11520</v>
      </c>
      <c r="L966" s="101">
        <v>35832</v>
      </c>
      <c r="M966" s="10"/>
      <c r="N966" s="10"/>
      <c r="O966"/>
      <c r="P966"/>
    </row>
    <row r="967" spans="1:16" s="146" customFormat="1" ht="18" customHeight="1" x14ac:dyDescent="0.25">
      <c r="A967" s="626"/>
      <c r="B967" s="617" t="s">
        <v>123</v>
      </c>
      <c r="C967" s="617" t="s">
        <v>1387</v>
      </c>
      <c r="D967" s="131" t="s">
        <v>140</v>
      </c>
      <c r="E967" s="619" t="s">
        <v>139</v>
      </c>
      <c r="F967" s="612"/>
      <c r="G967" s="612"/>
      <c r="H967" s="612"/>
      <c r="I967" s="101">
        <v>0</v>
      </c>
      <c r="J967" s="102">
        <v>35841</v>
      </c>
      <c r="K967" s="101"/>
      <c r="L967" s="101">
        <v>37599</v>
      </c>
      <c r="M967" s="10"/>
      <c r="N967" s="10"/>
      <c r="O967"/>
      <c r="P967"/>
    </row>
    <row r="968" spans="1:16" s="146" customFormat="1" ht="18" customHeight="1" x14ac:dyDescent="0.25">
      <c r="A968" s="626"/>
      <c r="B968" s="617" t="s">
        <v>123</v>
      </c>
      <c r="C968" s="617" t="s">
        <v>1387</v>
      </c>
      <c r="D968" s="131" t="s">
        <v>140</v>
      </c>
      <c r="E968" s="619" t="s">
        <v>139</v>
      </c>
      <c r="F968" s="612"/>
      <c r="G968" s="612"/>
      <c r="H968" s="612"/>
      <c r="I968" s="101">
        <v>719969</v>
      </c>
      <c r="J968" s="102">
        <v>985280</v>
      </c>
      <c r="K968" s="101">
        <v>768580</v>
      </c>
      <c r="L968" s="101">
        <v>1078936</v>
      </c>
      <c r="M968" s="10"/>
      <c r="N968" s="10"/>
      <c r="O968"/>
      <c r="P968"/>
    </row>
    <row r="969" spans="1:16" s="146" customFormat="1" ht="18" customHeight="1" x14ac:dyDescent="0.25">
      <c r="A969" s="626"/>
      <c r="B969" s="617" t="s">
        <v>123</v>
      </c>
      <c r="C969" s="617" t="s">
        <v>1387</v>
      </c>
      <c r="D969" s="131" t="s">
        <v>140</v>
      </c>
      <c r="E969" s="619" t="s">
        <v>139</v>
      </c>
      <c r="F969" s="612"/>
      <c r="G969" s="612"/>
      <c r="H969" s="612"/>
      <c r="I969" s="105">
        <v>179630</v>
      </c>
      <c r="J969" s="106">
        <v>231821</v>
      </c>
      <c r="K969" s="105">
        <v>186601</v>
      </c>
      <c r="L969" s="105">
        <v>251998</v>
      </c>
      <c r="M969" s="10">
        <f>SUM(L965:L969)</f>
        <v>1426376</v>
      </c>
      <c r="N969" s="10"/>
      <c r="O969"/>
      <c r="P969"/>
    </row>
    <row r="970" spans="1:16" s="229" customFormat="1" x14ac:dyDescent="0.25">
      <c r="A970" s="154"/>
      <c r="B970" s="617"/>
      <c r="C970" s="617"/>
      <c r="D970" s="97"/>
      <c r="E970" s="618"/>
      <c r="F970" s="617"/>
      <c r="G970" s="617"/>
      <c r="H970" s="611"/>
      <c r="I970" s="101"/>
      <c r="J970" s="102"/>
      <c r="K970" s="101"/>
      <c r="M970" s="101">
        <f>SUM(L905:L969)</f>
        <v>12276763.050000001</v>
      </c>
      <c r="N970" s="207"/>
      <c r="O970" s="212"/>
      <c r="P970" s="212"/>
    </row>
    <row r="971" spans="1:16" s="229" customFormat="1" ht="18" customHeight="1" x14ac:dyDescent="0.25">
      <c r="A971" s="154"/>
      <c r="B971" s="617"/>
      <c r="C971" s="617"/>
      <c r="D971" s="97"/>
      <c r="E971" s="618"/>
      <c r="F971" s="617"/>
      <c r="G971" s="617"/>
      <c r="H971" s="611"/>
      <c r="I971" s="101"/>
      <c r="J971" s="102"/>
      <c r="K971" s="101"/>
      <c r="L971" s="101"/>
      <c r="M971" s="207"/>
      <c r="N971" s="207"/>
      <c r="O971" s="212"/>
      <c r="P971" s="212"/>
    </row>
    <row r="972" spans="1:16" s="229" customFormat="1" ht="18" customHeight="1" x14ac:dyDescent="0.25">
      <c r="A972" s="154"/>
      <c r="B972" s="617"/>
      <c r="C972" s="617"/>
      <c r="D972" s="97"/>
      <c r="E972" s="618"/>
      <c r="F972" s="617"/>
      <c r="G972" s="617"/>
      <c r="H972" s="611"/>
      <c r="I972" s="101"/>
      <c r="J972" s="102"/>
      <c r="K972" s="101"/>
      <c r="L972" s="101">
        <f>SUM(L1:L971)</f>
        <v>411058436.64999986</v>
      </c>
      <c r="M972" s="207"/>
      <c r="N972" s="207"/>
      <c r="O972" s="212"/>
      <c r="P972" s="212"/>
    </row>
  </sheetData>
  <sortState ref="D904:L981">
    <sortCondition ref="D904"/>
  </sortState>
  <pageMargins left="0.43307086614173229" right="0.15748031496062992" top="0.70866141732283472" bottom="1.5748031496062993" header="0.31496062992125984" footer="0.31496062992125984"/>
  <pageSetup paperSize="5" scale="68" orientation="portrait" horizontalDpi="4294967294" r:id="rId1"/>
  <rowBreaks count="2" manualBreakCount="2">
    <brk id="494" max="15" man="1"/>
    <brk id="56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255"/>
  <sheetViews>
    <sheetView view="pageBreakPreview" topLeftCell="A106" zoomScale="120" zoomScaleNormal="100" zoomScaleSheetLayoutView="120" workbookViewId="0">
      <pane ySplit="1" topLeftCell="A1069" activePane="bottomLeft" state="frozen"/>
      <selection activeCell="A106" sqref="A106"/>
      <selection pane="bottomLeft" activeCell="M1079" sqref="M1079"/>
    </sheetView>
  </sheetViews>
  <sheetFormatPr defaultRowHeight="15.75" x14ac:dyDescent="0.25"/>
  <cols>
    <col min="1" max="1" width="6.140625" style="8" customWidth="1"/>
    <col min="2" max="2" width="8.7109375" style="8" customWidth="1"/>
    <col min="3" max="3" width="7.85546875" style="8" customWidth="1"/>
    <col min="4" max="4" width="18.7109375" style="9" customWidth="1"/>
    <col min="5" max="5" width="45.5703125" style="8" customWidth="1"/>
    <col min="6" max="6" width="18.5703125" style="8" hidden="1" customWidth="1"/>
    <col min="7" max="7" width="5.28515625" style="8" hidden="1" customWidth="1"/>
    <col min="8" max="8" width="16" style="8" hidden="1" customWidth="1"/>
    <col min="9" max="9" width="16.7109375" style="4" customWidth="1"/>
    <col min="10" max="10" width="17.140625" style="5" customWidth="1"/>
    <col min="11" max="11" width="16.85546875" style="4" customWidth="1"/>
    <col min="12" max="12" width="18.28515625" style="4" customWidth="1"/>
    <col min="13" max="13" width="16.5703125" style="10" customWidth="1"/>
    <col min="14" max="14" width="18" style="10" customWidth="1"/>
    <col min="15" max="15" width="15.140625" style="756" customWidth="1"/>
  </cols>
  <sheetData>
    <row r="1" spans="1:16" ht="18" x14ac:dyDescent="0.25">
      <c r="A1" s="251"/>
      <c r="B1" s="75"/>
      <c r="C1" s="75"/>
      <c r="D1" s="36" t="s">
        <v>577</v>
      </c>
      <c r="E1" s="75"/>
      <c r="F1" s="75"/>
      <c r="G1" s="269"/>
      <c r="H1" s="253"/>
      <c r="I1" s="101"/>
      <c r="J1" s="102"/>
      <c r="K1" s="250"/>
      <c r="L1" s="101"/>
    </row>
    <row r="2" spans="1:16" s="146" customFormat="1" ht="18" x14ac:dyDescent="0.25">
      <c r="A2" s="270"/>
      <c r="B2" s="557"/>
      <c r="C2" s="557"/>
      <c r="D2" s="38" t="s">
        <v>578</v>
      </c>
      <c r="E2" s="271"/>
      <c r="F2" s="271"/>
      <c r="G2" s="272"/>
      <c r="H2" s="273"/>
      <c r="I2" s="101">
        <v>13415388.58</v>
      </c>
      <c r="J2" s="233">
        <v>32978691.050000001</v>
      </c>
      <c r="K2" s="250">
        <v>594614.53</v>
      </c>
      <c r="L2" s="101"/>
      <c r="M2" s="10"/>
      <c r="N2" s="10"/>
      <c r="O2" s="756"/>
      <c r="P2"/>
    </row>
    <row r="3" spans="1:16" s="146" customFormat="1" ht="18" x14ac:dyDescent="0.25">
      <c r="A3" s="270"/>
      <c r="B3" s="557"/>
      <c r="C3" s="557"/>
      <c r="D3" s="36" t="s">
        <v>579</v>
      </c>
      <c r="E3" s="271"/>
      <c r="F3" s="271"/>
      <c r="G3" s="272"/>
      <c r="H3" s="273"/>
      <c r="I3" s="101"/>
      <c r="J3" s="233"/>
      <c r="K3" s="250"/>
      <c r="L3" s="101"/>
      <c r="M3" s="10"/>
      <c r="N3" s="10"/>
      <c r="O3" s="756"/>
      <c r="P3"/>
    </row>
    <row r="4" spans="1:16" s="146" customFormat="1" ht="36.75" customHeight="1" x14ac:dyDescent="0.25">
      <c r="A4" s="270"/>
      <c r="B4" s="557"/>
      <c r="C4" s="557"/>
      <c r="D4" s="1617" t="s">
        <v>580</v>
      </c>
      <c r="E4" s="1617"/>
      <c r="F4" s="271"/>
      <c r="G4" s="272"/>
      <c r="H4" s="273"/>
      <c r="I4" s="101"/>
      <c r="J4" s="233"/>
      <c r="K4" s="250"/>
      <c r="L4" s="101">
        <v>500000</v>
      </c>
      <c r="M4" s="10"/>
      <c r="N4" s="10"/>
      <c r="O4" s="756"/>
      <c r="P4"/>
    </row>
    <row r="5" spans="1:16" s="146" customFormat="1" ht="18" x14ac:dyDescent="0.25">
      <c r="A5" s="270"/>
      <c r="B5" s="557"/>
      <c r="C5" s="557"/>
      <c r="D5" s="38" t="s">
        <v>581</v>
      </c>
      <c r="E5" s="271"/>
      <c r="F5" s="271"/>
      <c r="G5" s="272"/>
      <c r="H5" s="273"/>
      <c r="I5" s="101"/>
      <c r="J5" s="233"/>
      <c r="K5" s="250"/>
      <c r="L5" s="101">
        <v>1000000</v>
      </c>
      <c r="M5" s="10"/>
      <c r="N5" s="10"/>
      <c r="O5" s="756"/>
      <c r="P5"/>
    </row>
    <row r="6" spans="1:16" s="146" customFormat="1" ht="35.25" customHeight="1" x14ac:dyDescent="0.25">
      <c r="A6" s="270"/>
      <c r="B6" s="557"/>
      <c r="C6" s="557"/>
      <c r="D6" s="1617" t="s">
        <v>582</v>
      </c>
      <c r="E6" s="1617"/>
      <c r="F6" s="271"/>
      <c r="G6" s="272"/>
      <c r="H6" s="273"/>
      <c r="I6" s="101"/>
      <c r="J6" s="233"/>
      <c r="K6" s="250"/>
      <c r="L6" s="101">
        <v>2000000</v>
      </c>
      <c r="M6" s="10"/>
      <c r="N6" s="10"/>
      <c r="O6" s="756"/>
      <c r="P6"/>
    </row>
    <row r="7" spans="1:16" s="282" customFormat="1" ht="16.5" customHeight="1" x14ac:dyDescent="0.25">
      <c r="A7" s="274"/>
      <c r="B7" s="607"/>
      <c r="C7" s="607"/>
      <c r="D7" s="275" t="s">
        <v>583</v>
      </c>
      <c r="F7" s="275"/>
      <c r="G7" s="276"/>
      <c r="H7" s="277"/>
      <c r="I7" s="119"/>
      <c r="J7" s="278"/>
      <c r="K7" s="279"/>
      <c r="L7" s="119">
        <f>SUM(L4:L6)</f>
        <v>3500000</v>
      </c>
      <c r="M7" s="280"/>
      <c r="N7" s="280"/>
      <c r="O7" s="761"/>
      <c r="P7" s="281"/>
    </row>
    <row r="8" spans="1:16" s="146" customFormat="1" ht="18" x14ac:dyDescent="0.25">
      <c r="A8" s="270"/>
      <c r="B8" s="557"/>
      <c r="C8" s="557"/>
      <c r="D8" s="36" t="s">
        <v>584</v>
      </c>
      <c r="E8" s="271"/>
      <c r="F8" s="271"/>
      <c r="G8" s="272"/>
      <c r="H8" s="273"/>
      <c r="I8" s="101"/>
      <c r="J8" s="233"/>
      <c r="K8" s="250"/>
      <c r="L8" s="101"/>
      <c r="M8" s="10"/>
      <c r="N8" s="10"/>
      <c r="O8" s="756"/>
      <c r="P8"/>
    </row>
    <row r="9" spans="1:16" s="146" customFormat="1" ht="57" customHeight="1" x14ac:dyDescent="0.25">
      <c r="A9" s="270"/>
      <c r="B9" s="557"/>
      <c r="C9" s="557"/>
      <c r="D9" s="1628" t="s">
        <v>585</v>
      </c>
      <c r="E9" s="1628"/>
      <c r="F9" s="271"/>
      <c r="G9" s="272"/>
      <c r="H9" s="273"/>
      <c r="I9" s="101"/>
      <c r="J9" s="233"/>
      <c r="K9" s="250"/>
      <c r="L9" s="101">
        <v>1300000</v>
      </c>
      <c r="M9" s="10"/>
      <c r="N9" s="10"/>
      <c r="O9" s="756"/>
      <c r="P9"/>
    </row>
    <row r="10" spans="1:16" s="146" customFormat="1" ht="15.75" customHeight="1" x14ac:dyDescent="0.25">
      <c r="A10" s="270"/>
      <c r="B10" s="557"/>
      <c r="C10" s="557"/>
      <c r="D10" s="679" t="s">
        <v>586</v>
      </c>
      <c r="E10" s="653"/>
      <c r="F10" s="271"/>
      <c r="G10" s="272"/>
      <c r="H10" s="273"/>
      <c r="I10" s="101"/>
      <c r="J10" s="233"/>
      <c r="K10" s="250"/>
      <c r="L10" s="101">
        <v>50000</v>
      </c>
      <c r="M10" s="10"/>
      <c r="N10" s="10"/>
      <c r="O10" s="756"/>
      <c r="P10"/>
    </row>
    <row r="11" spans="1:16" s="146" customFormat="1" ht="35.25" customHeight="1" x14ac:dyDescent="0.25">
      <c r="A11" s="270"/>
      <c r="B11" s="557"/>
      <c r="C11" s="557"/>
      <c r="D11" s="1617" t="s">
        <v>587</v>
      </c>
      <c r="E11" s="1617"/>
      <c r="F11" s="271"/>
      <c r="G11" s="272"/>
      <c r="H11" s="273"/>
      <c r="I11" s="101"/>
      <c r="J11" s="233"/>
      <c r="K11" s="250"/>
      <c r="L11" s="101">
        <v>100000</v>
      </c>
      <c r="M11" s="10"/>
      <c r="N11" s="10"/>
      <c r="O11" s="756"/>
      <c r="P11"/>
    </row>
    <row r="12" spans="1:16" s="146" customFormat="1" ht="108.75" customHeight="1" x14ac:dyDescent="0.25">
      <c r="A12" s="270"/>
      <c r="B12" s="557"/>
      <c r="C12" s="557"/>
      <c r="D12" s="1628" t="s">
        <v>588</v>
      </c>
      <c r="E12" s="1628"/>
      <c r="F12" s="271"/>
      <c r="G12" s="272"/>
      <c r="H12" s="273"/>
      <c r="I12" s="101"/>
      <c r="J12" s="233"/>
      <c r="K12" s="250"/>
      <c r="L12" s="101">
        <v>100000</v>
      </c>
      <c r="M12" s="10"/>
      <c r="N12" s="10"/>
      <c r="O12" s="756"/>
      <c r="P12"/>
    </row>
    <row r="13" spans="1:16" s="146" customFormat="1" ht="18" x14ac:dyDescent="0.25">
      <c r="A13" s="270"/>
      <c r="B13" s="557"/>
      <c r="C13" s="557"/>
      <c r="D13" s="38" t="s">
        <v>589</v>
      </c>
      <c r="E13" s="271"/>
      <c r="F13" s="271"/>
      <c r="G13" s="272"/>
      <c r="H13" s="273"/>
      <c r="I13" s="101"/>
      <c r="J13" s="233"/>
      <c r="K13" s="250"/>
      <c r="L13" s="101">
        <v>450000</v>
      </c>
      <c r="M13" s="10"/>
      <c r="N13" s="10"/>
      <c r="O13" s="756"/>
      <c r="P13"/>
    </row>
    <row r="14" spans="1:16" s="146" customFormat="1" ht="37.5" customHeight="1" x14ac:dyDescent="0.25">
      <c r="A14" s="270"/>
      <c r="B14" s="557"/>
      <c r="C14" s="557"/>
      <c r="D14" s="1628" t="s">
        <v>590</v>
      </c>
      <c r="E14" s="1628"/>
      <c r="F14" s="271"/>
      <c r="G14" s="272"/>
      <c r="H14" s="273"/>
      <c r="I14" s="101"/>
      <c r="J14" s="233"/>
      <c r="K14" s="250"/>
      <c r="L14" s="101">
        <v>2000000</v>
      </c>
      <c r="M14" s="10"/>
      <c r="N14" s="10"/>
      <c r="O14" s="756"/>
      <c r="P14"/>
    </row>
    <row r="15" spans="1:16" s="146" customFormat="1" ht="74.25" customHeight="1" x14ac:dyDescent="0.25">
      <c r="A15" s="270"/>
      <c r="B15" s="557"/>
      <c r="C15" s="557"/>
      <c r="D15" s="1628" t="s">
        <v>591</v>
      </c>
      <c r="E15" s="1628"/>
      <c r="F15" s="271"/>
      <c r="G15" s="272"/>
      <c r="H15" s="273"/>
      <c r="I15" s="101"/>
      <c r="J15" s="233"/>
      <c r="K15" s="250"/>
      <c r="L15" s="101">
        <v>600000</v>
      </c>
      <c r="M15" s="10"/>
      <c r="N15" s="10"/>
      <c r="O15" s="756"/>
      <c r="P15"/>
    </row>
    <row r="16" spans="1:16" s="146" customFormat="1" ht="17.45" customHeight="1" x14ac:dyDescent="0.25">
      <c r="A16" s="270"/>
      <c r="B16" s="557"/>
      <c r="C16" s="557"/>
      <c r="D16" s="38" t="s">
        <v>592</v>
      </c>
      <c r="E16" s="271"/>
      <c r="F16" s="271"/>
      <c r="G16" s="272"/>
      <c r="H16" s="273"/>
      <c r="I16" s="101"/>
      <c r="J16" s="233"/>
      <c r="K16" s="250"/>
      <c r="L16" s="101">
        <v>155000</v>
      </c>
      <c r="M16" s="10"/>
      <c r="N16" s="10"/>
      <c r="O16" s="756"/>
      <c r="P16"/>
    </row>
    <row r="17" spans="1:16" s="146" customFormat="1" ht="17.45" customHeight="1" x14ac:dyDescent="0.25">
      <c r="A17" s="270"/>
      <c r="B17" s="557"/>
      <c r="C17" s="557"/>
      <c r="D17" s="38" t="s">
        <v>241</v>
      </c>
      <c r="E17" s="271"/>
      <c r="F17" s="271"/>
      <c r="G17" s="272"/>
      <c r="H17" s="273"/>
      <c r="I17" s="101"/>
      <c r="J17" s="233"/>
      <c r="K17" s="250"/>
      <c r="L17" s="101">
        <v>45000</v>
      </c>
      <c r="M17" s="10"/>
      <c r="N17" s="10"/>
      <c r="O17" s="756"/>
      <c r="P17"/>
    </row>
    <row r="18" spans="1:16" s="146" customFormat="1" ht="17.45" customHeight="1" x14ac:dyDescent="0.25">
      <c r="A18" s="270"/>
      <c r="B18" s="557"/>
      <c r="C18" s="557"/>
      <c r="D18" s="38" t="s">
        <v>593</v>
      </c>
      <c r="E18" s="271"/>
      <c r="F18" s="271"/>
      <c r="G18" s="272"/>
      <c r="H18" s="273"/>
      <c r="I18" s="101"/>
      <c r="J18" s="233"/>
      <c r="K18" s="250"/>
      <c r="L18" s="101">
        <v>100000</v>
      </c>
      <c r="M18" s="10"/>
      <c r="N18" s="10"/>
      <c r="O18" s="756"/>
      <c r="P18"/>
    </row>
    <row r="19" spans="1:16" s="146" customFormat="1" ht="17.45" customHeight="1" x14ac:dyDescent="0.25">
      <c r="A19" s="270"/>
      <c r="B19" s="557"/>
      <c r="C19" s="557"/>
      <c r="D19" s="38" t="s">
        <v>594</v>
      </c>
      <c r="E19" s="271"/>
      <c r="F19" s="271"/>
      <c r="G19" s="272"/>
      <c r="H19" s="273"/>
      <c r="I19" s="101"/>
      <c r="J19" s="233"/>
      <c r="K19" s="250"/>
      <c r="L19" s="101">
        <v>2000000</v>
      </c>
      <c r="M19" s="10"/>
      <c r="N19" s="10"/>
      <c r="O19" s="756"/>
      <c r="P19"/>
    </row>
    <row r="20" spans="1:16" s="146" customFormat="1" ht="17.45" customHeight="1" x14ac:dyDescent="0.25">
      <c r="A20" s="270"/>
      <c r="B20" s="557"/>
      <c r="C20" s="557"/>
      <c r="D20" s="38" t="s">
        <v>595</v>
      </c>
      <c r="E20" s="271"/>
      <c r="F20" s="271"/>
      <c r="G20" s="272"/>
      <c r="H20" s="273"/>
      <c r="I20" s="101"/>
      <c r="J20" s="233"/>
      <c r="K20" s="250"/>
      <c r="L20" s="101">
        <v>3000000</v>
      </c>
      <c r="M20" s="10"/>
      <c r="N20" s="10"/>
      <c r="O20" s="756"/>
      <c r="P20"/>
    </row>
    <row r="21" spans="1:16" s="146" customFormat="1" ht="17.45" customHeight="1" x14ac:dyDescent="0.25">
      <c r="A21" s="270"/>
      <c r="B21" s="557"/>
      <c r="C21" s="557"/>
      <c r="D21" s="38" t="s">
        <v>596</v>
      </c>
      <c r="E21" s="271"/>
      <c r="F21" s="271"/>
      <c r="G21" s="272"/>
      <c r="H21" s="273"/>
      <c r="I21" s="101"/>
      <c r="J21" s="233"/>
      <c r="K21" s="250"/>
      <c r="L21" s="101">
        <v>2000000</v>
      </c>
      <c r="M21" s="10"/>
      <c r="N21" s="10"/>
      <c r="O21" s="756"/>
      <c r="P21"/>
    </row>
    <row r="22" spans="1:16" s="282" customFormat="1" ht="17.45" customHeight="1" x14ac:dyDescent="0.25">
      <c r="A22" s="274"/>
      <c r="B22" s="607"/>
      <c r="C22" s="607"/>
      <c r="D22" s="275" t="s">
        <v>583</v>
      </c>
      <c r="F22" s="275"/>
      <c r="G22" s="276"/>
      <c r="H22" s="277"/>
      <c r="I22" s="119"/>
      <c r="J22" s="278"/>
      <c r="K22" s="279"/>
      <c r="L22" s="119">
        <f>SUM(L9:L21)</f>
        <v>11900000</v>
      </c>
      <c r="M22" s="280"/>
      <c r="N22" s="280"/>
      <c r="O22" s="761"/>
      <c r="P22" s="281"/>
    </row>
    <row r="23" spans="1:16" s="282" customFormat="1" ht="17.45" customHeight="1" x14ac:dyDescent="0.25">
      <c r="A23" s="274"/>
      <c r="B23" s="607"/>
      <c r="C23" s="607"/>
      <c r="D23" s="275"/>
      <c r="F23" s="275"/>
      <c r="G23" s="276"/>
      <c r="H23" s="277"/>
      <c r="I23" s="155"/>
      <c r="J23" s="247"/>
      <c r="K23" s="370"/>
      <c r="L23" s="155"/>
      <c r="M23" s="280"/>
      <c r="N23" s="280"/>
      <c r="O23" s="761"/>
      <c r="P23" s="281"/>
    </row>
    <row r="24" spans="1:16" s="146" customFormat="1" ht="18" x14ac:dyDescent="0.25">
      <c r="A24" s="270"/>
      <c r="B24" s="557"/>
      <c r="C24" s="557"/>
      <c r="D24" s="36" t="s">
        <v>597</v>
      </c>
      <c r="E24" s="271"/>
      <c r="F24" s="271"/>
      <c r="G24" s="272"/>
      <c r="H24" s="273"/>
      <c r="I24" s="101"/>
      <c r="J24" s="233"/>
      <c r="K24" s="250"/>
      <c r="L24" s="101"/>
      <c r="M24" s="10"/>
      <c r="N24" s="10"/>
      <c r="O24" s="756"/>
      <c r="P24"/>
    </row>
    <row r="25" spans="1:16" s="146" customFormat="1" ht="18" x14ac:dyDescent="0.25">
      <c r="A25" s="270"/>
      <c r="B25" s="557"/>
      <c r="C25" s="557"/>
      <c r="D25" s="679" t="s">
        <v>598</v>
      </c>
      <c r="E25" s="283"/>
      <c r="F25" s="271"/>
      <c r="G25" s="272"/>
      <c r="H25" s="273"/>
      <c r="I25" s="101"/>
      <c r="J25" s="233"/>
      <c r="K25" s="250"/>
      <c r="L25" s="101">
        <v>12815451.880000001</v>
      </c>
      <c r="M25" s="10"/>
      <c r="N25" s="10"/>
      <c r="O25" s="756"/>
      <c r="P25"/>
    </row>
    <row r="26" spans="1:16" s="146" customFormat="1" ht="54" customHeight="1" x14ac:dyDescent="0.25">
      <c r="A26" s="270"/>
      <c r="B26" s="557"/>
      <c r="C26" s="557"/>
      <c r="D26" s="1617" t="s">
        <v>599</v>
      </c>
      <c r="E26" s="1617"/>
      <c r="F26" s="271"/>
      <c r="G26" s="272"/>
      <c r="H26" s="273"/>
      <c r="I26" s="101"/>
      <c r="J26" s="233"/>
      <c r="K26" s="250"/>
      <c r="L26" s="101">
        <v>1000000</v>
      </c>
      <c r="M26" s="10"/>
      <c r="N26" s="10"/>
      <c r="O26" s="756"/>
      <c r="P26"/>
    </row>
    <row r="27" spans="1:16" s="146" customFormat="1" ht="54.75" customHeight="1" x14ac:dyDescent="0.25">
      <c r="A27" s="270"/>
      <c r="B27" s="557"/>
      <c r="C27" s="557"/>
      <c r="D27" s="1617" t="s">
        <v>600</v>
      </c>
      <c r="E27" s="1617"/>
      <c r="F27" s="271"/>
      <c r="G27" s="272"/>
      <c r="H27" s="273"/>
      <c r="I27" s="101"/>
      <c r="J27" s="233"/>
      <c r="K27" s="250"/>
      <c r="L27" s="101">
        <v>600000</v>
      </c>
      <c r="M27" s="10"/>
      <c r="N27" s="10"/>
      <c r="O27" s="756"/>
      <c r="P27"/>
    </row>
    <row r="28" spans="1:16" s="146" customFormat="1" ht="18" x14ac:dyDescent="0.25">
      <c r="A28" s="270"/>
      <c r="B28" s="557"/>
      <c r="C28" s="557"/>
      <c r="D28" s="679" t="s">
        <v>601</v>
      </c>
      <c r="E28" s="283"/>
      <c r="F28" s="271"/>
      <c r="G28" s="272"/>
      <c r="H28" s="273"/>
      <c r="I28" s="101"/>
      <c r="J28" s="233"/>
      <c r="K28" s="250"/>
      <c r="L28" s="101">
        <v>200000</v>
      </c>
      <c r="M28" s="10"/>
      <c r="N28" s="10"/>
      <c r="O28" s="756"/>
      <c r="P28"/>
    </row>
    <row r="29" spans="1:16" s="146" customFormat="1" ht="18" x14ac:dyDescent="0.25">
      <c r="A29" s="270"/>
      <c r="B29" s="557"/>
      <c r="C29" s="557"/>
      <c r="D29" s="679" t="s">
        <v>602</v>
      </c>
      <c r="E29" s="283"/>
      <c r="F29" s="271"/>
      <c r="G29" s="272"/>
      <c r="H29" s="273"/>
      <c r="I29" s="101"/>
      <c r="J29" s="233"/>
      <c r="K29" s="250"/>
      <c r="L29" s="101">
        <v>1000000</v>
      </c>
      <c r="M29" s="10"/>
      <c r="N29" s="10"/>
      <c r="O29" s="756"/>
      <c r="P29"/>
    </row>
    <row r="30" spans="1:16" s="146" customFormat="1" ht="36.75" customHeight="1" x14ac:dyDescent="0.25">
      <c r="A30" s="270"/>
      <c r="B30" s="557"/>
      <c r="C30" s="557"/>
      <c r="D30" s="1617" t="s">
        <v>603</v>
      </c>
      <c r="E30" s="1617"/>
      <c r="F30" s="271"/>
      <c r="G30" s="272"/>
      <c r="H30" s="273"/>
      <c r="I30" s="101"/>
      <c r="J30" s="233"/>
      <c r="K30" s="250"/>
      <c r="L30" s="101">
        <v>6000000</v>
      </c>
      <c r="M30" s="10"/>
      <c r="N30" s="10"/>
      <c r="O30" s="756"/>
      <c r="P30"/>
    </row>
    <row r="31" spans="1:16" s="146" customFormat="1" ht="18" x14ac:dyDescent="0.25">
      <c r="A31" s="270"/>
      <c r="B31" s="557"/>
      <c r="C31" s="557"/>
      <c r="D31" s="679" t="s">
        <v>604</v>
      </c>
      <c r="E31" s="283"/>
      <c r="F31" s="271"/>
      <c r="G31" s="272"/>
      <c r="H31" s="273"/>
      <c r="I31" s="101"/>
      <c r="J31" s="233"/>
      <c r="K31" s="250"/>
      <c r="L31" s="101">
        <v>1000000</v>
      </c>
      <c r="M31" s="10"/>
      <c r="N31" s="10"/>
      <c r="O31" s="756"/>
      <c r="P31"/>
    </row>
    <row r="32" spans="1:16" s="146" customFormat="1" ht="39" customHeight="1" x14ac:dyDescent="0.25">
      <c r="A32" s="270"/>
      <c r="B32" s="557"/>
      <c r="C32" s="557"/>
      <c r="D32" s="1628" t="s">
        <v>605</v>
      </c>
      <c r="E32" s="1628"/>
      <c r="F32" s="271"/>
      <c r="G32" s="272"/>
      <c r="H32" s="273"/>
      <c r="I32" s="101"/>
      <c r="J32" s="233"/>
      <c r="K32" s="250"/>
      <c r="L32" s="101">
        <v>1500000</v>
      </c>
      <c r="M32" s="10"/>
      <c r="N32" s="10"/>
      <c r="O32" s="756"/>
      <c r="P32"/>
    </row>
    <row r="33" spans="1:16" s="146" customFormat="1" ht="36.75" customHeight="1" x14ac:dyDescent="0.25">
      <c r="A33" s="270"/>
      <c r="B33" s="557"/>
      <c r="C33" s="557"/>
      <c r="D33" s="1628" t="s">
        <v>606</v>
      </c>
      <c r="E33" s="1628"/>
      <c r="F33" s="271"/>
      <c r="G33" s="272"/>
      <c r="H33" s="273"/>
      <c r="I33" s="101"/>
      <c r="J33" s="233"/>
      <c r="K33" s="250"/>
      <c r="L33" s="101">
        <v>1500000</v>
      </c>
      <c r="M33" s="10"/>
      <c r="N33" s="10"/>
      <c r="O33" s="756"/>
      <c r="P33"/>
    </row>
    <row r="34" spans="1:16" s="146" customFormat="1" ht="18" x14ac:dyDescent="0.25">
      <c r="A34" s="270"/>
      <c r="B34" s="557"/>
      <c r="C34" s="557"/>
      <c r="D34" s="679" t="s">
        <v>607</v>
      </c>
      <c r="E34" s="283"/>
      <c r="F34" s="271"/>
      <c r="G34" s="272"/>
      <c r="H34" s="273"/>
      <c r="I34" s="101"/>
      <c r="J34" s="233"/>
      <c r="K34" s="250"/>
      <c r="L34" s="101">
        <v>1000000</v>
      </c>
      <c r="M34" s="10"/>
      <c r="N34" s="10"/>
      <c r="O34" s="756"/>
      <c r="P34"/>
    </row>
    <row r="35" spans="1:16" s="146" customFormat="1" ht="37.5" customHeight="1" x14ac:dyDescent="0.25">
      <c r="A35" s="270"/>
      <c r="B35" s="557"/>
      <c r="C35" s="557"/>
      <c r="D35" s="1628" t="s">
        <v>608</v>
      </c>
      <c r="E35" s="1628"/>
      <c r="F35" s="271"/>
      <c r="G35" s="272"/>
      <c r="H35" s="273"/>
      <c r="I35" s="101"/>
      <c r="J35" s="233"/>
      <c r="K35" s="250"/>
      <c r="L35" s="101">
        <v>702721.05</v>
      </c>
      <c r="M35" s="10"/>
      <c r="N35" s="10"/>
      <c r="O35" s="756"/>
      <c r="P35"/>
    </row>
    <row r="36" spans="1:16" s="282" customFormat="1" ht="18" x14ac:dyDescent="0.25">
      <c r="A36" s="274"/>
      <c r="B36" s="607"/>
      <c r="C36" s="607"/>
      <c r="D36" s="275" t="s">
        <v>583</v>
      </c>
      <c r="F36" s="275"/>
      <c r="G36" s="276"/>
      <c r="H36" s="277"/>
      <c r="I36" s="119"/>
      <c r="J36" s="278"/>
      <c r="K36" s="279"/>
      <c r="L36" s="119">
        <f>SUM(L25:L35)</f>
        <v>27318172.930000003</v>
      </c>
      <c r="M36" s="280"/>
      <c r="N36" s="280"/>
      <c r="O36" s="761"/>
      <c r="P36" s="281"/>
    </row>
    <row r="37" spans="1:16" s="282" customFormat="1" ht="18.75" thickBot="1" x14ac:dyDescent="0.3">
      <c r="A37" s="274"/>
      <c r="B37" s="607"/>
      <c r="C37" s="607"/>
      <c r="D37" s="275" t="s">
        <v>609</v>
      </c>
      <c r="F37" s="275"/>
      <c r="G37" s="276"/>
      <c r="H37" s="277"/>
      <c r="I37" s="259"/>
      <c r="J37" s="284"/>
      <c r="K37" s="285"/>
      <c r="L37" s="259">
        <f>L36+L22+L7</f>
        <v>42718172.930000007</v>
      </c>
      <c r="M37" s="280"/>
      <c r="N37" s="280"/>
      <c r="O37" s="761"/>
      <c r="P37" s="281"/>
    </row>
    <row r="38" spans="1:16" s="146" customFormat="1" ht="18" x14ac:dyDescent="0.25">
      <c r="A38" s="286"/>
      <c r="B38" s="286"/>
      <c r="C38" s="286"/>
      <c r="D38" s="287"/>
      <c r="E38" s="288"/>
      <c r="F38" s="288"/>
      <c r="G38" s="288"/>
      <c r="H38" s="288"/>
      <c r="I38" s="289"/>
      <c r="J38" s="290"/>
      <c r="K38" s="289"/>
      <c r="L38" s="289"/>
      <c r="M38" s="10"/>
      <c r="N38" s="10"/>
      <c r="O38" s="756"/>
      <c r="P38"/>
    </row>
    <row r="39" spans="1:16" s="146" customFormat="1" ht="18" x14ac:dyDescent="0.25">
      <c r="A39" s="557"/>
      <c r="B39" s="557"/>
      <c r="C39" s="557"/>
      <c r="D39" s="38"/>
      <c r="E39" s="271"/>
      <c r="F39" s="271"/>
      <c r="G39" s="271"/>
      <c r="H39" s="271"/>
      <c r="I39" s="141"/>
      <c r="J39" s="122"/>
      <c r="K39" s="141"/>
      <c r="L39" s="141"/>
      <c r="M39" s="10"/>
      <c r="N39" s="10"/>
      <c r="O39" s="756"/>
      <c r="P39"/>
    </row>
    <row r="40" spans="1:16" ht="18" customHeight="1" x14ac:dyDescent="0.25">
      <c r="A40" s="8" t="s">
        <v>112</v>
      </c>
    </row>
    <row r="41" spans="1:16" ht="18" customHeight="1" x14ac:dyDescent="0.25">
      <c r="A41" s="8" t="s">
        <v>610</v>
      </c>
    </row>
    <row r="42" spans="1:16" ht="18" customHeight="1" x14ac:dyDescent="0.25">
      <c r="A42" s="1636" t="s">
        <v>113</v>
      </c>
      <c r="B42" s="1636"/>
      <c r="C42" s="1636"/>
      <c r="D42" s="1636"/>
      <c r="E42" s="1636"/>
      <c r="F42" s="1636"/>
      <c r="G42" s="1636"/>
      <c r="H42" s="1636"/>
      <c r="I42" s="1636"/>
      <c r="J42" s="1636"/>
      <c r="K42" s="1636"/>
      <c r="L42" s="1636"/>
    </row>
    <row r="43" spans="1:16" s="7" customFormat="1" ht="18" customHeight="1" x14ac:dyDescent="0.25">
      <c r="A43" s="1624" t="s">
        <v>114</v>
      </c>
      <c r="B43" s="1624"/>
      <c r="C43" s="1624"/>
      <c r="D43" s="1624"/>
      <c r="E43" s="1624"/>
      <c r="F43" s="1624"/>
      <c r="G43" s="1624"/>
      <c r="H43" s="1624"/>
      <c r="I43" s="1624"/>
      <c r="J43" s="1624"/>
      <c r="K43" s="1624"/>
      <c r="L43" s="1624"/>
      <c r="M43" s="6"/>
      <c r="N43" s="6"/>
      <c r="O43" s="762"/>
    </row>
    <row r="44" spans="1:16" ht="16.5" thickBot="1" x14ac:dyDescent="0.3">
      <c r="A44" s="256"/>
      <c r="B44" s="256"/>
      <c r="C44" s="256"/>
      <c r="D44" s="255"/>
      <c r="E44" s="256"/>
      <c r="F44" s="256"/>
      <c r="G44" s="256"/>
      <c r="H44" s="256"/>
      <c r="I44" s="266"/>
      <c r="J44" s="267"/>
      <c r="K44" s="266"/>
      <c r="L44" s="266"/>
    </row>
    <row r="45" spans="1:16" ht="47.25" customHeight="1" thickBot="1" x14ac:dyDescent="0.3">
      <c r="A45" s="1655" t="s">
        <v>115</v>
      </c>
      <c r="B45" s="1655"/>
      <c r="C45" s="1655"/>
      <c r="D45" s="1655"/>
      <c r="E45" s="1655"/>
      <c r="F45" s="1655"/>
      <c r="G45" s="1655"/>
      <c r="H45" s="643" t="s">
        <v>116</v>
      </c>
      <c r="I45" s="130" t="s">
        <v>117</v>
      </c>
      <c r="J45" s="130" t="s">
        <v>118</v>
      </c>
      <c r="K45" s="130" t="s">
        <v>119</v>
      </c>
      <c r="L45" s="130" t="s">
        <v>120</v>
      </c>
    </row>
    <row r="46" spans="1:16" ht="18.75" thickBot="1" x14ac:dyDescent="0.3">
      <c r="A46" s="270"/>
      <c r="B46" s="557"/>
      <c r="C46" s="557"/>
      <c r="D46" s="38" t="s">
        <v>611</v>
      </c>
      <c r="E46" s="75"/>
      <c r="F46" s="75"/>
      <c r="G46" s="269"/>
      <c r="H46" s="253"/>
      <c r="I46" s="219">
        <v>215000</v>
      </c>
      <c r="J46" s="291">
        <v>215000</v>
      </c>
      <c r="K46" s="257"/>
      <c r="L46" s="219">
        <v>215000</v>
      </c>
    </row>
    <row r="47" spans="1:16" s="146" customFormat="1" ht="18.75" thickBot="1" x14ac:dyDescent="0.3">
      <c r="A47" s="254"/>
      <c r="B47" s="271"/>
      <c r="C47" s="271"/>
      <c r="D47" s="1673" t="s">
        <v>612</v>
      </c>
      <c r="E47" s="1673"/>
      <c r="F47" s="1673"/>
      <c r="G47" s="1674"/>
      <c r="H47" s="292"/>
      <c r="I47" s="293">
        <f>SUM(I2:I46)</f>
        <v>13630388.58</v>
      </c>
      <c r="J47" s="293">
        <f>SUM(J2:J46)</f>
        <v>33193691.050000001</v>
      </c>
      <c r="K47" s="293">
        <f>SUM(K2:K46)</f>
        <v>594614.53</v>
      </c>
      <c r="L47" s="293">
        <f>L46+L37</f>
        <v>42933172.930000007</v>
      </c>
      <c r="M47" s="10"/>
      <c r="N47" s="10"/>
      <c r="O47" s="756"/>
      <c r="P47"/>
    </row>
    <row r="48" spans="1:16" s="146" customFormat="1" ht="18" x14ac:dyDescent="0.25">
      <c r="A48" s="254"/>
      <c r="B48" s="271"/>
      <c r="C48" s="271"/>
      <c r="D48" s="36"/>
      <c r="E48" s="271"/>
      <c r="F48" s="271"/>
      <c r="G48" s="272"/>
      <c r="H48" s="273"/>
      <c r="I48" s="101"/>
      <c r="J48" s="102"/>
      <c r="K48" s="250"/>
      <c r="L48" s="250"/>
      <c r="M48" s="10"/>
      <c r="N48" s="10"/>
      <c r="O48" s="756"/>
      <c r="P48"/>
    </row>
    <row r="49" spans="1:16" s="146" customFormat="1" ht="18" x14ac:dyDescent="0.25">
      <c r="A49" s="254"/>
      <c r="B49" s="271"/>
      <c r="C49" s="271"/>
      <c r="D49" s="36"/>
      <c r="E49" s="271"/>
      <c r="F49" s="271"/>
      <c r="G49" s="272"/>
      <c r="H49" s="273"/>
      <c r="I49" s="101"/>
      <c r="J49" s="102"/>
      <c r="K49" s="250"/>
      <c r="L49" s="250"/>
      <c r="M49" s="10"/>
      <c r="N49" s="10"/>
      <c r="O49" s="756"/>
      <c r="P49"/>
    </row>
    <row r="50" spans="1:16" ht="18" customHeight="1" x14ac:dyDescent="0.25">
      <c r="A50" s="1667" t="s">
        <v>613</v>
      </c>
      <c r="B50" s="1620"/>
      <c r="C50" s="1620"/>
      <c r="D50" s="1620"/>
      <c r="E50" s="1620"/>
      <c r="F50" s="235"/>
      <c r="G50" s="236"/>
      <c r="H50" s="237"/>
      <c r="I50" s="238"/>
      <c r="J50" s="294"/>
      <c r="K50" s="238"/>
      <c r="L50" s="238"/>
    </row>
    <row r="51" spans="1:16" s="146" customFormat="1" ht="18" x14ac:dyDescent="0.25">
      <c r="A51" s="1667"/>
      <c r="B51" s="1620"/>
      <c r="C51" s="1620"/>
      <c r="D51" s="1620"/>
      <c r="E51" s="1620"/>
      <c r="F51" s="152"/>
      <c r="G51" s="295"/>
      <c r="H51" s="100"/>
      <c r="I51" s="101"/>
      <c r="J51" s="102"/>
      <c r="K51" s="101"/>
      <c r="L51" s="101"/>
      <c r="M51" s="10"/>
      <c r="N51" s="10"/>
      <c r="O51" s="756"/>
      <c r="P51"/>
    </row>
    <row r="52" spans="1:16" s="146" customFormat="1" ht="18" x14ac:dyDescent="0.25">
      <c r="A52" s="296" t="s">
        <v>614</v>
      </c>
      <c r="B52" s="198"/>
      <c r="C52" s="198"/>
      <c r="D52" s="38"/>
      <c r="E52" s="199"/>
      <c r="F52" s="199"/>
      <c r="G52" s="297"/>
      <c r="H52" s="100"/>
      <c r="I52" s="101"/>
      <c r="J52" s="102"/>
      <c r="K52" s="101"/>
      <c r="L52" s="101"/>
      <c r="M52" s="10"/>
      <c r="N52" s="10"/>
      <c r="O52" s="756"/>
      <c r="P52"/>
    </row>
    <row r="53" spans="1:16" s="146" customFormat="1" ht="18" x14ac:dyDescent="0.25">
      <c r="A53" s="296"/>
      <c r="B53" s="198"/>
      <c r="C53" s="198"/>
      <c r="D53" s="38" t="s">
        <v>615</v>
      </c>
      <c r="E53" s="199"/>
      <c r="F53" s="199"/>
      <c r="G53" s="297"/>
      <c r="H53" s="100"/>
      <c r="I53" s="101"/>
      <c r="J53" s="102"/>
      <c r="K53" s="101"/>
      <c r="L53" s="101">
        <v>20000000</v>
      </c>
      <c r="M53" s="10"/>
      <c r="N53" s="10"/>
      <c r="O53" s="756"/>
      <c r="P53"/>
    </row>
    <row r="54" spans="1:16" s="146" customFormat="1" ht="36.75" customHeight="1" x14ac:dyDescent="0.25">
      <c r="A54" s="296"/>
      <c r="B54" s="198"/>
      <c r="C54" s="198"/>
      <c r="D54" s="1617" t="s">
        <v>616</v>
      </c>
      <c r="E54" s="1617"/>
      <c r="F54" s="199"/>
      <c r="G54" s="297"/>
      <c r="H54" s="100"/>
      <c r="I54" s="101"/>
      <c r="J54" s="102"/>
      <c r="K54" s="101"/>
      <c r="L54" s="101">
        <v>10000000</v>
      </c>
      <c r="M54" s="10"/>
      <c r="N54" s="10"/>
      <c r="O54" s="756"/>
      <c r="P54"/>
    </row>
    <row r="55" spans="1:16" s="146" customFormat="1" ht="18" x14ac:dyDescent="0.25">
      <c r="A55" s="296"/>
      <c r="B55" s="198"/>
      <c r="C55" s="198"/>
      <c r="D55" s="38" t="s">
        <v>615</v>
      </c>
      <c r="E55" s="199"/>
      <c r="F55" s="199"/>
      <c r="G55" s="297"/>
      <c r="H55" s="100"/>
      <c r="I55" s="105"/>
      <c r="J55" s="106">
        <v>20000000</v>
      </c>
      <c r="K55" s="105">
        <v>0</v>
      </c>
      <c r="L55" s="105"/>
      <c r="M55" s="10"/>
      <c r="N55" s="10"/>
      <c r="O55" s="756"/>
      <c r="P55"/>
    </row>
    <row r="56" spans="1:16" s="146" customFormat="1" ht="18" x14ac:dyDescent="0.25">
      <c r="A56" s="298"/>
      <c r="B56" s="199"/>
      <c r="C56" s="199"/>
      <c r="D56" s="676" t="s">
        <v>200</v>
      </c>
      <c r="F56" s="299"/>
      <c r="G56" s="300"/>
      <c r="H56" s="301"/>
      <c r="I56" s="150">
        <f>SUM(I55:I55)</f>
        <v>0</v>
      </c>
      <c r="J56" s="150">
        <f>SUM(J55:J55)</f>
        <v>20000000</v>
      </c>
      <c r="K56" s="150">
        <f>SUM(K55:K55)</f>
        <v>0</v>
      </c>
      <c r="L56" s="150">
        <f>SUM(L53:L55)</f>
        <v>30000000</v>
      </c>
      <c r="M56" s="10"/>
      <c r="N56" s="10"/>
      <c r="O56" s="756"/>
      <c r="P56"/>
    </row>
    <row r="57" spans="1:16" s="146" customFormat="1" ht="18" x14ac:dyDescent="0.25">
      <c r="A57" s="298"/>
      <c r="B57" s="199"/>
      <c r="C57" s="199"/>
      <c r="D57" s="38"/>
      <c r="E57" s="676"/>
      <c r="F57" s="299"/>
      <c r="G57" s="300"/>
      <c r="H57" s="301"/>
      <c r="I57" s="156"/>
      <c r="J57" s="156"/>
      <c r="K57" s="156"/>
      <c r="L57" s="156"/>
      <c r="M57" s="10"/>
      <c r="N57" s="10"/>
      <c r="O57" s="756"/>
      <c r="P57"/>
    </row>
    <row r="58" spans="1:16" s="146" customFormat="1" ht="18" x14ac:dyDescent="0.25">
      <c r="A58" s="296" t="s">
        <v>617</v>
      </c>
      <c r="B58" s="198"/>
      <c r="C58" s="198"/>
      <c r="D58" s="38"/>
      <c r="E58" s="199"/>
      <c r="F58" s="199"/>
      <c r="G58" s="297"/>
      <c r="H58" s="100"/>
      <c r="I58" s="101"/>
      <c r="J58" s="102"/>
      <c r="K58" s="101"/>
      <c r="L58" s="101"/>
      <c r="M58" s="10"/>
      <c r="N58" s="10"/>
      <c r="O58" s="756"/>
      <c r="P58"/>
    </row>
    <row r="59" spans="1:16" ht="17.25" customHeight="1" x14ac:dyDescent="0.25">
      <c r="A59" s="296"/>
      <c r="B59" s="198"/>
      <c r="C59" s="198"/>
      <c r="D59" s="38" t="s">
        <v>618</v>
      </c>
      <c r="E59" s="199"/>
      <c r="F59" s="199"/>
      <c r="G59" s="297"/>
      <c r="H59" s="100"/>
      <c r="I59" s="101">
        <v>0</v>
      </c>
      <c r="J59" s="102">
        <v>28182064.199999999</v>
      </c>
      <c r="K59" s="101">
        <v>0</v>
      </c>
      <c r="L59" s="101">
        <v>40261034.799999997</v>
      </c>
    </row>
    <row r="60" spans="1:16" ht="18" x14ac:dyDescent="0.25">
      <c r="A60" s="296"/>
      <c r="B60" s="198"/>
      <c r="C60" s="198"/>
      <c r="D60" s="38" t="s">
        <v>619</v>
      </c>
      <c r="E60" s="199"/>
      <c r="F60" s="199"/>
      <c r="G60" s="297"/>
      <c r="H60" s="100"/>
      <c r="I60" s="101">
        <v>0</v>
      </c>
      <c r="J60" s="102">
        <v>2500000</v>
      </c>
      <c r="K60" s="101">
        <v>0</v>
      </c>
      <c r="L60" s="101">
        <v>500000</v>
      </c>
    </row>
    <row r="61" spans="1:16" ht="18" x14ac:dyDescent="0.25">
      <c r="A61" s="296"/>
      <c r="B61" s="198"/>
      <c r="C61" s="198"/>
      <c r="D61" s="38" t="s">
        <v>620</v>
      </c>
      <c r="E61" s="199"/>
      <c r="F61" s="199"/>
      <c r="G61" s="297"/>
      <c r="H61" s="100"/>
      <c r="I61" s="101"/>
      <c r="J61" s="102"/>
      <c r="K61" s="101"/>
      <c r="L61" s="101">
        <v>20000000</v>
      </c>
    </row>
    <row r="62" spans="1:16" ht="18" x14ac:dyDescent="0.25">
      <c r="A62" s="296"/>
      <c r="B62" s="198"/>
      <c r="C62" s="198"/>
      <c r="D62" s="38" t="s">
        <v>621</v>
      </c>
      <c r="E62" s="199"/>
      <c r="F62" s="199"/>
      <c r="G62" s="297"/>
      <c r="H62" s="100"/>
      <c r="I62" s="101"/>
      <c r="J62" s="102"/>
      <c r="K62" s="101"/>
      <c r="L62" s="101">
        <v>2000000</v>
      </c>
    </row>
    <row r="63" spans="1:16" ht="18" x14ac:dyDescent="0.25">
      <c r="A63" s="296"/>
      <c r="B63" s="198"/>
      <c r="C63" s="198"/>
      <c r="D63" s="38" t="s">
        <v>622</v>
      </c>
      <c r="E63" s="199"/>
      <c r="F63" s="199"/>
      <c r="G63" s="297"/>
      <c r="H63" s="100"/>
      <c r="I63" s="101">
        <v>0</v>
      </c>
      <c r="J63" s="102">
        <v>2000000</v>
      </c>
      <c r="K63" s="101">
        <v>0</v>
      </c>
      <c r="L63" s="101"/>
    </row>
    <row r="64" spans="1:16" ht="18" x14ac:dyDescent="0.25">
      <c r="A64" s="296"/>
      <c r="B64" s="198"/>
      <c r="C64" s="198"/>
      <c r="D64" s="38" t="s">
        <v>623</v>
      </c>
      <c r="E64" s="199"/>
      <c r="F64" s="199"/>
      <c r="G64" s="297"/>
      <c r="H64" s="100"/>
      <c r="I64" s="101">
        <v>0</v>
      </c>
      <c r="J64" s="102">
        <v>5000000</v>
      </c>
      <c r="K64" s="101">
        <v>0</v>
      </c>
      <c r="L64" s="101">
        <v>5000000</v>
      </c>
    </row>
    <row r="65" spans="1:16" ht="19.5" customHeight="1" x14ac:dyDescent="0.25">
      <c r="A65" s="302"/>
      <c r="B65" s="608"/>
      <c r="C65" s="608"/>
      <c r="D65" s="1634" t="s">
        <v>624</v>
      </c>
      <c r="E65" s="1634"/>
      <c r="F65" s="1634"/>
      <c r="G65" s="1653"/>
      <c r="H65" s="100"/>
      <c r="I65" s="101"/>
      <c r="J65" s="102"/>
      <c r="K65" s="101"/>
      <c r="L65" s="101">
        <v>2000000</v>
      </c>
    </row>
    <row r="66" spans="1:16" ht="18" x14ac:dyDescent="0.25">
      <c r="A66" s="296"/>
      <c r="B66" s="198"/>
      <c r="C66" s="198"/>
      <c r="D66" s="38" t="s">
        <v>625</v>
      </c>
      <c r="E66" s="199"/>
      <c r="F66" s="199"/>
      <c r="G66" s="297"/>
      <c r="H66" s="100"/>
      <c r="I66" s="101">
        <v>0</v>
      </c>
      <c r="J66" s="102">
        <v>5000000</v>
      </c>
      <c r="K66" s="101">
        <v>0</v>
      </c>
      <c r="L66" s="101">
        <v>5000000</v>
      </c>
    </row>
    <row r="67" spans="1:16" ht="18" x14ac:dyDescent="0.25">
      <c r="A67" s="296"/>
      <c r="B67" s="198"/>
      <c r="C67" s="198"/>
      <c r="D67" s="38" t="s">
        <v>626</v>
      </c>
      <c r="E67" s="199"/>
      <c r="F67" s="199"/>
      <c r="G67" s="297"/>
      <c r="H67" s="100"/>
      <c r="I67" s="101"/>
      <c r="J67" s="102"/>
      <c r="K67" s="101"/>
      <c r="L67" s="101"/>
    </row>
    <row r="68" spans="1:16" ht="18" x14ac:dyDescent="0.25">
      <c r="A68" s="296"/>
      <c r="B68" s="198"/>
      <c r="C68" s="198"/>
      <c r="D68" s="38" t="s">
        <v>627</v>
      </c>
      <c r="E68" s="199"/>
      <c r="F68" s="199"/>
      <c r="G68" s="297"/>
      <c r="H68" s="100"/>
      <c r="I68" s="101"/>
      <c r="J68" s="102"/>
      <c r="K68" s="101"/>
      <c r="L68" s="101">
        <v>5000000</v>
      </c>
    </row>
    <row r="69" spans="1:16" ht="18" x14ac:dyDescent="0.25">
      <c r="A69" s="296"/>
      <c r="B69" s="198"/>
      <c r="C69" s="198"/>
      <c r="D69" s="38" t="s">
        <v>628</v>
      </c>
      <c r="E69" s="199"/>
      <c r="F69" s="199"/>
      <c r="G69" s="297"/>
      <c r="H69" s="100"/>
      <c r="I69" s="101"/>
      <c r="J69" s="102"/>
      <c r="K69" s="101"/>
      <c r="L69" s="101">
        <v>3000000</v>
      </c>
    </row>
    <row r="70" spans="1:16" ht="18" customHeight="1" x14ac:dyDescent="0.25">
      <c r="A70" s="296"/>
      <c r="B70" s="198"/>
      <c r="C70" s="198"/>
      <c r="D70" s="1634" t="s">
        <v>629</v>
      </c>
      <c r="E70" s="1634"/>
      <c r="F70" s="1634"/>
      <c r="G70" s="1653"/>
      <c r="H70" s="100"/>
      <c r="I70" s="101">
        <v>0</v>
      </c>
      <c r="J70" s="102">
        <v>1500000</v>
      </c>
      <c r="K70" s="101">
        <v>0</v>
      </c>
      <c r="L70" s="101"/>
    </row>
    <row r="71" spans="1:16" ht="18" x14ac:dyDescent="0.25">
      <c r="A71" s="296"/>
      <c r="B71" s="198"/>
      <c r="C71" s="198"/>
      <c r="D71" s="38" t="s">
        <v>630</v>
      </c>
      <c r="E71" s="303"/>
      <c r="F71" s="199"/>
      <c r="G71" s="297"/>
      <c r="H71" s="100"/>
      <c r="I71" s="101">
        <v>0</v>
      </c>
      <c r="J71" s="102">
        <v>2000000</v>
      </c>
      <c r="K71" s="101">
        <v>0</v>
      </c>
      <c r="L71" s="101"/>
    </row>
    <row r="72" spans="1:16" ht="18" x14ac:dyDescent="0.25">
      <c r="A72" s="296"/>
      <c r="B72" s="198"/>
      <c r="C72" s="198"/>
      <c r="D72" s="38" t="s">
        <v>631</v>
      </c>
      <c r="E72" s="303"/>
      <c r="F72" s="199"/>
      <c r="G72" s="297"/>
      <c r="H72" s="100"/>
      <c r="I72" s="101"/>
      <c r="J72" s="102">
        <v>3000000</v>
      </c>
      <c r="K72" s="101">
        <v>0</v>
      </c>
      <c r="L72" s="101"/>
    </row>
    <row r="73" spans="1:16" ht="36.75" customHeight="1" x14ac:dyDescent="0.25">
      <c r="A73" s="302"/>
      <c r="B73" s="608"/>
      <c r="C73" s="608"/>
      <c r="D73" s="1637" t="s">
        <v>632</v>
      </c>
      <c r="E73" s="1637"/>
      <c r="F73" s="1637"/>
      <c r="G73" s="1641"/>
      <c r="H73" s="100"/>
      <c r="I73" s="101">
        <v>0</v>
      </c>
      <c r="J73" s="102">
        <v>2000000</v>
      </c>
      <c r="K73" s="101">
        <v>0</v>
      </c>
      <c r="L73" s="101"/>
    </row>
    <row r="74" spans="1:16" s="146" customFormat="1" ht="18" x14ac:dyDescent="0.25">
      <c r="A74" s="304"/>
      <c r="B74" s="609"/>
      <c r="C74" s="609"/>
      <c r="D74" s="206" t="s">
        <v>633</v>
      </c>
      <c r="E74" s="199"/>
      <c r="F74" s="199"/>
      <c r="G74" s="297"/>
      <c r="H74" s="100"/>
      <c r="I74" s="105">
        <v>0</v>
      </c>
      <c r="J74" s="106">
        <v>8000000</v>
      </c>
      <c r="K74" s="105">
        <v>7999000</v>
      </c>
      <c r="L74" s="105"/>
      <c r="M74" s="10"/>
      <c r="N74" s="10"/>
      <c r="O74" s="756"/>
      <c r="P74"/>
    </row>
    <row r="75" spans="1:16" s="146" customFormat="1" ht="18.75" thickBot="1" x14ac:dyDescent="0.3">
      <c r="A75" s="298"/>
      <c r="B75" s="199"/>
      <c r="C75" s="199"/>
      <c r="D75" s="676" t="s">
        <v>200</v>
      </c>
      <c r="F75" s="306"/>
      <c r="G75" s="307"/>
      <c r="H75" s="308"/>
      <c r="I75" s="119">
        <f>SUM(I59:I74)</f>
        <v>0</v>
      </c>
      <c r="J75" s="150">
        <f>SUM(J59:J74)</f>
        <v>59182064.200000003</v>
      </c>
      <c r="K75" s="150">
        <f>SUM(K59:K74)</f>
        <v>7999000</v>
      </c>
      <c r="L75" s="119">
        <f>SUM(L59:L74)</f>
        <v>82761034.799999997</v>
      </c>
      <c r="M75" s="10"/>
      <c r="N75" s="10"/>
      <c r="O75" s="756"/>
      <c r="P75"/>
    </row>
    <row r="76" spans="1:16" s="146" customFormat="1" ht="18" x14ac:dyDescent="0.25">
      <c r="A76" s="298"/>
      <c r="B76" s="199"/>
      <c r="C76" s="199"/>
      <c r="D76" s="38"/>
      <c r="E76" s="305"/>
      <c r="F76" s="303"/>
      <c r="G76" s="309"/>
      <c r="H76" s="100"/>
      <c r="I76" s="155"/>
      <c r="J76" s="156"/>
      <c r="K76" s="155"/>
      <c r="L76" s="155"/>
      <c r="M76" s="10"/>
      <c r="N76" s="10"/>
      <c r="O76" s="756"/>
      <c r="P76"/>
    </row>
    <row r="77" spans="1:16" ht="18" x14ac:dyDescent="0.25">
      <c r="A77" s="296" t="s">
        <v>634</v>
      </c>
      <c r="B77" s="198"/>
      <c r="C77" s="198"/>
      <c r="D77" s="36"/>
      <c r="E77" s="198"/>
      <c r="F77" s="198"/>
      <c r="G77" s="310"/>
      <c r="H77" s="100"/>
      <c r="I77" s="101"/>
      <c r="J77" s="102"/>
      <c r="K77" s="101"/>
      <c r="L77" s="101"/>
    </row>
    <row r="78" spans="1:16" ht="18" x14ac:dyDescent="0.25">
      <c r="A78" s="298"/>
      <c r="B78" s="199"/>
      <c r="C78" s="199"/>
      <c r="D78" s="38" t="s">
        <v>635</v>
      </c>
      <c r="E78" s="199"/>
      <c r="F78" s="199"/>
      <c r="G78" s="297"/>
      <c r="H78" s="100"/>
      <c r="I78" s="101"/>
      <c r="J78" s="102"/>
      <c r="K78" s="101"/>
      <c r="L78" s="101"/>
    </row>
    <row r="79" spans="1:16" ht="36.75" customHeight="1" x14ac:dyDescent="0.25">
      <c r="A79" s="298"/>
      <c r="B79" s="199"/>
      <c r="C79" s="199"/>
      <c r="D79" s="1617" t="s">
        <v>636</v>
      </c>
      <c r="E79" s="1617"/>
      <c r="F79" s="199"/>
      <c r="G79" s="297"/>
      <c r="H79" s="100"/>
      <c r="I79" s="101">
        <v>401768.98</v>
      </c>
      <c r="J79" s="102">
        <v>420000</v>
      </c>
      <c r="K79" s="101">
        <v>195005.5</v>
      </c>
      <c r="L79" s="101">
        <v>500000</v>
      </c>
    </row>
    <row r="80" spans="1:16" ht="39" customHeight="1" x14ac:dyDescent="0.25">
      <c r="A80" s="298"/>
      <c r="B80" s="199"/>
      <c r="C80" s="199"/>
      <c r="D80" s="1628" t="s">
        <v>637</v>
      </c>
      <c r="E80" s="1628"/>
      <c r="F80" s="199"/>
      <c r="G80" s="297"/>
      <c r="H80" s="100"/>
      <c r="I80" s="101"/>
      <c r="J80" s="102"/>
      <c r="K80" s="101"/>
      <c r="L80" s="101">
        <v>8000000</v>
      </c>
    </row>
    <row r="81" spans="1:16" ht="18.75" customHeight="1" x14ac:dyDescent="0.25">
      <c r="A81" s="298"/>
      <c r="B81" s="199"/>
      <c r="C81" s="199"/>
      <c r="D81" s="1617" t="s">
        <v>638</v>
      </c>
      <c r="E81" s="1617"/>
      <c r="F81" s="199"/>
      <c r="G81" s="297"/>
      <c r="H81" s="100"/>
      <c r="I81" s="101"/>
      <c r="J81" s="102"/>
      <c r="K81" s="101"/>
      <c r="L81" s="101">
        <v>5000000</v>
      </c>
    </row>
    <row r="82" spans="1:16" ht="18" x14ac:dyDescent="0.25">
      <c r="A82" s="298"/>
      <c r="B82" s="199"/>
      <c r="C82" s="199"/>
      <c r="D82" s="38" t="s">
        <v>639</v>
      </c>
      <c r="E82" s="303"/>
      <c r="F82" s="199"/>
      <c r="G82" s="297"/>
      <c r="H82" s="100"/>
      <c r="I82" s="101">
        <v>7999000</v>
      </c>
      <c r="J82" s="102"/>
      <c r="K82" s="101"/>
      <c r="L82" s="101"/>
    </row>
    <row r="83" spans="1:16" ht="18" x14ac:dyDescent="0.25">
      <c r="A83" s="298"/>
      <c r="B83" s="199"/>
      <c r="C83" s="199"/>
      <c r="D83" s="38" t="s">
        <v>640</v>
      </c>
      <c r="E83" s="303"/>
      <c r="F83" s="199"/>
      <c r="G83" s="297"/>
      <c r="H83" s="100"/>
      <c r="I83" s="101">
        <v>0</v>
      </c>
      <c r="J83" s="102">
        <v>5000000</v>
      </c>
      <c r="K83" s="101"/>
      <c r="L83" s="101"/>
    </row>
    <row r="84" spans="1:16" s="313" customFormat="1" ht="18" customHeight="1" x14ac:dyDescent="0.25">
      <c r="A84" s="675"/>
      <c r="B84" s="658"/>
      <c r="C84" s="658"/>
      <c r="D84" s="1672" t="s">
        <v>641</v>
      </c>
      <c r="E84" s="1672"/>
      <c r="F84" s="678"/>
      <c r="G84" s="311"/>
      <c r="H84" s="312"/>
      <c r="I84" s="102"/>
      <c r="J84" s="102"/>
      <c r="K84" s="102"/>
      <c r="L84" s="102"/>
      <c r="M84" s="193"/>
      <c r="N84" s="193"/>
      <c r="O84" s="763"/>
      <c r="P84" s="179"/>
    </row>
    <row r="85" spans="1:16" s="313" customFormat="1" ht="18" customHeight="1" x14ac:dyDescent="0.25">
      <c r="A85" s="675"/>
      <c r="B85" s="658"/>
      <c r="C85" s="658"/>
      <c r="D85" s="669" t="s">
        <v>642</v>
      </c>
      <c r="E85" s="669"/>
      <c r="F85" s="678"/>
      <c r="G85" s="311"/>
      <c r="H85" s="312"/>
      <c r="I85" s="102"/>
      <c r="J85" s="102"/>
      <c r="K85" s="102"/>
      <c r="L85" s="102">
        <v>20000000</v>
      </c>
      <c r="M85" s="193"/>
      <c r="N85" s="193"/>
      <c r="O85" s="763"/>
      <c r="P85" s="179"/>
    </row>
    <row r="86" spans="1:16" ht="37.5" customHeight="1" x14ac:dyDescent="0.25">
      <c r="A86" s="298"/>
      <c r="B86" s="199"/>
      <c r="C86" s="199"/>
      <c r="D86" s="1637" t="s">
        <v>643</v>
      </c>
      <c r="E86" s="1637"/>
      <c r="F86" s="199"/>
      <c r="G86" s="297"/>
      <c r="H86" s="100"/>
      <c r="I86" s="101"/>
      <c r="J86" s="102">
        <v>10000000</v>
      </c>
      <c r="K86" s="101"/>
      <c r="L86" s="101"/>
    </row>
    <row r="87" spans="1:16" ht="18" x14ac:dyDescent="0.25">
      <c r="A87" s="298"/>
      <c r="B87" s="199"/>
      <c r="C87" s="199"/>
      <c r="D87" s="206" t="s">
        <v>644</v>
      </c>
      <c r="E87" s="303"/>
      <c r="F87" s="199"/>
      <c r="G87" s="297"/>
      <c r="H87" s="100"/>
      <c r="I87" s="101"/>
      <c r="J87" s="102">
        <v>2500000</v>
      </c>
      <c r="K87" s="101"/>
      <c r="L87" s="101"/>
    </row>
    <row r="88" spans="1:16" ht="18" x14ac:dyDescent="0.25">
      <c r="A88" s="298"/>
      <c r="B88" s="199"/>
      <c r="C88" s="199"/>
      <c r="D88" s="206" t="s">
        <v>645</v>
      </c>
      <c r="E88" s="303"/>
      <c r="F88" s="199"/>
      <c r="G88" s="297"/>
      <c r="H88" s="100"/>
      <c r="I88" s="101"/>
      <c r="J88" s="102">
        <v>5000000</v>
      </c>
      <c r="K88" s="101"/>
      <c r="L88" s="101"/>
    </row>
    <row r="89" spans="1:16" ht="18" x14ac:dyDescent="0.25">
      <c r="A89" s="298"/>
      <c r="B89" s="199"/>
      <c r="C89" s="199"/>
      <c r="D89" s="679" t="s">
        <v>646</v>
      </c>
      <c r="E89" s="303"/>
      <c r="F89" s="199"/>
      <c r="G89" s="297"/>
      <c r="H89" s="100"/>
      <c r="I89" s="101"/>
      <c r="J89" s="102">
        <v>3500000</v>
      </c>
      <c r="K89" s="101"/>
      <c r="L89" s="101"/>
    </row>
    <row r="90" spans="1:16" ht="37.5" customHeight="1" x14ac:dyDescent="0.25">
      <c r="A90" s="298"/>
      <c r="B90" s="199"/>
      <c r="C90" s="199"/>
      <c r="D90" s="1637" t="s">
        <v>647</v>
      </c>
      <c r="E90" s="1637"/>
      <c r="F90" s="199"/>
      <c r="G90" s="297"/>
      <c r="H90" s="100"/>
      <c r="I90" s="101"/>
      <c r="J90" s="102">
        <v>1500000</v>
      </c>
      <c r="K90" s="101"/>
      <c r="L90" s="101"/>
    </row>
    <row r="91" spans="1:16" ht="18" x14ac:dyDescent="0.25">
      <c r="A91" s="298"/>
      <c r="B91" s="199"/>
      <c r="C91" s="199"/>
      <c r="D91" s="206" t="s">
        <v>648</v>
      </c>
      <c r="E91" s="303"/>
      <c r="F91" s="199"/>
      <c r="G91" s="297"/>
      <c r="H91" s="100"/>
      <c r="I91" s="105"/>
      <c r="J91" s="106">
        <v>2000000</v>
      </c>
      <c r="K91" s="105"/>
      <c r="L91" s="105">
        <v>2000000</v>
      </c>
    </row>
    <row r="92" spans="1:16" s="146" customFormat="1" ht="18" x14ac:dyDescent="0.25">
      <c r="A92" s="649"/>
      <c r="B92" s="650"/>
      <c r="C92" s="650"/>
      <c r="D92" s="676" t="s">
        <v>200</v>
      </c>
      <c r="E92" s="305"/>
      <c r="F92" s="651"/>
      <c r="G92" s="644"/>
      <c r="H92" s="301"/>
      <c r="I92" s="189">
        <f>SUM(I78:I91)</f>
        <v>8400768.9800000004</v>
      </c>
      <c r="J92" s="156">
        <f>SUM(J78:J91)</f>
        <v>29920000</v>
      </c>
      <c r="K92" s="155">
        <f>SUM(K78:K91)</f>
        <v>195005.5</v>
      </c>
      <c r="L92" s="189">
        <f>SUM(L78:L91)</f>
        <v>35500000</v>
      </c>
      <c r="M92" s="10"/>
      <c r="N92" s="10"/>
      <c r="O92" s="756"/>
      <c r="P92"/>
    </row>
    <row r="93" spans="1:16" s="146" customFormat="1" ht="18" x14ac:dyDescent="0.25">
      <c r="A93" s="649"/>
      <c r="B93" s="650"/>
      <c r="C93" s="650"/>
      <c r="D93" s="639"/>
      <c r="E93" s="650"/>
      <c r="F93" s="650"/>
      <c r="G93" s="646"/>
      <c r="H93" s="100"/>
      <c r="I93" s="314"/>
      <c r="J93" s="106"/>
      <c r="K93" s="105"/>
      <c r="L93" s="314"/>
      <c r="M93" s="10"/>
      <c r="N93" s="10"/>
      <c r="O93" s="756"/>
      <c r="P93"/>
    </row>
    <row r="94" spans="1:16" s="146" customFormat="1" ht="18" x14ac:dyDescent="0.25">
      <c r="A94" s="107"/>
      <c r="B94" s="610"/>
      <c r="C94" s="610"/>
      <c r="D94" s="558" t="s">
        <v>649</v>
      </c>
      <c r="E94" s="559"/>
      <c r="F94" s="651"/>
      <c r="G94" s="644"/>
      <c r="H94" s="301"/>
      <c r="I94" s="315">
        <f>SUM(I92+I75+I56)</f>
        <v>8400768.9800000004</v>
      </c>
      <c r="J94" s="316">
        <f>SUM(J92+J75+J56)</f>
        <v>109102064.2</v>
      </c>
      <c r="K94" s="150">
        <f>SUM(K92+K75+K56)</f>
        <v>8194005.5</v>
      </c>
      <c r="L94" s="316">
        <f>SUM(L92+L75+L56)</f>
        <v>148261034.80000001</v>
      </c>
      <c r="M94" s="10"/>
      <c r="N94" s="10"/>
      <c r="O94" s="756"/>
      <c r="P94"/>
    </row>
    <row r="95" spans="1:16" s="146" customFormat="1" ht="18.75" thickBot="1" x14ac:dyDescent="0.3">
      <c r="A95" s="317"/>
      <c r="B95" s="318"/>
      <c r="C95" s="318"/>
      <c r="D95" s="560" t="s">
        <v>650</v>
      </c>
      <c r="E95" s="561"/>
      <c r="F95" s="228"/>
      <c r="G95" s="319"/>
      <c r="H95" s="320"/>
      <c r="I95" s="321">
        <f>I94+I47</f>
        <v>22031157.560000002</v>
      </c>
      <c r="J95" s="321">
        <f>J94+J47</f>
        <v>142295755.25</v>
      </c>
      <c r="K95" s="321">
        <f>K94+K47</f>
        <v>8788620.0299999993</v>
      </c>
      <c r="L95" s="321">
        <f>L94+L47</f>
        <v>191194207.73000002</v>
      </c>
      <c r="M95" s="10"/>
      <c r="N95" s="10"/>
      <c r="O95" s="760"/>
    </row>
    <row r="96" spans="1:16" s="146" customFormat="1" ht="18" x14ac:dyDescent="0.25">
      <c r="A96" s="650"/>
      <c r="B96" s="650"/>
      <c r="C96" s="650"/>
      <c r="D96" s="639"/>
      <c r="E96" s="651"/>
      <c r="F96" s="651"/>
      <c r="G96" s="651"/>
      <c r="H96" s="322"/>
      <c r="I96" s="323"/>
      <c r="J96" s="127"/>
      <c r="K96" s="126"/>
      <c r="L96" s="126"/>
      <c r="M96" s="10"/>
      <c r="N96" s="10"/>
      <c r="O96" s="756"/>
      <c r="P96"/>
    </row>
    <row r="97" spans="1:16" s="146" customFormat="1" ht="18" x14ac:dyDescent="0.25">
      <c r="A97" s="650"/>
      <c r="B97" s="650"/>
      <c r="C97" s="650"/>
      <c r="D97" s="639"/>
      <c r="E97" s="651"/>
      <c r="F97" s="651"/>
      <c r="G97" s="651"/>
      <c r="H97" s="322"/>
      <c r="I97" s="323"/>
      <c r="J97" s="127"/>
      <c r="K97" s="126"/>
      <c r="L97" s="126"/>
      <c r="M97" s="10"/>
      <c r="N97" s="10"/>
      <c r="O97" s="756"/>
      <c r="P97"/>
    </row>
    <row r="98" spans="1:16" s="146" customFormat="1" ht="18" x14ac:dyDescent="0.25">
      <c r="A98" s="650"/>
      <c r="B98" s="650"/>
      <c r="C98" s="650"/>
      <c r="D98" s="639"/>
      <c r="E98" s="651"/>
      <c r="F98" s="651"/>
      <c r="G98" s="651"/>
      <c r="H98" s="322"/>
      <c r="I98" s="323"/>
      <c r="J98" s="127"/>
      <c r="K98" s="126"/>
      <c r="L98" s="126"/>
      <c r="M98" s="10"/>
      <c r="N98" s="10"/>
      <c r="O98" s="756"/>
      <c r="P98"/>
    </row>
    <row r="99" spans="1:16" s="146" customFormat="1" ht="18" x14ac:dyDescent="0.25">
      <c r="A99" s="650"/>
      <c r="B99" s="650"/>
      <c r="C99" s="650"/>
      <c r="D99" s="639"/>
      <c r="E99" s="651"/>
      <c r="F99" s="651"/>
      <c r="G99" s="651"/>
      <c r="H99" s="322"/>
      <c r="I99" s="323"/>
      <c r="J99" s="127"/>
      <c r="K99" s="126"/>
      <c r="L99" s="126"/>
      <c r="M99" s="10"/>
      <c r="N99" s="10"/>
      <c r="O99" s="756"/>
      <c r="P99"/>
    </row>
    <row r="100" spans="1:16" s="146" customFormat="1" ht="18" x14ac:dyDescent="0.25">
      <c r="A100" s="650"/>
      <c r="B100" s="650"/>
      <c r="C100" s="650"/>
      <c r="D100" s="639"/>
      <c r="E100" s="651"/>
      <c r="F100" s="651"/>
      <c r="G100" s="651"/>
      <c r="H100" s="322"/>
      <c r="I100" s="323"/>
      <c r="J100" s="127"/>
      <c r="K100" s="126"/>
      <c r="L100" s="126"/>
      <c r="M100" s="10"/>
      <c r="N100" s="10"/>
      <c r="O100" s="756"/>
      <c r="P100"/>
    </row>
    <row r="101" spans="1:16" s="146" customFormat="1" ht="18" customHeight="1" x14ac:dyDescent="0.25">
      <c r="A101" s="9" t="s">
        <v>112</v>
      </c>
      <c r="B101" s="9"/>
      <c r="C101" s="9"/>
      <c r="D101" s="9"/>
      <c r="E101" s="9"/>
      <c r="F101" s="9"/>
      <c r="G101" s="9"/>
      <c r="H101" s="9"/>
      <c r="I101" s="5"/>
      <c r="J101" s="5"/>
      <c r="K101" s="177"/>
      <c r="L101" s="5"/>
      <c r="M101" s="10"/>
      <c r="N101" s="10"/>
      <c r="O101" s="760"/>
    </row>
    <row r="102" spans="1:16" ht="18" customHeight="1" x14ac:dyDescent="0.25">
      <c r="A102" s="8" t="s">
        <v>651</v>
      </c>
      <c r="K102" s="249"/>
    </row>
    <row r="103" spans="1:16" ht="18" customHeight="1" x14ac:dyDescent="0.25">
      <c r="A103" s="1636" t="s">
        <v>113</v>
      </c>
      <c r="B103" s="1636"/>
      <c r="C103" s="1636"/>
      <c r="D103" s="1636"/>
      <c r="E103" s="1636"/>
      <c r="F103" s="1636"/>
      <c r="G103" s="1636"/>
      <c r="H103" s="1636"/>
      <c r="I103" s="1636"/>
      <c r="J103" s="1636"/>
      <c r="K103" s="1636"/>
      <c r="L103" s="1636"/>
    </row>
    <row r="104" spans="1:16" s="7" customFormat="1" ht="18" customHeight="1" x14ac:dyDescent="0.25">
      <c r="A104" s="1624" t="s">
        <v>114</v>
      </c>
      <c r="B104" s="1624"/>
      <c r="C104" s="1624"/>
      <c r="D104" s="1624"/>
      <c r="E104" s="1624"/>
      <c r="F104" s="1624"/>
      <c r="G104" s="1624"/>
      <c r="H104" s="1624"/>
      <c r="I104" s="1624"/>
      <c r="J104" s="1624"/>
      <c r="K104" s="1624"/>
      <c r="L104" s="1624"/>
      <c r="M104" s="6"/>
      <c r="N104" s="6"/>
      <c r="O104" s="762"/>
    </row>
    <row r="105" spans="1:16" ht="16.5" thickBot="1" x14ac:dyDescent="0.3">
      <c r="I105" s="265"/>
    </row>
    <row r="106" spans="1:16" s="146" customFormat="1" ht="64.5" customHeight="1" thickBot="1" x14ac:dyDescent="0.3">
      <c r="A106" s="1655" t="s">
        <v>115</v>
      </c>
      <c r="B106" s="1655"/>
      <c r="C106" s="1655"/>
      <c r="D106" s="1655"/>
      <c r="E106" s="1655"/>
      <c r="F106" s="1655"/>
      <c r="G106" s="1655"/>
      <c r="H106" s="643" t="s">
        <v>116</v>
      </c>
      <c r="I106" s="130" t="s">
        <v>117</v>
      </c>
      <c r="J106" s="130" t="s">
        <v>118</v>
      </c>
      <c r="K106" s="130" t="s">
        <v>119</v>
      </c>
      <c r="L106" s="130" t="s">
        <v>120</v>
      </c>
      <c r="M106" s="765" t="s">
        <v>1360</v>
      </c>
      <c r="N106" s="765" t="s">
        <v>1335</v>
      </c>
      <c r="O106" s="766" t="s">
        <v>1425</v>
      </c>
      <c r="P106"/>
    </row>
    <row r="107" spans="1:16" s="146" customFormat="1" ht="18" x14ac:dyDescent="0.25">
      <c r="A107" s="1670" t="s">
        <v>652</v>
      </c>
      <c r="B107" s="1670"/>
      <c r="C107" s="1670"/>
      <c r="D107" s="1670"/>
      <c r="E107" s="1670"/>
      <c r="F107" s="1670"/>
      <c r="G107" s="1670"/>
      <c r="H107" s="324"/>
      <c r="I107" s="325"/>
      <c r="J107" s="326"/>
      <c r="K107" s="325"/>
      <c r="L107" s="325"/>
      <c r="M107" s="10"/>
      <c r="N107" s="10"/>
      <c r="O107" s="756"/>
      <c r="P107"/>
    </row>
    <row r="108" spans="1:16" s="146" customFormat="1" ht="18" customHeight="1" x14ac:dyDescent="0.25">
      <c r="A108" s="327" t="s">
        <v>653</v>
      </c>
      <c r="B108" s="369"/>
      <c r="C108" s="369"/>
      <c r="E108" s="640"/>
      <c r="F108" s="640"/>
      <c r="G108" s="640"/>
      <c r="H108" s="328"/>
      <c r="I108" s="329"/>
      <c r="J108" s="329"/>
      <c r="K108" s="329"/>
      <c r="L108" s="329"/>
      <c r="M108" s="10"/>
      <c r="N108" s="10"/>
      <c r="O108" s="760"/>
    </row>
    <row r="109" spans="1:16" s="146" customFormat="1" ht="18" x14ac:dyDescent="0.25">
      <c r="A109" s="667"/>
      <c r="B109" s="651"/>
      <c r="C109" s="651"/>
      <c r="D109" s="1620" t="s">
        <v>654</v>
      </c>
      <c r="E109" s="1620"/>
      <c r="F109" s="1620"/>
      <c r="G109" s="1620"/>
      <c r="H109" s="97"/>
      <c r="I109" s="98"/>
      <c r="J109" s="99"/>
      <c r="K109" s="98"/>
      <c r="L109" s="98"/>
      <c r="M109" s="10"/>
      <c r="N109" s="10"/>
      <c r="O109" s="756"/>
      <c r="P109"/>
    </row>
    <row r="110" spans="1:16" s="146" customFormat="1" ht="18" x14ac:dyDescent="0.25">
      <c r="A110" s="667"/>
      <c r="B110" s="651"/>
      <c r="C110" s="651"/>
      <c r="D110" s="1618" t="s">
        <v>655</v>
      </c>
      <c r="E110" s="1619"/>
      <c r="F110" s="1619"/>
      <c r="G110" s="1671"/>
      <c r="H110" s="168"/>
      <c r="I110" s="330">
        <v>2129500</v>
      </c>
      <c r="J110" s="102">
        <v>5500000</v>
      </c>
      <c r="K110" s="330">
        <v>869900</v>
      </c>
      <c r="L110" s="330">
        <v>4000000</v>
      </c>
      <c r="M110" s="10"/>
      <c r="N110" s="10"/>
      <c r="O110" s="756"/>
      <c r="P110"/>
    </row>
    <row r="111" spans="1:16" s="146" customFormat="1" ht="18" x14ac:dyDescent="0.25">
      <c r="A111" s="667"/>
      <c r="B111" s="651"/>
      <c r="C111" s="651"/>
      <c r="D111" s="656" t="s">
        <v>656</v>
      </c>
      <c r="E111" s="639"/>
      <c r="F111" s="639"/>
      <c r="G111" s="639"/>
      <c r="H111" s="168"/>
      <c r="I111" s="330"/>
      <c r="J111" s="102"/>
      <c r="K111" s="330"/>
      <c r="L111" s="330">
        <v>1000000</v>
      </c>
      <c r="M111" s="10"/>
      <c r="N111" s="10"/>
      <c r="O111" s="756"/>
      <c r="P111"/>
    </row>
    <row r="112" spans="1:16" s="146" customFormat="1" ht="18" x14ac:dyDescent="0.25">
      <c r="A112" s="667"/>
      <c r="B112" s="651"/>
      <c r="C112" s="651"/>
      <c r="D112" s="1574" t="s">
        <v>657</v>
      </c>
      <c r="E112" s="1574"/>
      <c r="F112" s="1574"/>
      <c r="G112" s="1574"/>
      <c r="H112" s="168"/>
      <c r="I112" s="330">
        <v>1464548</v>
      </c>
      <c r="J112" s="102">
        <v>2700000</v>
      </c>
      <c r="K112" s="330">
        <v>903180</v>
      </c>
      <c r="L112" s="330">
        <v>3000000</v>
      </c>
      <c r="M112" s="10"/>
      <c r="N112" s="10"/>
      <c r="O112" s="756"/>
      <c r="P112"/>
    </row>
    <row r="113" spans="1:16" s="146" customFormat="1" ht="18" x14ac:dyDescent="0.25">
      <c r="A113" s="667"/>
      <c r="B113" s="651"/>
      <c r="C113" s="651"/>
      <c r="D113" s="1574" t="s">
        <v>658</v>
      </c>
      <c r="E113" s="1574"/>
      <c r="F113" s="1574"/>
      <c r="G113" s="1574"/>
      <c r="H113" s="168"/>
      <c r="I113" s="102">
        <v>0</v>
      </c>
      <c r="J113" s="102">
        <v>40000</v>
      </c>
      <c r="K113" s="330"/>
      <c r="L113" s="330"/>
      <c r="M113" s="10"/>
      <c r="N113" s="10"/>
      <c r="O113" s="756"/>
      <c r="P113"/>
    </row>
    <row r="114" spans="1:16" s="146" customFormat="1" ht="18" x14ac:dyDescent="0.25">
      <c r="A114" s="667"/>
      <c r="B114" s="651"/>
      <c r="C114" s="651"/>
      <c r="D114" s="656" t="s">
        <v>659</v>
      </c>
      <c r="E114" s="650"/>
      <c r="F114" s="650"/>
      <c r="G114" s="650"/>
      <c r="H114" s="97"/>
      <c r="I114" s="101"/>
      <c r="J114" s="102">
        <v>1000000</v>
      </c>
      <c r="K114" s="331"/>
      <c r="L114" s="331">
        <v>1000000</v>
      </c>
      <c r="M114" s="10"/>
      <c r="N114" s="10"/>
      <c r="O114" s="756"/>
      <c r="P114"/>
    </row>
    <row r="115" spans="1:16" s="313" customFormat="1" ht="55.5" customHeight="1" x14ac:dyDescent="0.25">
      <c r="A115" s="332"/>
      <c r="B115" s="673"/>
      <c r="C115" s="673"/>
      <c r="D115" s="1669" t="s">
        <v>660</v>
      </c>
      <c r="E115" s="1669"/>
      <c r="F115" s="658"/>
      <c r="G115" s="658"/>
      <c r="H115" s="333"/>
      <c r="I115" s="101"/>
      <c r="J115" s="102"/>
      <c r="K115" s="331"/>
      <c r="L115" s="331"/>
      <c r="M115" s="193"/>
      <c r="N115" s="193"/>
      <c r="O115" s="763"/>
      <c r="P115" s="179"/>
    </row>
    <row r="116" spans="1:16" s="313" customFormat="1" ht="22.5" customHeight="1" x14ac:dyDescent="0.25">
      <c r="A116" s="332"/>
      <c r="B116" s="673"/>
      <c r="C116" s="673"/>
      <c r="D116" s="1622" t="s">
        <v>661</v>
      </c>
      <c r="E116" s="1622"/>
      <c r="F116" s="658"/>
      <c r="G116" s="658"/>
      <c r="H116" s="333"/>
      <c r="I116" s="101"/>
      <c r="J116" s="102"/>
      <c r="K116" s="331"/>
      <c r="L116" s="331"/>
      <c r="M116" s="193"/>
      <c r="N116" s="193"/>
      <c r="O116" s="763"/>
      <c r="P116" s="179"/>
    </row>
    <row r="117" spans="1:16" s="313" customFormat="1" ht="22.5" customHeight="1" x14ac:dyDescent="0.25">
      <c r="A117" s="332"/>
      <c r="B117" s="673"/>
      <c r="C117" s="673"/>
      <c r="D117" s="1622" t="s">
        <v>662</v>
      </c>
      <c r="E117" s="1622"/>
      <c r="F117" s="658"/>
      <c r="G117" s="658"/>
      <c r="H117" s="333"/>
      <c r="I117" s="101"/>
      <c r="J117" s="102"/>
      <c r="K117" s="331"/>
      <c r="L117" s="331">
        <v>20000</v>
      </c>
      <c r="M117" s="193"/>
      <c r="N117" s="193"/>
      <c r="O117" s="763"/>
      <c r="P117" s="179"/>
    </row>
    <row r="118" spans="1:16" s="313" customFormat="1" ht="22.5" customHeight="1" x14ac:dyDescent="0.25">
      <c r="A118" s="332"/>
      <c r="B118" s="673"/>
      <c r="C118" s="673"/>
      <c r="D118" s="1622" t="s">
        <v>663</v>
      </c>
      <c r="E118" s="1622"/>
      <c r="F118" s="658"/>
      <c r="G118" s="658"/>
      <c r="H118" s="333"/>
      <c r="I118" s="101"/>
      <c r="J118" s="102"/>
      <c r="K118" s="331"/>
      <c r="L118" s="331">
        <v>20000</v>
      </c>
      <c r="M118" s="193"/>
      <c r="N118" s="193"/>
      <c r="O118" s="763"/>
      <c r="P118" s="179"/>
    </row>
    <row r="119" spans="1:16" s="313" customFormat="1" ht="22.5" customHeight="1" x14ac:dyDescent="0.25">
      <c r="A119" s="332"/>
      <c r="B119" s="673"/>
      <c r="C119" s="673"/>
      <c r="D119" s="1622" t="s">
        <v>664</v>
      </c>
      <c r="E119" s="1622"/>
      <c r="F119" s="658"/>
      <c r="G119" s="658"/>
      <c r="H119" s="333"/>
      <c r="I119" s="101"/>
      <c r="J119" s="102"/>
      <c r="K119" s="331"/>
      <c r="L119" s="331">
        <v>250000</v>
      </c>
      <c r="M119" s="193"/>
      <c r="N119" s="193"/>
      <c r="O119" s="763"/>
      <c r="P119" s="179"/>
    </row>
    <row r="120" spans="1:16" s="313" customFormat="1" ht="37.5" customHeight="1" x14ac:dyDescent="0.25">
      <c r="A120" s="332"/>
      <c r="B120" s="673"/>
      <c r="C120" s="673"/>
      <c r="D120" s="1622" t="s">
        <v>665</v>
      </c>
      <c r="E120" s="1622"/>
      <c r="F120" s="658"/>
      <c r="G120" s="658"/>
      <c r="H120" s="333"/>
      <c r="I120" s="101"/>
      <c r="J120" s="102"/>
      <c r="K120" s="331"/>
      <c r="L120" s="331">
        <v>50000</v>
      </c>
      <c r="M120" s="193"/>
      <c r="N120" s="193"/>
      <c r="O120" s="763"/>
      <c r="P120" s="179"/>
    </row>
    <row r="121" spans="1:16" s="313" customFormat="1" ht="37.5" customHeight="1" x14ac:dyDescent="0.25">
      <c r="A121" s="332"/>
      <c r="B121" s="673"/>
      <c r="C121" s="673"/>
      <c r="D121" s="1622" t="s">
        <v>666</v>
      </c>
      <c r="E121" s="1622"/>
      <c r="F121" s="658"/>
      <c r="G121" s="658"/>
      <c r="H121" s="333"/>
      <c r="I121" s="101"/>
      <c r="J121" s="102"/>
      <c r="K121" s="331"/>
      <c r="L121" s="330">
        <v>300000</v>
      </c>
      <c r="M121" s="193"/>
      <c r="N121" s="193"/>
      <c r="O121" s="763"/>
      <c r="P121" s="179"/>
    </row>
    <row r="122" spans="1:16" s="313" customFormat="1" ht="37.5" customHeight="1" x14ac:dyDescent="0.25">
      <c r="A122" s="332"/>
      <c r="B122" s="673"/>
      <c r="C122" s="673"/>
      <c r="D122" s="1622" t="s">
        <v>667</v>
      </c>
      <c r="E122" s="1622"/>
      <c r="F122" s="658"/>
      <c r="G122" s="658"/>
      <c r="H122" s="333"/>
      <c r="I122" s="101"/>
      <c r="J122" s="102"/>
      <c r="K122" s="331"/>
      <c r="L122" s="331">
        <v>25000</v>
      </c>
      <c r="M122" s="193"/>
      <c r="N122" s="193"/>
      <c r="O122" s="763"/>
      <c r="P122" s="179"/>
    </row>
    <row r="123" spans="1:16" s="313" customFormat="1" ht="18.75" customHeight="1" x14ac:dyDescent="0.25">
      <c r="A123" s="332"/>
      <c r="B123" s="673"/>
      <c r="C123" s="673"/>
      <c r="D123" s="1622" t="s">
        <v>668</v>
      </c>
      <c r="E123" s="1622"/>
      <c r="F123" s="658"/>
      <c r="G123" s="658"/>
      <c r="H123" s="333"/>
      <c r="I123" s="101"/>
      <c r="J123" s="102"/>
      <c r="K123" s="331"/>
      <c r="L123" s="331">
        <v>20000</v>
      </c>
      <c r="M123" s="193"/>
      <c r="N123" s="193"/>
      <c r="O123" s="763"/>
      <c r="P123" s="179"/>
    </row>
    <row r="124" spans="1:16" s="313" customFormat="1" ht="34.5" customHeight="1" x14ac:dyDescent="0.25">
      <c r="A124" s="332"/>
      <c r="B124" s="673"/>
      <c r="C124" s="673"/>
      <c r="D124" s="1622" t="s">
        <v>669</v>
      </c>
      <c r="E124" s="1622"/>
      <c r="F124" s="658"/>
      <c r="G124" s="658"/>
      <c r="H124" s="333"/>
      <c r="I124" s="101"/>
      <c r="J124" s="102"/>
      <c r="K124" s="331"/>
      <c r="L124" s="331">
        <v>20000</v>
      </c>
      <c r="M124" s="193"/>
      <c r="N124" s="193"/>
      <c r="O124" s="763"/>
      <c r="P124" s="179"/>
    </row>
    <row r="125" spans="1:16" s="313" customFormat="1" ht="20.25" customHeight="1" x14ac:dyDescent="0.25">
      <c r="A125" s="332"/>
      <c r="B125" s="673"/>
      <c r="C125" s="673"/>
      <c r="D125" s="1622" t="s">
        <v>670</v>
      </c>
      <c r="E125" s="1622"/>
      <c r="F125" s="658"/>
      <c r="G125" s="658"/>
      <c r="H125" s="333"/>
      <c r="I125" s="101"/>
      <c r="J125" s="102"/>
      <c r="K125" s="331"/>
      <c r="L125" s="331"/>
      <c r="M125" s="193"/>
      <c r="N125" s="193"/>
      <c r="O125" s="763"/>
      <c r="P125" s="179"/>
    </row>
    <row r="126" spans="1:16" s="313" customFormat="1" ht="20.25" customHeight="1" x14ac:dyDescent="0.25">
      <c r="A126" s="332"/>
      <c r="B126" s="673"/>
      <c r="C126" s="673"/>
      <c r="D126" s="1622" t="s">
        <v>671</v>
      </c>
      <c r="E126" s="1622"/>
      <c r="F126" s="658"/>
      <c r="G126" s="658"/>
      <c r="H126" s="333"/>
      <c r="I126" s="101"/>
      <c r="J126" s="102"/>
      <c r="K126" s="331"/>
      <c r="L126" s="331">
        <v>30000</v>
      </c>
      <c r="M126" s="193"/>
      <c r="N126" s="193"/>
      <c r="O126" s="763"/>
      <c r="P126" s="179"/>
    </row>
    <row r="127" spans="1:16" s="313" customFormat="1" ht="20.25" customHeight="1" x14ac:dyDescent="0.25">
      <c r="A127" s="332"/>
      <c r="B127" s="673"/>
      <c r="C127" s="673"/>
      <c r="D127" s="1622" t="s">
        <v>672</v>
      </c>
      <c r="E127" s="1622"/>
      <c r="F127" s="658"/>
      <c r="G127" s="658"/>
      <c r="H127" s="333"/>
      <c r="I127" s="101"/>
      <c r="J127" s="102"/>
      <c r="K127" s="331"/>
      <c r="L127" s="331">
        <v>42000</v>
      </c>
      <c r="M127" s="193"/>
      <c r="N127" s="193"/>
      <c r="O127" s="763"/>
      <c r="P127" s="179"/>
    </row>
    <row r="128" spans="1:16" s="313" customFormat="1" ht="20.25" customHeight="1" x14ac:dyDescent="0.25">
      <c r="A128" s="332"/>
      <c r="B128" s="673"/>
      <c r="C128" s="673"/>
      <c r="D128" s="1622" t="s">
        <v>673</v>
      </c>
      <c r="E128" s="1622"/>
      <c r="F128" s="658"/>
      <c r="G128" s="658"/>
      <c r="H128" s="333"/>
      <c r="I128" s="101"/>
      <c r="J128" s="102"/>
      <c r="K128" s="331"/>
      <c r="L128" s="331"/>
      <c r="M128" s="193"/>
      <c r="N128" s="193"/>
      <c r="O128" s="763"/>
      <c r="P128" s="179"/>
    </row>
    <row r="129" spans="1:16" s="313" customFormat="1" ht="20.25" customHeight="1" x14ac:dyDescent="0.25">
      <c r="A129" s="332"/>
      <c r="B129" s="673"/>
      <c r="C129" s="673"/>
      <c r="D129" s="1622" t="s">
        <v>674</v>
      </c>
      <c r="E129" s="1622"/>
      <c r="F129" s="658"/>
      <c r="G129" s="658"/>
      <c r="H129" s="333"/>
      <c r="I129" s="101"/>
      <c r="J129" s="102"/>
      <c r="K129" s="331"/>
      <c r="L129" s="331">
        <v>50000</v>
      </c>
      <c r="M129" s="193"/>
      <c r="N129" s="193"/>
      <c r="O129" s="763"/>
      <c r="P129" s="179"/>
    </row>
    <row r="130" spans="1:16" s="313" customFormat="1" ht="20.25" customHeight="1" x14ac:dyDescent="0.25">
      <c r="A130" s="332"/>
      <c r="B130" s="673"/>
      <c r="C130" s="673"/>
      <c r="D130" s="1622" t="s">
        <v>675</v>
      </c>
      <c r="E130" s="1622"/>
      <c r="F130" s="658"/>
      <c r="G130" s="658"/>
      <c r="H130" s="333"/>
      <c r="I130" s="101"/>
      <c r="J130" s="102"/>
      <c r="K130" s="331"/>
      <c r="L130" s="331">
        <v>20000</v>
      </c>
      <c r="M130" s="193"/>
      <c r="N130" s="193"/>
      <c r="O130" s="763"/>
      <c r="P130" s="179"/>
    </row>
    <row r="131" spans="1:16" s="313" customFormat="1" ht="20.25" customHeight="1" x14ac:dyDescent="0.25">
      <c r="A131" s="332"/>
      <c r="B131" s="673"/>
      <c r="C131" s="673"/>
      <c r="D131" s="1622" t="s">
        <v>676</v>
      </c>
      <c r="E131" s="1622"/>
      <c r="F131" s="658"/>
      <c r="G131" s="658"/>
      <c r="H131" s="333"/>
      <c r="I131" s="101"/>
      <c r="J131" s="102"/>
      <c r="K131" s="331"/>
      <c r="L131" s="331">
        <v>100000</v>
      </c>
      <c r="M131" s="193"/>
      <c r="N131" s="193"/>
      <c r="O131" s="763"/>
      <c r="P131" s="179"/>
    </row>
    <row r="132" spans="1:16" s="313" customFormat="1" ht="37.5" customHeight="1" x14ac:dyDescent="0.25">
      <c r="A132" s="332"/>
      <c r="B132" s="673"/>
      <c r="C132" s="673"/>
      <c r="D132" s="1669" t="s">
        <v>677</v>
      </c>
      <c r="E132" s="1669"/>
      <c r="F132" s="658"/>
      <c r="G132" s="658"/>
      <c r="H132" s="333"/>
      <c r="I132" s="101"/>
      <c r="J132" s="102"/>
      <c r="K132" s="331"/>
      <c r="L132" s="331"/>
      <c r="M132" s="193"/>
      <c r="N132" s="193"/>
      <c r="O132" s="763"/>
      <c r="P132" s="179"/>
    </row>
    <row r="133" spans="1:16" s="313" customFormat="1" ht="20.25" customHeight="1" x14ac:dyDescent="0.25">
      <c r="A133" s="332"/>
      <c r="B133" s="673"/>
      <c r="C133" s="673"/>
      <c r="D133" s="1622" t="s">
        <v>678</v>
      </c>
      <c r="E133" s="1622"/>
      <c r="F133" s="658"/>
      <c r="G133" s="658"/>
      <c r="H133" s="333"/>
      <c r="I133" s="101"/>
      <c r="J133" s="102"/>
      <c r="K133" s="331"/>
      <c r="L133" s="331">
        <v>60000</v>
      </c>
      <c r="M133" s="193"/>
      <c r="N133" s="193"/>
      <c r="O133" s="763"/>
      <c r="P133" s="179"/>
    </row>
    <row r="134" spans="1:16" s="313" customFormat="1" ht="20.25" customHeight="1" x14ac:dyDescent="0.25">
      <c r="A134" s="332"/>
      <c r="B134" s="673"/>
      <c r="C134" s="673"/>
      <c r="D134" s="1622" t="s">
        <v>679</v>
      </c>
      <c r="E134" s="1622"/>
      <c r="F134" s="658"/>
      <c r="G134" s="658"/>
      <c r="H134" s="333"/>
      <c r="I134" s="101"/>
      <c r="J134" s="102"/>
      <c r="K134" s="331"/>
      <c r="L134" s="331">
        <v>30000</v>
      </c>
      <c r="M134" s="193"/>
      <c r="N134" s="193"/>
      <c r="O134" s="763"/>
      <c r="P134" s="179"/>
    </row>
    <row r="135" spans="1:16" s="313" customFormat="1" ht="20.25" customHeight="1" x14ac:dyDescent="0.25">
      <c r="A135" s="332"/>
      <c r="B135" s="673"/>
      <c r="C135" s="673"/>
      <c r="D135" s="1622" t="s">
        <v>680</v>
      </c>
      <c r="E135" s="1622"/>
      <c r="F135" s="658"/>
      <c r="G135" s="658"/>
      <c r="H135" s="333"/>
      <c r="I135" s="101"/>
      <c r="J135" s="102"/>
      <c r="K135" s="331"/>
      <c r="L135" s="331">
        <v>40000</v>
      </c>
      <c r="M135" s="193"/>
      <c r="N135" s="193"/>
      <c r="O135" s="763"/>
      <c r="P135" s="179"/>
    </row>
    <row r="136" spans="1:16" s="313" customFormat="1" ht="20.25" customHeight="1" x14ac:dyDescent="0.25">
      <c r="A136" s="332"/>
      <c r="B136" s="673"/>
      <c r="C136" s="673"/>
      <c r="D136" s="1622" t="s">
        <v>681</v>
      </c>
      <c r="E136" s="1622"/>
      <c r="F136" s="658"/>
      <c r="G136" s="658"/>
      <c r="H136" s="333"/>
      <c r="I136" s="101"/>
      <c r="J136" s="102"/>
      <c r="K136" s="331"/>
      <c r="L136" s="331">
        <v>30000</v>
      </c>
      <c r="M136" s="193"/>
      <c r="N136" s="193"/>
      <c r="O136" s="763"/>
      <c r="P136" s="179"/>
    </row>
    <row r="137" spans="1:16" s="313" customFormat="1" ht="36" customHeight="1" x14ac:dyDescent="0.25">
      <c r="A137" s="332"/>
      <c r="B137" s="673"/>
      <c r="C137" s="673"/>
      <c r="D137" s="1622" t="s">
        <v>682</v>
      </c>
      <c r="E137" s="1622"/>
      <c r="F137" s="658"/>
      <c r="G137" s="658"/>
      <c r="H137" s="333"/>
      <c r="I137" s="101"/>
      <c r="J137" s="102"/>
      <c r="K137" s="331"/>
      <c r="L137" s="331">
        <v>30000</v>
      </c>
      <c r="M137" s="193"/>
      <c r="N137" s="193"/>
      <c r="O137" s="763"/>
      <c r="P137" s="179"/>
    </row>
    <row r="138" spans="1:16" ht="18" x14ac:dyDescent="0.25">
      <c r="A138" s="667"/>
      <c r="B138" s="651"/>
      <c r="C138" s="651"/>
      <c r="D138" s="1611" t="s">
        <v>683</v>
      </c>
      <c r="E138" s="1611"/>
      <c r="F138" s="1611"/>
      <c r="G138" s="1611"/>
      <c r="H138" s="97"/>
      <c r="I138" s="101">
        <v>0</v>
      </c>
      <c r="J138" s="102">
        <v>434000</v>
      </c>
      <c r="K138" s="331"/>
      <c r="L138" s="331"/>
    </row>
    <row r="139" spans="1:16" ht="18" x14ac:dyDescent="0.25">
      <c r="A139" s="667"/>
      <c r="B139" s="651"/>
      <c r="C139" s="651"/>
      <c r="D139" s="1611" t="s">
        <v>684</v>
      </c>
      <c r="E139" s="1611"/>
      <c r="F139" s="1611"/>
      <c r="G139" s="1611"/>
      <c r="H139" s="97"/>
      <c r="I139" s="101">
        <v>0</v>
      </c>
      <c r="J139" s="102">
        <v>25000</v>
      </c>
      <c r="K139" s="331"/>
      <c r="L139" s="331">
        <v>25000</v>
      </c>
    </row>
    <row r="140" spans="1:16" s="179" customFormat="1" ht="20.25" customHeight="1" x14ac:dyDescent="0.25">
      <c r="A140" s="332"/>
      <c r="B140" s="673"/>
      <c r="C140" s="673"/>
      <c r="D140" s="1622" t="s">
        <v>685</v>
      </c>
      <c r="E140" s="1622"/>
      <c r="F140" s="658"/>
      <c r="G140" s="658"/>
      <c r="H140" s="333"/>
      <c r="I140" s="101"/>
      <c r="J140" s="102"/>
      <c r="K140" s="331"/>
      <c r="L140" s="331">
        <v>40000</v>
      </c>
      <c r="M140" s="193"/>
      <c r="N140" s="193"/>
      <c r="O140" s="763"/>
    </row>
    <row r="141" spans="1:16" ht="18" x14ac:dyDescent="0.25">
      <c r="A141" s="667"/>
      <c r="B141" s="651"/>
      <c r="C141" s="651"/>
      <c r="D141" s="1611" t="s">
        <v>686</v>
      </c>
      <c r="E141" s="1611"/>
      <c r="F141" s="1611"/>
      <c r="G141" s="1611"/>
      <c r="H141" s="97"/>
      <c r="I141" s="334">
        <v>11956800</v>
      </c>
      <c r="J141" s="102">
        <v>25200000</v>
      </c>
      <c r="K141" s="331"/>
      <c r="L141" s="334">
        <v>25200000</v>
      </c>
    </row>
    <row r="142" spans="1:16" ht="18" x14ac:dyDescent="0.25">
      <c r="A142" s="667"/>
      <c r="B142" s="651"/>
      <c r="C142" s="651"/>
      <c r="D142" s="656" t="s">
        <v>687</v>
      </c>
      <c r="E142" s="650"/>
      <c r="F142" s="650"/>
      <c r="G142" s="650"/>
      <c r="H142" s="97"/>
      <c r="I142" s="334">
        <v>1000000</v>
      </c>
      <c r="J142" s="102">
        <v>0</v>
      </c>
      <c r="K142" s="331"/>
      <c r="L142" s="331"/>
    </row>
    <row r="143" spans="1:16" ht="18" x14ac:dyDescent="0.25">
      <c r="A143" s="667"/>
      <c r="B143" s="651"/>
      <c r="C143" s="651"/>
      <c r="D143" s="656" t="s">
        <v>688</v>
      </c>
      <c r="E143" s="650"/>
      <c r="F143" s="650"/>
      <c r="G143" s="650"/>
      <c r="H143" s="97"/>
      <c r="I143" s="334"/>
      <c r="J143" s="102">
        <v>2000000</v>
      </c>
      <c r="K143" s="331">
        <v>1000000</v>
      </c>
      <c r="L143" s="331">
        <v>2000000</v>
      </c>
    </row>
    <row r="144" spans="1:16" ht="18" x14ac:dyDescent="0.25">
      <c r="A144" s="667"/>
      <c r="B144" s="651"/>
      <c r="C144" s="651"/>
      <c r="D144" s="656" t="s">
        <v>689</v>
      </c>
      <c r="E144" s="650"/>
      <c r="F144" s="650"/>
      <c r="G144" s="650"/>
      <c r="H144" s="97"/>
      <c r="I144" s="335"/>
      <c r="J144" s="106">
        <v>300000</v>
      </c>
      <c r="K144" s="336"/>
      <c r="L144" s="336"/>
    </row>
    <row r="145" spans="1:16" ht="18" x14ac:dyDescent="0.25">
      <c r="A145" s="667"/>
      <c r="B145" s="651"/>
      <c r="C145" s="651"/>
      <c r="D145" s="1620" t="s">
        <v>161</v>
      </c>
      <c r="E145" s="1620"/>
      <c r="F145" s="1620"/>
      <c r="G145" s="1620"/>
      <c r="H145" s="97"/>
      <c r="I145" s="562">
        <f>SUM(I110:I144)</f>
        <v>16550848</v>
      </c>
      <c r="J145" s="563">
        <f>SUM(J110:J144)</f>
        <v>37199000</v>
      </c>
      <c r="K145" s="564">
        <f>SUM(K110:K144)</f>
        <v>2773080</v>
      </c>
      <c r="L145" s="564">
        <f>SUM(L110:L144)</f>
        <v>37402000</v>
      </c>
      <c r="N145" s="10">
        <v>37402000</v>
      </c>
    </row>
    <row r="146" spans="1:16" ht="18" x14ac:dyDescent="0.25">
      <c r="A146" s="667"/>
      <c r="B146" s="651"/>
      <c r="C146" s="651"/>
      <c r="D146" s="651"/>
      <c r="E146" s="651"/>
      <c r="F146" s="651"/>
      <c r="G146" s="651"/>
      <c r="H146" s="97"/>
      <c r="I146" s="565"/>
      <c r="J146" s="566"/>
      <c r="K146" s="567"/>
      <c r="L146" s="567"/>
    </row>
    <row r="147" spans="1:16" ht="18" x14ac:dyDescent="0.25">
      <c r="A147" s="667"/>
      <c r="B147" s="651"/>
      <c r="C147" s="651"/>
      <c r="D147" s="1620" t="s">
        <v>691</v>
      </c>
      <c r="E147" s="1620"/>
      <c r="F147" s="1620"/>
      <c r="G147" s="1620"/>
      <c r="H147" s="97"/>
      <c r="I147" s="98"/>
      <c r="J147" s="99"/>
      <c r="K147" s="98"/>
      <c r="L147" s="98"/>
    </row>
    <row r="148" spans="1:16" s="191" customFormat="1" ht="59.25" customHeight="1" x14ac:dyDescent="0.25">
      <c r="A148" s="649"/>
      <c r="B148" s="650"/>
      <c r="C148" s="650"/>
      <c r="D148" s="1602" t="s">
        <v>692</v>
      </c>
      <c r="E148" s="1603"/>
      <c r="F148" s="1603"/>
      <c r="G148" s="1610"/>
      <c r="H148" s="97"/>
      <c r="I148" s="341"/>
      <c r="J148" s="342">
        <v>1800000</v>
      </c>
      <c r="K148" s="341"/>
      <c r="L148" s="343">
        <v>0</v>
      </c>
      <c r="M148" s="10"/>
      <c r="N148" s="10"/>
      <c r="O148" s="756"/>
    </row>
    <row r="149" spans="1:16" ht="18" x14ac:dyDescent="0.25">
      <c r="A149" s="649"/>
      <c r="B149" s="650"/>
      <c r="C149" s="650"/>
      <c r="D149" s="1620" t="s">
        <v>161</v>
      </c>
      <c r="E149" s="1620"/>
      <c r="F149" s="1620"/>
      <c r="G149" s="1620"/>
      <c r="H149" s="568"/>
      <c r="I149" s="569">
        <f>SUM(I148:I148)</f>
        <v>0</v>
      </c>
      <c r="J149" s="569">
        <f>SUM(J148:J148)</f>
        <v>1800000</v>
      </c>
      <c r="K149" s="569">
        <f>SUM(K148:K148)</f>
        <v>0</v>
      </c>
      <c r="L149" s="569">
        <f>SUM(L148:L148)</f>
        <v>0</v>
      </c>
    </row>
    <row r="150" spans="1:16" ht="18.75" thickBot="1" x14ac:dyDescent="0.3">
      <c r="A150" s="683"/>
      <c r="B150" s="659"/>
      <c r="C150" s="659"/>
      <c r="D150" s="346"/>
      <c r="E150" s="523"/>
      <c r="F150" s="523"/>
      <c r="G150" s="523"/>
      <c r="H150" s="216"/>
      <c r="I150" s="570"/>
      <c r="J150" s="571"/>
      <c r="K150" s="570"/>
      <c r="L150" s="570"/>
    </row>
    <row r="151" spans="1:16" ht="18" x14ac:dyDescent="0.25">
      <c r="A151" s="651"/>
      <c r="B151" s="651"/>
      <c r="C151" s="651"/>
      <c r="D151" s="337"/>
      <c r="E151" s="520"/>
      <c r="F151" s="520"/>
      <c r="G151" s="520"/>
      <c r="H151" s="125"/>
      <c r="I151" s="338"/>
      <c r="J151" s="339"/>
      <c r="K151" s="338"/>
      <c r="L151" s="338"/>
    </row>
    <row r="152" spans="1:16" ht="18" x14ac:dyDescent="0.25">
      <c r="A152" s="651"/>
      <c r="B152" s="651"/>
      <c r="C152" s="651"/>
      <c r="D152" s="337"/>
      <c r="E152" s="520"/>
      <c r="F152" s="520"/>
      <c r="G152" s="520"/>
      <c r="H152" s="125"/>
      <c r="I152" s="338"/>
      <c r="J152" s="339"/>
      <c r="K152" s="338"/>
      <c r="L152" s="338"/>
    </row>
    <row r="153" spans="1:16" ht="18" x14ac:dyDescent="0.25">
      <c r="A153" s="651"/>
      <c r="B153" s="651"/>
      <c r="C153" s="651"/>
      <c r="D153" s="337"/>
      <c r="E153" s="520"/>
      <c r="F153" s="520"/>
      <c r="G153" s="520"/>
      <c r="H153" s="125"/>
      <c r="I153" s="338"/>
      <c r="J153" s="339"/>
      <c r="K153" s="338"/>
      <c r="L153" s="338"/>
    </row>
    <row r="154" spans="1:16" ht="18" x14ac:dyDescent="0.25">
      <c r="A154" s="651"/>
      <c r="B154" s="651"/>
      <c r="C154" s="651"/>
      <c r="D154" s="337"/>
      <c r="E154" s="520"/>
      <c r="F154" s="520"/>
      <c r="G154" s="520"/>
      <c r="H154" s="125"/>
      <c r="I154" s="338"/>
      <c r="J154" s="339"/>
      <c r="K154" s="338"/>
      <c r="L154" s="338"/>
    </row>
    <row r="155" spans="1:16" ht="18" customHeight="1" x14ac:dyDescent="0.25">
      <c r="A155" s="8" t="s">
        <v>112</v>
      </c>
    </row>
    <row r="156" spans="1:16" ht="18" customHeight="1" x14ac:dyDescent="0.25">
      <c r="A156" s="8" t="s">
        <v>690</v>
      </c>
    </row>
    <row r="157" spans="1:16" ht="18" customHeight="1" x14ac:dyDescent="0.25">
      <c r="A157" s="1636" t="s">
        <v>113</v>
      </c>
      <c r="B157" s="1636"/>
      <c r="C157" s="1636"/>
      <c r="D157" s="1636"/>
      <c r="E157" s="1636"/>
      <c r="F157" s="1636"/>
      <c r="G157" s="1636"/>
      <c r="H157" s="1636"/>
      <c r="I157" s="1636"/>
      <c r="J157" s="1636"/>
      <c r="K157" s="1636"/>
      <c r="L157" s="1636"/>
    </row>
    <row r="158" spans="1:16" s="7" customFormat="1" ht="18" customHeight="1" x14ac:dyDescent="0.25">
      <c r="A158" s="1624" t="s">
        <v>114</v>
      </c>
      <c r="B158" s="1624"/>
      <c r="C158" s="1624"/>
      <c r="D158" s="1624"/>
      <c r="E158" s="1624"/>
      <c r="F158" s="1624"/>
      <c r="G158" s="1624"/>
      <c r="H158" s="1624"/>
      <c r="I158" s="1624"/>
      <c r="J158" s="1624"/>
      <c r="K158" s="1624"/>
      <c r="L158" s="1624"/>
      <c r="M158" s="6"/>
      <c r="N158" s="6"/>
      <c r="O158" s="762"/>
    </row>
    <row r="159" spans="1:16" s="7" customFormat="1" ht="18" customHeight="1" thickBot="1" x14ac:dyDescent="0.3">
      <c r="A159" s="642"/>
      <c r="B159" s="642"/>
      <c r="C159" s="642"/>
      <c r="D159" s="159"/>
      <c r="E159" s="642"/>
      <c r="F159" s="642"/>
      <c r="G159" s="642"/>
      <c r="H159" s="642"/>
      <c r="I159" s="642"/>
      <c r="J159" s="642"/>
      <c r="K159" s="196"/>
      <c r="L159" s="642"/>
      <c r="M159" s="6"/>
      <c r="N159" s="6"/>
      <c r="O159" s="762"/>
    </row>
    <row r="160" spans="1:16" s="146" customFormat="1" ht="63.75" customHeight="1" thickBot="1" x14ac:dyDescent="0.3">
      <c r="A160" s="1625" t="s">
        <v>115</v>
      </c>
      <c r="B160" s="1626"/>
      <c r="C160" s="1626"/>
      <c r="D160" s="1626"/>
      <c r="E160" s="1626"/>
      <c r="F160" s="1626"/>
      <c r="G160" s="1627"/>
      <c r="H160" s="643" t="s">
        <v>116</v>
      </c>
      <c r="I160" s="130" t="s">
        <v>117</v>
      </c>
      <c r="J160" s="130" t="s">
        <v>118</v>
      </c>
      <c r="K160" s="130" t="s">
        <v>119</v>
      </c>
      <c r="L160" s="130" t="s">
        <v>120</v>
      </c>
      <c r="M160" s="10"/>
      <c r="N160" s="10"/>
      <c r="O160" s="756"/>
      <c r="P160"/>
    </row>
    <row r="161" spans="1:15" ht="18" x14ac:dyDescent="0.25">
      <c r="A161" s="649"/>
      <c r="B161" s="650"/>
      <c r="C161" s="650"/>
      <c r="D161" s="1620" t="s">
        <v>693</v>
      </c>
      <c r="E161" s="1620"/>
      <c r="F161" s="1620"/>
      <c r="G161" s="1620"/>
      <c r="H161" s="131"/>
      <c r="I161" s="155"/>
      <c r="J161" s="156"/>
      <c r="K161" s="155"/>
      <c r="L161" s="155"/>
    </row>
    <row r="162" spans="1:15" s="344" customFormat="1" ht="35.25" customHeight="1" x14ac:dyDescent="0.25">
      <c r="A162" s="675"/>
      <c r="B162" s="658"/>
      <c r="C162" s="658"/>
      <c r="D162" s="1622" t="s">
        <v>694</v>
      </c>
      <c r="E162" s="1622"/>
      <c r="F162" s="658"/>
      <c r="G162" s="658"/>
      <c r="H162" s="176"/>
      <c r="I162" s="101"/>
      <c r="J162" s="102"/>
      <c r="K162" s="101"/>
      <c r="L162" s="101">
        <v>150000</v>
      </c>
      <c r="M162" s="193"/>
      <c r="N162" s="193"/>
      <c r="O162" s="763"/>
    </row>
    <row r="163" spans="1:15" s="344" customFormat="1" ht="18" x14ac:dyDescent="0.25">
      <c r="A163" s="675"/>
      <c r="B163" s="658"/>
      <c r="C163" s="658"/>
      <c r="D163" s="1622" t="s">
        <v>695</v>
      </c>
      <c r="E163" s="1622"/>
      <c r="F163" s="658"/>
      <c r="G163" s="658"/>
      <c r="H163" s="176"/>
      <c r="I163" s="101"/>
      <c r="J163" s="102"/>
      <c r="K163" s="101"/>
      <c r="L163" s="101">
        <v>150000</v>
      </c>
      <c r="M163" s="193"/>
      <c r="N163" s="193"/>
      <c r="O163" s="763"/>
    </row>
    <row r="164" spans="1:15" s="344" customFormat="1" ht="18" x14ac:dyDescent="0.25">
      <c r="A164" s="675"/>
      <c r="B164" s="658"/>
      <c r="C164" s="658"/>
      <c r="D164" s="1622" t="s">
        <v>696</v>
      </c>
      <c r="E164" s="1622"/>
      <c r="F164" s="658"/>
      <c r="G164" s="658"/>
      <c r="H164" s="176"/>
      <c r="I164" s="101"/>
      <c r="J164" s="102"/>
      <c r="K164" s="101"/>
      <c r="L164" s="101">
        <v>250000</v>
      </c>
      <c r="M164" s="193"/>
      <c r="N164" s="193"/>
      <c r="O164" s="763"/>
    </row>
    <row r="165" spans="1:15" s="344" customFormat="1" ht="18" x14ac:dyDescent="0.25">
      <c r="A165" s="675"/>
      <c r="B165" s="658"/>
      <c r="C165" s="658"/>
      <c r="D165" s="1622" t="s">
        <v>697</v>
      </c>
      <c r="E165" s="1622"/>
      <c r="F165" s="658"/>
      <c r="G165" s="658"/>
      <c r="H165" s="176"/>
      <c r="I165" s="101"/>
      <c r="J165" s="102"/>
      <c r="K165" s="101"/>
      <c r="L165" s="101">
        <v>200000</v>
      </c>
      <c r="M165" s="193"/>
      <c r="N165" s="193"/>
      <c r="O165" s="763"/>
    </row>
    <row r="166" spans="1:15" s="344" customFormat="1" ht="35.25" customHeight="1" x14ac:dyDescent="0.25">
      <c r="A166" s="675"/>
      <c r="B166" s="658"/>
      <c r="C166" s="658"/>
      <c r="D166" s="1622" t="s">
        <v>698</v>
      </c>
      <c r="E166" s="1622"/>
      <c r="F166" s="658"/>
      <c r="G166" s="658"/>
      <c r="H166" s="176"/>
      <c r="I166" s="101"/>
      <c r="J166" s="102"/>
      <c r="K166" s="101"/>
      <c r="L166" s="101">
        <v>100000</v>
      </c>
      <c r="M166" s="193"/>
      <c r="N166" s="193"/>
      <c r="O166" s="763"/>
    </row>
    <row r="167" spans="1:15" s="344" customFormat="1" ht="36" customHeight="1" x14ac:dyDescent="0.25">
      <c r="A167" s="675"/>
      <c r="B167" s="658"/>
      <c r="C167" s="658"/>
      <c r="D167" s="1622" t="s">
        <v>699</v>
      </c>
      <c r="E167" s="1622"/>
      <c r="F167" s="658"/>
      <c r="G167" s="658"/>
      <c r="H167" s="176"/>
      <c r="I167" s="101"/>
      <c r="J167" s="102"/>
      <c r="K167" s="101"/>
      <c r="L167" s="101">
        <v>210000</v>
      </c>
      <c r="M167" s="193"/>
      <c r="N167" s="193"/>
      <c r="O167" s="763"/>
    </row>
    <row r="168" spans="1:15" s="344" customFormat="1" ht="37.5" customHeight="1" x14ac:dyDescent="0.25">
      <c r="A168" s="675"/>
      <c r="B168" s="658"/>
      <c r="C168" s="658"/>
      <c r="D168" s="1622" t="s">
        <v>700</v>
      </c>
      <c r="E168" s="1622"/>
      <c r="F168" s="658"/>
      <c r="G168" s="658"/>
      <c r="H168" s="176"/>
      <c r="I168" s="101"/>
      <c r="J168" s="102"/>
      <c r="K168" s="101"/>
      <c r="L168" s="101">
        <v>110000</v>
      </c>
      <c r="M168" s="193"/>
      <c r="N168" s="193"/>
      <c r="O168" s="763"/>
    </row>
    <row r="169" spans="1:15" s="208" customFormat="1" ht="36" customHeight="1" x14ac:dyDescent="0.25">
      <c r="A169" s="154"/>
      <c r="B169" s="654"/>
      <c r="C169" s="654"/>
      <c r="D169" s="1611" t="s">
        <v>701</v>
      </c>
      <c r="E169" s="1611"/>
      <c r="F169" s="654"/>
      <c r="G169" s="654"/>
      <c r="H169" s="131"/>
      <c r="I169" s="101"/>
      <c r="J169" s="102">
        <v>60000</v>
      </c>
      <c r="K169" s="101"/>
      <c r="L169" s="101"/>
      <c r="M169" s="207"/>
      <c r="N169" s="207"/>
      <c r="O169" s="764"/>
    </row>
    <row r="170" spans="1:15" s="208" customFormat="1" ht="18" x14ac:dyDescent="0.25">
      <c r="A170" s="154"/>
      <c r="B170" s="654"/>
      <c r="C170" s="654"/>
      <c r="D170" s="656" t="s">
        <v>702</v>
      </c>
      <c r="E170" s="650"/>
      <c r="F170" s="654"/>
      <c r="G170" s="654"/>
      <c r="H170" s="131"/>
      <c r="I170" s="101"/>
      <c r="J170" s="102">
        <v>50000</v>
      </c>
      <c r="K170" s="101">
        <v>3349</v>
      </c>
      <c r="L170" s="101"/>
      <c r="M170" s="207"/>
      <c r="N170" s="207"/>
      <c r="O170" s="764"/>
    </row>
    <row r="171" spans="1:15" s="208" customFormat="1" ht="36.75" customHeight="1" x14ac:dyDescent="0.25">
      <c r="A171" s="154"/>
      <c r="B171" s="654"/>
      <c r="C171" s="654"/>
      <c r="D171" s="1611" t="s">
        <v>703</v>
      </c>
      <c r="E171" s="1611"/>
      <c r="F171" s="654"/>
      <c r="G171" s="654"/>
      <c r="H171" s="131"/>
      <c r="I171" s="101"/>
      <c r="J171" s="102">
        <v>65000</v>
      </c>
      <c r="K171" s="101">
        <v>5459</v>
      </c>
      <c r="L171" s="101"/>
      <c r="M171" s="207"/>
      <c r="N171" s="207"/>
      <c r="O171" s="764"/>
    </row>
    <row r="172" spans="1:15" s="208" customFormat="1" ht="38.25" customHeight="1" x14ac:dyDescent="0.25">
      <c r="A172" s="154"/>
      <c r="B172" s="654"/>
      <c r="C172" s="654"/>
      <c r="D172" s="1611" t="s">
        <v>704</v>
      </c>
      <c r="E172" s="1611"/>
      <c r="F172" s="654"/>
      <c r="G172" s="654"/>
      <c r="H172" s="131"/>
      <c r="I172" s="101"/>
      <c r="J172" s="102">
        <v>140000</v>
      </c>
      <c r="K172" s="101">
        <v>22488</v>
      </c>
      <c r="L172" s="101"/>
      <c r="M172" s="207"/>
      <c r="N172" s="207"/>
      <c r="O172" s="764"/>
    </row>
    <row r="173" spans="1:15" s="208" customFormat="1" ht="18" x14ac:dyDescent="0.25">
      <c r="A173" s="154"/>
      <c r="B173" s="654"/>
      <c r="C173" s="654"/>
      <c r="D173" s="656" t="s">
        <v>705</v>
      </c>
      <c r="E173" s="650"/>
      <c r="F173" s="654"/>
      <c r="G173" s="654"/>
      <c r="H173" s="131"/>
      <c r="I173" s="101"/>
      <c r="J173" s="102">
        <v>35000</v>
      </c>
      <c r="K173" s="101"/>
      <c r="L173" s="101"/>
      <c r="M173" s="207"/>
      <c r="N173" s="207"/>
      <c r="O173" s="764"/>
    </row>
    <row r="174" spans="1:15" s="208" customFormat="1" ht="18" x14ac:dyDescent="0.25">
      <c r="A174" s="154"/>
      <c r="B174" s="654"/>
      <c r="C174" s="654"/>
      <c r="D174" s="656" t="s">
        <v>706</v>
      </c>
      <c r="E174" s="650"/>
      <c r="F174" s="654"/>
      <c r="G174" s="654"/>
      <c r="H174" s="131"/>
      <c r="I174" s="101"/>
      <c r="J174" s="102">
        <v>150000</v>
      </c>
      <c r="K174" s="101"/>
      <c r="L174" s="101"/>
      <c r="M174" s="207"/>
      <c r="N174" s="207"/>
      <c r="O174" s="764"/>
    </row>
    <row r="175" spans="1:15" s="208" customFormat="1" ht="35.25" customHeight="1" x14ac:dyDescent="0.25">
      <c r="A175" s="154"/>
      <c r="B175" s="654"/>
      <c r="C175" s="654"/>
      <c r="D175" s="1611" t="s">
        <v>707</v>
      </c>
      <c r="E175" s="1611"/>
      <c r="F175" s="654"/>
      <c r="G175" s="654"/>
      <c r="H175" s="131"/>
      <c r="I175" s="101"/>
      <c r="J175" s="102">
        <v>160000</v>
      </c>
      <c r="K175" s="101">
        <v>5757</v>
      </c>
      <c r="L175" s="101"/>
      <c r="M175" s="207"/>
      <c r="N175" s="207"/>
      <c r="O175" s="764"/>
    </row>
    <row r="176" spans="1:15" s="208" customFormat="1" ht="18" x14ac:dyDescent="0.25">
      <c r="A176" s="154"/>
      <c r="B176" s="654"/>
      <c r="C176" s="654"/>
      <c r="D176" s="656" t="s">
        <v>708</v>
      </c>
      <c r="E176" s="650"/>
      <c r="F176" s="654"/>
      <c r="G176" s="654"/>
      <c r="H176" s="131"/>
      <c r="I176" s="101"/>
      <c r="J176" s="102">
        <v>190000</v>
      </c>
      <c r="K176" s="101"/>
      <c r="L176" s="101"/>
      <c r="M176" s="207"/>
      <c r="N176" s="207"/>
      <c r="O176" s="764"/>
    </row>
    <row r="177" spans="1:16" s="208" customFormat="1" ht="18" x14ac:dyDescent="0.25">
      <c r="A177" s="154"/>
      <c r="B177" s="654"/>
      <c r="C177" s="654"/>
      <c r="D177" s="656" t="s">
        <v>709</v>
      </c>
      <c r="E177" s="650"/>
      <c r="F177" s="654"/>
      <c r="G177" s="654"/>
      <c r="H177" s="131"/>
      <c r="I177" s="101"/>
      <c r="J177" s="102">
        <v>55000</v>
      </c>
      <c r="K177" s="101"/>
      <c r="L177" s="101"/>
      <c r="M177" s="207"/>
      <c r="N177" s="207"/>
      <c r="O177" s="764"/>
    </row>
    <row r="178" spans="1:16" s="208" customFormat="1" ht="36.75" customHeight="1" x14ac:dyDescent="0.25">
      <c r="A178" s="154"/>
      <c r="B178" s="654"/>
      <c r="C178" s="654"/>
      <c r="D178" s="1611" t="s">
        <v>710</v>
      </c>
      <c r="E178" s="1611"/>
      <c r="F178" s="654"/>
      <c r="G178" s="654"/>
      <c r="H178" s="131"/>
      <c r="I178" s="101"/>
      <c r="J178" s="102">
        <v>40000</v>
      </c>
      <c r="K178" s="101"/>
      <c r="L178" s="101"/>
      <c r="M178" s="207"/>
      <c r="N178" s="207"/>
      <c r="O178" s="764"/>
    </row>
    <row r="179" spans="1:16" s="208" customFormat="1" ht="39.75" customHeight="1" x14ac:dyDescent="0.25">
      <c r="A179" s="154"/>
      <c r="B179" s="654"/>
      <c r="C179" s="654"/>
      <c r="D179" s="1611" t="s">
        <v>711</v>
      </c>
      <c r="E179" s="1611"/>
      <c r="F179" s="654"/>
      <c r="G179" s="654"/>
      <c r="H179" s="131"/>
      <c r="I179" s="101"/>
      <c r="J179" s="102">
        <v>70000</v>
      </c>
      <c r="K179" s="101"/>
      <c r="L179" s="101"/>
      <c r="M179" s="207"/>
      <c r="N179" s="207"/>
      <c r="O179" s="764"/>
    </row>
    <row r="180" spans="1:16" s="208" customFormat="1" ht="20.25" customHeight="1" x14ac:dyDescent="0.25">
      <c r="A180" s="154"/>
      <c r="B180" s="654"/>
      <c r="C180" s="654"/>
      <c r="D180" s="1622" t="s">
        <v>712</v>
      </c>
      <c r="E180" s="1622"/>
      <c r="F180" s="654"/>
      <c r="G180" s="654"/>
      <c r="H180" s="131"/>
      <c r="I180" s="101"/>
      <c r="J180" s="102">
        <v>85000</v>
      </c>
      <c r="K180" s="101"/>
      <c r="L180" s="101"/>
      <c r="M180" s="207"/>
      <c r="N180" s="207"/>
      <c r="O180" s="764"/>
    </row>
    <row r="181" spans="1:16" s="208" customFormat="1" ht="36" customHeight="1" x14ac:dyDescent="0.25">
      <c r="A181" s="154"/>
      <c r="B181" s="654"/>
      <c r="C181" s="654"/>
      <c r="D181" s="1611" t="s">
        <v>713</v>
      </c>
      <c r="E181" s="1611"/>
      <c r="F181" s="654"/>
      <c r="G181" s="654"/>
      <c r="H181" s="131"/>
      <c r="I181" s="101"/>
      <c r="J181" s="102">
        <v>90000</v>
      </c>
      <c r="K181" s="101">
        <v>25651</v>
      </c>
      <c r="L181" s="101"/>
      <c r="M181" s="207"/>
      <c r="N181" s="207"/>
      <c r="O181" s="764"/>
    </row>
    <row r="182" spans="1:16" s="208" customFormat="1" ht="36.75" customHeight="1" x14ac:dyDescent="0.25">
      <c r="A182" s="154"/>
      <c r="B182" s="654"/>
      <c r="C182" s="654"/>
      <c r="D182" s="1611" t="s">
        <v>714</v>
      </c>
      <c r="E182" s="1611"/>
      <c r="F182" s="654"/>
      <c r="G182" s="654"/>
      <c r="H182" s="131"/>
      <c r="I182" s="101"/>
      <c r="J182" s="102">
        <v>70000</v>
      </c>
      <c r="K182" s="101"/>
      <c r="L182" s="101"/>
      <c r="M182" s="207"/>
      <c r="N182" s="207"/>
      <c r="O182" s="764"/>
    </row>
    <row r="183" spans="1:16" s="208" customFormat="1" ht="33.75" customHeight="1" x14ac:dyDescent="0.25">
      <c r="A183" s="154"/>
      <c r="B183" s="654"/>
      <c r="C183" s="654"/>
      <c r="D183" s="1622" t="s">
        <v>715</v>
      </c>
      <c r="E183" s="1622"/>
      <c r="F183" s="654"/>
      <c r="G183" s="654"/>
      <c r="H183" s="131"/>
      <c r="I183" s="101"/>
      <c r="J183" s="102">
        <v>110000</v>
      </c>
      <c r="K183" s="101"/>
      <c r="L183" s="101"/>
      <c r="M183" s="207"/>
      <c r="N183" s="207"/>
      <c r="O183" s="764"/>
    </row>
    <row r="184" spans="1:16" s="208" customFormat="1" ht="36.75" customHeight="1" x14ac:dyDescent="0.25">
      <c r="A184" s="154"/>
      <c r="B184" s="654"/>
      <c r="C184" s="654"/>
      <c r="D184" s="1611" t="s">
        <v>716</v>
      </c>
      <c r="E184" s="1611"/>
      <c r="F184" s="654"/>
      <c r="G184" s="654"/>
      <c r="H184" s="131"/>
      <c r="I184" s="101"/>
      <c r="J184" s="102">
        <v>220000</v>
      </c>
      <c r="K184" s="101"/>
      <c r="L184" s="101"/>
      <c r="M184" s="207"/>
      <c r="N184" s="207"/>
      <c r="O184" s="764"/>
    </row>
    <row r="185" spans="1:16" ht="18" x14ac:dyDescent="0.25">
      <c r="A185" s="649"/>
      <c r="B185" s="650"/>
      <c r="C185" s="650"/>
      <c r="D185" s="1611" t="s">
        <v>717</v>
      </c>
      <c r="E185" s="1611"/>
      <c r="F185" s="1611"/>
      <c r="G185" s="1611"/>
      <c r="H185" s="131"/>
      <c r="I185" s="336">
        <v>8680</v>
      </c>
      <c r="J185" s="345"/>
      <c r="K185" s="336"/>
      <c r="L185" s="336"/>
    </row>
    <row r="186" spans="1:16" s="146" customFormat="1" ht="18" x14ac:dyDescent="0.25">
      <c r="A186" s="649"/>
      <c r="B186" s="650"/>
      <c r="C186" s="650"/>
      <c r="D186" s="1620" t="s">
        <v>161</v>
      </c>
      <c r="E186" s="1620"/>
      <c r="F186" s="1620"/>
      <c r="G186" s="1620"/>
      <c r="H186" s="131"/>
      <c r="I186" s="155">
        <f>SUM(I185:I185)</f>
        <v>8680</v>
      </c>
      <c r="J186" s="156">
        <f>SUM(J169:J185)</f>
        <v>1590000</v>
      </c>
      <c r="K186" s="156">
        <f>SUM(K169:K185)</f>
        <v>62704</v>
      </c>
      <c r="L186" s="155">
        <f>SUM(L161:L185)</f>
        <v>1170000</v>
      </c>
      <c r="M186" s="10"/>
      <c r="N186" s="10"/>
      <c r="O186" s="756">
        <v>1170000</v>
      </c>
      <c r="P186"/>
    </row>
    <row r="187" spans="1:16" s="146" customFormat="1" ht="18" x14ac:dyDescent="0.25">
      <c r="A187" s="649"/>
      <c r="B187" s="650"/>
      <c r="C187" s="650"/>
      <c r="D187" s="651"/>
      <c r="E187" s="651"/>
      <c r="F187" s="651"/>
      <c r="G187" s="651"/>
      <c r="H187" s="131"/>
      <c r="I187" s="155"/>
      <c r="J187" s="156"/>
      <c r="K187" s="156"/>
      <c r="L187" s="155"/>
      <c r="M187" s="10"/>
      <c r="N187" s="10"/>
      <c r="O187" s="756"/>
      <c r="P187"/>
    </row>
    <row r="188" spans="1:16" s="146" customFormat="1" ht="16.5" customHeight="1" x14ac:dyDescent="0.25">
      <c r="A188" s="649"/>
      <c r="B188" s="650"/>
      <c r="C188" s="650"/>
      <c r="D188" s="1621" t="s">
        <v>719</v>
      </c>
      <c r="E188" s="1666"/>
      <c r="F188" s="1666"/>
      <c r="G188" s="1667"/>
      <c r="H188" s="131"/>
      <c r="I188" s="101"/>
      <c r="J188" s="102"/>
      <c r="K188" s="101"/>
      <c r="L188" s="101"/>
      <c r="M188" s="10"/>
      <c r="N188" s="10"/>
      <c r="O188" s="756"/>
      <c r="P188"/>
    </row>
    <row r="189" spans="1:16" s="347" customFormat="1" ht="16.5" customHeight="1" x14ac:dyDescent="0.25">
      <c r="A189" s="675"/>
      <c r="B189" s="658"/>
      <c r="C189" s="658"/>
      <c r="D189" s="1622" t="s">
        <v>720</v>
      </c>
      <c r="E189" s="1648"/>
      <c r="F189" s="674"/>
      <c r="G189" s="675"/>
      <c r="H189" s="176"/>
      <c r="I189" s="101"/>
      <c r="J189" s="102"/>
      <c r="K189" s="101"/>
      <c r="L189" s="101">
        <v>2500000</v>
      </c>
      <c r="M189" s="193"/>
      <c r="N189" s="193"/>
      <c r="O189" s="763"/>
      <c r="P189" s="344"/>
    </row>
    <row r="190" spans="1:16" s="347" customFormat="1" ht="36" customHeight="1" x14ac:dyDescent="0.25">
      <c r="A190" s="675"/>
      <c r="B190" s="658"/>
      <c r="C190" s="658"/>
      <c r="D190" s="1622" t="s">
        <v>721</v>
      </c>
      <c r="E190" s="1648"/>
      <c r="F190" s="674"/>
      <c r="G190" s="675"/>
      <c r="H190" s="176"/>
      <c r="I190" s="101"/>
      <c r="J190" s="102"/>
      <c r="K190" s="101"/>
      <c r="L190" s="101">
        <v>500000</v>
      </c>
      <c r="M190" s="193"/>
      <c r="N190" s="193"/>
      <c r="O190" s="763"/>
      <c r="P190" s="344"/>
    </row>
    <row r="191" spans="1:16" s="347" customFormat="1" ht="36" customHeight="1" x14ac:dyDescent="0.25">
      <c r="A191" s="675"/>
      <c r="B191" s="658"/>
      <c r="C191" s="658"/>
      <c r="D191" s="1622" t="s">
        <v>722</v>
      </c>
      <c r="E191" s="1648"/>
      <c r="F191" s="674"/>
      <c r="G191" s="675"/>
      <c r="H191" s="176"/>
      <c r="I191" s="101"/>
      <c r="J191" s="102"/>
      <c r="K191" s="101"/>
      <c r="L191" s="101">
        <v>1000000</v>
      </c>
      <c r="M191" s="193"/>
      <c r="N191" s="193"/>
      <c r="O191" s="763"/>
      <c r="P191" s="344"/>
    </row>
    <row r="192" spans="1:16" s="347" customFormat="1" ht="36" customHeight="1" x14ac:dyDescent="0.25">
      <c r="A192" s="675"/>
      <c r="B192" s="658"/>
      <c r="C192" s="658"/>
      <c r="D192" s="1622" t="s">
        <v>723</v>
      </c>
      <c r="E192" s="1648"/>
      <c r="F192" s="674"/>
      <c r="G192" s="675"/>
      <c r="H192" s="176"/>
      <c r="I192" s="101"/>
      <c r="J192" s="102"/>
      <c r="K192" s="101"/>
      <c r="L192" s="101">
        <v>200000</v>
      </c>
      <c r="M192" s="193"/>
      <c r="N192" s="193"/>
      <c r="O192" s="763"/>
      <c r="P192" s="344"/>
    </row>
    <row r="193" spans="1:16" s="146" customFormat="1" ht="18" x14ac:dyDescent="0.25">
      <c r="A193" s="649"/>
      <c r="B193" s="650"/>
      <c r="C193" s="650"/>
      <c r="D193" s="1602" t="s">
        <v>724</v>
      </c>
      <c r="E193" s="1603"/>
      <c r="F193" s="1603"/>
      <c r="G193" s="1610"/>
      <c r="H193" s="131"/>
      <c r="I193" s="101"/>
      <c r="J193" s="102">
        <v>1000000</v>
      </c>
      <c r="K193" s="101"/>
      <c r="L193" s="101"/>
      <c r="M193" s="10"/>
      <c r="N193" s="10"/>
      <c r="O193" s="756"/>
      <c r="P193"/>
    </row>
    <row r="194" spans="1:16" s="146" customFormat="1" ht="18" x14ac:dyDescent="0.25">
      <c r="A194" s="649"/>
      <c r="B194" s="650"/>
      <c r="C194" s="650"/>
      <c r="D194" s="1602" t="s">
        <v>725</v>
      </c>
      <c r="E194" s="1603"/>
      <c r="F194" s="1603"/>
      <c r="G194" s="1610"/>
      <c r="H194" s="131"/>
      <c r="I194" s="105"/>
      <c r="J194" s="106">
        <v>100000</v>
      </c>
      <c r="K194" s="105"/>
      <c r="L194" s="105"/>
      <c r="M194" s="10"/>
      <c r="N194" s="10"/>
      <c r="O194" s="756"/>
      <c r="P194"/>
    </row>
    <row r="195" spans="1:16" s="146" customFormat="1" ht="18" x14ac:dyDescent="0.25">
      <c r="A195" s="649"/>
      <c r="B195" s="650"/>
      <c r="C195" s="650"/>
      <c r="D195" s="1620" t="s">
        <v>161</v>
      </c>
      <c r="E195" s="1620"/>
      <c r="F195" s="1620"/>
      <c r="G195" s="1620"/>
      <c r="H195" s="131"/>
      <c r="I195" s="155"/>
      <c r="J195" s="156">
        <f>SUM(J193:J194)</f>
        <v>1100000</v>
      </c>
      <c r="K195" s="155">
        <f>SUM(K193:K194)</f>
        <v>0</v>
      </c>
      <c r="L195" s="155">
        <f>SUM(L189:L194)</f>
        <v>4200000</v>
      </c>
      <c r="M195" s="10"/>
      <c r="N195" s="10"/>
      <c r="O195" s="756">
        <v>4200000</v>
      </c>
      <c r="P195"/>
    </row>
    <row r="196" spans="1:16" s="146" customFormat="1" ht="18" x14ac:dyDescent="0.25">
      <c r="A196" s="649"/>
      <c r="B196" s="650"/>
      <c r="C196" s="650"/>
      <c r="D196" s="651"/>
      <c r="E196" s="651"/>
      <c r="F196" s="651"/>
      <c r="G196" s="651"/>
      <c r="H196" s="131"/>
      <c r="I196" s="155"/>
      <c r="J196" s="156"/>
      <c r="K196" s="155"/>
      <c r="L196" s="155"/>
      <c r="M196" s="10"/>
      <c r="N196" s="10"/>
      <c r="O196" s="756"/>
      <c r="P196"/>
    </row>
    <row r="197" spans="1:16" s="146" customFormat="1" ht="18.75" thickBot="1" x14ac:dyDescent="0.3">
      <c r="A197" s="187"/>
      <c r="B197" s="413"/>
      <c r="C197" s="413"/>
      <c r="D197" s="346"/>
      <c r="E197" s="523"/>
      <c r="F197" s="523"/>
      <c r="G197" s="523"/>
      <c r="H197" s="218"/>
      <c r="I197" s="182"/>
      <c r="J197" s="183"/>
      <c r="K197" s="182"/>
      <c r="L197" s="182"/>
      <c r="M197" s="10"/>
      <c r="N197" s="10"/>
      <c r="O197" s="756"/>
      <c r="P197"/>
    </row>
    <row r="198" spans="1:16" s="146" customFormat="1" ht="18" x14ac:dyDescent="0.25">
      <c r="A198" s="650"/>
      <c r="B198" s="650"/>
      <c r="C198" s="650"/>
      <c r="D198" s="337"/>
      <c r="E198" s="520"/>
      <c r="F198" s="520"/>
      <c r="G198" s="520"/>
      <c r="H198" s="221"/>
      <c r="I198" s="126"/>
      <c r="J198" s="127"/>
      <c r="K198" s="126"/>
      <c r="L198" s="126"/>
      <c r="M198" s="10"/>
      <c r="N198" s="10"/>
      <c r="O198" s="756"/>
      <c r="P198"/>
    </row>
    <row r="199" spans="1:16" s="146" customFormat="1" ht="18" x14ac:dyDescent="0.25">
      <c r="A199" s="650"/>
      <c r="B199" s="650"/>
      <c r="C199" s="650"/>
      <c r="D199" s="337"/>
      <c r="E199" s="520"/>
      <c r="F199" s="520"/>
      <c r="G199" s="520"/>
      <c r="H199" s="221"/>
      <c r="I199" s="126"/>
      <c r="J199" s="127"/>
      <c r="K199" s="126"/>
      <c r="L199" s="126"/>
      <c r="M199" s="10"/>
      <c r="N199" s="10"/>
      <c r="O199" s="756"/>
      <c r="P199"/>
    </row>
    <row r="200" spans="1:16" s="146" customFormat="1" ht="18" x14ac:dyDescent="0.25">
      <c r="A200" s="650"/>
      <c r="B200" s="650"/>
      <c r="C200" s="650"/>
      <c r="D200" s="337"/>
      <c r="E200" s="520"/>
      <c r="F200" s="520"/>
      <c r="G200" s="520"/>
      <c r="H200" s="221"/>
      <c r="I200" s="126"/>
      <c r="J200" s="127"/>
      <c r="K200" s="126"/>
      <c r="L200" s="126"/>
      <c r="M200" s="10"/>
      <c r="N200" s="10"/>
      <c r="O200" s="756"/>
      <c r="P200"/>
    </row>
    <row r="201" spans="1:16" s="146" customFormat="1" ht="18" x14ac:dyDescent="0.25">
      <c r="A201" s="650"/>
      <c r="B201" s="650"/>
      <c r="C201" s="650"/>
      <c r="D201" s="337"/>
      <c r="E201" s="520"/>
      <c r="F201" s="520"/>
      <c r="G201" s="520"/>
      <c r="H201" s="221"/>
      <c r="I201" s="126"/>
      <c r="J201" s="127"/>
      <c r="K201" s="126"/>
      <c r="L201" s="126"/>
      <c r="M201" s="10"/>
      <c r="N201" s="10"/>
      <c r="O201" s="756"/>
      <c r="P201"/>
    </row>
    <row r="202" spans="1:16" s="146" customFormat="1" ht="18" x14ac:dyDescent="0.25">
      <c r="A202" s="650"/>
      <c r="B202" s="650"/>
      <c r="C202" s="650"/>
      <c r="D202" s="337"/>
      <c r="E202" s="520"/>
      <c r="F202" s="520"/>
      <c r="G202" s="520"/>
      <c r="H202" s="221"/>
      <c r="I202" s="126"/>
      <c r="J202" s="127"/>
      <c r="K202" s="126"/>
      <c r="L202" s="126"/>
      <c r="M202" s="10"/>
      <c r="N202" s="10"/>
      <c r="O202" s="756"/>
      <c r="P202"/>
    </row>
    <row r="203" spans="1:16" s="146" customFormat="1" ht="18" x14ac:dyDescent="0.25">
      <c r="A203" s="650"/>
      <c r="B203" s="650"/>
      <c r="C203" s="650"/>
      <c r="D203" s="337"/>
      <c r="E203" s="520"/>
      <c r="F203" s="520"/>
      <c r="G203" s="520"/>
      <c r="H203" s="221"/>
      <c r="I203" s="126"/>
      <c r="J203" s="127"/>
      <c r="K203" s="126"/>
      <c r="L203" s="126"/>
      <c r="M203" s="10"/>
      <c r="N203" s="10"/>
      <c r="O203" s="756"/>
      <c r="P203"/>
    </row>
    <row r="204" spans="1:16" s="146" customFormat="1" ht="18" x14ac:dyDescent="0.25">
      <c r="A204" s="650"/>
      <c r="B204" s="650"/>
      <c r="C204" s="650"/>
      <c r="D204" s="337"/>
      <c r="E204" s="520"/>
      <c r="F204" s="520"/>
      <c r="G204" s="520"/>
      <c r="H204" s="221"/>
      <c r="I204" s="126"/>
      <c r="J204" s="127"/>
      <c r="K204" s="126"/>
      <c r="L204" s="126"/>
      <c r="M204" s="10"/>
      <c r="N204" s="10"/>
      <c r="O204" s="756"/>
      <c r="P204"/>
    </row>
    <row r="205" spans="1:16" ht="18" customHeight="1" x14ac:dyDescent="0.25">
      <c r="A205" s="8" t="s">
        <v>112</v>
      </c>
    </row>
    <row r="206" spans="1:16" ht="18" customHeight="1" x14ac:dyDescent="0.25">
      <c r="A206" s="8" t="s">
        <v>718</v>
      </c>
    </row>
    <row r="207" spans="1:16" ht="18" customHeight="1" x14ac:dyDescent="0.25">
      <c r="A207" s="1636" t="s">
        <v>113</v>
      </c>
      <c r="B207" s="1636"/>
      <c r="C207" s="1636"/>
      <c r="D207" s="1636"/>
      <c r="E207" s="1636"/>
      <c r="F207" s="1636"/>
      <c r="G207" s="1636"/>
      <c r="H207" s="1636"/>
      <c r="I207" s="1636"/>
      <c r="J207" s="1636"/>
      <c r="K207" s="1636"/>
      <c r="L207" s="1636"/>
    </row>
    <row r="208" spans="1:16" s="7" customFormat="1" ht="18" customHeight="1" x14ac:dyDescent="0.25">
      <c r="A208" s="1624" t="s">
        <v>114</v>
      </c>
      <c r="B208" s="1624"/>
      <c r="C208" s="1624"/>
      <c r="D208" s="1624"/>
      <c r="E208" s="1624"/>
      <c r="F208" s="1624"/>
      <c r="G208" s="1624"/>
      <c r="H208" s="1624"/>
      <c r="I208" s="1624"/>
      <c r="J208" s="1624"/>
      <c r="K208" s="1624"/>
      <c r="L208" s="1624"/>
      <c r="M208" s="6"/>
      <c r="N208" s="6"/>
      <c r="O208" s="762"/>
    </row>
    <row r="209" spans="1:16" s="7" customFormat="1" ht="18" customHeight="1" thickBot="1" x14ac:dyDescent="0.3">
      <c r="A209" s="642"/>
      <c r="B209" s="642"/>
      <c r="C209" s="642"/>
      <c r="D209" s="159"/>
      <c r="E209" s="642"/>
      <c r="F209" s="642"/>
      <c r="G209" s="642"/>
      <c r="H209" s="642"/>
      <c r="I209" s="642"/>
      <c r="J209" s="642"/>
      <c r="K209" s="196"/>
      <c r="L209" s="642"/>
      <c r="M209" s="6"/>
      <c r="N209" s="6"/>
      <c r="O209" s="762"/>
    </row>
    <row r="210" spans="1:16" s="146" customFormat="1" ht="61.5" customHeight="1" thickBot="1" x14ac:dyDescent="0.3">
      <c r="A210" s="1625" t="s">
        <v>115</v>
      </c>
      <c r="B210" s="1626"/>
      <c r="C210" s="1626"/>
      <c r="D210" s="1626"/>
      <c r="E210" s="1626"/>
      <c r="F210" s="1626"/>
      <c r="G210" s="1627"/>
      <c r="H210" s="643" t="s">
        <v>116</v>
      </c>
      <c r="I210" s="130" t="s">
        <v>117</v>
      </c>
      <c r="J210" s="130" t="s">
        <v>118</v>
      </c>
      <c r="K210" s="130" t="s">
        <v>119</v>
      </c>
      <c r="L210" s="130" t="s">
        <v>120</v>
      </c>
      <c r="M210" s="10"/>
      <c r="N210" s="10"/>
      <c r="O210" s="756"/>
      <c r="P210"/>
    </row>
    <row r="211" spans="1:16" s="146" customFormat="1" ht="16.5" customHeight="1" x14ac:dyDescent="0.25">
      <c r="A211" s="649"/>
      <c r="B211" s="650"/>
      <c r="C211" s="650"/>
      <c r="D211" s="1621" t="s">
        <v>726</v>
      </c>
      <c r="E211" s="1666"/>
      <c r="F211" s="1666"/>
      <c r="G211" s="1667"/>
      <c r="H211" s="131"/>
      <c r="I211" s="101"/>
      <c r="J211" s="102"/>
      <c r="K211" s="101"/>
      <c r="L211" s="101"/>
      <c r="M211" s="10"/>
      <c r="N211" s="10"/>
      <c r="O211" s="756"/>
      <c r="P211"/>
    </row>
    <row r="212" spans="1:16" s="146" customFormat="1" ht="18" x14ac:dyDescent="0.25">
      <c r="A212" s="649"/>
      <c r="B212" s="650"/>
      <c r="C212" s="650"/>
      <c r="D212" s="1648" t="s">
        <v>727</v>
      </c>
      <c r="E212" s="1649"/>
      <c r="F212" s="1649"/>
      <c r="G212" s="1668"/>
      <c r="H212" s="131"/>
      <c r="I212" s="101">
        <v>68775</v>
      </c>
      <c r="J212" s="102">
        <v>150000</v>
      </c>
      <c r="K212" s="101">
        <v>49700</v>
      </c>
      <c r="L212" s="101">
        <v>150000</v>
      </c>
      <c r="M212" s="10"/>
      <c r="N212" s="10"/>
      <c r="O212" s="756"/>
      <c r="P212"/>
    </row>
    <row r="213" spans="1:16" s="146" customFormat="1" ht="40.5" customHeight="1" x14ac:dyDescent="0.25">
      <c r="A213" s="649"/>
      <c r="B213" s="650"/>
      <c r="C213" s="650"/>
      <c r="D213" s="1622" t="s">
        <v>728</v>
      </c>
      <c r="E213" s="1648"/>
      <c r="F213" s="647"/>
      <c r="G213" s="649"/>
      <c r="H213" s="131"/>
      <c r="I213" s="101"/>
      <c r="J213" s="102"/>
      <c r="K213" s="101"/>
      <c r="L213" s="101">
        <v>250000</v>
      </c>
      <c r="M213" s="10"/>
      <c r="N213" s="10"/>
      <c r="O213" s="756"/>
      <c r="P213"/>
    </row>
    <row r="214" spans="1:16" s="146" customFormat="1" ht="18" x14ac:dyDescent="0.25">
      <c r="A214" s="649"/>
      <c r="B214" s="650"/>
      <c r="C214" s="650"/>
      <c r="D214" s="1602" t="s">
        <v>729</v>
      </c>
      <c r="E214" s="1603"/>
      <c r="F214" s="1603"/>
      <c r="G214" s="1610"/>
      <c r="H214" s="131"/>
      <c r="I214" s="101"/>
      <c r="J214" s="102">
        <v>250000</v>
      </c>
      <c r="K214" s="101"/>
      <c r="L214" s="101"/>
      <c r="M214" s="10"/>
      <c r="N214" s="10"/>
      <c r="O214" s="756"/>
      <c r="P214"/>
    </row>
    <row r="215" spans="1:16" s="146" customFormat="1" ht="18" x14ac:dyDescent="0.25">
      <c r="A215" s="649"/>
      <c r="B215" s="650"/>
      <c r="C215" s="650"/>
      <c r="D215" s="1602" t="s">
        <v>730</v>
      </c>
      <c r="E215" s="1603"/>
      <c r="F215" s="1603"/>
      <c r="G215" s="1610"/>
      <c r="H215" s="131"/>
      <c r="I215" s="101">
        <v>395629</v>
      </c>
      <c r="J215" s="102">
        <v>5926150.5999999996</v>
      </c>
      <c r="K215" s="101"/>
      <c r="L215" s="101"/>
      <c r="M215" s="10"/>
      <c r="N215" s="10"/>
      <c r="O215" s="756"/>
      <c r="P215"/>
    </row>
    <row r="216" spans="1:16" s="313" customFormat="1" ht="18" x14ac:dyDescent="0.25">
      <c r="A216" s="675"/>
      <c r="B216" s="658"/>
      <c r="C216" s="658"/>
      <c r="D216" s="1622" t="s">
        <v>731</v>
      </c>
      <c r="E216" s="1648"/>
      <c r="F216" s="674"/>
      <c r="G216" s="675"/>
      <c r="H216" s="176"/>
      <c r="I216" s="101"/>
      <c r="J216" s="102"/>
      <c r="K216" s="101"/>
      <c r="L216" s="101">
        <v>12890</v>
      </c>
      <c r="M216" s="193"/>
      <c r="N216" s="193"/>
      <c r="O216" s="763"/>
      <c r="P216" s="179"/>
    </row>
    <row r="217" spans="1:16" s="313" customFormat="1" ht="36" customHeight="1" x14ac:dyDescent="0.25">
      <c r="A217" s="675"/>
      <c r="B217" s="658"/>
      <c r="C217" s="658"/>
      <c r="D217" s="1622" t="s">
        <v>732</v>
      </c>
      <c r="E217" s="1648"/>
      <c r="F217" s="674"/>
      <c r="G217" s="675"/>
      <c r="H217" s="176"/>
      <c r="I217" s="101"/>
      <c r="J217" s="102"/>
      <c r="K217" s="101"/>
      <c r="L217" s="101">
        <v>433357</v>
      </c>
      <c r="M217" s="193"/>
      <c r="N217" s="193"/>
      <c r="O217" s="763"/>
      <c r="P217" s="179"/>
    </row>
    <row r="218" spans="1:16" s="313" customFormat="1" ht="18" x14ac:dyDescent="0.25">
      <c r="A218" s="675"/>
      <c r="B218" s="658"/>
      <c r="C218" s="658"/>
      <c r="D218" s="1622" t="s">
        <v>733</v>
      </c>
      <c r="E218" s="1648"/>
      <c r="F218" s="674"/>
      <c r="G218" s="675"/>
      <c r="H218" s="176"/>
      <c r="I218" s="101"/>
      <c r="J218" s="102"/>
      <c r="K218" s="101"/>
      <c r="L218" s="101">
        <v>186400</v>
      </c>
      <c r="M218" s="193"/>
      <c r="N218" s="193"/>
      <c r="O218" s="763"/>
      <c r="P218" s="179"/>
    </row>
    <row r="219" spans="1:16" s="313" customFormat="1" ht="18" x14ac:dyDescent="0.25">
      <c r="A219" s="675"/>
      <c r="B219" s="658"/>
      <c r="C219" s="658"/>
      <c r="D219" s="1622" t="s">
        <v>734</v>
      </c>
      <c r="E219" s="1648"/>
      <c r="F219" s="674"/>
      <c r="G219" s="675"/>
      <c r="H219" s="176"/>
      <c r="I219" s="101"/>
      <c r="J219" s="102"/>
      <c r="K219" s="101"/>
      <c r="L219" s="101">
        <v>3000000</v>
      </c>
      <c r="M219" s="193"/>
      <c r="N219" s="193"/>
      <c r="O219" s="763"/>
      <c r="P219" s="179"/>
    </row>
    <row r="220" spans="1:16" s="313" customFormat="1" ht="18" x14ac:dyDescent="0.25">
      <c r="A220" s="675"/>
      <c r="B220" s="658"/>
      <c r="C220" s="658"/>
      <c r="D220" s="1622" t="s">
        <v>735</v>
      </c>
      <c r="E220" s="1648"/>
      <c r="F220" s="674"/>
      <c r="G220" s="675"/>
      <c r="H220" s="176"/>
      <c r="I220" s="101"/>
      <c r="J220" s="102"/>
      <c r="K220" s="101"/>
      <c r="L220" s="101">
        <v>5000000</v>
      </c>
      <c r="M220" s="193"/>
      <c r="N220" s="193"/>
      <c r="O220" s="763"/>
      <c r="P220" s="179"/>
    </row>
    <row r="221" spans="1:16" s="313" customFormat="1" ht="18" x14ac:dyDescent="0.25">
      <c r="A221" s="675"/>
      <c r="B221" s="658"/>
      <c r="C221" s="658"/>
      <c r="D221" s="1622" t="s">
        <v>736</v>
      </c>
      <c r="E221" s="1648"/>
      <c r="F221" s="674"/>
      <c r="G221" s="675"/>
      <c r="H221" s="176"/>
      <c r="I221" s="101"/>
      <c r="J221" s="102"/>
      <c r="K221" s="101"/>
      <c r="L221" s="101">
        <v>700000</v>
      </c>
      <c r="M221" s="193"/>
      <c r="N221" s="193"/>
      <c r="O221" s="763"/>
      <c r="P221" s="179"/>
    </row>
    <row r="222" spans="1:16" s="313" customFormat="1" ht="18" x14ac:dyDescent="0.25">
      <c r="A222" s="675"/>
      <c r="B222" s="658"/>
      <c r="C222" s="658"/>
      <c r="D222" s="1622" t="s">
        <v>737</v>
      </c>
      <c r="E222" s="1648"/>
      <c r="F222" s="674"/>
      <c r="G222" s="675"/>
      <c r="H222" s="176"/>
      <c r="I222" s="101"/>
      <c r="J222" s="102"/>
      <c r="K222" s="101"/>
      <c r="L222" s="101">
        <v>600000</v>
      </c>
      <c r="M222" s="193"/>
      <c r="N222" s="193"/>
      <c r="O222" s="763"/>
      <c r="P222" s="179"/>
    </row>
    <row r="223" spans="1:16" s="313" customFormat="1" ht="36.75" customHeight="1" x14ac:dyDescent="0.25">
      <c r="A223" s="675"/>
      <c r="B223" s="658"/>
      <c r="C223" s="658"/>
      <c r="D223" s="1622" t="s">
        <v>738</v>
      </c>
      <c r="E223" s="1648"/>
      <c r="F223" s="674"/>
      <c r="G223" s="675"/>
      <c r="H223" s="176"/>
      <c r="I223" s="101"/>
      <c r="J223" s="102"/>
      <c r="K223" s="101"/>
      <c r="L223" s="101">
        <v>73000</v>
      </c>
      <c r="M223" s="193"/>
      <c r="N223" s="193"/>
      <c r="O223" s="763"/>
      <c r="P223" s="179"/>
    </row>
    <row r="224" spans="1:16" s="313" customFormat="1" ht="36.75" customHeight="1" x14ac:dyDescent="0.25">
      <c r="A224" s="675"/>
      <c r="B224" s="658"/>
      <c r="C224" s="658"/>
      <c r="D224" s="1622" t="s">
        <v>739</v>
      </c>
      <c r="E224" s="1648"/>
      <c r="F224" s="674"/>
      <c r="G224" s="675"/>
      <c r="H224" s="176"/>
      <c r="I224" s="101"/>
      <c r="J224" s="102"/>
      <c r="K224" s="101"/>
      <c r="L224" s="101">
        <v>6500000</v>
      </c>
      <c r="M224" s="193"/>
      <c r="N224" s="193"/>
      <c r="O224" s="763"/>
      <c r="P224" s="179"/>
    </row>
    <row r="225" spans="1:16" s="313" customFormat="1" ht="36.75" customHeight="1" x14ac:dyDescent="0.25">
      <c r="A225" s="675"/>
      <c r="B225" s="658"/>
      <c r="C225" s="658"/>
      <c r="D225" s="1622" t="s">
        <v>740</v>
      </c>
      <c r="E225" s="1648"/>
      <c r="F225" s="674"/>
      <c r="G225" s="675"/>
      <c r="H225" s="176"/>
      <c r="I225" s="101"/>
      <c r="J225" s="102"/>
      <c r="K225" s="101"/>
      <c r="L225" s="101">
        <v>500000</v>
      </c>
      <c r="M225" s="193"/>
      <c r="N225" s="193"/>
      <c r="O225" s="763"/>
      <c r="P225" s="179"/>
    </row>
    <row r="226" spans="1:16" s="313" customFormat="1" ht="18.75" customHeight="1" x14ac:dyDescent="0.25">
      <c r="A226" s="675"/>
      <c r="B226" s="658"/>
      <c r="C226" s="658"/>
      <c r="D226" s="1622" t="s">
        <v>741</v>
      </c>
      <c r="E226" s="1648"/>
      <c r="F226" s="674"/>
      <c r="G226" s="675"/>
      <c r="H226" s="176"/>
      <c r="I226" s="101"/>
      <c r="J226" s="102"/>
      <c r="K226" s="101"/>
      <c r="L226" s="101">
        <v>240000</v>
      </c>
      <c r="M226" s="193"/>
      <c r="N226" s="193"/>
      <c r="O226" s="763"/>
      <c r="P226" s="179"/>
    </row>
    <row r="227" spans="1:16" s="146" customFormat="1" ht="18" x14ac:dyDescent="0.25">
      <c r="A227" s="649"/>
      <c r="B227" s="650"/>
      <c r="C227" s="650"/>
      <c r="D227" s="1602" t="s">
        <v>742</v>
      </c>
      <c r="E227" s="1603"/>
      <c r="F227" s="1603"/>
      <c r="G227" s="1610"/>
      <c r="H227" s="131"/>
      <c r="I227" s="101"/>
      <c r="J227" s="102">
        <v>563250</v>
      </c>
      <c r="K227" s="101"/>
      <c r="L227" s="101"/>
      <c r="M227" s="10"/>
      <c r="N227" s="10"/>
      <c r="O227" s="756"/>
      <c r="P227"/>
    </row>
    <row r="228" spans="1:16" s="146" customFormat="1" ht="18" x14ac:dyDescent="0.25">
      <c r="A228" s="649"/>
      <c r="B228" s="650"/>
      <c r="C228" s="650"/>
      <c r="D228" s="1602" t="s">
        <v>743</v>
      </c>
      <c r="E228" s="1603"/>
      <c r="F228" s="1603"/>
      <c r="G228" s="1610"/>
      <c r="H228" s="131"/>
      <c r="I228" s="101"/>
      <c r="J228" s="102">
        <v>240000</v>
      </c>
      <c r="K228" s="101"/>
      <c r="L228" s="105"/>
      <c r="M228" s="10"/>
      <c r="N228" s="10"/>
      <c r="O228" s="756"/>
      <c r="P228"/>
    </row>
    <row r="229" spans="1:16" ht="18" x14ac:dyDescent="0.25">
      <c r="A229" s="649"/>
      <c r="B229" s="650"/>
      <c r="C229" s="650"/>
      <c r="D229" s="1620" t="s">
        <v>161</v>
      </c>
      <c r="E229" s="1620"/>
      <c r="F229" s="1620"/>
      <c r="G229" s="1620"/>
      <c r="H229" s="131"/>
      <c r="I229" s="119">
        <f>SUM(I212:I228)</f>
        <v>464404</v>
      </c>
      <c r="J229" s="150">
        <f>SUM(J212:J228)</f>
        <v>7129400.5999999996</v>
      </c>
      <c r="K229" s="119">
        <f>SUM(K212:K228)</f>
        <v>49700</v>
      </c>
      <c r="L229" s="119">
        <f>SUM(L212:L228)</f>
        <v>17645647</v>
      </c>
      <c r="M229" s="10">
        <v>17645647</v>
      </c>
    </row>
    <row r="230" spans="1:16" s="146" customFormat="1" ht="18.75" thickBot="1" x14ac:dyDescent="0.3">
      <c r="A230" s="668"/>
      <c r="B230" s="639"/>
      <c r="C230" s="639"/>
      <c r="D230" s="1661" t="s">
        <v>744</v>
      </c>
      <c r="E230" s="1662"/>
      <c r="F230" s="1662"/>
      <c r="G230" s="1663"/>
      <c r="H230" s="348"/>
      <c r="I230" s="158">
        <f>I229+I186+I149+I145+I195</f>
        <v>17023932</v>
      </c>
      <c r="J230" s="158">
        <f>J229+J186+J149+J145+J195</f>
        <v>48818400.600000001</v>
      </c>
      <c r="K230" s="158">
        <f>K229+K186+K149+K145+K195</f>
        <v>2885484</v>
      </c>
      <c r="L230" s="158">
        <f>L229+L186+L149+L145+L195</f>
        <v>60417647</v>
      </c>
      <c r="M230" s="10"/>
      <c r="N230" s="10"/>
      <c r="O230" s="760"/>
    </row>
    <row r="231" spans="1:16" ht="13.5" customHeight="1" x14ac:dyDescent="0.25">
      <c r="A231" s="649"/>
      <c r="B231" s="650"/>
      <c r="C231" s="650"/>
      <c r="D231" s="651"/>
      <c r="E231" s="651"/>
      <c r="F231" s="651"/>
      <c r="G231" s="651"/>
      <c r="H231" s="125"/>
      <c r="I231" s="155"/>
      <c r="J231" s="155"/>
      <c r="K231" s="155"/>
      <c r="L231" s="155"/>
    </row>
    <row r="232" spans="1:16" s="146" customFormat="1" ht="18" x14ac:dyDescent="0.25">
      <c r="A232" s="254"/>
      <c r="B232" s="271"/>
      <c r="C232" s="271"/>
      <c r="D232" s="349" t="s">
        <v>745</v>
      </c>
      <c r="E232" s="41"/>
      <c r="F232" s="41"/>
      <c r="G232" s="41"/>
      <c r="H232" s="273"/>
      <c r="I232" s="101"/>
      <c r="J232" s="102"/>
      <c r="K232" s="250"/>
      <c r="L232" s="250"/>
      <c r="M232" s="10"/>
      <c r="N232" s="10"/>
      <c r="O232" s="756"/>
      <c r="P232"/>
    </row>
    <row r="233" spans="1:16" s="146" customFormat="1" ht="37.5" customHeight="1" x14ac:dyDescent="0.25">
      <c r="A233" s="254"/>
      <c r="B233" s="271"/>
      <c r="C233" s="271"/>
      <c r="D233" s="1664" t="s">
        <v>746</v>
      </c>
      <c r="E233" s="1664"/>
      <c r="F233" s="41"/>
      <c r="G233" s="41"/>
      <c r="H233" s="273"/>
      <c r="I233" s="101"/>
      <c r="J233" s="233">
        <v>900000</v>
      </c>
      <c r="K233" s="250"/>
      <c r="L233" s="101"/>
      <c r="M233" s="10"/>
      <c r="N233" s="10"/>
      <c r="O233" s="756"/>
      <c r="P233"/>
    </row>
    <row r="234" spans="1:16" s="146" customFormat="1" ht="18.75" thickBot="1" x14ac:dyDescent="0.3">
      <c r="A234" s="254"/>
      <c r="B234" s="271"/>
      <c r="C234" s="271"/>
      <c r="D234" s="63" t="s">
        <v>747</v>
      </c>
      <c r="E234" s="41"/>
      <c r="F234" s="41"/>
      <c r="G234" s="41"/>
      <c r="H234" s="273"/>
      <c r="I234" s="331">
        <v>3959288</v>
      </c>
      <c r="J234" s="350">
        <v>20000000</v>
      </c>
      <c r="K234" s="351"/>
      <c r="L234" s="352">
        <v>20000000</v>
      </c>
      <c r="M234" s="10"/>
      <c r="N234" s="10">
        <v>17000000</v>
      </c>
      <c r="O234" s="756">
        <v>3000000</v>
      </c>
      <c r="P234"/>
    </row>
    <row r="235" spans="1:16" s="146" customFormat="1" ht="18.75" thickBot="1" x14ac:dyDescent="0.3">
      <c r="A235" s="353"/>
      <c r="B235" s="38"/>
      <c r="C235" s="38"/>
      <c r="D235" s="1665" t="s">
        <v>161</v>
      </c>
      <c r="E235" s="1665"/>
      <c r="F235" s="1665"/>
      <c r="G235" s="1665"/>
      <c r="H235" s="354"/>
      <c r="I235" s="213">
        <f>SUM(I233:I234)</f>
        <v>3959288</v>
      </c>
      <c r="J235" s="213">
        <f>SUM(J233:J234)</f>
        <v>20900000</v>
      </c>
      <c r="K235" s="213">
        <f>SUM(K233:K234)</f>
        <v>0</v>
      </c>
      <c r="L235" s="213">
        <f>SUM(L233:L234)</f>
        <v>20000000</v>
      </c>
      <c r="M235" s="10"/>
      <c r="N235" s="10"/>
      <c r="O235" s="760"/>
    </row>
    <row r="236" spans="1:16" s="146" customFormat="1" ht="13.5" customHeight="1" thickBot="1" x14ac:dyDescent="0.3">
      <c r="A236" s="254"/>
      <c r="B236" s="271"/>
      <c r="C236" s="271"/>
      <c r="D236" s="355"/>
      <c r="E236" s="355"/>
      <c r="F236" s="355"/>
      <c r="G236" s="355"/>
      <c r="H236" s="288"/>
      <c r="I236" s="155"/>
      <c r="J236" s="156"/>
      <c r="K236" s="155"/>
      <c r="L236" s="155"/>
      <c r="M236" s="10"/>
      <c r="N236" s="10"/>
      <c r="O236" s="756"/>
      <c r="P236"/>
    </row>
    <row r="237" spans="1:16" s="146" customFormat="1" ht="18" x14ac:dyDescent="0.25">
      <c r="A237" s="254"/>
      <c r="B237" s="271"/>
      <c r="C237" s="271"/>
      <c r="D237" s="36" t="s">
        <v>748</v>
      </c>
      <c r="E237" s="682"/>
      <c r="F237" s="682"/>
      <c r="G237" s="682"/>
      <c r="H237" s="288"/>
      <c r="I237" s="155"/>
      <c r="J237" s="156"/>
      <c r="K237" s="155"/>
      <c r="L237" s="155"/>
      <c r="M237" s="10"/>
      <c r="N237" s="10"/>
      <c r="O237" s="756"/>
      <c r="P237"/>
    </row>
    <row r="238" spans="1:16" s="146" customFormat="1" ht="18" x14ac:dyDescent="0.25">
      <c r="A238" s="254"/>
      <c r="B238" s="271"/>
      <c r="C238" s="271"/>
      <c r="D238" s="679" t="s">
        <v>749</v>
      </c>
      <c r="E238" s="682"/>
      <c r="F238" s="682"/>
      <c r="G238" s="682"/>
      <c r="H238" s="271"/>
      <c r="I238" s="101">
        <v>14998600</v>
      </c>
      <c r="J238" s="102"/>
      <c r="K238" s="101"/>
      <c r="L238" s="101"/>
      <c r="M238" s="10"/>
      <c r="N238" s="10"/>
      <c r="O238" s="756"/>
      <c r="P238"/>
    </row>
    <row r="239" spans="1:16" s="146" customFormat="1" ht="18" x14ac:dyDescent="0.25">
      <c r="A239" s="254"/>
      <c r="B239" s="271"/>
      <c r="C239" s="271"/>
      <c r="D239" s="679" t="s">
        <v>750</v>
      </c>
      <c r="E239" s="682"/>
      <c r="F239" s="682"/>
      <c r="G239" s="682"/>
      <c r="H239" s="271"/>
      <c r="I239" s="155"/>
      <c r="J239" s="102"/>
      <c r="K239" s="101"/>
      <c r="L239" s="101"/>
      <c r="M239" s="10"/>
      <c r="N239" s="10"/>
      <c r="O239" s="756"/>
      <c r="P239"/>
    </row>
    <row r="240" spans="1:16" s="146" customFormat="1" ht="18" x14ac:dyDescent="0.25">
      <c r="A240" s="254"/>
      <c r="B240" s="271"/>
      <c r="C240" s="271"/>
      <c r="D240" s="679" t="s">
        <v>751</v>
      </c>
      <c r="E240" s="682"/>
      <c r="F240" s="682"/>
      <c r="G240" s="682"/>
      <c r="H240" s="271"/>
      <c r="I240" s="101">
        <v>6024185.7999999998</v>
      </c>
      <c r="J240" s="102"/>
      <c r="K240" s="101"/>
      <c r="L240" s="101"/>
      <c r="M240" s="10"/>
      <c r="N240" s="10"/>
      <c r="O240" s="756"/>
      <c r="P240"/>
    </row>
    <row r="241" spans="1:16" s="146" customFormat="1" ht="38.25" customHeight="1" x14ac:dyDescent="0.25">
      <c r="A241" s="254"/>
      <c r="B241" s="271"/>
      <c r="C241" s="271"/>
      <c r="D241" s="1617" t="s">
        <v>752</v>
      </c>
      <c r="E241" s="1617"/>
      <c r="F241" s="682"/>
      <c r="G241" s="682"/>
      <c r="H241" s="271"/>
      <c r="I241" s="101">
        <v>4060246</v>
      </c>
      <c r="J241" s="102"/>
      <c r="K241" s="101"/>
      <c r="L241" s="101"/>
      <c r="M241" s="10"/>
      <c r="N241" s="10"/>
      <c r="O241" s="756"/>
      <c r="P241"/>
    </row>
    <row r="242" spans="1:16" s="146" customFormat="1" ht="54" customHeight="1" x14ac:dyDescent="0.25">
      <c r="A242" s="254"/>
      <c r="B242" s="271"/>
      <c r="C242" s="271"/>
      <c r="D242" s="1617" t="s">
        <v>753</v>
      </c>
      <c r="E242" s="1617"/>
      <c r="F242" s="682"/>
      <c r="G242" s="682"/>
      <c r="H242" s="271"/>
      <c r="I242" s="101">
        <v>4263663.8499999996</v>
      </c>
      <c r="J242" s="102"/>
      <c r="K242" s="101"/>
      <c r="L242" s="101"/>
      <c r="M242" s="10"/>
      <c r="N242" s="10"/>
      <c r="O242" s="756"/>
      <c r="P242"/>
    </row>
    <row r="243" spans="1:16" s="146" customFormat="1" ht="18" customHeight="1" x14ac:dyDescent="0.25">
      <c r="A243" s="254"/>
      <c r="B243" s="271"/>
      <c r="C243" s="271"/>
      <c r="D243" s="679" t="s">
        <v>754</v>
      </c>
      <c r="E243" s="662"/>
      <c r="F243" s="682"/>
      <c r="G243" s="682"/>
      <c r="H243" s="271"/>
      <c r="I243" s="101"/>
      <c r="J243" s="102"/>
      <c r="K243" s="101"/>
      <c r="L243" s="101"/>
      <c r="M243" s="10"/>
      <c r="N243" s="10"/>
      <c r="O243" s="756"/>
      <c r="P243"/>
    </row>
    <row r="244" spans="1:16" s="146" customFormat="1" ht="18.75" thickBot="1" x14ac:dyDescent="0.3">
      <c r="A244" s="353"/>
      <c r="B244" s="38"/>
      <c r="C244" s="38"/>
      <c r="D244" s="1608" t="s">
        <v>161</v>
      </c>
      <c r="E244" s="1608"/>
      <c r="F244" s="1608"/>
      <c r="G244" s="1608"/>
      <c r="H244" s="358"/>
      <c r="I244" s="150">
        <f>SUM(I238:I243)</f>
        <v>29346695.649999999</v>
      </c>
      <c r="J244" s="150">
        <f>SUM(J238:J243)</f>
        <v>0</v>
      </c>
      <c r="K244" s="150">
        <f>SUM(K237:K242)</f>
        <v>0</v>
      </c>
      <c r="L244" s="150">
        <f>SUM(L238:L242)</f>
        <v>0</v>
      </c>
      <c r="M244" s="10"/>
      <c r="N244" s="10"/>
      <c r="O244" s="760"/>
    </row>
    <row r="245" spans="1:16" s="146" customFormat="1" ht="18" x14ac:dyDescent="0.25">
      <c r="A245" s="353"/>
      <c r="B245" s="38"/>
      <c r="C245" s="38"/>
      <c r="D245" s="648"/>
      <c r="E245" s="648"/>
      <c r="F245" s="648"/>
      <c r="G245" s="648"/>
      <c r="H245" s="38"/>
      <c r="I245" s="260"/>
      <c r="J245" s="260"/>
      <c r="K245" s="260"/>
      <c r="L245" s="260"/>
      <c r="M245" s="10"/>
      <c r="N245" s="10"/>
      <c r="O245" s="760"/>
    </row>
    <row r="246" spans="1:16" s="146" customFormat="1" ht="18" x14ac:dyDescent="0.25">
      <c r="A246" s="254"/>
      <c r="B246" s="271"/>
      <c r="C246" s="271"/>
      <c r="D246" s="36" t="s">
        <v>756</v>
      </c>
      <c r="E246" s="682"/>
      <c r="F246" s="682"/>
      <c r="G246" s="682"/>
      <c r="H246" s="271"/>
      <c r="I246" s="155"/>
      <c r="J246" s="156"/>
      <c r="K246" s="155"/>
      <c r="L246" s="155"/>
      <c r="M246" s="10"/>
      <c r="N246" s="10"/>
      <c r="O246" s="756"/>
      <c r="P246"/>
    </row>
    <row r="247" spans="1:16" s="146" customFormat="1" ht="18" x14ac:dyDescent="0.25">
      <c r="A247" s="254"/>
      <c r="B247" s="271"/>
      <c r="C247" s="271"/>
      <c r="D247" s="206" t="s">
        <v>757</v>
      </c>
      <c r="E247" s="682"/>
      <c r="F247" s="682"/>
      <c r="G247" s="682"/>
      <c r="H247" s="271"/>
      <c r="I247" s="340">
        <v>1442000</v>
      </c>
      <c r="J247" s="102"/>
      <c r="K247" s="101"/>
      <c r="L247" s="155"/>
      <c r="M247" s="10"/>
      <c r="N247" s="10"/>
      <c r="O247" s="756"/>
      <c r="P247"/>
    </row>
    <row r="248" spans="1:16" s="146" customFormat="1" ht="18" x14ac:dyDescent="0.25">
      <c r="A248" s="254"/>
      <c r="B248" s="271"/>
      <c r="C248" s="271"/>
      <c r="D248" s="206" t="s">
        <v>758</v>
      </c>
      <c r="E248" s="682"/>
      <c r="F248" s="682"/>
      <c r="G248" s="682"/>
      <c r="H248" s="271"/>
      <c r="I248" s="340">
        <v>1417830</v>
      </c>
      <c r="J248" s="102"/>
      <c r="K248" s="101"/>
      <c r="L248" s="155"/>
      <c r="M248" s="10"/>
      <c r="N248" s="10"/>
      <c r="O248" s="756"/>
      <c r="P248"/>
    </row>
    <row r="249" spans="1:16" s="146" customFormat="1" ht="18" x14ac:dyDescent="0.25">
      <c r="A249" s="254"/>
      <c r="B249" s="271"/>
      <c r="C249" s="271"/>
      <c r="D249" s="206" t="s">
        <v>759</v>
      </c>
      <c r="E249" s="682"/>
      <c r="F249" s="682"/>
      <c r="G249" s="682"/>
      <c r="H249" s="271"/>
      <c r="I249" s="340">
        <v>486000</v>
      </c>
      <c r="J249" s="102"/>
      <c r="K249" s="101"/>
      <c r="L249" s="155"/>
      <c r="M249" s="10"/>
      <c r="N249" s="10"/>
      <c r="O249" s="756"/>
      <c r="P249"/>
    </row>
    <row r="250" spans="1:16" s="146" customFormat="1" ht="18" x14ac:dyDescent="0.25">
      <c r="A250" s="254"/>
      <c r="B250" s="271"/>
      <c r="C250" s="271"/>
      <c r="D250" s="206" t="s">
        <v>760</v>
      </c>
      <c r="E250" s="682"/>
      <c r="F250" s="682"/>
      <c r="G250" s="682"/>
      <c r="H250" s="271"/>
      <c r="I250" s="340">
        <v>1474550</v>
      </c>
      <c r="J250" s="102"/>
      <c r="K250" s="101"/>
      <c r="L250" s="155"/>
      <c r="M250" s="10"/>
      <c r="N250" s="10"/>
      <c r="O250" s="756"/>
      <c r="P250"/>
    </row>
    <row r="251" spans="1:16" s="146" customFormat="1" ht="38.25" customHeight="1" x14ac:dyDescent="0.25">
      <c r="A251" s="254"/>
      <c r="B251" s="271"/>
      <c r="C251" s="271"/>
      <c r="D251" s="1617" t="s">
        <v>761</v>
      </c>
      <c r="E251" s="1617"/>
      <c r="F251" s="682"/>
      <c r="G251" s="682"/>
      <c r="H251" s="271"/>
      <c r="I251" s="340">
        <v>354111</v>
      </c>
      <c r="J251" s="102"/>
      <c r="K251" s="101"/>
      <c r="L251" s="155"/>
      <c r="M251" s="10"/>
      <c r="N251" s="10"/>
      <c r="O251" s="756"/>
      <c r="P251"/>
    </row>
    <row r="252" spans="1:16" s="146" customFormat="1" ht="36.75" customHeight="1" x14ac:dyDescent="0.25">
      <c r="A252" s="254"/>
      <c r="B252" s="271"/>
      <c r="C252" s="271"/>
      <c r="D252" s="1617" t="s">
        <v>762</v>
      </c>
      <c r="E252" s="1617"/>
      <c r="F252" s="682"/>
      <c r="G252" s="682"/>
      <c r="H252" s="271"/>
      <c r="I252" s="359">
        <v>35988860</v>
      </c>
      <c r="J252" s="102"/>
      <c r="K252" s="101"/>
      <c r="L252" s="155"/>
      <c r="M252" s="10"/>
      <c r="N252" s="10"/>
      <c r="O252" s="756"/>
      <c r="P252"/>
    </row>
    <row r="253" spans="1:16" s="146" customFormat="1" ht="57.75" customHeight="1" x14ac:dyDescent="0.25">
      <c r="A253" s="254"/>
      <c r="B253" s="271"/>
      <c r="C253" s="271"/>
      <c r="D253" s="1628" t="s">
        <v>763</v>
      </c>
      <c r="E253" s="1628"/>
      <c r="F253" s="1628"/>
      <c r="G253" s="682"/>
      <c r="H253" s="271"/>
      <c r="I253" s="340">
        <v>800000</v>
      </c>
      <c r="J253" s="102"/>
      <c r="K253" s="101"/>
      <c r="L253" s="155"/>
      <c r="M253" s="10"/>
      <c r="N253" s="10"/>
      <c r="O253" s="756"/>
      <c r="P253"/>
    </row>
    <row r="254" spans="1:16" s="146" customFormat="1" ht="18" x14ac:dyDescent="0.25">
      <c r="A254" s="254"/>
      <c r="B254" s="271"/>
      <c r="C254" s="271"/>
      <c r="D254" s="206" t="s">
        <v>764</v>
      </c>
      <c r="E254" s="682"/>
      <c r="F254" s="682"/>
      <c r="G254" s="682"/>
      <c r="H254" s="271"/>
      <c r="I254" s="340"/>
      <c r="J254" s="102"/>
      <c r="K254" s="101"/>
      <c r="L254" s="155"/>
      <c r="M254" s="10"/>
      <c r="N254" s="10"/>
      <c r="O254" s="756"/>
      <c r="P254"/>
    </row>
    <row r="255" spans="1:16" s="146" customFormat="1" ht="18" x14ac:dyDescent="0.25">
      <c r="A255" s="254"/>
      <c r="B255" s="271"/>
      <c r="C255" s="271"/>
      <c r="D255" s="206" t="s">
        <v>765</v>
      </c>
      <c r="E255" s="682"/>
      <c r="F255" s="682"/>
      <c r="G255" s="682"/>
      <c r="H255" s="271"/>
      <c r="I255" s="359">
        <v>16779500</v>
      </c>
      <c r="J255" s="102"/>
      <c r="K255" s="101"/>
      <c r="L255" s="155"/>
      <c r="M255" s="10"/>
      <c r="N255" s="10"/>
      <c r="O255" s="756"/>
      <c r="P255"/>
    </row>
    <row r="256" spans="1:16" s="146" customFormat="1" ht="18.75" thickBot="1" x14ac:dyDescent="0.3">
      <c r="A256" s="357"/>
      <c r="B256" s="358"/>
      <c r="C256" s="358"/>
      <c r="D256" s="1660" t="s">
        <v>161</v>
      </c>
      <c r="E256" s="1660"/>
      <c r="F256" s="1660"/>
      <c r="G256" s="1660"/>
      <c r="H256" s="358"/>
      <c r="I256" s="364">
        <f>SUM(I247:I255)</f>
        <v>58742851</v>
      </c>
      <c r="J256" s="158">
        <f>SUM(J247:J255)</f>
        <v>0</v>
      </c>
      <c r="K256" s="158">
        <f>SUM(K247:K255)</f>
        <v>0</v>
      </c>
      <c r="L256" s="158">
        <f>SUM(L247:L255)</f>
        <v>0</v>
      </c>
      <c r="M256" s="10"/>
      <c r="N256" s="10"/>
      <c r="O256" s="760"/>
    </row>
    <row r="257" spans="1:16" x14ac:dyDescent="0.25">
      <c r="A257" s="33"/>
      <c r="B257" s="33"/>
      <c r="C257" s="33"/>
      <c r="D257" s="128"/>
      <c r="E257" s="33"/>
      <c r="F257" s="33"/>
      <c r="G257" s="33"/>
      <c r="H257" s="75"/>
      <c r="I257" s="141"/>
      <c r="J257" s="122"/>
      <c r="K257" s="141"/>
      <c r="L257" s="141"/>
    </row>
    <row r="258" spans="1:16" x14ac:dyDescent="0.25">
      <c r="A258" s="33"/>
      <c r="B258" s="33"/>
      <c r="C258" s="33"/>
      <c r="D258" s="128"/>
      <c r="E258" s="33"/>
      <c r="F258" s="33"/>
      <c r="G258" s="33"/>
      <c r="H258" s="75"/>
      <c r="I258" s="141"/>
      <c r="J258" s="122"/>
      <c r="K258" s="141"/>
      <c r="L258" s="141"/>
    </row>
    <row r="259" spans="1:16" ht="18" customHeight="1" x14ac:dyDescent="0.25">
      <c r="A259" s="8" t="s">
        <v>112</v>
      </c>
    </row>
    <row r="260" spans="1:16" ht="18" customHeight="1" x14ac:dyDescent="0.25">
      <c r="A260" s="8" t="s">
        <v>755</v>
      </c>
    </row>
    <row r="261" spans="1:16" ht="18" customHeight="1" x14ac:dyDescent="0.25">
      <c r="A261" s="1636" t="s">
        <v>113</v>
      </c>
      <c r="B261" s="1636"/>
      <c r="C261" s="1636"/>
      <c r="D261" s="1636"/>
      <c r="E261" s="1636"/>
      <c r="F261" s="1636"/>
      <c r="G261" s="1636"/>
      <c r="H261" s="1636"/>
      <c r="I261" s="1636"/>
      <c r="J261" s="1636"/>
      <c r="K261" s="1636"/>
      <c r="L261" s="1636"/>
    </row>
    <row r="262" spans="1:16" s="7" customFormat="1" ht="18" customHeight="1" x14ac:dyDescent="0.25">
      <c r="A262" s="1624" t="s">
        <v>114</v>
      </c>
      <c r="B262" s="1624"/>
      <c r="C262" s="1624"/>
      <c r="D262" s="1624"/>
      <c r="E262" s="1624"/>
      <c r="F262" s="1624"/>
      <c r="G262" s="1624"/>
      <c r="H262" s="1624"/>
      <c r="I262" s="1624"/>
      <c r="J262" s="1624"/>
      <c r="K262" s="1624"/>
      <c r="L262" s="1624"/>
      <c r="M262" s="6"/>
      <c r="N262" s="6"/>
      <c r="O262" s="762"/>
    </row>
    <row r="263" spans="1:16" s="7" customFormat="1" ht="18" customHeight="1" thickBot="1" x14ac:dyDescent="0.3">
      <c r="A263" s="642"/>
      <c r="B263" s="642"/>
      <c r="C263" s="642"/>
      <c r="D263" s="159"/>
      <c r="E263" s="642"/>
      <c r="F263" s="642"/>
      <c r="G263" s="642"/>
      <c r="H263" s="642"/>
      <c r="I263" s="642"/>
      <c r="J263" s="642"/>
      <c r="K263" s="196"/>
      <c r="L263" s="642"/>
      <c r="M263" s="6"/>
      <c r="N263" s="6"/>
      <c r="O263" s="762"/>
    </row>
    <row r="264" spans="1:16" s="146" customFormat="1" ht="64.5" customHeight="1" thickBot="1" x14ac:dyDescent="0.3">
      <c r="A264" s="1625" t="s">
        <v>115</v>
      </c>
      <c r="B264" s="1626"/>
      <c r="C264" s="1626"/>
      <c r="D264" s="1626"/>
      <c r="E264" s="1626"/>
      <c r="F264" s="1626"/>
      <c r="G264" s="1627"/>
      <c r="H264" s="643" t="s">
        <v>116</v>
      </c>
      <c r="I264" s="130" t="s">
        <v>117</v>
      </c>
      <c r="J264" s="130" t="s">
        <v>118</v>
      </c>
      <c r="K264" s="130" t="s">
        <v>119</v>
      </c>
      <c r="L264" s="130" t="s">
        <v>120</v>
      </c>
      <c r="M264" s="10"/>
      <c r="N264" s="10"/>
      <c r="O264" s="756"/>
      <c r="P264"/>
    </row>
    <row r="265" spans="1:16" s="146" customFormat="1" ht="18" x14ac:dyDescent="0.25">
      <c r="A265" s="254"/>
      <c r="B265" s="271"/>
      <c r="C265" s="271"/>
      <c r="D265" s="36" t="s">
        <v>756</v>
      </c>
      <c r="E265" s="682"/>
      <c r="F265" s="682"/>
      <c r="G265" s="682"/>
      <c r="H265" s="271"/>
      <c r="I265" s="155"/>
      <c r="J265" s="156"/>
      <c r="K265" s="155"/>
      <c r="L265" s="155"/>
      <c r="M265" s="10"/>
      <c r="N265" s="10"/>
      <c r="O265" s="756"/>
      <c r="P265"/>
    </row>
    <row r="266" spans="1:16" s="146" customFormat="1" ht="18" x14ac:dyDescent="0.25">
      <c r="A266" s="254"/>
      <c r="B266" s="271"/>
      <c r="C266" s="271"/>
      <c r="D266" s="684" t="s">
        <v>766</v>
      </c>
      <c r="E266" s="362"/>
      <c r="F266" s="362"/>
      <c r="G266" s="362"/>
      <c r="H266" s="271"/>
      <c r="I266" s="101"/>
      <c r="J266" s="102"/>
      <c r="K266" s="101"/>
      <c r="L266" s="101"/>
      <c r="M266" s="10"/>
      <c r="N266" s="10"/>
      <c r="O266" s="756"/>
      <c r="P266"/>
    </row>
    <row r="267" spans="1:16" s="146" customFormat="1" ht="39" customHeight="1" x14ac:dyDescent="0.25">
      <c r="A267" s="254"/>
      <c r="B267" s="271"/>
      <c r="C267" s="271"/>
      <c r="D267" s="1628" t="s">
        <v>767</v>
      </c>
      <c r="E267" s="1628"/>
      <c r="F267" s="1628"/>
      <c r="G267" s="1628"/>
      <c r="H267" s="271"/>
      <c r="I267" s="101">
        <v>3985501</v>
      </c>
      <c r="J267" s="102">
        <v>3000000</v>
      </c>
      <c r="K267" s="101"/>
      <c r="L267" s="101"/>
      <c r="M267" s="10"/>
      <c r="N267" s="10"/>
      <c r="O267" s="756"/>
      <c r="P267"/>
    </row>
    <row r="268" spans="1:16" s="146" customFormat="1" ht="65.25" customHeight="1" x14ac:dyDescent="0.25">
      <c r="A268" s="254"/>
      <c r="B268" s="271"/>
      <c r="C268" s="271"/>
      <c r="D268" s="1628" t="s">
        <v>768</v>
      </c>
      <c r="E268" s="1628"/>
      <c r="F268" s="1628"/>
      <c r="G268" s="1628"/>
      <c r="H268" s="271"/>
      <c r="I268" s="101">
        <v>1045110</v>
      </c>
      <c r="J268" s="102"/>
      <c r="K268" s="101"/>
      <c r="L268" s="101"/>
      <c r="M268" s="10"/>
      <c r="N268" s="10"/>
      <c r="O268" s="756"/>
      <c r="P268"/>
    </row>
    <row r="269" spans="1:16" s="146" customFormat="1" ht="45.75" customHeight="1" x14ac:dyDescent="0.25">
      <c r="A269" s="254"/>
      <c r="B269" s="271"/>
      <c r="C269" s="271"/>
      <c r="D269" s="1628" t="s">
        <v>769</v>
      </c>
      <c r="E269" s="1628"/>
      <c r="F269" s="180"/>
      <c r="G269" s="180"/>
      <c r="H269" s="271"/>
      <c r="I269" s="101">
        <v>501895</v>
      </c>
      <c r="J269" s="102"/>
      <c r="K269" s="101"/>
      <c r="L269" s="101"/>
      <c r="M269" s="10"/>
      <c r="N269" s="10"/>
      <c r="O269" s="756"/>
      <c r="P269"/>
    </row>
    <row r="270" spans="1:16" s="146" customFormat="1" ht="24.75" customHeight="1" x14ac:dyDescent="0.25">
      <c r="A270" s="254"/>
      <c r="B270" s="271"/>
      <c r="C270" s="271"/>
      <c r="D270" s="679" t="s">
        <v>770</v>
      </c>
      <c r="E270" s="363"/>
      <c r="F270" s="363"/>
      <c r="G270" s="363"/>
      <c r="H270" s="271"/>
      <c r="I270" s="101"/>
      <c r="J270" s="102"/>
      <c r="K270" s="101"/>
      <c r="L270" s="101"/>
      <c r="M270" s="10"/>
      <c r="N270" s="10"/>
      <c r="O270" s="756"/>
      <c r="P270"/>
    </row>
    <row r="271" spans="1:16" s="146" customFormat="1" ht="18" x14ac:dyDescent="0.25">
      <c r="A271" s="254"/>
      <c r="B271" s="271"/>
      <c r="C271" s="271"/>
      <c r="D271" s="679" t="s">
        <v>771</v>
      </c>
      <c r="E271" s="363"/>
      <c r="F271" s="363"/>
      <c r="G271" s="363"/>
      <c r="H271" s="271"/>
      <c r="I271" s="101">
        <v>58830</v>
      </c>
      <c r="J271" s="102"/>
      <c r="K271" s="101"/>
      <c r="L271" s="101"/>
      <c r="M271" s="10"/>
      <c r="N271" s="10"/>
      <c r="O271" s="756"/>
      <c r="P271"/>
    </row>
    <row r="272" spans="1:16" s="146" customFormat="1" ht="18" x14ac:dyDescent="0.25">
      <c r="A272" s="254"/>
      <c r="B272" s="271"/>
      <c r="C272" s="271"/>
      <c r="D272" s="679" t="s">
        <v>772</v>
      </c>
      <c r="E272" s="363"/>
      <c r="F272" s="363"/>
      <c r="G272" s="363"/>
      <c r="H272" s="271"/>
      <c r="I272" s="101">
        <v>46500</v>
      </c>
      <c r="J272" s="102"/>
      <c r="K272" s="101"/>
      <c r="L272" s="101"/>
      <c r="M272" s="10"/>
      <c r="N272" s="10"/>
      <c r="O272" s="756"/>
      <c r="P272"/>
    </row>
    <row r="273" spans="1:16" s="146" customFormat="1" ht="18" x14ac:dyDescent="0.25">
      <c r="A273" s="254"/>
      <c r="B273" s="271"/>
      <c r="C273" s="271"/>
      <c r="D273" s="679" t="s">
        <v>773</v>
      </c>
      <c r="E273" s="363"/>
      <c r="F273" s="363"/>
      <c r="G273" s="363"/>
      <c r="H273" s="271"/>
      <c r="I273" s="101"/>
      <c r="J273" s="102"/>
      <c r="K273" s="101"/>
      <c r="L273" s="101"/>
      <c r="M273" s="10"/>
      <c r="N273" s="10"/>
      <c r="O273" s="756"/>
      <c r="P273"/>
    </row>
    <row r="274" spans="1:16" s="146" customFormat="1" ht="53.25" customHeight="1" x14ac:dyDescent="0.25">
      <c r="A274" s="254"/>
      <c r="B274" s="271"/>
      <c r="C274" s="271"/>
      <c r="D274" s="1617" t="s">
        <v>774</v>
      </c>
      <c r="E274" s="1617"/>
      <c r="F274" s="1617"/>
      <c r="G274" s="1617"/>
      <c r="H274" s="271"/>
      <c r="I274" s="101">
        <v>820096</v>
      </c>
      <c r="J274" s="102"/>
      <c r="K274" s="101"/>
      <c r="L274" s="101"/>
      <c r="M274" s="10"/>
      <c r="N274" s="10"/>
      <c r="O274" s="756"/>
      <c r="P274"/>
    </row>
    <row r="275" spans="1:16" s="146" customFormat="1" ht="18" x14ac:dyDescent="0.25">
      <c r="A275" s="254"/>
      <c r="B275" s="271"/>
      <c r="C275" s="271"/>
      <c r="D275" s="679" t="s">
        <v>775</v>
      </c>
      <c r="E275" s="363"/>
      <c r="F275" s="363"/>
      <c r="G275" s="363"/>
      <c r="H275" s="271"/>
      <c r="I275" s="101">
        <v>225000</v>
      </c>
      <c r="J275" s="102"/>
      <c r="K275" s="101"/>
      <c r="L275" s="101"/>
      <c r="M275" s="10"/>
      <c r="N275" s="10"/>
      <c r="O275" s="756"/>
      <c r="P275"/>
    </row>
    <row r="276" spans="1:16" s="146" customFormat="1" ht="18" x14ac:dyDescent="0.25">
      <c r="A276" s="254"/>
      <c r="B276" s="271"/>
      <c r="C276" s="271"/>
      <c r="D276" s="679" t="s">
        <v>757</v>
      </c>
      <c r="E276" s="363"/>
      <c r="F276" s="363"/>
      <c r="G276" s="363"/>
      <c r="H276" s="271"/>
      <c r="I276" s="101"/>
      <c r="J276" s="102">
        <v>1500000</v>
      </c>
      <c r="K276" s="101"/>
      <c r="L276" s="101"/>
      <c r="M276" s="10"/>
      <c r="N276" s="10"/>
      <c r="O276" s="756"/>
      <c r="P276"/>
    </row>
    <row r="277" spans="1:16" s="146" customFormat="1" ht="18" x14ac:dyDescent="0.25">
      <c r="A277" s="254"/>
      <c r="B277" s="271"/>
      <c r="C277" s="271"/>
      <c r="D277" s="679" t="s">
        <v>776</v>
      </c>
      <c r="E277" s="363"/>
      <c r="F277" s="363"/>
      <c r="G277" s="363"/>
      <c r="H277" s="271"/>
      <c r="I277" s="101"/>
      <c r="J277" s="102">
        <v>3916826</v>
      </c>
      <c r="K277" s="101">
        <v>3912250</v>
      </c>
      <c r="L277" s="101"/>
      <c r="M277" s="10"/>
      <c r="N277" s="10"/>
      <c r="O277" s="756"/>
      <c r="P277"/>
    </row>
    <row r="278" spans="1:16" s="146" customFormat="1" ht="18.75" thickBot="1" x14ac:dyDescent="0.3">
      <c r="A278" s="353"/>
      <c r="B278" s="38"/>
      <c r="C278" s="38"/>
      <c r="D278" s="1608" t="s">
        <v>161</v>
      </c>
      <c r="E278" s="1608"/>
      <c r="F278" s="1608"/>
      <c r="G278" s="1608"/>
      <c r="H278" s="358"/>
      <c r="I278" s="364">
        <f>SUM(I267:I275)</f>
        <v>6682932</v>
      </c>
      <c r="J278" s="158">
        <f>SUM(J267:J277)</f>
        <v>8416826</v>
      </c>
      <c r="K278" s="158">
        <f>SUM(K267:K277)</f>
        <v>3912250</v>
      </c>
      <c r="L278" s="158">
        <f>SUM(L267:L275)</f>
        <v>0</v>
      </c>
      <c r="M278" s="10"/>
      <c r="N278" s="10"/>
      <c r="O278" s="760"/>
    </row>
    <row r="279" spans="1:16" s="146" customFormat="1" ht="18" x14ac:dyDescent="0.25">
      <c r="A279" s="353"/>
      <c r="B279" s="38"/>
      <c r="C279" s="38"/>
      <c r="D279" s="365"/>
      <c r="E279" s="365"/>
      <c r="F279" s="365"/>
      <c r="G279" s="365"/>
      <c r="H279" s="38"/>
      <c r="I279" s="210"/>
      <c r="J279" s="210"/>
      <c r="K279" s="210"/>
      <c r="L279" s="233"/>
      <c r="M279" s="10"/>
      <c r="N279" s="10"/>
      <c r="O279" s="760"/>
    </row>
    <row r="280" spans="1:16" s="146" customFormat="1" ht="18" x14ac:dyDescent="0.25">
      <c r="A280" s="668"/>
      <c r="B280" s="639"/>
      <c r="C280" s="639"/>
      <c r="D280" s="639"/>
      <c r="E280" s="641"/>
      <c r="F280" s="641"/>
      <c r="G280" s="665"/>
      <c r="H280" s="366"/>
      <c r="I280" s="360"/>
      <c r="J280" s="156"/>
      <c r="K280" s="156"/>
      <c r="L280" s="247"/>
      <c r="M280" s="10"/>
      <c r="N280" s="10"/>
      <c r="O280" s="760"/>
    </row>
    <row r="281" spans="1:16" s="146" customFormat="1" ht="18" x14ac:dyDescent="0.25">
      <c r="A281" s="327" t="s">
        <v>777</v>
      </c>
      <c r="B281" s="369"/>
      <c r="C281" s="369"/>
      <c r="D281" s="639"/>
      <c r="E281" s="641"/>
      <c r="F281" s="641"/>
      <c r="G281" s="665"/>
      <c r="H281" s="366"/>
      <c r="I281" s="360"/>
      <c r="J281" s="156"/>
      <c r="K281" s="156"/>
      <c r="L281" s="247"/>
      <c r="M281" s="10"/>
      <c r="N281" s="10"/>
      <c r="O281" s="760"/>
    </row>
    <row r="282" spans="1:16" s="146" customFormat="1" ht="18" x14ac:dyDescent="0.25">
      <c r="A282" s="668"/>
      <c r="B282" s="639"/>
      <c r="C282" s="639"/>
      <c r="D282" s="669" t="s">
        <v>778</v>
      </c>
      <c r="E282" s="669"/>
      <c r="F282" s="641"/>
      <c r="G282" s="665"/>
      <c r="H282" s="366"/>
      <c r="I282" s="367">
        <v>234000</v>
      </c>
      <c r="J282" s="156"/>
      <c r="K282" s="156"/>
      <c r="L282" s="247"/>
      <c r="M282" s="10"/>
      <c r="N282" s="10"/>
      <c r="O282" s="760"/>
    </row>
    <row r="283" spans="1:16" s="146" customFormat="1" ht="18" x14ac:dyDescent="0.25">
      <c r="A283" s="668"/>
      <c r="B283" s="639"/>
      <c r="C283" s="639"/>
      <c r="D283" s="669" t="s">
        <v>779</v>
      </c>
      <c r="E283" s="669"/>
      <c r="F283" s="641"/>
      <c r="G283" s="665"/>
      <c r="H283" s="366"/>
      <c r="I283" s="367">
        <v>6156222.75</v>
      </c>
      <c r="J283" s="156"/>
      <c r="K283" s="156"/>
      <c r="L283" s="247"/>
      <c r="M283" s="10"/>
      <c r="N283" s="10"/>
      <c r="O283" s="760"/>
    </row>
    <row r="284" spans="1:16" s="146" customFormat="1" ht="18" x14ac:dyDescent="0.25">
      <c r="A284" s="668"/>
      <c r="B284" s="639"/>
      <c r="C284" s="639"/>
      <c r="D284" s="669" t="s">
        <v>780</v>
      </c>
      <c r="E284" s="669"/>
      <c r="F284" s="641"/>
      <c r="G284" s="665"/>
      <c r="H284" s="366"/>
      <c r="I284" s="367">
        <v>2477975</v>
      </c>
      <c r="J284" s="156"/>
      <c r="K284" s="156"/>
      <c r="L284" s="247"/>
      <c r="M284" s="10"/>
      <c r="N284" s="10"/>
      <c r="O284" s="760"/>
    </row>
    <row r="285" spans="1:16" s="146" customFormat="1" ht="18" x14ac:dyDescent="0.25">
      <c r="A285" s="668"/>
      <c r="B285" s="639"/>
      <c r="C285" s="639"/>
      <c r="D285" s="669" t="s">
        <v>781</v>
      </c>
      <c r="E285" s="669"/>
      <c r="F285" s="641"/>
      <c r="G285" s="665"/>
      <c r="H285" s="366"/>
      <c r="I285" s="367">
        <v>1049036</v>
      </c>
      <c r="J285" s="156"/>
      <c r="K285" s="156"/>
      <c r="L285" s="247"/>
      <c r="M285" s="10"/>
      <c r="N285" s="10"/>
      <c r="O285" s="760"/>
    </row>
    <row r="286" spans="1:16" s="146" customFormat="1" ht="18" x14ac:dyDescent="0.25">
      <c r="A286" s="668"/>
      <c r="B286" s="639"/>
      <c r="C286" s="639"/>
      <c r="D286" s="669" t="s">
        <v>782</v>
      </c>
      <c r="E286" s="669"/>
      <c r="F286" s="641"/>
      <c r="G286" s="665"/>
      <c r="H286" s="366"/>
      <c r="I286" s="368">
        <v>1870498</v>
      </c>
      <c r="J286" s="110"/>
      <c r="K286" s="110"/>
      <c r="L286" s="572"/>
      <c r="M286" s="10"/>
      <c r="N286" s="10"/>
      <c r="O286" s="760"/>
    </row>
    <row r="287" spans="1:16" s="146" customFormat="1" ht="18" x14ac:dyDescent="0.25">
      <c r="A287" s="668"/>
      <c r="B287" s="639"/>
      <c r="C287" s="639"/>
      <c r="D287" s="369" t="s">
        <v>783</v>
      </c>
      <c r="E287" s="641"/>
      <c r="F287" s="641"/>
      <c r="G287" s="665"/>
      <c r="H287" s="366"/>
      <c r="I287" s="316">
        <f>SUM(I282:I286)</f>
        <v>11787731.75</v>
      </c>
      <c r="J287" s="150"/>
      <c r="K287" s="150"/>
      <c r="L287" s="278"/>
      <c r="M287" s="10"/>
      <c r="N287" s="10"/>
      <c r="O287" s="760"/>
    </row>
    <row r="288" spans="1:16" s="146" customFormat="1" ht="18" x14ac:dyDescent="0.25">
      <c r="A288" s="649"/>
      <c r="B288" s="650"/>
      <c r="C288" s="650"/>
      <c r="D288" s="369"/>
      <c r="E288" s="651"/>
      <c r="F288" s="651"/>
      <c r="G288" s="651"/>
      <c r="H288" s="322"/>
      <c r="I288" s="189"/>
      <c r="J288" s="156"/>
      <c r="K288" s="155"/>
      <c r="L288" s="370"/>
      <c r="M288" s="10"/>
      <c r="N288" s="10"/>
      <c r="O288" s="756"/>
      <c r="P288"/>
    </row>
    <row r="289" spans="1:16" ht="18.75" thickBot="1" x14ac:dyDescent="0.3">
      <c r="A289" s="371"/>
      <c r="B289" s="374"/>
      <c r="C289" s="374"/>
      <c r="D289" s="372"/>
      <c r="E289" s="373"/>
      <c r="F289" s="373"/>
      <c r="G289" s="373"/>
      <c r="H289" s="374"/>
      <c r="I289" s="219"/>
      <c r="J289" s="220"/>
      <c r="K289" s="219"/>
      <c r="L289" s="257"/>
    </row>
    <row r="290" spans="1:16" ht="18" x14ac:dyDescent="0.25">
      <c r="A290" s="271"/>
      <c r="B290" s="271"/>
      <c r="C290" s="271"/>
      <c r="D290" s="365"/>
      <c r="E290" s="363"/>
      <c r="F290" s="363"/>
      <c r="G290" s="363"/>
      <c r="H290" s="271"/>
      <c r="I290" s="141"/>
      <c r="J290" s="122"/>
      <c r="K290" s="141"/>
      <c r="L290" s="141"/>
    </row>
    <row r="291" spans="1:16" ht="18" x14ac:dyDescent="0.25">
      <c r="A291" s="271"/>
      <c r="B291" s="271"/>
      <c r="C291" s="271"/>
      <c r="D291" s="365"/>
      <c r="E291" s="363"/>
      <c r="F291" s="363"/>
      <c r="G291" s="363"/>
      <c r="H291" s="271"/>
      <c r="I291" s="141"/>
      <c r="J291" s="122"/>
      <c r="K291" s="141"/>
      <c r="L291" s="141"/>
    </row>
    <row r="292" spans="1:16" ht="18" x14ac:dyDescent="0.25">
      <c r="A292" s="271"/>
      <c r="B292" s="271"/>
      <c r="C292" s="271"/>
      <c r="D292" s="365"/>
      <c r="E292" s="363"/>
      <c r="F292" s="363"/>
      <c r="G292" s="363"/>
      <c r="H292" s="271"/>
      <c r="I292" s="141"/>
      <c r="J292" s="122"/>
      <c r="K292" s="141"/>
      <c r="L292" s="141"/>
    </row>
    <row r="293" spans="1:16" ht="18" x14ac:dyDescent="0.25">
      <c r="A293" s="271"/>
      <c r="B293" s="271"/>
      <c r="C293" s="271"/>
      <c r="D293" s="365"/>
      <c r="E293" s="363"/>
      <c r="F293" s="363"/>
      <c r="G293" s="363"/>
      <c r="H293" s="271"/>
      <c r="I293" s="141"/>
      <c r="J293" s="122"/>
      <c r="K293" s="141"/>
      <c r="L293" s="141"/>
    </row>
    <row r="294" spans="1:16" ht="18" x14ac:dyDescent="0.25">
      <c r="A294" s="271"/>
      <c r="B294" s="271"/>
      <c r="C294" s="271"/>
      <c r="D294" s="365"/>
      <c r="E294" s="363"/>
      <c r="F294" s="363"/>
      <c r="G294" s="363"/>
      <c r="H294" s="271"/>
      <c r="I294" s="141"/>
      <c r="J294" s="122"/>
      <c r="K294" s="141"/>
      <c r="L294" s="141"/>
    </row>
    <row r="295" spans="1:16" ht="18" x14ac:dyDescent="0.25">
      <c r="A295" s="271"/>
      <c r="B295" s="271"/>
      <c r="C295" s="271"/>
      <c r="D295" s="365"/>
      <c r="E295" s="363"/>
      <c r="F295" s="363"/>
      <c r="G295" s="363"/>
      <c r="H295" s="271"/>
      <c r="I295" s="141"/>
      <c r="J295" s="122"/>
      <c r="K295" s="141"/>
      <c r="L295" s="141"/>
    </row>
    <row r="296" spans="1:16" ht="18" x14ac:dyDescent="0.25">
      <c r="A296" s="271"/>
      <c r="B296" s="271"/>
      <c r="C296" s="271"/>
      <c r="D296" s="365"/>
      <c r="E296" s="363"/>
      <c r="F296" s="363"/>
      <c r="G296" s="363"/>
      <c r="H296" s="271"/>
      <c r="I296" s="141"/>
      <c r="J296" s="122"/>
      <c r="K296" s="141"/>
      <c r="L296" s="141"/>
    </row>
    <row r="297" spans="1:16" ht="18" x14ac:dyDescent="0.25">
      <c r="A297" s="271"/>
      <c r="B297" s="271"/>
      <c r="C297" s="271"/>
      <c r="D297" s="365"/>
      <c r="E297" s="363"/>
      <c r="F297" s="363"/>
      <c r="G297" s="363"/>
      <c r="H297" s="271"/>
      <c r="I297" s="141"/>
      <c r="J297" s="122"/>
      <c r="K297" s="141"/>
      <c r="L297" s="141"/>
    </row>
    <row r="298" spans="1:16" ht="18" x14ac:dyDescent="0.25">
      <c r="A298" s="271"/>
      <c r="B298" s="271"/>
      <c r="C298" s="271"/>
      <c r="D298" s="365"/>
      <c r="E298" s="363"/>
      <c r="F298" s="363"/>
      <c r="G298" s="363"/>
      <c r="H298" s="271"/>
      <c r="I298" s="141"/>
      <c r="J298" s="122"/>
      <c r="K298" s="141"/>
      <c r="L298" s="141"/>
    </row>
    <row r="299" spans="1:16" ht="18" x14ac:dyDescent="0.25">
      <c r="A299" s="271"/>
      <c r="B299" s="271"/>
      <c r="C299" s="271"/>
      <c r="D299" s="365"/>
      <c r="E299" s="363"/>
      <c r="F299" s="363"/>
      <c r="G299" s="363"/>
      <c r="H299" s="271"/>
      <c r="I299" s="141"/>
      <c r="J299" s="122"/>
      <c r="K299" s="141"/>
      <c r="L299" s="141"/>
    </row>
    <row r="300" spans="1:16" ht="18" x14ac:dyDescent="0.25">
      <c r="A300" s="271"/>
      <c r="B300" s="271"/>
      <c r="C300" s="271"/>
      <c r="D300" s="365"/>
      <c r="E300" s="363"/>
      <c r="F300" s="363"/>
      <c r="G300" s="363"/>
      <c r="H300" s="271"/>
      <c r="I300" s="141"/>
      <c r="J300" s="122"/>
      <c r="K300" s="141"/>
      <c r="L300" s="141"/>
    </row>
    <row r="301" spans="1:16" ht="18" x14ac:dyDescent="0.25">
      <c r="A301" s="271"/>
      <c r="B301" s="271"/>
      <c r="C301" s="271"/>
      <c r="D301" s="365"/>
      <c r="E301" s="363"/>
      <c r="F301" s="363"/>
      <c r="G301" s="363"/>
      <c r="H301" s="271"/>
      <c r="I301" s="141"/>
      <c r="J301" s="122"/>
      <c r="K301" s="141"/>
      <c r="L301" s="141"/>
    </row>
    <row r="302" spans="1:16" ht="18" x14ac:dyDescent="0.25">
      <c r="A302" s="271"/>
      <c r="B302" s="271"/>
      <c r="C302" s="271"/>
      <c r="D302" s="365"/>
      <c r="E302" s="363"/>
      <c r="F302" s="363"/>
      <c r="G302" s="363"/>
      <c r="H302" s="271"/>
      <c r="I302" s="141"/>
      <c r="J302" s="122"/>
      <c r="K302" s="141"/>
      <c r="L302" s="141"/>
    </row>
    <row r="303" spans="1:16" ht="18" x14ac:dyDescent="0.25">
      <c r="A303" s="271"/>
      <c r="B303" s="271"/>
      <c r="C303" s="271"/>
      <c r="D303" s="365"/>
      <c r="E303" s="363"/>
      <c r="F303" s="363"/>
      <c r="G303" s="363"/>
      <c r="H303" s="271"/>
      <c r="I303" s="141"/>
      <c r="J303" s="122"/>
      <c r="K303" s="141"/>
      <c r="L303" s="141"/>
    </row>
    <row r="304" spans="1:16" s="10" customFormat="1" ht="18" x14ac:dyDescent="0.25">
      <c r="A304" s="271"/>
      <c r="B304" s="271"/>
      <c r="C304" s="271"/>
      <c r="D304" s="365"/>
      <c r="E304" s="363"/>
      <c r="F304" s="363"/>
      <c r="G304" s="363"/>
      <c r="H304" s="271"/>
      <c r="I304" s="141"/>
      <c r="J304" s="122"/>
      <c r="K304" s="141"/>
      <c r="L304" s="141"/>
      <c r="O304" s="756"/>
      <c r="P304"/>
    </row>
    <row r="305" spans="1:16" s="10" customFormat="1" ht="18" x14ac:dyDescent="0.25">
      <c r="A305" s="271"/>
      <c r="B305" s="271"/>
      <c r="C305" s="271"/>
      <c r="D305" s="365"/>
      <c r="E305" s="363"/>
      <c r="F305" s="363"/>
      <c r="G305" s="363"/>
      <c r="H305" s="271"/>
      <c r="I305" s="141"/>
      <c r="J305" s="122"/>
      <c r="K305" s="141"/>
      <c r="L305" s="141"/>
      <c r="O305" s="756"/>
      <c r="P305"/>
    </row>
    <row r="306" spans="1:16" s="10" customFormat="1" ht="18" x14ac:dyDescent="0.25">
      <c r="A306" s="271"/>
      <c r="B306" s="271"/>
      <c r="C306" s="271"/>
      <c r="D306" s="365"/>
      <c r="E306" s="363"/>
      <c r="F306" s="363"/>
      <c r="G306" s="363"/>
      <c r="H306" s="271"/>
      <c r="I306" s="141"/>
      <c r="J306" s="122"/>
      <c r="K306" s="141"/>
      <c r="L306" s="141"/>
      <c r="O306" s="756"/>
      <c r="P306"/>
    </row>
    <row r="307" spans="1:16" s="10" customFormat="1" ht="18" x14ac:dyDescent="0.25">
      <c r="A307" s="271"/>
      <c r="B307" s="271"/>
      <c r="C307" s="271"/>
      <c r="D307" s="365"/>
      <c r="E307" s="363"/>
      <c r="F307" s="363"/>
      <c r="G307" s="363"/>
      <c r="H307" s="271"/>
      <c r="I307" s="141"/>
      <c r="J307" s="122"/>
      <c r="K307" s="141"/>
      <c r="L307" s="141"/>
      <c r="O307" s="756"/>
      <c r="P307"/>
    </row>
    <row r="308" spans="1:16" s="10" customFormat="1" ht="18" x14ac:dyDescent="0.25">
      <c r="A308" s="271"/>
      <c r="B308" s="271"/>
      <c r="C308" s="271"/>
      <c r="D308" s="365"/>
      <c r="E308" s="363"/>
      <c r="F308" s="363"/>
      <c r="G308" s="363"/>
      <c r="H308" s="271"/>
      <c r="I308" s="141"/>
      <c r="J308" s="122"/>
      <c r="K308" s="141"/>
      <c r="L308" s="141"/>
      <c r="O308" s="756"/>
      <c r="P308"/>
    </row>
    <row r="309" spans="1:16" s="10" customFormat="1" ht="18" x14ac:dyDescent="0.25">
      <c r="A309" s="271"/>
      <c r="B309" s="271"/>
      <c r="C309" s="271"/>
      <c r="D309" s="365"/>
      <c r="E309" s="363"/>
      <c r="F309" s="363"/>
      <c r="G309" s="363"/>
      <c r="H309" s="271"/>
      <c r="I309" s="141"/>
      <c r="J309" s="122"/>
      <c r="K309" s="141"/>
      <c r="L309" s="141"/>
      <c r="O309" s="756"/>
      <c r="P309"/>
    </row>
    <row r="310" spans="1:16" s="10" customFormat="1" ht="18" x14ac:dyDescent="0.25">
      <c r="A310" s="271"/>
      <c r="B310" s="271"/>
      <c r="C310" s="271"/>
      <c r="D310" s="365"/>
      <c r="E310" s="363"/>
      <c r="F310" s="363"/>
      <c r="G310" s="363"/>
      <c r="H310" s="271"/>
      <c r="I310" s="141"/>
      <c r="J310" s="122"/>
      <c r="K310" s="141"/>
      <c r="L310" s="141"/>
      <c r="O310" s="756"/>
      <c r="P310"/>
    </row>
    <row r="311" spans="1:16" s="10" customFormat="1" ht="18" x14ac:dyDescent="0.25">
      <c r="A311" s="271"/>
      <c r="B311" s="271"/>
      <c r="C311" s="271"/>
      <c r="D311" s="365"/>
      <c r="E311" s="363"/>
      <c r="F311" s="363"/>
      <c r="G311" s="363"/>
      <c r="H311" s="271"/>
      <c r="I311" s="141"/>
      <c r="J311" s="122"/>
      <c r="K311" s="141"/>
      <c r="L311" s="141"/>
      <c r="O311" s="756"/>
      <c r="P311"/>
    </row>
    <row r="312" spans="1:16" s="10" customFormat="1" ht="18" x14ac:dyDescent="0.25">
      <c r="A312" s="271"/>
      <c r="B312" s="271"/>
      <c r="C312" s="271"/>
      <c r="D312" s="365"/>
      <c r="E312" s="363"/>
      <c r="F312" s="363"/>
      <c r="G312" s="363"/>
      <c r="H312" s="271"/>
      <c r="I312" s="141"/>
      <c r="J312" s="122"/>
      <c r="K312" s="141"/>
      <c r="L312" s="141"/>
      <c r="O312" s="756"/>
      <c r="P312"/>
    </row>
    <row r="313" spans="1:16" s="10" customFormat="1" ht="18" x14ac:dyDescent="0.25">
      <c r="A313" s="271"/>
      <c r="B313" s="271"/>
      <c r="C313" s="271"/>
      <c r="D313" s="365"/>
      <c r="E313" s="363"/>
      <c r="F313" s="363"/>
      <c r="G313" s="363"/>
      <c r="H313" s="271"/>
      <c r="I313" s="141"/>
      <c r="J313" s="122"/>
      <c r="K313" s="141"/>
      <c r="L313" s="141"/>
      <c r="O313" s="756"/>
      <c r="P313"/>
    </row>
    <row r="314" spans="1:16" s="10" customFormat="1" ht="18" x14ac:dyDescent="0.25">
      <c r="A314" s="271"/>
      <c r="B314" s="271"/>
      <c r="C314" s="271"/>
      <c r="D314" s="365"/>
      <c r="E314" s="363"/>
      <c r="F314" s="363"/>
      <c r="G314" s="363"/>
      <c r="H314" s="271"/>
      <c r="I314" s="141"/>
      <c r="J314" s="122"/>
      <c r="K314" s="141"/>
      <c r="L314" s="141"/>
      <c r="O314" s="756"/>
      <c r="P314"/>
    </row>
    <row r="315" spans="1:16" s="10" customFormat="1" ht="18" x14ac:dyDescent="0.25">
      <c r="A315" s="271"/>
      <c r="B315" s="271"/>
      <c r="C315" s="271"/>
      <c r="D315" s="365"/>
      <c r="E315" s="363"/>
      <c r="F315" s="363"/>
      <c r="G315" s="363"/>
      <c r="H315" s="271"/>
      <c r="I315" s="141"/>
      <c r="J315" s="122"/>
      <c r="K315" s="141"/>
      <c r="L315" s="141"/>
      <c r="O315" s="756"/>
      <c r="P315"/>
    </row>
    <row r="316" spans="1:16" s="10" customFormat="1" ht="18" x14ac:dyDescent="0.25">
      <c r="A316" s="271"/>
      <c r="B316" s="271"/>
      <c r="C316" s="271"/>
      <c r="D316" s="365"/>
      <c r="E316" s="363"/>
      <c r="F316" s="363"/>
      <c r="G316" s="363"/>
      <c r="H316" s="271"/>
      <c r="I316" s="141"/>
      <c r="J316" s="122"/>
      <c r="K316" s="141"/>
      <c r="L316" s="141"/>
      <c r="O316" s="756"/>
      <c r="P316"/>
    </row>
    <row r="317" spans="1:16" s="10" customFormat="1" ht="18" x14ac:dyDescent="0.25">
      <c r="A317" s="271"/>
      <c r="B317" s="271"/>
      <c r="C317" s="271"/>
      <c r="D317" s="365"/>
      <c r="E317" s="363"/>
      <c r="F317" s="363"/>
      <c r="G317" s="363"/>
      <c r="H317" s="271"/>
      <c r="I317" s="141"/>
      <c r="J317" s="122"/>
      <c r="K317" s="141"/>
      <c r="L317" s="141"/>
      <c r="O317" s="756"/>
      <c r="P317"/>
    </row>
    <row r="318" spans="1:16" s="10" customFormat="1" ht="18" customHeight="1" x14ac:dyDescent="0.25">
      <c r="A318" s="8" t="s">
        <v>112</v>
      </c>
      <c r="B318" s="8"/>
      <c r="C318" s="8"/>
      <c r="D318" s="9"/>
      <c r="E318" s="8"/>
      <c r="F318" s="8"/>
      <c r="G318" s="8"/>
      <c r="H318" s="8"/>
      <c r="I318" s="4"/>
      <c r="J318" s="5"/>
      <c r="K318" s="4"/>
      <c r="L318" s="4"/>
      <c r="O318" s="756"/>
      <c r="P318"/>
    </row>
    <row r="319" spans="1:16" s="10" customFormat="1" ht="18" customHeight="1" x14ac:dyDescent="0.25">
      <c r="A319" s="8" t="s">
        <v>784</v>
      </c>
      <c r="B319" s="8"/>
      <c r="C319" s="8"/>
      <c r="D319" s="9"/>
      <c r="E319" s="8"/>
      <c r="F319" s="8"/>
      <c r="G319" s="8"/>
      <c r="H319" s="8"/>
      <c r="I319" s="4"/>
      <c r="J319" s="5"/>
      <c r="K319" s="4"/>
      <c r="L319" s="4"/>
      <c r="O319" s="756"/>
      <c r="P319"/>
    </row>
    <row r="320" spans="1:16" ht="18" customHeight="1" x14ac:dyDescent="0.25">
      <c r="A320" s="1636" t="s">
        <v>113</v>
      </c>
      <c r="B320" s="1636"/>
      <c r="C320" s="1636"/>
      <c r="D320" s="1636"/>
      <c r="E320" s="1636"/>
      <c r="F320" s="1636"/>
      <c r="G320" s="1636"/>
      <c r="H320" s="1636"/>
      <c r="I320" s="1636"/>
      <c r="J320" s="1636"/>
      <c r="K320" s="1636"/>
      <c r="L320" s="1636"/>
    </row>
    <row r="321" spans="1:16" s="7" customFormat="1" ht="18" customHeight="1" x14ac:dyDescent="0.25">
      <c r="A321" s="1624" t="s">
        <v>114</v>
      </c>
      <c r="B321" s="1624"/>
      <c r="C321" s="1624"/>
      <c r="D321" s="1624"/>
      <c r="E321" s="1624"/>
      <c r="F321" s="1624"/>
      <c r="G321" s="1624"/>
      <c r="H321" s="1624"/>
      <c r="I321" s="1624"/>
      <c r="J321" s="1624"/>
      <c r="K321" s="1624"/>
      <c r="L321" s="1624"/>
      <c r="M321" s="6"/>
      <c r="N321" s="6"/>
      <c r="O321" s="762"/>
    </row>
    <row r="322" spans="1:16" ht="18.75" thickBot="1" x14ac:dyDescent="0.3">
      <c r="A322" s="41"/>
      <c r="B322" s="41"/>
      <c r="C322" s="41"/>
      <c r="D322" s="63"/>
      <c r="E322" s="41"/>
      <c r="F322" s="41"/>
      <c r="G322" s="41"/>
      <c r="H322" s="41"/>
    </row>
    <row r="323" spans="1:16" ht="63.75" thickBot="1" x14ac:dyDescent="0.3">
      <c r="A323" s="1655" t="s">
        <v>115</v>
      </c>
      <c r="B323" s="1655"/>
      <c r="C323" s="1655"/>
      <c r="D323" s="1655"/>
      <c r="E323" s="1655"/>
      <c r="F323" s="1655"/>
      <c r="G323" s="1655"/>
      <c r="H323" s="93" t="s">
        <v>116</v>
      </c>
      <c r="I323" s="130" t="s">
        <v>117</v>
      </c>
      <c r="J323" s="130" t="s">
        <v>118</v>
      </c>
      <c r="K323" s="130" t="s">
        <v>119</v>
      </c>
      <c r="L323" s="130" t="s">
        <v>120</v>
      </c>
    </row>
    <row r="324" spans="1:16" ht="18.75" thickBot="1" x14ac:dyDescent="0.3">
      <c r="A324" s="1656" t="s">
        <v>785</v>
      </c>
      <c r="B324" s="1657"/>
      <c r="C324" s="1657"/>
      <c r="D324" s="1657"/>
      <c r="E324" s="1657"/>
      <c r="F324" s="1657"/>
      <c r="G324" s="1657"/>
      <c r="H324" s="375"/>
      <c r="I324" s="209"/>
      <c r="J324" s="210"/>
      <c r="K324" s="209"/>
      <c r="L324" s="209"/>
    </row>
    <row r="325" spans="1:16" ht="18" x14ac:dyDescent="0.25">
      <c r="A325" s="667"/>
      <c r="B325" s="651"/>
      <c r="C325" s="651"/>
      <c r="D325" s="1658" t="s">
        <v>786</v>
      </c>
      <c r="E325" s="1658"/>
      <c r="F325" s="1658"/>
      <c r="G325" s="1659"/>
      <c r="H325" s="376"/>
      <c r="I325" s="101"/>
      <c r="J325" s="102"/>
      <c r="K325" s="101"/>
      <c r="L325" s="101"/>
    </row>
    <row r="326" spans="1:16" ht="15" customHeight="1" x14ac:dyDescent="0.25">
      <c r="A326" s="667"/>
      <c r="B326" s="651"/>
      <c r="C326" s="651"/>
      <c r="D326" s="1620" t="s">
        <v>787</v>
      </c>
      <c r="E326" s="1620"/>
      <c r="F326" s="1620"/>
      <c r="G326" s="644"/>
      <c r="H326" s="376"/>
      <c r="I326" s="101"/>
      <c r="J326" s="102"/>
      <c r="K326" s="101"/>
      <c r="L326" s="101"/>
    </row>
    <row r="327" spans="1:16" ht="18" x14ac:dyDescent="0.25">
      <c r="A327" s="667"/>
      <c r="B327" s="651"/>
      <c r="C327" s="651"/>
      <c r="D327" s="1654" t="s">
        <v>788</v>
      </c>
      <c r="E327" s="1654"/>
      <c r="F327" s="1654"/>
      <c r="G327" s="644"/>
      <c r="H327" s="376"/>
      <c r="I327" s="101"/>
      <c r="J327" s="102"/>
      <c r="K327" s="101"/>
      <c r="L327" s="101"/>
    </row>
    <row r="328" spans="1:16" s="191" customFormat="1" ht="18" x14ac:dyDescent="0.25">
      <c r="A328" s="667"/>
      <c r="B328" s="651"/>
      <c r="C328" s="651"/>
      <c r="D328" s="38" t="s">
        <v>789</v>
      </c>
      <c r="E328" s="650"/>
      <c r="F328" s="650"/>
      <c r="G328" s="644"/>
      <c r="H328" s="376" t="s">
        <v>165</v>
      </c>
      <c r="I328" s="101">
        <v>43250</v>
      </c>
      <c r="J328" s="102">
        <v>110000</v>
      </c>
      <c r="K328" s="101"/>
      <c r="L328" s="101">
        <v>40000</v>
      </c>
      <c r="M328" s="10"/>
      <c r="N328" s="10"/>
      <c r="O328" s="756"/>
      <c r="P328"/>
    </row>
    <row r="329" spans="1:16" ht="18" x14ac:dyDescent="0.25">
      <c r="A329" s="649"/>
      <c r="B329" s="650"/>
      <c r="C329" s="650"/>
      <c r="D329" s="679" t="s">
        <v>790</v>
      </c>
      <c r="E329" s="677"/>
      <c r="F329" s="677"/>
      <c r="G329" s="646"/>
      <c r="H329" s="376" t="s">
        <v>167</v>
      </c>
      <c r="I329" s="101"/>
      <c r="J329" s="102"/>
      <c r="K329" s="101"/>
      <c r="L329" s="101">
        <v>10000</v>
      </c>
      <c r="P329" s="191"/>
    </row>
    <row r="330" spans="1:16" ht="18" x14ac:dyDescent="0.25">
      <c r="A330" s="667"/>
      <c r="B330" s="651"/>
      <c r="C330" s="651"/>
      <c r="D330" s="38" t="s">
        <v>791</v>
      </c>
      <c r="E330" s="650"/>
      <c r="F330" s="650"/>
      <c r="G330" s="644"/>
      <c r="H330" s="376" t="s">
        <v>169</v>
      </c>
      <c r="I330" s="101">
        <v>34264.6</v>
      </c>
      <c r="J330" s="102">
        <v>115060</v>
      </c>
      <c r="K330" s="101">
        <v>21333</v>
      </c>
      <c r="L330" s="101">
        <v>79303.5</v>
      </c>
    </row>
    <row r="331" spans="1:16" ht="18" x14ac:dyDescent="0.25">
      <c r="A331" s="667"/>
      <c r="B331" s="651"/>
      <c r="C331" s="651"/>
      <c r="D331" s="38" t="s">
        <v>792</v>
      </c>
      <c r="E331" s="650"/>
      <c r="F331" s="650"/>
      <c r="G331" s="644"/>
      <c r="H331" s="376" t="s">
        <v>171</v>
      </c>
      <c r="I331" s="101"/>
      <c r="J331" s="102"/>
      <c r="K331" s="101"/>
      <c r="L331" s="101">
        <v>43720</v>
      </c>
    </row>
    <row r="332" spans="1:16" ht="18" x14ac:dyDescent="0.25">
      <c r="A332" s="667"/>
      <c r="B332" s="651"/>
      <c r="C332" s="651"/>
      <c r="D332" s="38" t="s">
        <v>793</v>
      </c>
      <c r="E332" s="650"/>
      <c r="F332" s="650"/>
      <c r="G332" s="644"/>
      <c r="H332" s="376" t="s">
        <v>171</v>
      </c>
      <c r="I332" s="101">
        <v>11616</v>
      </c>
      <c r="J332" s="102">
        <v>10440</v>
      </c>
      <c r="K332" s="101"/>
      <c r="L332" s="101"/>
    </row>
    <row r="333" spans="1:16" ht="18" x14ac:dyDescent="0.25">
      <c r="A333" s="667"/>
      <c r="B333" s="651"/>
      <c r="C333" s="651"/>
      <c r="D333" s="38" t="s">
        <v>794</v>
      </c>
      <c r="E333" s="650"/>
      <c r="F333" s="650"/>
      <c r="G333" s="644"/>
      <c r="H333" s="376" t="s">
        <v>383</v>
      </c>
      <c r="I333" s="101"/>
      <c r="J333" s="102"/>
      <c r="K333" s="101"/>
      <c r="L333" s="101">
        <v>4680</v>
      </c>
    </row>
    <row r="334" spans="1:16" ht="18" x14ac:dyDescent="0.25">
      <c r="A334" s="667"/>
      <c r="B334" s="651"/>
      <c r="C334" s="651"/>
      <c r="D334" s="38" t="s">
        <v>795</v>
      </c>
      <c r="E334" s="650"/>
      <c r="F334" s="650"/>
      <c r="G334" s="644"/>
      <c r="H334" s="376" t="s">
        <v>177</v>
      </c>
      <c r="I334" s="101">
        <v>2594</v>
      </c>
      <c r="J334" s="102">
        <v>3000</v>
      </c>
      <c r="K334" s="101"/>
      <c r="L334" s="101">
        <v>4546.5</v>
      </c>
    </row>
    <row r="335" spans="1:16" ht="18" x14ac:dyDescent="0.25">
      <c r="A335" s="667"/>
      <c r="B335" s="651"/>
      <c r="C335" s="651"/>
      <c r="D335" s="38" t="s">
        <v>796</v>
      </c>
      <c r="E335" s="650"/>
      <c r="F335" s="650"/>
      <c r="G335" s="644"/>
      <c r="H335" s="376" t="s">
        <v>183</v>
      </c>
      <c r="I335" s="101">
        <v>28804.36</v>
      </c>
      <c r="J335" s="102">
        <v>35000</v>
      </c>
      <c r="K335" s="101">
        <v>17068.45</v>
      </c>
      <c r="L335" s="101">
        <v>30000</v>
      </c>
    </row>
    <row r="336" spans="1:16" ht="18" x14ac:dyDescent="0.25">
      <c r="A336" s="667"/>
      <c r="B336" s="651"/>
      <c r="C336" s="651"/>
      <c r="D336" s="38" t="s">
        <v>797</v>
      </c>
      <c r="E336" s="650"/>
      <c r="F336" s="650"/>
      <c r="G336" s="644"/>
      <c r="H336" s="376" t="s">
        <v>282</v>
      </c>
      <c r="I336" s="101">
        <v>0</v>
      </c>
      <c r="J336" s="102">
        <v>1500</v>
      </c>
      <c r="K336" s="101"/>
      <c r="L336" s="101">
        <v>1750</v>
      </c>
    </row>
    <row r="337" spans="1:16" ht="18" x14ac:dyDescent="0.25">
      <c r="A337" s="667"/>
      <c r="B337" s="651"/>
      <c r="C337" s="651"/>
      <c r="D337" s="38" t="s">
        <v>798</v>
      </c>
      <c r="E337" s="650"/>
      <c r="F337" s="650"/>
      <c r="G337" s="644"/>
      <c r="H337" s="376" t="s">
        <v>237</v>
      </c>
      <c r="I337" s="101"/>
      <c r="J337" s="102"/>
      <c r="K337" s="101"/>
      <c r="L337" s="105">
        <v>4000</v>
      </c>
    </row>
    <row r="338" spans="1:16" ht="18" x14ac:dyDescent="0.25">
      <c r="A338" s="667"/>
      <c r="B338" s="651"/>
      <c r="C338" s="651"/>
      <c r="D338" s="651" t="s">
        <v>200</v>
      </c>
      <c r="F338" s="650"/>
      <c r="G338" s="644"/>
      <c r="H338" s="376"/>
      <c r="I338" s="150">
        <f>SUM(I328:I337)</f>
        <v>120528.96000000001</v>
      </c>
      <c r="J338" s="150">
        <f>SUM(J328:J337)</f>
        <v>275000</v>
      </c>
      <c r="K338" s="119">
        <f>SUM(K329:K335)</f>
        <v>38401.449999999997</v>
      </c>
      <c r="L338" s="119">
        <f>SUM(L328:L337)</f>
        <v>218000</v>
      </c>
    </row>
    <row r="339" spans="1:16" ht="18" x14ac:dyDescent="0.25">
      <c r="A339" s="667"/>
      <c r="B339" s="651"/>
      <c r="C339" s="651"/>
      <c r="D339" s="38"/>
      <c r="E339" s="651"/>
      <c r="F339" s="650"/>
      <c r="G339" s="651"/>
      <c r="H339" s="377"/>
      <c r="I339" s="155"/>
      <c r="J339" s="156"/>
      <c r="K339" s="155"/>
      <c r="L339" s="155"/>
    </row>
    <row r="340" spans="1:16" ht="18" x14ac:dyDescent="0.25">
      <c r="A340" s="667"/>
      <c r="B340" s="651"/>
      <c r="C340" s="651"/>
      <c r="D340" s="1620" t="s">
        <v>799</v>
      </c>
      <c r="E340" s="1620"/>
      <c r="F340" s="1620"/>
      <c r="G340" s="1620"/>
      <c r="H340" s="1621"/>
      <c r="I340" s="101"/>
      <c r="J340" s="102"/>
      <c r="K340" s="101"/>
      <c r="L340" s="101"/>
    </row>
    <row r="341" spans="1:16" ht="18" x14ac:dyDescent="0.25">
      <c r="A341" s="667"/>
      <c r="B341" s="651"/>
      <c r="C341" s="651"/>
      <c r="D341" s="38" t="s">
        <v>800</v>
      </c>
      <c r="E341" s="651"/>
      <c r="F341" s="651"/>
      <c r="G341" s="644"/>
      <c r="H341" s="376"/>
      <c r="I341" s="101"/>
      <c r="J341" s="102">
        <v>15000</v>
      </c>
      <c r="K341" s="101"/>
      <c r="L341" s="101"/>
    </row>
    <row r="342" spans="1:16" ht="18" x14ac:dyDescent="0.25">
      <c r="A342" s="667"/>
      <c r="B342" s="651"/>
      <c r="C342" s="651"/>
      <c r="D342" s="38" t="s">
        <v>801</v>
      </c>
      <c r="E342" s="651"/>
      <c r="F342" s="651"/>
      <c r="G342" s="644"/>
      <c r="H342" s="376"/>
      <c r="I342" s="105"/>
      <c r="J342" s="106">
        <v>60000</v>
      </c>
      <c r="K342" s="105"/>
      <c r="L342" s="105">
        <v>30000</v>
      </c>
    </row>
    <row r="343" spans="1:16" ht="18.75" thickBot="1" x14ac:dyDescent="0.3">
      <c r="A343" s="667"/>
      <c r="B343" s="651"/>
      <c r="C343" s="651"/>
      <c r="D343" s="651" t="s">
        <v>200</v>
      </c>
      <c r="F343" s="651"/>
      <c r="G343" s="644"/>
      <c r="H343" s="378"/>
      <c r="I343" s="156">
        <f>SUM(I341:I342)</f>
        <v>0</v>
      </c>
      <c r="J343" s="156">
        <f>SUM(J341:J342)</f>
        <v>75000</v>
      </c>
      <c r="K343" s="155"/>
      <c r="L343" s="155">
        <f>SUM(L341:L342)</f>
        <v>30000</v>
      </c>
    </row>
    <row r="344" spans="1:16" ht="16.5" customHeight="1" x14ac:dyDescent="0.25">
      <c r="A344" s="667"/>
      <c r="B344" s="651"/>
      <c r="C344" s="651"/>
      <c r="D344" s="651" t="s">
        <v>208</v>
      </c>
      <c r="F344" s="651"/>
      <c r="G344" s="644"/>
      <c r="H344" s="376"/>
      <c r="I344" s="119">
        <f>I343+I338</f>
        <v>120528.96000000001</v>
      </c>
      <c r="J344" s="150">
        <f>J343+J338</f>
        <v>350000</v>
      </c>
      <c r="K344" s="119">
        <f>K343+K338</f>
        <v>38401.449999999997</v>
      </c>
      <c r="L344" s="119">
        <f>L343+L338</f>
        <v>248000</v>
      </c>
      <c r="M344" s="10">
        <v>248000</v>
      </c>
    </row>
    <row r="345" spans="1:16" ht="16.5" customHeight="1" x14ac:dyDescent="0.25">
      <c r="A345" s="667"/>
      <c r="B345" s="651"/>
      <c r="C345" s="651"/>
      <c r="D345" s="641"/>
      <c r="E345" s="651"/>
      <c r="F345" s="651"/>
      <c r="G345" s="644"/>
      <c r="H345" s="376"/>
      <c r="I345" s="155"/>
      <c r="J345" s="156"/>
      <c r="K345" s="155"/>
      <c r="L345" s="155"/>
    </row>
    <row r="346" spans="1:16" ht="18" x14ac:dyDescent="0.25">
      <c r="A346" s="667"/>
      <c r="B346" s="651"/>
      <c r="C346" s="651"/>
      <c r="D346" s="1620" t="s">
        <v>802</v>
      </c>
      <c r="E346" s="1620"/>
      <c r="F346" s="1620"/>
      <c r="G346" s="644"/>
      <c r="H346" s="376"/>
      <c r="I346" s="101"/>
      <c r="J346" s="102"/>
      <c r="K346" s="101"/>
      <c r="L346" s="101"/>
    </row>
    <row r="347" spans="1:16" ht="18" x14ac:dyDescent="0.25">
      <c r="A347" s="667"/>
      <c r="B347" s="651"/>
      <c r="C347" s="651"/>
      <c r="D347" s="1620" t="s">
        <v>803</v>
      </c>
      <c r="E347" s="1620"/>
      <c r="F347" s="1620"/>
      <c r="G347" s="644"/>
      <c r="H347" s="376"/>
      <c r="I347" s="101"/>
      <c r="J347" s="102"/>
      <c r="K347" s="101"/>
      <c r="L347" s="101"/>
    </row>
    <row r="348" spans="1:16" s="146" customFormat="1" ht="18" x14ac:dyDescent="0.25">
      <c r="A348" s="667"/>
      <c r="B348" s="651"/>
      <c r="C348" s="651"/>
      <c r="D348" s="1654" t="s">
        <v>788</v>
      </c>
      <c r="E348" s="1654"/>
      <c r="F348" s="1654"/>
      <c r="G348" s="644"/>
      <c r="H348" s="376"/>
      <c r="I348" s="101"/>
      <c r="J348" s="102"/>
      <c r="K348" s="101"/>
      <c r="L348" s="101"/>
      <c r="M348" s="10"/>
      <c r="N348" s="10"/>
      <c r="O348" s="756"/>
      <c r="P348"/>
    </row>
    <row r="349" spans="1:16" s="229" customFormat="1" ht="18" x14ac:dyDescent="0.25">
      <c r="A349" s="211"/>
      <c r="B349" s="124"/>
      <c r="C349" s="124"/>
      <c r="D349" s="44" t="s">
        <v>804</v>
      </c>
      <c r="E349" s="125"/>
      <c r="F349" s="125"/>
      <c r="G349" s="134"/>
      <c r="H349" s="100" t="s">
        <v>165</v>
      </c>
      <c r="I349" s="101">
        <v>14111.08</v>
      </c>
      <c r="J349" s="102">
        <v>75000</v>
      </c>
      <c r="K349" s="101"/>
      <c r="L349" s="101">
        <v>112000</v>
      </c>
      <c r="M349" s="207"/>
      <c r="N349" s="207"/>
      <c r="O349" s="764"/>
      <c r="P349" s="212"/>
    </row>
    <row r="350" spans="1:16" s="229" customFormat="1" ht="18" customHeight="1" x14ac:dyDescent="0.25">
      <c r="A350" s="211"/>
      <c r="B350" s="124"/>
      <c r="C350" s="124"/>
      <c r="D350" s="679" t="s">
        <v>805</v>
      </c>
      <c r="E350" s="677"/>
      <c r="F350" s="677"/>
      <c r="G350" s="230"/>
      <c r="H350" s="100" t="s">
        <v>167</v>
      </c>
      <c r="I350" s="101">
        <v>0</v>
      </c>
      <c r="J350" s="102">
        <v>50000</v>
      </c>
      <c r="K350" s="101"/>
      <c r="L350" s="250"/>
      <c r="M350" s="207"/>
      <c r="N350" s="207"/>
      <c r="O350" s="764"/>
      <c r="P350" s="212"/>
    </row>
    <row r="351" spans="1:16" s="229" customFormat="1" ht="18" customHeight="1" x14ac:dyDescent="0.25">
      <c r="A351" s="211"/>
      <c r="B351" s="124"/>
      <c r="C351" s="124"/>
      <c r="D351" s="44" t="s">
        <v>806</v>
      </c>
      <c r="E351" s="125"/>
      <c r="F351" s="125"/>
      <c r="G351" s="134"/>
      <c r="H351" s="100" t="s">
        <v>169</v>
      </c>
      <c r="I351" s="101">
        <v>3360</v>
      </c>
      <c r="J351" s="102">
        <v>15000</v>
      </c>
      <c r="K351" s="101"/>
      <c r="L351" s="101">
        <v>5000</v>
      </c>
      <c r="M351" s="207"/>
      <c r="N351" s="207"/>
      <c r="O351" s="764"/>
      <c r="P351" s="212"/>
    </row>
    <row r="352" spans="1:16" s="229" customFormat="1" ht="18" customHeight="1" x14ac:dyDescent="0.25">
      <c r="A352" s="211"/>
      <c r="B352" s="124"/>
      <c r="C352" s="124"/>
      <c r="D352" s="44" t="s">
        <v>807</v>
      </c>
      <c r="E352" s="125"/>
      <c r="F352" s="125"/>
      <c r="G352" s="134"/>
      <c r="H352" s="100" t="s">
        <v>183</v>
      </c>
      <c r="I352" s="101">
        <v>0</v>
      </c>
      <c r="J352" s="102">
        <v>21600</v>
      </c>
      <c r="K352" s="101">
        <v>7939.1</v>
      </c>
      <c r="L352" s="101">
        <v>21600</v>
      </c>
      <c r="M352" s="207"/>
      <c r="N352" s="207"/>
      <c r="O352" s="764"/>
      <c r="P352" s="212"/>
    </row>
    <row r="353" spans="1:16" s="229" customFormat="1" ht="18" customHeight="1" x14ac:dyDescent="0.25">
      <c r="A353" s="211"/>
      <c r="B353" s="124"/>
      <c r="C353" s="124"/>
      <c r="D353" s="44" t="s">
        <v>808</v>
      </c>
      <c r="E353" s="125"/>
      <c r="F353" s="125"/>
      <c r="G353" s="134"/>
      <c r="H353" s="100" t="s">
        <v>199</v>
      </c>
      <c r="I353" s="101">
        <v>60000</v>
      </c>
      <c r="J353" s="102">
        <v>60000</v>
      </c>
      <c r="K353" s="101">
        <v>30000</v>
      </c>
      <c r="L353" s="105">
        <v>60000</v>
      </c>
      <c r="M353" s="207"/>
      <c r="N353" s="207"/>
      <c r="O353" s="764"/>
      <c r="P353" s="212"/>
    </row>
    <row r="354" spans="1:16" s="146" customFormat="1" ht="18" x14ac:dyDescent="0.25">
      <c r="A354" s="667"/>
      <c r="B354" s="651"/>
      <c r="C354" s="651"/>
      <c r="D354" s="651" t="s">
        <v>200</v>
      </c>
      <c r="F354" s="650"/>
      <c r="G354" s="646"/>
      <c r="H354" s="100"/>
      <c r="I354" s="119">
        <f>SUM(I349:I353)</f>
        <v>77471.08</v>
      </c>
      <c r="J354" s="150">
        <f>SUM(J349:J353)</f>
        <v>221600</v>
      </c>
      <c r="K354" s="119">
        <f>SUM(K349:K353)</f>
        <v>37939.1</v>
      </c>
      <c r="L354" s="119">
        <f>SUM(L349:L353)</f>
        <v>198600</v>
      </c>
      <c r="M354" s="10"/>
      <c r="N354" s="10"/>
      <c r="O354" s="756"/>
      <c r="P354"/>
    </row>
    <row r="355" spans="1:16" s="146" customFormat="1" ht="18" x14ac:dyDescent="0.25">
      <c r="A355" s="667"/>
      <c r="B355" s="651"/>
      <c r="C355" s="651"/>
      <c r="D355" s="639"/>
      <c r="E355" s="651"/>
      <c r="F355" s="650"/>
      <c r="G355" s="646"/>
      <c r="H355" s="100"/>
      <c r="I355" s="155"/>
      <c r="J355" s="156"/>
      <c r="K355" s="155"/>
      <c r="L355" s="155"/>
      <c r="M355" s="10"/>
      <c r="N355" s="10"/>
      <c r="O355" s="756"/>
      <c r="P355"/>
    </row>
    <row r="356" spans="1:16" s="146" customFormat="1" ht="18" customHeight="1" x14ac:dyDescent="0.25">
      <c r="A356" s="667"/>
      <c r="B356" s="651"/>
      <c r="C356" s="651"/>
      <c r="D356" s="36" t="s">
        <v>799</v>
      </c>
      <c r="E356" s="651"/>
      <c r="F356" s="651"/>
      <c r="G356" s="644"/>
      <c r="H356" s="376"/>
      <c r="I356" s="101"/>
      <c r="J356" s="102"/>
      <c r="K356" s="101"/>
      <c r="L356" s="101"/>
      <c r="M356" s="10"/>
      <c r="N356" s="10"/>
      <c r="O356" s="756"/>
      <c r="P356"/>
    </row>
    <row r="357" spans="1:16" s="146" customFormat="1" ht="18" customHeight="1" x14ac:dyDescent="0.25">
      <c r="A357" s="667"/>
      <c r="B357" s="651"/>
      <c r="C357" s="651"/>
      <c r="D357" s="38" t="s">
        <v>809</v>
      </c>
      <c r="E357" s="651"/>
      <c r="F357" s="651"/>
      <c r="G357" s="644"/>
      <c r="H357" s="376"/>
      <c r="I357" s="101"/>
      <c r="J357" s="102"/>
      <c r="K357" s="101"/>
      <c r="L357" s="101">
        <v>75000</v>
      </c>
      <c r="M357" s="10"/>
      <c r="N357" s="10"/>
      <c r="O357" s="756"/>
      <c r="P357"/>
    </row>
    <row r="358" spans="1:16" s="146" customFormat="1" ht="18" customHeight="1" x14ac:dyDescent="0.25">
      <c r="A358" s="667"/>
      <c r="B358" s="651"/>
      <c r="C358" s="651"/>
      <c r="D358" s="38" t="s">
        <v>810</v>
      </c>
      <c r="E358" s="651"/>
      <c r="F358" s="651"/>
      <c r="G358" s="644"/>
      <c r="H358" s="376"/>
      <c r="I358" s="101"/>
      <c r="J358" s="102"/>
      <c r="K358" s="101"/>
      <c r="L358" s="101">
        <v>14000</v>
      </c>
      <c r="M358" s="10"/>
      <c r="N358" s="10"/>
      <c r="O358" s="756"/>
      <c r="P358"/>
    </row>
    <row r="359" spans="1:16" s="146" customFormat="1" ht="18" x14ac:dyDescent="0.25">
      <c r="A359" s="667"/>
      <c r="B359" s="651"/>
      <c r="C359" s="651"/>
      <c r="D359" s="1611" t="s">
        <v>811</v>
      </c>
      <c r="E359" s="1611"/>
      <c r="F359" s="1611"/>
      <c r="G359" s="644"/>
      <c r="H359" s="376"/>
      <c r="I359" s="105">
        <v>0</v>
      </c>
      <c r="J359" s="106">
        <v>15000</v>
      </c>
      <c r="K359" s="105"/>
      <c r="L359" s="105"/>
      <c r="M359" s="10"/>
      <c r="N359" s="10"/>
      <c r="O359" s="756"/>
      <c r="P359"/>
    </row>
    <row r="360" spans="1:16" s="146" customFormat="1" ht="18.75" thickBot="1" x14ac:dyDescent="0.3">
      <c r="A360" s="667"/>
      <c r="B360" s="651"/>
      <c r="C360" s="651"/>
      <c r="D360" s="651" t="s">
        <v>200</v>
      </c>
      <c r="F360" s="651"/>
      <c r="G360" s="644"/>
      <c r="H360" s="378"/>
      <c r="I360" s="182">
        <f>SUM(I359)</f>
        <v>0</v>
      </c>
      <c r="J360" s="183">
        <f>SUM(J359)</f>
        <v>15000</v>
      </c>
      <c r="K360" s="182">
        <f>SUM(K359)</f>
        <v>0</v>
      </c>
      <c r="L360" s="182">
        <f>SUM(L357:L359)</f>
        <v>89000</v>
      </c>
      <c r="M360" s="10"/>
      <c r="N360" s="10"/>
      <c r="O360" s="756"/>
      <c r="P360"/>
    </row>
    <row r="361" spans="1:16" s="146" customFormat="1" ht="18" customHeight="1" x14ac:dyDescent="0.25">
      <c r="A361" s="667"/>
      <c r="B361" s="651"/>
      <c r="C361" s="651"/>
      <c r="D361" s="651" t="s">
        <v>208</v>
      </c>
      <c r="F361" s="651"/>
      <c r="G361" s="644"/>
      <c r="H361" s="376"/>
      <c r="I361" s="155">
        <f>I360+I354</f>
        <v>77471.08</v>
      </c>
      <c r="J361" s="156">
        <f>J360+J354</f>
        <v>236600</v>
      </c>
      <c r="K361" s="155">
        <f>K360+K354</f>
        <v>37939.1</v>
      </c>
      <c r="L361" s="155">
        <f>L360+L354</f>
        <v>287600</v>
      </c>
      <c r="M361" s="10">
        <v>287600</v>
      </c>
      <c r="N361" s="10"/>
      <c r="O361" s="756"/>
      <c r="P361"/>
    </row>
    <row r="362" spans="1:16" s="146" customFormat="1" ht="18" customHeight="1" x14ac:dyDescent="0.25">
      <c r="A362" s="667"/>
      <c r="B362" s="651"/>
      <c r="C362" s="651"/>
      <c r="D362" s="641"/>
      <c r="E362" s="651"/>
      <c r="F362" s="651"/>
      <c r="G362" s="644"/>
      <c r="H362" s="376"/>
      <c r="I362" s="155"/>
      <c r="J362" s="156"/>
      <c r="K362" s="155"/>
      <c r="L362" s="155"/>
      <c r="M362" s="10"/>
      <c r="N362" s="10"/>
      <c r="O362" s="756"/>
      <c r="P362"/>
    </row>
    <row r="363" spans="1:16" s="146" customFormat="1" ht="18" x14ac:dyDescent="0.25">
      <c r="A363" s="649"/>
      <c r="B363" s="650"/>
      <c r="C363" s="650"/>
      <c r="D363" s="1620" t="s">
        <v>812</v>
      </c>
      <c r="E363" s="1620"/>
      <c r="F363" s="1620"/>
      <c r="G363" s="1621"/>
      <c r="H363" s="100"/>
      <c r="I363" s="101"/>
      <c r="J363" s="102"/>
      <c r="K363" s="101"/>
      <c r="L363" s="101"/>
      <c r="M363" s="10"/>
      <c r="N363" s="10"/>
      <c r="O363" s="756"/>
      <c r="P363"/>
    </row>
    <row r="364" spans="1:16" s="146" customFormat="1" ht="18" x14ac:dyDescent="0.25">
      <c r="A364" s="649"/>
      <c r="B364" s="650"/>
      <c r="C364" s="650"/>
      <c r="D364" s="1620" t="s">
        <v>813</v>
      </c>
      <c r="E364" s="1620"/>
      <c r="F364" s="1620"/>
      <c r="G364" s="1621"/>
      <c r="H364" s="100"/>
      <c r="I364" s="101"/>
      <c r="J364" s="102"/>
      <c r="K364" s="101"/>
      <c r="L364" s="101"/>
      <c r="M364" s="10"/>
      <c r="N364" s="10"/>
      <c r="O364" s="756"/>
      <c r="P364"/>
    </row>
    <row r="365" spans="1:16" s="146" customFormat="1" ht="18" x14ac:dyDescent="0.25">
      <c r="A365" s="649"/>
      <c r="B365" s="650"/>
      <c r="C365" s="650"/>
      <c r="D365" s="656" t="s">
        <v>805</v>
      </c>
      <c r="E365" s="651"/>
      <c r="F365" s="651"/>
      <c r="G365" s="644"/>
      <c r="H365" s="100"/>
      <c r="I365" s="101">
        <v>0</v>
      </c>
      <c r="J365" s="102">
        <v>50000</v>
      </c>
      <c r="K365" s="101"/>
      <c r="L365" s="101">
        <v>60000</v>
      </c>
      <c r="M365" s="10"/>
      <c r="N365" s="10"/>
      <c r="O365" s="756"/>
      <c r="P365"/>
    </row>
    <row r="366" spans="1:16" s="146" customFormat="1" ht="18" x14ac:dyDescent="0.25">
      <c r="A366" s="649"/>
      <c r="B366" s="650"/>
      <c r="C366" s="650"/>
      <c r="D366" s="1602" t="s">
        <v>804</v>
      </c>
      <c r="E366" s="1603"/>
      <c r="F366" s="1603"/>
      <c r="G366" s="1603"/>
      <c r="H366" s="100" t="s">
        <v>165</v>
      </c>
      <c r="I366" s="101">
        <v>17710.080000000002</v>
      </c>
      <c r="J366" s="102">
        <v>61000</v>
      </c>
      <c r="K366" s="101"/>
      <c r="L366" s="250">
        <v>65000</v>
      </c>
      <c r="M366" s="10"/>
      <c r="N366" s="10"/>
      <c r="O366" s="756"/>
      <c r="P366"/>
    </row>
    <row r="367" spans="1:16" s="146" customFormat="1" ht="18" x14ac:dyDescent="0.25">
      <c r="A367" s="649"/>
      <c r="B367" s="650"/>
      <c r="C367" s="650"/>
      <c r="D367" s="656" t="s">
        <v>814</v>
      </c>
      <c r="E367" s="646"/>
      <c r="F367" s="647"/>
      <c r="G367" s="647"/>
      <c r="H367" s="100"/>
      <c r="I367" s="101"/>
      <c r="J367" s="111"/>
      <c r="K367" s="112"/>
      <c r="L367" s="101"/>
      <c r="M367" s="10"/>
      <c r="N367" s="10"/>
      <c r="O367" s="756"/>
      <c r="P367"/>
    </row>
    <row r="368" spans="1:16" s="146" customFormat="1" ht="18" x14ac:dyDescent="0.25">
      <c r="A368" s="649"/>
      <c r="B368" s="650"/>
      <c r="C368" s="650"/>
      <c r="D368" s="1611" t="s">
        <v>815</v>
      </c>
      <c r="E368" s="1602"/>
      <c r="F368" s="647"/>
      <c r="G368" s="647"/>
      <c r="H368" s="100"/>
      <c r="I368" s="101"/>
      <c r="J368" s="111"/>
      <c r="K368" s="112"/>
      <c r="L368" s="101"/>
      <c r="M368" s="10"/>
      <c r="N368" s="10"/>
      <c r="O368" s="756"/>
      <c r="P368"/>
    </row>
    <row r="369" spans="1:16" s="146" customFormat="1" ht="18" x14ac:dyDescent="0.25">
      <c r="A369" s="649"/>
      <c r="B369" s="650"/>
      <c r="C369" s="650"/>
      <c r="D369" s="1602" t="s">
        <v>806</v>
      </c>
      <c r="E369" s="1603"/>
      <c r="F369" s="1603"/>
      <c r="G369" s="1603"/>
      <c r="H369" s="100" t="s">
        <v>169</v>
      </c>
      <c r="I369" s="101">
        <v>0</v>
      </c>
      <c r="J369" s="111">
        <v>2000</v>
      </c>
      <c r="K369" s="112"/>
      <c r="L369" s="101">
        <v>4000</v>
      </c>
      <c r="M369" s="10"/>
      <c r="N369" s="10"/>
      <c r="O369" s="756"/>
      <c r="P369"/>
    </row>
    <row r="370" spans="1:16" s="146" customFormat="1" ht="18" x14ac:dyDescent="0.25">
      <c r="A370" s="649"/>
      <c r="B370" s="650"/>
      <c r="C370" s="650"/>
      <c r="D370" s="656" t="s">
        <v>816</v>
      </c>
      <c r="E370" s="646"/>
      <c r="F370" s="647"/>
      <c r="G370" s="647"/>
      <c r="H370" s="100"/>
      <c r="I370" s="101"/>
      <c r="J370" s="111"/>
      <c r="K370" s="112"/>
      <c r="L370" s="101"/>
      <c r="M370" s="10"/>
      <c r="N370" s="10"/>
      <c r="O370" s="756"/>
      <c r="P370"/>
    </row>
    <row r="371" spans="1:16" s="146" customFormat="1" ht="18" x14ac:dyDescent="0.25">
      <c r="A371" s="649"/>
      <c r="B371" s="650"/>
      <c r="C371" s="650"/>
      <c r="D371" s="1602" t="s">
        <v>808</v>
      </c>
      <c r="E371" s="1603"/>
      <c r="F371" s="1603"/>
      <c r="G371" s="1603"/>
      <c r="H371" s="100" t="s">
        <v>199</v>
      </c>
      <c r="I371" s="105">
        <v>102000</v>
      </c>
      <c r="J371" s="106">
        <v>142000</v>
      </c>
      <c r="K371" s="105">
        <v>51000</v>
      </c>
      <c r="L371" s="105">
        <v>150000</v>
      </c>
      <c r="M371" s="10"/>
      <c r="N371" s="10"/>
      <c r="O371" s="756"/>
      <c r="P371"/>
    </row>
    <row r="372" spans="1:16" s="146" customFormat="1" ht="15.75" customHeight="1" thickBot="1" x14ac:dyDescent="0.3">
      <c r="A372" s="649"/>
      <c r="B372" s="650"/>
      <c r="C372" s="650"/>
      <c r="D372" s="651" t="s">
        <v>15</v>
      </c>
      <c r="F372" s="650"/>
      <c r="G372" s="646"/>
      <c r="H372" s="308"/>
      <c r="I372" s="182">
        <f>SUM(I365:I371)</f>
        <v>119710.08</v>
      </c>
      <c r="J372" s="183">
        <f>SUM(J365:J371)</f>
        <v>255000</v>
      </c>
      <c r="K372" s="182">
        <f>SUM(K365:K371)</f>
        <v>51000</v>
      </c>
      <c r="L372" s="182">
        <f>SUM(L365:L371)</f>
        <v>279000</v>
      </c>
      <c r="M372" s="10">
        <v>279000</v>
      </c>
      <c r="N372" s="10"/>
      <c r="O372" s="756"/>
      <c r="P372"/>
    </row>
    <row r="373" spans="1:16" s="146" customFormat="1" ht="13.5" customHeight="1" x14ac:dyDescent="0.25">
      <c r="A373" s="649"/>
      <c r="B373" s="650"/>
      <c r="C373" s="650"/>
      <c r="D373" s="639"/>
      <c r="E373" s="651"/>
      <c r="F373" s="650"/>
      <c r="G373" s="646"/>
      <c r="H373" s="100"/>
      <c r="I373" s="155"/>
      <c r="J373" s="156"/>
      <c r="K373" s="155"/>
      <c r="L373" s="155"/>
      <c r="M373" s="10"/>
      <c r="N373" s="10"/>
      <c r="O373" s="756"/>
      <c r="P373"/>
    </row>
    <row r="374" spans="1:16" s="146" customFormat="1" ht="18" x14ac:dyDescent="0.25">
      <c r="A374" s="649"/>
      <c r="B374" s="650"/>
      <c r="C374" s="650"/>
      <c r="D374" s="1620" t="s">
        <v>818</v>
      </c>
      <c r="E374" s="1620"/>
      <c r="F374" s="1620"/>
      <c r="G374" s="1621"/>
      <c r="H374" s="100"/>
      <c r="I374" s="101"/>
      <c r="J374" s="102"/>
      <c r="K374" s="101"/>
      <c r="L374" s="101"/>
      <c r="M374" s="10"/>
      <c r="N374" s="10"/>
      <c r="O374" s="756"/>
      <c r="P374"/>
    </row>
    <row r="375" spans="1:16" s="146" customFormat="1" ht="18" x14ac:dyDescent="0.25">
      <c r="A375" s="649"/>
      <c r="B375" s="650"/>
      <c r="C375" s="650"/>
      <c r="D375" s="1620" t="s">
        <v>813</v>
      </c>
      <c r="E375" s="1620"/>
      <c r="F375" s="1620"/>
      <c r="G375" s="1621"/>
      <c r="H375" s="100"/>
      <c r="I375" s="101"/>
      <c r="J375" s="102"/>
      <c r="K375" s="101"/>
      <c r="L375" s="101"/>
      <c r="M375" s="10"/>
      <c r="N375" s="10"/>
      <c r="O375" s="756"/>
      <c r="P375"/>
    </row>
    <row r="376" spans="1:16" s="229" customFormat="1" ht="18" x14ac:dyDescent="0.25">
      <c r="A376" s="154"/>
      <c r="B376" s="654"/>
      <c r="C376" s="654"/>
      <c r="D376" s="44" t="s">
        <v>804</v>
      </c>
      <c r="E376" s="125"/>
      <c r="F376" s="125"/>
      <c r="G376" s="134"/>
      <c r="H376" s="100" t="s">
        <v>165</v>
      </c>
      <c r="I376" s="101">
        <v>13171.92</v>
      </c>
      <c r="J376" s="102">
        <v>50000</v>
      </c>
      <c r="K376" s="101"/>
      <c r="L376" s="101"/>
      <c r="M376" s="207"/>
      <c r="N376" s="207"/>
      <c r="O376" s="764"/>
      <c r="P376" s="212"/>
    </row>
    <row r="377" spans="1:16" s="229" customFormat="1" ht="18" customHeight="1" x14ac:dyDescent="0.25">
      <c r="A377" s="154"/>
      <c r="B377" s="654"/>
      <c r="C377" s="654"/>
      <c r="D377" s="656" t="s">
        <v>819</v>
      </c>
      <c r="E377" s="124"/>
      <c r="F377" s="124"/>
      <c r="G377" s="230"/>
      <c r="H377" s="100" t="s">
        <v>167</v>
      </c>
      <c r="I377" s="101">
        <v>0</v>
      </c>
      <c r="J377" s="102">
        <v>50000</v>
      </c>
      <c r="K377" s="112"/>
      <c r="L377" s="101">
        <v>65000</v>
      </c>
      <c r="M377" s="207"/>
      <c r="N377" s="207"/>
      <c r="O377" s="764"/>
      <c r="P377" s="212"/>
    </row>
    <row r="378" spans="1:16" s="229" customFormat="1" ht="18" x14ac:dyDescent="0.25">
      <c r="A378" s="154"/>
      <c r="B378" s="654"/>
      <c r="C378" s="654"/>
      <c r="D378" s="656" t="s">
        <v>820</v>
      </c>
      <c r="E378" s="654"/>
      <c r="F378" s="654"/>
      <c r="G378" s="655"/>
      <c r="H378" s="100" t="s">
        <v>169</v>
      </c>
      <c r="I378" s="101">
        <v>0</v>
      </c>
      <c r="J378" s="102">
        <v>45476</v>
      </c>
      <c r="K378" s="112">
        <v>29606</v>
      </c>
      <c r="L378" s="101">
        <v>29148</v>
      </c>
      <c r="M378" s="207"/>
      <c r="N378" s="207"/>
      <c r="O378" s="764"/>
      <c r="P378" s="212"/>
    </row>
    <row r="379" spans="1:16" s="229" customFormat="1" ht="18" x14ac:dyDescent="0.25">
      <c r="A379" s="154"/>
      <c r="B379" s="654"/>
      <c r="C379" s="654"/>
      <c r="D379" s="656" t="s">
        <v>821</v>
      </c>
      <c r="E379" s="654"/>
      <c r="F379" s="654"/>
      <c r="G379" s="655"/>
      <c r="H379" s="100" t="s">
        <v>171</v>
      </c>
      <c r="I379" s="101">
        <v>0</v>
      </c>
      <c r="J379" s="102">
        <v>40880</v>
      </c>
      <c r="K379" s="112"/>
      <c r="L379" s="101">
        <v>18155</v>
      </c>
      <c r="M379" s="207"/>
      <c r="N379" s="207"/>
      <c r="O379" s="764"/>
      <c r="P379" s="212"/>
    </row>
    <row r="380" spans="1:16" s="229" customFormat="1" ht="18" x14ac:dyDescent="0.25">
      <c r="A380" s="154"/>
      <c r="B380" s="654"/>
      <c r="C380" s="654"/>
      <c r="D380" s="656" t="s">
        <v>822</v>
      </c>
      <c r="E380" s="654"/>
      <c r="F380" s="654"/>
      <c r="G380" s="655"/>
      <c r="H380" s="100" t="s">
        <v>183</v>
      </c>
      <c r="I380" s="101">
        <v>0</v>
      </c>
      <c r="J380" s="102">
        <v>24000</v>
      </c>
      <c r="K380" s="112">
        <v>10192.1</v>
      </c>
      <c r="L380" s="101">
        <v>36000</v>
      </c>
      <c r="M380" s="207"/>
      <c r="N380" s="207"/>
      <c r="O380" s="764"/>
      <c r="P380" s="212"/>
    </row>
    <row r="381" spans="1:16" s="229" customFormat="1" ht="18" x14ac:dyDescent="0.25">
      <c r="A381" s="154"/>
      <c r="B381" s="654"/>
      <c r="C381" s="654"/>
      <c r="D381" s="44" t="s">
        <v>808</v>
      </c>
      <c r="E381" s="125"/>
      <c r="F381" s="125"/>
      <c r="G381" s="134"/>
      <c r="H381" s="100" t="s">
        <v>199</v>
      </c>
      <c r="I381" s="101">
        <v>95000</v>
      </c>
      <c r="J381" s="102">
        <v>102000</v>
      </c>
      <c r="K381" s="112">
        <v>51000</v>
      </c>
      <c r="L381" s="101">
        <v>102000</v>
      </c>
      <c r="M381" s="207"/>
      <c r="N381" s="207"/>
      <c r="O381" s="764"/>
      <c r="P381" s="212"/>
    </row>
    <row r="382" spans="1:16" s="229" customFormat="1" ht="18" customHeight="1" x14ac:dyDescent="0.25">
      <c r="A382" s="154"/>
      <c r="B382" s="654"/>
      <c r="C382" s="654"/>
      <c r="D382" s="656"/>
      <c r="E382" s="654"/>
      <c r="F382" s="654"/>
      <c r="G382" s="655"/>
      <c r="H382" s="100"/>
      <c r="I382" s="101"/>
      <c r="J382" s="102"/>
      <c r="K382" s="112"/>
      <c r="L382" s="105"/>
      <c r="M382" s="207"/>
      <c r="N382" s="207"/>
      <c r="O382" s="764"/>
      <c r="P382" s="212"/>
    </row>
    <row r="383" spans="1:16" s="146" customFormat="1" ht="18" x14ac:dyDescent="0.25">
      <c r="A383" s="649"/>
      <c r="B383" s="650"/>
      <c r="C383" s="650"/>
      <c r="D383" s="641" t="s">
        <v>823</v>
      </c>
      <c r="E383" s="650"/>
      <c r="F383" s="650"/>
      <c r="G383" s="646"/>
      <c r="H383" s="100"/>
      <c r="I383" s="119">
        <f>SUM(I376:I382)</f>
        <v>108171.92</v>
      </c>
      <c r="J383" s="150">
        <f>SUM(J376:J382)</f>
        <v>312356</v>
      </c>
      <c r="K383" s="119">
        <f>SUM(K376:K382)</f>
        <v>90798.1</v>
      </c>
      <c r="L383" s="119">
        <f>SUM(L376:L382)</f>
        <v>250303</v>
      </c>
      <c r="M383" s="10"/>
      <c r="N383" s="10"/>
      <c r="O383" s="756"/>
      <c r="P383"/>
    </row>
    <row r="384" spans="1:16" ht="18.75" thickBot="1" x14ac:dyDescent="0.3">
      <c r="A384" s="683"/>
      <c r="B384" s="659"/>
      <c r="C384" s="659"/>
      <c r="D384" s="228"/>
      <c r="E384" s="659"/>
      <c r="F384" s="659"/>
      <c r="G384" s="659"/>
      <c r="H384" s="379"/>
      <c r="I384" s="219"/>
      <c r="J384" s="220"/>
      <c r="K384" s="219"/>
      <c r="L384" s="219"/>
    </row>
    <row r="385" spans="1:16" ht="18" x14ac:dyDescent="0.25">
      <c r="A385" s="651"/>
      <c r="B385" s="651"/>
      <c r="C385" s="651"/>
      <c r="D385" s="641"/>
      <c r="E385" s="651"/>
      <c r="F385" s="651"/>
      <c r="G385" s="651"/>
      <c r="H385" s="380"/>
      <c r="I385" s="141"/>
      <c r="J385" s="122"/>
      <c r="K385" s="141"/>
      <c r="L385" s="141"/>
    </row>
    <row r="386" spans="1:16" ht="18" customHeight="1" x14ac:dyDescent="0.25">
      <c r="A386" s="8" t="s">
        <v>112</v>
      </c>
    </row>
    <row r="387" spans="1:16" ht="18" customHeight="1" x14ac:dyDescent="0.25">
      <c r="A387" s="8" t="s">
        <v>817</v>
      </c>
    </row>
    <row r="388" spans="1:16" ht="18" customHeight="1" x14ac:dyDescent="0.25">
      <c r="A388" s="1636" t="s">
        <v>113</v>
      </c>
      <c r="B388" s="1636"/>
      <c r="C388" s="1636"/>
      <c r="D388" s="1636"/>
      <c r="E388" s="1636"/>
      <c r="F388" s="1636"/>
      <c r="G388" s="1636"/>
      <c r="H388" s="1636"/>
      <c r="I388" s="1636"/>
      <c r="J388" s="1636"/>
      <c r="K388" s="1636"/>
      <c r="L388" s="1636"/>
    </row>
    <row r="389" spans="1:16" s="7" customFormat="1" ht="18" customHeight="1" x14ac:dyDescent="0.25">
      <c r="A389" s="1624" t="s">
        <v>114</v>
      </c>
      <c r="B389" s="1624"/>
      <c r="C389" s="1624"/>
      <c r="D389" s="1624"/>
      <c r="E389" s="1624"/>
      <c r="F389" s="1624"/>
      <c r="G389" s="1624"/>
      <c r="H389" s="1624"/>
      <c r="I389" s="1624"/>
      <c r="J389" s="1624"/>
      <c r="K389" s="1624"/>
      <c r="L389" s="1624"/>
      <c r="M389" s="6"/>
      <c r="N389" s="6"/>
      <c r="O389" s="762"/>
    </row>
    <row r="390" spans="1:16" ht="18.75" thickBot="1" x14ac:dyDescent="0.3">
      <c r="A390" s="41"/>
      <c r="B390" s="41"/>
      <c r="C390" s="41"/>
      <c r="D390" s="63"/>
      <c r="E390" s="41"/>
      <c r="F390" s="41"/>
      <c r="G390" s="41"/>
      <c r="H390" s="41"/>
    </row>
    <row r="391" spans="1:16" ht="63" customHeight="1" thickBot="1" x14ac:dyDescent="0.3">
      <c r="A391" s="1625" t="s">
        <v>115</v>
      </c>
      <c r="B391" s="1626"/>
      <c r="C391" s="1626"/>
      <c r="D391" s="1626"/>
      <c r="E391" s="1626"/>
      <c r="F391" s="1626"/>
      <c r="G391" s="1627"/>
      <c r="H391" s="93" t="s">
        <v>116</v>
      </c>
      <c r="I391" s="130" t="s">
        <v>117</v>
      </c>
      <c r="J391" s="130" t="s">
        <v>118</v>
      </c>
      <c r="K391" s="130" t="s">
        <v>119</v>
      </c>
      <c r="L391" s="130" t="s">
        <v>120</v>
      </c>
    </row>
    <row r="392" spans="1:16" s="146" customFormat="1" ht="18" customHeight="1" x14ac:dyDescent="0.25">
      <c r="A392" s="667"/>
      <c r="B392" s="651"/>
      <c r="C392" s="651"/>
      <c r="D392" s="1620" t="s">
        <v>818</v>
      </c>
      <c r="E392" s="1620"/>
      <c r="F392" s="1620"/>
      <c r="G392" s="644"/>
      <c r="H392" s="376"/>
      <c r="I392" s="101"/>
      <c r="J392" s="102"/>
      <c r="K392" s="101"/>
      <c r="L392" s="101"/>
      <c r="M392" s="10"/>
      <c r="N392" s="10"/>
      <c r="O392" s="756"/>
      <c r="P392"/>
    </row>
    <row r="393" spans="1:16" s="146" customFormat="1" ht="18" customHeight="1" x14ac:dyDescent="0.25">
      <c r="A393" s="649"/>
      <c r="B393" s="650"/>
      <c r="C393" s="650"/>
      <c r="D393" s="129" t="s">
        <v>799</v>
      </c>
      <c r="E393" s="153"/>
      <c r="F393" s="153"/>
      <c r="G393" s="153"/>
      <c r="H393" s="292"/>
      <c r="I393" s="101"/>
      <c r="J393" s="102"/>
      <c r="K393" s="101"/>
      <c r="L393" s="101"/>
      <c r="M393" s="10"/>
      <c r="N393" s="10"/>
      <c r="O393" s="756"/>
      <c r="P393"/>
    </row>
    <row r="394" spans="1:16" s="194" customFormat="1" ht="18" customHeight="1" x14ac:dyDescent="0.25">
      <c r="A394" s="649"/>
      <c r="B394" s="650"/>
      <c r="C394" s="650"/>
      <c r="D394" s="656" t="s">
        <v>824</v>
      </c>
      <c r="E394" s="650"/>
      <c r="F394" s="650"/>
      <c r="G394" s="650"/>
      <c r="H394" s="647"/>
      <c r="I394" s="101"/>
      <c r="J394" s="102"/>
      <c r="K394" s="101"/>
      <c r="L394" s="101">
        <v>80000</v>
      </c>
      <c r="M394" s="10"/>
      <c r="N394" s="10"/>
      <c r="O394" s="756"/>
      <c r="P394" s="191"/>
    </row>
    <row r="395" spans="1:16" s="194" customFormat="1" ht="33.75" customHeight="1" x14ac:dyDescent="0.25">
      <c r="A395" s="649"/>
      <c r="B395" s="650"/>
      <c r="C395" s="650"/>
      <c r="D395" s="1611" t="s">
        <v>825</v>
      </c>
      <c r="E395" s="1611"/>
      <c r="F395" s="650"/>
      <c r="G395" s="650"/>
      <c r="H395" s="647"/>
      <c r="I395" s="101"/>
      <c r="J395" s="102"/>
      <c r="K395" s="101"/>
      <c r="L395" s="101">
        <v>16000</v>
      </c>
      <c r="M395" s="10"/>
      <c r="N395" s="10"/>
      <c r="O395" s="756"/>
      <c r="P395" s="191"/>
    </row>
    <row r="396" spans="1:16" s="194" customFormat="1" ht="18" customHeight="1" x14ac:dyDescent="0.25">
      <c r="A396" s="649"/>
      <c r="B396" s="650"/>
      <c r="C396" s="650"/>
      <c r="D396" s="656" t="s">
        <v>826</v>
      </c>
      <c r="E396" s="650"/>
      <c r="F396" s="650"/>
      <c r="G396" s="650"/>
      <c r="H396" s="647"/>
      <c r="I396" s="101"/>
      <c r="J396" s="102"/>
      <c r="K396" s="101"/>
      <c r="L396" s="101">
        <v>107000</v>
      </c>
      <c r="M396" s="10"/>
      <c r="N396" s="10"/>
      <c r="O396" s="756"/>
      <c r="P396" s="191"/>
    </row>
    <row r="397" spans="1:16" s="194" customFormat="1" ht="18" customHeight="1" x14ac:dyDescent="0.25">
      <c r="A397" s="649"/>
      <c r="B397" s="650"/>
      <c r="C397" s="650"/>
      <c r="D397" s="656" t="s">
        <v>827</v>
      </c>
      <c r="E397" s="650"/>
      <c r="F397" s="650"/>
      <c r="G397" s="650"/>
      <c r="H397" s="647"/>
      <c r="I397" s="101"/>
      <c r="J397" s="102"/>
      <c r="K397" s="101"/>
      <c r="L397" s="101">
        <v>28000</v>
      </c>
      <c r="M397" s="10"/>
      <c r="N397" s="10"/>
      <c r="O397" s="756"/>
      <c r="P397" s="191"/>
    </row>
    <row r="398" spans="1:16" s="146" customFormat="1" ht="18" customHeight="1" x14ac:dyDescent="0.25">
      <c r="A398" s="649"/>
      <c r="B398" s="650"/>
      <c r="C398" s="650"/>
      <c r="D398" s="656" t="s">
        <v>828</v>
      </c>
      <c r="E398" s="650"/>
      <c r="F398" s="650"/>
      <c r="G398" s="646"/>
      <c r="H398" s="100"/>
      <c r="I398" s="101"/>
      <c r="J398" s="102">
        <v>65687</v>
      </c>
      <c r="K398" s="101"/>
      <c r="L398" s="101"/>
      <c r="M398" s="10"/>
      <c r="N398" s="10"/>
      <c r="O398" s="756"/>
      <c r="P398"/>
    </row>
    <row r="399" spans="1:16" s="146" customFormat="1" ht="18" customHeight="1" x14ac:dyDescent="0.25">
      <c r="A399" s="649"/>
      <c r="B399" s="650"/>
      <c r="C399" s="650"/>
      <c r="D399" s="656" t="s">
        <v>829</v>
      </c>
      <c r="E399" s="650"/>
      <c r="F399" s="650"/>
      <c r="G399" s="646"/>
      <c r="H399" s="100"/>
      <c r="I399" s="101"/>
      <c r="J399" s="102">
        <v>253750</v>
      </c>
      <c r="K399" s="101"/>
      <c r="L399" s="101"/>
      <c r="M399" s="10"/>
      <c r="N399" s="10"/>
      <c r="O399" s="756"/>
      <c r="P399"/>
    </row>
    <row r="400" spans="1:16" s="146" customFormat="1" ht="18" x14ac:dyDescent="0.25">
      <c r="A400" s="649"/>
      <c r="B400" s="650"/>
      <c r="C400" s="650"/>
      <c r="D400" s="641" t="s">
        <v>823</v>
      </c>
      <c r="E400" s="650"/>
      <c r="F400" s="650"/>
      <c r="G400" s="646"/>
      <c r="H400" s="100"/>
      <c r="I400" s="119">
        <f>SUM(I398:I399)</f>
        <v>0</v>
      </c>
      <c r="J400" s="150">
        <f>SUM(J398:J399)</f>
        <v>319437</v>
      </c>
      <c r="K400" s="119">
        <f>SUM(K398:K399)</f>
        <v>0</v>
      </c>
      <c r="L400" s="119">
        <f>SUM(L394:L399)</f>
        <v>231000</v>
      </c>
      <c r="M400" s="10"/>
      <c r="N400" s="10"/>
      <c r="O400" s="756"/>
      <c r="P400"/>
    </row>
    <row r="401" spans="1:16" ht="18" x14ac:dyDescent="0.25">
      <c r="A401" s="649"/>
      <c r="B401" s="650"/>
      <c r="C401" s="650"/>
      <c r="D401" s="641" t="s">
        <v>15</v>
      </c>
      <c r="E401" s="650"/>
      <c r="F401" s="650"/>
      <c r="G401" s="646"/>
      <c r="H401" s="195"/>
      <c r="I401" s="119">
        <f>I400+I383</f>
        <v>108171.92</v>
      </c>
      <c r="J401" s="150">
        <f>J400+J383</f>
        <v>631793</v>
      </c>
      <c r="K401" s="119">
        <f>K400+K383</f>
        <v>90798.1</v>
      </c>
      <c r="L401" s="119">
        <f>L400+L383</f>
        <v>481303</v>
      </c>
      <c r="M401" s="10">
        <v>481303</v>
      </c>
    </row>
    <row r="402" spans="1:16" ht="18" x14ac:dyDescent="0.25">
      <c r="A402" s="649"/>
      <c r="B402" s="650"/>
      <c r="C402" s="650"/>
      <c r="D402" s="641"/>
      <c r="E402" s="650"/>
      <c r="F402" s="650"/>
      <c r="G402" s="646"/>
      <c r="H402" s="195"/>
      <c r="I402" s="155"/>
      <c r="J402" s="156"/>
      <c r="K402" s="155"/>
      <c r="L402" s="155"/>
    </row>
    <row r="403" spans="1:16" s="146" customFormat="1" ht="18" x14ac:dyDescent="0.25">
      <c r="A403" s="649"/>
      <c r="B403" s="650"/>
      <c r="C403" s="650"/>
      <c r="D403" s="1620" t="s">
        <v>830</v>
      </c>
      <c r="E403" s="1620"/>
      <c r="F403" s="1620"/>
      <c r="G403" s="1621"/>
      <c r="H403" s="100"/>
      <c r="I403" s="101"/>
      <c r="J403" s="102"/>
      <c r="K403" s="101"/>
      <c r="L403" s="101"/>
      <c r="M403" s="10"/>
      <c r="N403" s="10"/>
      <c r="O403" s="756"/>
      <c r="P403"/>
    </row>
    <row r="404" spans="1:16" s="146" customFormat="1" ht="18" x14ac:dyDescent="0.25">
      <c r="A404" s="649"/>
      <c r="B404" s="650"/>
      <c r="C404" s="650"/>
      <c r="D404" s="1620" t="s">
        <v>831</v>
      </c>
      <c r="E404" s="1620"/>
      <c r="F404" s="1620"/>
      <c r="G404" s="1621"/>
      <c r="H404" s="100"/>
      <c r="I404" s="101"/>
      <c r="J404" s="102"/>
      <c r="K404" s="101"/>
      <c r="L404" s="101"/>
      <c r="M404" s="10"/>
      <c r="N404" s="10"/>
      <c r="O404" s="756"/>
      <c r="P404"/>
    </row>
    <row r="405" spans="1:16" s="229" customFormat="1" ht="18" x14ac:dyDescent="0.25">
      <c r="A405" s="154"/>
      <c r="B405" s="654"/>
      <c r="C405" s="654"/>
      <c r="D405" s="656" t="s">
        <v>832</v>
      </c>
      <c r="E405" s="124"/>
      <c r="F405" s="124"/>
      <c r="G405" s="230"/>
      <c r="H405" s="100" t="s">
        <v>165</v>
      </c>
      <c r="I405" s="101"/>
      <c r="J405" s="102">
        <v>20000</v>
      </c>
      <c r="K405" s="112"/>
      <c r="L405" s="101">
        <v>25000</v>
      </c>
      <c r="M405" s="207"/>
      <c r="N405" s="207"/>
      <c r="O405" s="764"/>
      <c r="P405" s="212"/>
    </row>
    <row r="406" spans="1:16" s="229" customFormat="1" ht="18" x14ac:dyDescent="0.25">
      <c r="A406" s="154"/>
      <c r="B406" s="654"/>
      <c r="C406" s="654"/>
      <c r="D406" s="656" t="s">
        <v>819</v>
      </c>
      <c r="E406" s="124"/>
      <c r="F406" s="124"/>
      <c r="G406" s="230"/>
      <c r="H406" s="100" t="s">
        <v>167</v>
      </c>
      <c r="I406" s="101"/>
      <c r="J406" s="102">
        <v>50000</v>
      </c>
      <c r="K406" s="112"/>
      <c r="L406" s="101"/>
      <c r="M406" s="207"/>
      <c r="N406" s="207"/>
      <c r="O406" s="764"/>
      <c r="P406" s="212"/>
    </row>
    <row r="407" spans="1:16" s="229" customFormat="1" ht="18" x14ac:dyDescent="0.25">
      <c r="A407" s="154"/>
      <c r="B407" s="654"/>
      <c r="C407" s="654"/>
      <c r="D407" s="44" t="s">
        <v>833</v>
      </c>
      <c r="E407" s="125"/>
      <c r="F407" s="125"/>
      <c r="G407" s="134"/>
      <c r="H407" s="100" t="s">
        <v>169</v>
      </c>
      <c r="I407" s="101">
        <v>0</v>
      </c>
      <c r="J407" s="102">
        <v>20000</v>
      </c>
      <c r="K407" s="112"/>
      <c r="L407" s="101">
        <v>102701</v>
      </c>
      <c r="M407" s="207"/>
      <c r="N407" s="207"/>
      <c r="O407" s="764"/>
      <c r="P407" s="212"/>
    </row>
    <row r="408" spans="1:16" s="229" customFormat="1" ht="18" x14ac:dyDescent="0.25">
      <c r="A408" s="154"/>
      <c r="B408" s="654"/>
      <c r="C408" s="654"/>
      <c r="D408" s="656" t="s">
        <v>834</v>
      </c>
      <c r="E408" s="124"/>
      <c r="F408" s="124"/>
      <c r="G408" s="230"/>
      <c r="H408" s="100" t="s">
        <v>173</v>
      </c>
      <c r="I408" s="101"/>
      <c r="J408" s="102">
        <v>10000</v>
      </c>
      <c r="K408" s="112"/>
      <c r="L408" s="101">
        <v>69840</v>
      </c>
      <c r="M408" s="207"/>
      <c r="N408" s="207"/>
      <c r="O408" s="764"/>
      <c r="P408" s="212"/>
    </row>
    <row r="409" spans="1:16" s="229" customFormat="1" ht="18" x14ac:dyDescent="0.25">
      <c r="A409" s="154"/>
      <c r="B409" s="654"/>
      <c r="C409" s="654"/>
      <c r="D409" s="656" t="s">
        <v>835</v>
      </c>
      <c r="E409" s="124"/>
      <c r="F409" s="124"/>
      <c r="G409" s="230"/>
      <c r="H409" s="100" t="s">
        <v>171</v>
      </c>
      <c r="I409" s="101"/>
      <c r="J409" s="102"/>
      <c r="K409" s="112"/>
      <c r="L409" s="101">
        <v>92880</v>
      </c>
      <c r="M409" s="207"/>
      <c r="N409" s="207"/>
      <c r="O409" s="764"/>
      <c r="P409" s="212"/>
    </row>
    <row r="410" spans="1:16" s="229" customFormat="1" ht="18" x14ac:dyDescent="0.25">
      <c r="A410" s="154"/>
      <c r="B410" s="654"/>
      <c r="C410" s="654"/>
      <c r="D410" s="656" t="s">
        <v>836</v>
      </c>
      <c r="E410" s="124"/>
      <c r="F410" s="124"/>
      <c r="G410" s="230"/>
      <c r="H410" s="100" t="s">
        <v>171</v>
      </c>
      <c r="I410" s="101"/>
      <c r="J410" s="102">
        <v>2500</v>
      </c>
      <c r="K410" s="112"/>
      <c r="L410" s="101"/>
      <c r="M410" s="207"/>
      <c r="N410" s="207"/>
      <c r="O410" s="764"/>
      <c r="P410" s="212"/>
    </row>
    <row r="411" spans="1:16" s="229" customFormat="1" ht="18" customHeight="1" x14ac:dyDescent="0.25">
      <c r="A411" s="154"/>
      <c r="B411" s="654"/>
      <c r="C411" s="654"/>
      <c r="D411" s="656" t="s">
        <v>837</v>
      </c>
      <c r="E411" s="124"/>
      <c r="F411" s="124"/>
      <c r="G411" s="230"/>
      <c r="H411" s="100" t="s">
        <v>171</v>
      </c>
      <c r="I411" s="101"/>
      <c r="J411" s="102">
        <v>15000</v>
      </c>
      <c r="K411" s="101"/>
      <c r="L411" s="101"/>
      <c r="M411" s="207"/>
      <c r="N411" s="207"/>
      <c r="O411" s="764"/>
      <c r="P411" s="212"/>
    </row>
    <row r="412" spans="1:16" s="229" customFormat="1" ht="18" customHeight="1" x14ac:dyDescent="0.25">
      <c r="A412" s="154"/>
      <c r="B412" s="654"/>
      <c r="C412" s="654"/>
      <c r="D412" s="44" t="s">
        <v>838</v>
      </c>
      <c r="E412" s="124"/>
      <c r="F412" s="124"/>
      <c r="G412" s="124"/>
      <c r="H412" s="100"/>
      <c r="I412" s="105"/>
      <c r="J412" s="106"/>
      <c r="K412" s="105"/>
      <c r="L412" s="105">
        <v>60000</v>
      </c>
      <c r="M412" s="207"/>
      <c r="N412" s="207"/>
      <c r="O412" s="764"/>
      <c r="P412" s="212"/>
    </row>
    <row r="413" spans="1:16" s="146" customFormat="1" ht="15.75" customHeight="1" x14ac:dyDescent="0.25">
      <c r="A413" s="649"/>
      <c r="B413" s="650"/>
      <c r="C413" s="650"/>
      <c r="D413" s="651" t="s">
        <v>823</v>
      </c>
      <c r="F413" s="650"/>
      <c r="G413" s="650"/>
      <c r="H413" s="100"/>
      <c r="I413" s="119">
        <f>SUM(I405:I411)</f>
        <v>0</v>
      </c>
      <c r="J413" s="150">
        <f>SUM(J405:J411)</f>
        <v>117500</v>
      </c>
      <c r="K413" s="119">
        <f>SUM(K405:K411)</f>
        <v>0</v>
      </c>
      <c r="L413" s="119">
        <f>SUM(L405:L412)</f>
        <v>350421</v>
      </c>
      <c r="M413" s="10"/>
      <c r="N413" s="10"/>
      <c r="O413" s="756"/>
      <c r="P413"/>
    </row>
    <row r="414" spans="1:16" s="146" customFormat="1" ht="15.75" customHeight="1" x14ac:dyDescent="0.25">
      <c r="A414" s="649"/>
      <c r="B414" s="650"/>
      <c r="C414" s="650"/>
      <c r="D414" s="9"/>
      <c r="E414" s="651"/>
      <c r="F414" s="650"/>
      <c r="G414" s="650"/>
      <c r="H414" s="100"/>
      <c r="I414" s="155"/>
      <c r="J414" s="156"/>
      <c r="K414" s="155"/>
      <c r="L414" s="155"/>
      <c r="M414" s="10"/>
      <c r="N414" s="10"/>
      <c r="O414" s="756"/>
      <c r="P414"/>
    </row>
    <row r="415" spans="1:16" s="146" customFormat="1" ht="18" customHeight="1" x14ac:dyDescent="0.25">
      <c r="A415" s="649"/>
      <c r="B415" s="650"/>
      <c r="C415" s="650"/>
      <c r="D415" s="129" t="s">
        <v>799</v>
      </c>
      <c r="E415" s="152"/>
      <c r="F415" s="152"/>
      <c r="G415" s="152"/>
      <c r="H415" s="186"/>
      <c r="I415" s="155"/>
      <c r="J415" s="156"/>
      <c r="K415" s="155"/>
      <c r="L415" s="155"/>
      <c r="M415" s="10"/>
      <c r="N415" s="10"/>
      <c r="O415" s="756"/>
      <c r="P415"/>
    </row>
    <row r="416" spans="1:16" s="146" customFormat="1" ht="18" customHeight="1" x14ac:dyDescent="0.25">
      <c r="A416" s="649"/>
      <c r="B416" s="650"/>
      <c r="C416" s="650"/>
      <c r="D416" s="38" t="s">
        <v>839</v>
      </c>
      <c r="E416" s="152"/>
      <c r="F416" s="152"/>
      <c r="G416" s="152"/>
      <c r="H416" s="186"/>
      <c r="I416" s="155"/>
      <c r="J416" s="156"/>
      <c r="K416" s="155"/>
      <c r="L416" s="101">
        <v>45000</v>
      </c>
      <c r="M416" s="10"/>
      <c r="N416" s="10"/>
      <c r="O416" s="756"/>
      <c r="P416"/>
    </row>
    <row r="417" spans="1:16" s="146" customFormat="1" ht="18" x14ac:dyDescent="0.25">
      <c r="A417" s="649"/>
      <c r="B417" s="650"/>
      <c r="C417" s="650"/>
      <c r="D417" s="38" t="s">
        <v>840</v>
      </c>
      <c r="E417" s="650"/>
      <c r="F417" s="650"/>
      <c r="G417" s="650"/>
      <c r="H417" s="100"/>
      <c r="I417" s="155"/>
      <c r="J417" s="102">
        <v>30000</v>
      </c>
      <c r="K417" s="155"/>
      <c r="L417" s="155"/>
      <c r="M417" s="10"/>
      <c r="N417" s="10"/>
      <c r="O417" s="756"/>
      <c r="P417"/>
    </row>
    <row r="418" spans="1:16" s="146" customFormat="1" ht="18" x14ac:dyDescent="0.25">
      <c r="A418" s="649"/>
      <c r="B418" s="650"/>
      <c r="C418" s="650"/>
      <c r="D418" s="38" t="s">
        <v>824</v>
      </c>
      <c r="E418" s="650"/>
      <c r="F418" s="650"/>
      <c r="G418" s="646"/>
      <c r="H418" s="100"/>
      <c r="I418" s="155"/>
      <c r="J418" s="102">
        <v>75000</v>
      </c>
      <c r="K418" s="155"/>
      <c r="L418" s="101">
        <v>80000</v>
      </c>
      <c r="M418" s="10"/>
      <c r="N418" s="10"/>
      <c r="O418" s="756"/>
      <c r="P418"/>
    </row>
    <row r="419" spans="1:16" s="146" customFormat="1" ht="18" x14ac:dyDescent="0.25">
      <c r="A419" s="649"/>
      <c r="B419" s="650"/>
      <c r="C419" s="650"/>
      <c r="D419" s="38" t="s">
        <v>841</v>
      </c>
      <c r="E419" s="650"/>
      <c r="F419" s="650"/>
      <c r="G419" s="646"/>
      <c r="H419" s="100"/>
      <c r="I419" s="155"/>
      <c r="J419" s="102">
        <v>30000</v>
      </c>
      <c r="K419" s="155"/>
      <c r="L419" s="155"/>
      <c r="M419" s="10"/>
      <c r="N419" s="10"/>
      <c r="O419" s="756"/>
      <c r="P419"/>
    </row>
    <row r="420" spans="1:16" s="146" customFormat="1" ht="15" customHeight="1" x14ac:dyDescent="0.25">
      <c r="A420" s="649"/>
      <c r="B420" s="650"/>
      <c r="C420" s="650"/>
      <c r="D420" s="651" t="s">
        <v>823</v>
      </c>
      <c r="F420" s="650"/>
      <c r="G420" s="646"/>
      <c r="H420" s="100"/>
      <c r="I420" s="150">
        <f>SUM(I417:I419)</f>
        <v>0</v>
      </c>
      <c r="J420" s="150">
        <f>SUM(J417:J419)</f>
        <v>135000</v>
      </c>
      <c r="K420" s="150">
        <f>SUM(K417:K419)</f>
        <v>0</v>
      </c>
      <c r="L420" s="150">
        <f>SUM(L416:L419)</f>
        <v>125000</v>
      </c>
      <c r="M420" s="10"/>
      <c r="N420" s="10"/>
      <c r="O420" s="756"/>
      <c r="P420"/>
    </row>
    <row r="421" spans="1:16" s="146" customFormat="1" ht="18.75" thickBot="1" x14ac:dyDescent="0.3">
      <c r="A421" s="649"/>
      <c r="B421" s="650"/>
      <c r="C421" s="650"/>
      <c r="D421" s="651" t="s">
        <v>15</v>
      </c>
      <c r="F421" s="650"/>
      <c r="G421" s="646"/>
      <c r="H421" s="308"/>
      <c r="I421" s="123">
        <f>I420+I413</f>
        <v>0</v>
      </c>
      <c r="J421" s="158">
        <f>J420+J413</f>
        <v>252500</v>
      </c>
      <c r="K421" s="123">
        <f>K420+K413</f>
        <v>0</v>
      </c>
      <c r="L421" s="123">
        <f>L420+L413</f>
        <v>475421</v>
      </c>
      <c r="M421" s="10">
        <v>475421</v>
      </c>
      <c r="N421" s="10"/>
      <c r="O421" s="756"/>
      <c r="P421"/>
    </row>
    <row r="422" spans="1:16" s="146" customFormat="1" ht="18" x14ac:dyDescent="0.25">
      <c r="A422" s="649"/>
      <c r="B422" s="650"/>
      <c r="C422" s="650"/>
      <c r="D422" s="51"/>
      <c r="E422" s="651"/>
      <c r="F422" s="650"/>
      <c r="G422" s="646"/>
      <c r="H422" s="100"/>
      <c r="I422" s="155"/>
      <c r="J422" s="156"/>
      <c r="K422" s="155"/>
      <c r="L422" s="155"/>
      <c r="M422" s="10"/>
      <c r="N422" s="10"/>
      <c r="O422" s="756"/>
      <c r="P422"/>
    </row>
    <row r="423" spans="1:16" s="146" customFormat="1" ht="18" x14ac:dyDescent="0.25">
      <c r="A423" s="649"/>
      <c r="B423" s="650"/>
      <c r="C423" s="650"/>
      <c r="D423" s="1620" t="s">
        <v>842</v>
      </c>
      <c r="E423" s="1620"/>
      <c r="F423" s="1620"/>
      <c r="G423" s="1621"/>
      <c r="H423" s="100"/>
      <c r="I423" s="101"/>
      <c r="J423" s="102"/>
      <c r="K423" s="101"/>
      <c r="L423" s="101"/>
      <c r="M423" s="10"/>
      <c r="N423" s="10"/>
      <c r="O423" s="756"/>
      <c r="P423"/>
    </row>
    <row r="424" spans="1:16" s="146" customFormat="1" ht="18" x14ac:dyDescent="0.25">
      <c r="A424" s="649"/>
      <c r="B424" s="650"/>
      <c r="C424" s="650"/>
      <c r="D424" s="1620" t="s">
        <v>813</v>
      </c>
      <c r="E424" s="1620"/>
      <c r="F424" s="1620"/>
      <c r="G424" s="1621"/>
      <c r="H424" s="100"/>
      <c r="I424" s="101"/>
      <c r="J424" s="102"/>
      <c r="K424" s="101"/>
      <c r="L424" s="250"/>
      <c r="M424" s="10"/>
      <c r="N424" s="10"/>
      <c r="O424" s="756"/>
      <c r="P424"/>
    </row>
    <row r="425" spans="1:16" s="229" customFormat="1" ht="18" x14ac:dyDescent="0.25">
      <c r="A425" s="154"/>
      <c r="B425" s="654"/>
      <c r="C425" s="654"/>
      <c r="D425" s="44" t="s">
        <v>804</v>
      </c>
      <c r="E425" s="125"/>
      <c r="F425" s="125"/>
      <c r="G425" s="134"/>
      <c r="H425" s="100" t="s">
        <v>165</v>
      </c>
      <c r="I425" s="101">
        <v>0</v>
      </c>
      <c r="J425" s="102">
        <v>50000</v>
      </c>
      <c r="K425" s="101"/>
      <c r="L425" s="250">
        <v>25000</v>
      </c>
      <c r="M425" s="207"/>
      <c r="N425" s="207"/>
      <c r="O425" s="764"/>
      <c r="P425" s="212"/>
    </row>
    <row r="426" spans="1:16" s="229" customFormat="1" ht="18" customHeight="1" x14ac:dyDescent="0.25">
      <c r="A426" s="154"/>
      <c r="B426" s="654"/>
      <c r="C426" s="654"/>
      <c r="D426" s="656" t="s">
        <v>819</v>
      </c>
      <c r="E426" s="124"/>
      <c r="F426" s="124"/>
      <c r="G426" s="230"/>
      <c r="H426" s="100" t="s">
        <v>167</v>
      </c>
      <c r="I426" s="101"/>
      <c r="J426" s="102">
        <v>50000</v>
      </c>
      <c r="K426" s="101"/>
      <c r="L426" s="250"/>
      <c r="M426" s="207"/>
      <c r="N426" s="207"/>
      <c r="O426" s="764"/>
      <c r="P426" s="212"/>
    </row>
    <row r="427" spans="1:16" s="229" customFormat="1" ht="18" customHeight="1" x14ac:dyDescent="0.25">
      <c r="A427" s="154"/>
      <c r="B427" s="654"/>
      <c r="C427" s="654"/>
      <c r="D427" s="44" t="s">
        <v>806</v>
      </c>
      <c r="E427" s="125"/>
      <c r="F427" s="125"/>
      <c r="G427" s="134"/>
      <c r="H427" s="100" t="s">
        <v>169</v>
      </c>
      <c r="I427" s="101">
        <v>81208</v>
      </c>
      <c r="J427" s="102">
        <v>66591</v>
      </c>
      <c r="K427" s="101">
        <v>43954.5</v>
      </c>
      <c r="L427" s="250">
        <v>80921</v>
      </c>
      <c r="M427" s="207"/>
      <c r="N427" s="207"/>
      <c r="O427" s="764"/>
      <c r="P427" s="212"/>
    </row>
    <row r="428" spans="1:16" s="229" customFormat="1" ht="18" customHeight="1" x14ac:dyDescent="0.25">
      <c r="A428" s="154"/>
      <c r="B428" s="654"/>
      <c r="C428" s="654"/>
      <c r="D428" s="206" t="s">
        <v>843</v>
      </c>
      <c r="E428" s="654"/>
      <c r="F428" s="654"/>
      <c r="G428" s="655"/>
      <c r="H428" s="100" t="s">
        <v>173</v>
      </c>
      <c r="I428" s="101">
        <v>45875.1</v>
      </c>
      <c r="J428" s="102">
        <v>30000</v>
      </c>
      <c r="K428" s="101">
        <v>10560.2</v>
      </c>
      <c r="L428" s="101"/>
      <c r="M428" s="207"/>
      <c r="N428" s="207"/>
      <c r="O428" s="764"/>
      <c r="P428" s="212"/>
    </row>
    <row r="429" spans="1:16" s="229" customFormat="1" ht="18" customHeight="1" x14ac:dyDescent="0.25">
      <c r="A429" s="154"/>
      <c r="B429" s="654"/>
      <c r="C429" s="654"/>
      <c r="D429" s="44" t="s">
        <v>844</v>
      </c>
      <c r="E429" s="125"/>
      <c r="F429" s="125"/>
      <c r="G429" s="134"/>
      <c r="H429" s="100" t="s">
        <v>171</v>
      </c>
      <c r="I429" s="101">
        <v>36553.25</v>
      </c>
      <c r="J429" s="102">
        <v>54910</v>
      </c>
      <c r="K429" s="101"/>
      <c r="L429" s="101"/>
      <c r="M429" s="207"/>
      <c r="N429" s="207"/>
      <c r="O429" s="764"/>
      <c r="P429" s="212"/>
    </row>
    <row r="430" spans="1:16" s="229" customFormat="1" ht="18" customHeight="1" x14ac:dyDescent="0.25">
      <c r="A430" s="154"/>
      <c r="B430" s="654"/>
      <c r="C430" s="654"/>
      <c r="D430" s="44" t="s">
        <v>835</v>
      </c>
      <c r="E430" s="125"/>
      <c r="F430" s="125"/>
      <c r="G430" s="655"/>
      <c r="H430" s="100" t="s">
        <v>171</v>
      </c>
      <c r="I430" s="101"/>
      <c r="J430" s="102"/>
      <c r="K430" s="101"/>
      <c r="L430" s="101">
        <v>85000</v>
      </c>
      <c r="M430" s="207"/>
      <c r="N430" s="207"/>
      <c r="O430" s="764"/>
      <c r="P430" s="212"/>
    </row>
    <row r="431" spans="1:16" s="229" customFormat="1" ht="18" customHeight="1" x14ac:dyDescent="0.25">
      <c r="A431" s="154"/>
      <c r="B431" s="654"/>
      <c r="C431" s="654"/>
      <c r="D431" s="206" t="s">
        <v>846</v>
      </c>
      <c r="E431" s="654"/>
      <c r="F431" s="654"/>
      <c r="G431" s="655"/>
      <c r="H431" s="100" t="s">
        <v>171</v>
      </c>
      <c r="I431" s="101">
        <v>19000</v>
      </c>
      <c r="J431" s="102"/>
      <c r="K431" s="101"/>
      <c r="L431" s="101"/>
      <c r="M431" s="207"/>
      <c r="N431" s="207"/>
      <c r="O431" s="764"/>
      <c r="P431" s="212"/>
    </row>
    <row r="432" spans="1:16" s="229" customFormat="1" ht="18" customHeight="1" x14ac:dyDescent="0.25">
      <c r="A432" s="154"/>
      <c r="B432" s="654"/>
      <c r="C432" s="654"/>
      <c r="D432" s="206" t="s">
        <v>847</v>
      </c>
      <c r="E432" s="654"/>
      <c r="F432" s="654"/>
      <c r="G432" s="655"/>
      <c r="H432" s="100" t="s">
        <v>171</v>
      </c>
      <c r="I432" s="101">
        <v>29250</v>
      </c>
      <c r="J432" s="102"/>
      <c r="K432" s="101"/>
      <c r="L432" s="101"/>
      <c r="M432" s="207"/>
      <c r="N432" s="207"/>
      <c r="O432" s="764"/>
      <c r="P432" s="212"/>
    </row>
    <row r="433" spans="1:16" s="229" customFormat="1" ht="18" x14ac:dyDescent="0.25">
      <c r="A433" s="154"/>
      <c r="B433" s="654"/>
      <c r="C433" s="654"/>
      <c r="D433" s="206" t="s">
        <v>848</v>
      </c>
      <c r="E433" s="654"/>
      <c r="F433" s="654"/>
      <c r="G433" s="655"/>
      <c r="H433" s="100" t="s">
        <v>171</v>
      </c>
      <c r="I433" s="101"/>
      <c r="J433" s="102">
        <v>20000</v>
      </c>
      <c r="K433" s="101"/>
      <c r="L433" s="101"/>
      <c r="M433" s="207"/>
      <c r="N433" s="207"/>
      <c r="O433" s="764"/>
      <c r="P433" s="212"/>
    </row>
    <row r="434" spans="1:16" s="229" customFormat="1" ht="18" x14ac:dyDescent="0.25">
      <c r="A434" s="154"/>
      <c r="B434" s="654"/>
      <c r="C434" s="654"/>
      <c r="D434" s="206" t="s">
        <v>849</v>
      </c>
      <c r="E434" s="654"/>
      <c r="F434" s="654"/>
      <c r="G434" s="655"/>
      <c r="H434" s="100" t="s">
        <v>171</v>
      </c>
      <c r="I434" s="101"/>
      <c r="J434" s="102">
        <v>20000</v>
      </c>
      <c r="K434" s="101"/>
      <c r="L434" s="101"/>
      <c r="M434" s="207"/>
      <c r="N434" s="207"/>
      <c r="O434" s="764"/>
      <c r="P434" s="212"/>
    </row>
    <row r="435" spans="1:16" s="229" customFormat="1" ht="18" x14ac:dyDescent="0.25">
      <c r="A435" s="154"/>
      <c r="B435" s="654"/>
      <c r="C435" s="654"/>
      <c r="D435" s="206" t="s">
        <v>850</v>
      </c>
      <c r="E435" s="654"/>
      <c r="F435" s="654"/>
      <c r="G435" s="655"/>
      <c r="H435" s="100" t="s">
        <v>171</v>
      </c>
      <c r="I435" s="101"/>
      <c r="J435" s="102">
        <v>2500</v>
      </c>
      <c r="K435" s="101"/>
      <c r="L435" s="101"/>
      <c r="M435" s="207"/>
      <c r="N435" s="207"/>
      <c r="O435" s="764"/>
      <c r="P435" s="212"/>
    </row>
    <row r="436" spans="1:16" s="229" customFormat="1" ht="18" x14ac:dyDescent="0.25">
      <c r="A436" s="154"/>
      <c r="B436" s="654"/>
      <c r="C436" s="654"/>
      <c r="D436" s="44" t="s">
        <v>851</v>
      </c>
      <c r="E436" s="125"/>
      <c r="F436" s="654"/>
      <c r="G436" s="655"/>
      <c r="H436" s="100" t="s">
        <v>383</v>
      </c>
      <c r="I436" s="101">
        <v>0</v>
      </c>
      <c r="J436" s="102">
        <v>12000</v>
      </c>
      <c r="K436" s="101">
        <v>3740.98</v>
      </c>
      <c r="L436" s="101">
        <v>12000</v>
      </c>
      <c r="M436" s="207"/>
      <c r="N436" s="207"/>
      <c r="O436" s="764"/>
      <c r="P436" s="212"/>
    </row>
    <row r="437" spans="1:16" s="229" customFormat="1" ht="18" x14ac:dyDescent="0.25">
      <c r="A437" s="154"/>
      <c r="B437" s="654"/>
      <c r="C437" s="654"/>
      <c r="D437" s="44" t="s">
        <v>815</v>
      </c>
      <c r="E437" s="125"/>
      <c r="F437" s="125"/>
      <c r="G437" s="655"/>
      <c r="H437" s="100" t="s">
        <v>385</v>
      </c>
      <c r="I437" s="101">
        <v>88.91</v>
      </c>
      <c r="J437" s="102">
        <v>144000</v>
      </c>
      <c r="K437" s="101"/>
      <c r="L437" s="101">
        <v>144000</v>
      </c>
      <c r="M437" s="207"/>
      <c r="N437" s="207"/>
      <c r="O437" s="764"/>
      <c r="P437" s="212"/>
    </row>
    <row r="438" spans="1:16" s="229" customFormat="1" ht="18" x14ac:dyDescent="0.25">
      <c r="A438" s="154"/>
      <c r="B438" s="654"/>
      <c r="C438" s="654"/>
      <c r="D438" s="44" t="s">
        <v>852</v>
      </c>
      <c r="E438" s="125"/>
      <c r="F438" s="125"/>
      <c r="G438" s="655"/>
      <c r="H438" s="100"/>
      <c r="I438" s="101"/>
      <c r="J438" s="102"/>
      <c r="K438" s="101"/>
      <c r="L438" s="101">
        <v>36000</v>
      </c>
      <c r="M438" s="207"/>
      <c r="N438" s="207"/>
      <c r="O438" s="764"/>
      <c r="P438" s="212"/>
    </row>
    <row r="439" spans="1:16" s="229" customFormat="1" ht="18" x14ac:dyDescent="0.25">
      <c r="A439" s="154"/>
      <c r="B439" s="654"/>
      <c r="C439" s="654"/>
      <c r="D439" s="44" t="s">
        <v>853</v>
      </c>
      <c r="E439" s="125"/>
      <c r="F439" s="125"/>
      <c r="G439" s="134"/>
      <c r="H439" s="100" t="s">
        <v>183</v>
      </c>
      <c r="I439" s="101">
        <v>19791</v>
      </c>
      <c r="J439" s="102">
        <v>60000</v>
      </c>
      <c r="K439" s="101">
        <v>19092</v>
      </c>
      <c r="L439" s="101"/>
      <c r="M439" s="207"/>
      <c r="N439" s="207"/>
      <c r="O439" s="764"/>
      <c r="P439" s="212"/>
    </row>
    <row r="440" spans="1:16" s="229" customFormat="1" ht="18" customHeight="1" x14ac:dyDescent="0.25">
      <c r="A440" s="154"/>
      <c r="B440" s="654"/>
      <c r="C440" s="654"/>
      <c r="D440" s="44" t="s">
        <v>808</v>
      </c>
      <c r="E440" s="125"/>
      <c r="F440" s="125"/>
      <c r="G440" s="134"/>
      <c r="H440" s="195" t="s">
        <v>199</v>
      </c>
      <c r="I440" s="101">
        <v>160545.45000000001</v>
      </c>
      <c r="J440" s="102">
        <v>270000</v>
      </c>
      <c r="K440" s="101">
        <v>15500</v>
      </c>
      <c r="L440" s="105">
        <v>270000</v>
      </c>
      <c r="M440" s="207"/>
      <c r="N440" s="207"/>
      <c r="O440" s="764"/>
      <c r="P440" s="212"/>
    </row>
    <row r="441" spans="1:16" s="146" customFormat="1" ht="18" x14ac:dyDescent="0.25">
      <c r="A441" s="649"/>
      <c r="B441" s="650"/>
      <c r="C441" s="650"/>
      <c r="D441" s="651" t="s">
        <v>823</v>
      </c>
      <c r="E441" s="573"/>
      <c r="F441" s="650"/>
      <c r="G441" s="650"/>
      <c r="H441" s="195"/>
      <c r="I441" s="119">
        <f>SUM(I425:I440)</f>
        <v>392311.71</v>
      </c>
      <c r="J441" s="119">
        <f>SUM(J425:J440)</f>
        <v>780001</v>
      </c>
      <c r="K441" s="119">
        <f>SUM(K425:K440)</f>
        <v>92847.679999999993</v>
      </c>
      <c r="L441" s="119">
        <f>SUM(L425:L440)</f>
        <v>652921</v>
      </c>
      <c r="M441" s="10"/>
      <c r="N441" s="10"/>
      <c r="O441" s="756"/>
      <c r="P441"/>
    </row>
    <row r="442" spans="1:16" s="229" customFormat="1" ht="18" customHeight="1" x14ac:dyDescent="0.25">
      <c r="A442" s="154"/>
      <c r="B442" s="654"/>
      <c r="C442" s="654"/>
      <c r="D442" s="44"/>
      <c r="E442" s="125"/>
      <c r="F442" s="125"/>
      <c r="G442" s="125"/>
      <c r="H442" s="381"/>
      <c r="I442" s="101"/>
      <c r="J442" s="102"/>
      <c r="K442" s="101"/>
      <c r="L442" s="101"/>
      <c r="M442" s="207"/>
      <c r="N442" s="207"/>
      <c r="O442" s="764"/>
      <c r="P442" s="212"/>
    </row>
    <row r="443" spans="1:16" s="146" customFormat="1" ht="18" customHeight="1" x14ac:dyDescent="0.25">
      <c r="A443" s="649"/>
      <c r="B443" s="650"/>
      <c r="C443" s="650"/>
      <c r="D443" s="129" t="s">
        <v>799</v>
      </c>
      <c r="E443" s="153"/>
      <c r="F443" s="153"/>
      <c r="G443" s="153"/>
      <c r="H443" s="574"/>
      <c r="I443" s="101"/>
      <c r="J443" s="102"/>
      <c r="K443" s="101"/>
      <c r="L443" s="101"/>
      <c r="M443" s="10"/>
      <c r="N443" s="10"/>
      <c r="O443" s="756"/>
      <c r="P443"/>
    </row>
    <row r="444" spans="1:16" s="146" customFormat="1" ht="18" customHeight="1" x14ac:dyDescent="0.25">
      <c r="A444" s="649"/>
      <c r="B444" s="650"/>
      <c r="C444" s="650"/>
      <c r="D444" s="656" t="s">
        <v>854</v>
      </c>
      <c r="E444" s="651"/>
      <c r="F444" s="651"/>
      <c r="G444" s="651"/>
      <c r="H444" s="645"/>
      <c r="I444" s="101"/>
      <c r="J444" s="102"/>
      <c r="K444" s="101"/>
      <c r="L444" s="101">
        <v>50000</v>
      </c>
      <c r="M444" s="10"/>
      <c r="N444" s="10"/>
      <c r="O444" s="756"/>
      <c r="P444"/>
    </row>
    <row r="445" spans="1:16" s="146" customFormat="1" ht="18" customHeight="1" x14ac:dyDescent="0.25">
      <c r="A445" s="649"/>
      <c r="B445" s="650"/>
      <c r="C445" s="650"/>
      <c r="D445" s="656" t="s">
        <v>855</v>
      </c>
      <c r="E445" s="651"/>
      <c r="F445" s="651"/>
      <c r="G445" s="651"/>
      <c r="H445" s="645"/>
      <c r="I445" s="101"/>
      <c r="J445" s="102"/>
      <c r="K445" s="101"/>
      <c r="L445" s="101">
        <v>56000</v>
      </c>
      <c r="M445" s="10"/>
      <c r="N445" s="10"/>
      <c r="O445" s="756"/>
      <c r="P445"/>
    </row>
    <row r="446" spans="1:16" s="146" customFormat="1" ht="18" x14ac:dyDescent="0.25">
      <c r="A446" s="649"/>
      <c r="B446" s="650"/>
      <c r="C446" s="650"/>
      <c r="D446" s="1611" t="s">
        <v>856</v>
      </c>
      <c r="E446" s="1611"/>
      <c r="F446" s="1611"/>
      <c r="G446" s="650"/>
      <c r="H446" s="100"/>
      <c r="I446" s="101">
        <v>0</v>
      </c>
      <c r="J446" s="102">
        <v>45000</v>
      </c>
      <c r="K446" s="101"/>
      <c r="L446" s="101"/>
      <c r="M446" s="10"/>
      <c r="N446" s="10"/>
      <c r="O446" s="756"/>
      <c r="P446"/>
    </row>
    <row r="447" spans="1:16" s="146" customFormat="1" ht="18" x14ac:dyDescent="0.25">
      <c r="A447" s="649"/>
      <c r="B447" s="650"/>
      <c r="C447" s="650"/>
      <c r="D447" s="1611" t="s">
        <v>857</v>
      </c>
      <c r="E447" s="1611"/>
      <c r="F447" s="1611"/>
      <c r="G447" s="650"/>
      <c r="H447" s="100"/>
      <c r="I447" s="101">
        <v>0</v>
      </c>
      <c r="J447" s="102">
        <v>75000</v>
      </c>
      <c r="K447" s="101"/>
      <c r="L447" s="105">
        <v>80000</v>
      </c>
      <c r="M447" s="10"/>
      <c r="N447" s="10"/>
      <c r="O447" s="756"/>
      <c r="P447"/>
    </row>
    <row r="448" spans="1:16" s="146" customFormat="1" ht="18" x14ac:dyDescent="0.25">
      <c r="A448" s="649"/>
      <c r="B448" s="650"/>
      <c r="C448" s="650"/>
      <c r="D448" s="651" t="s">
        <v>823</v>
      </c>
      <c r="E448" s="573"/>
      <c r="F448" s="650"/>
      <c r="G448" s="650"/>
      <c r="H448" s="100"/>
      <c r="I448" s="119">
        <f>SUM(I444:I447)</f>
        <v>0</v>
      </c>
      <c r="J448" s="119">
        <f>SUM(J444:J447)</f>
        <v>120000</v>
      </c>
      <c r="K448" s="119">
        <f>SUM(K444:K447)</f>
        <v>0</v>
      </c>
      <c r="L448" s="119">
        <f>SUM(L444:L447)</f>
        <v>186000</v>
      </c>
      <c r="M448" s="10"/>
      <c r="N448" s="10"/>
      <c r="O448" s="756"/>
      <c r="P448"/>
    </row>
    <row r="449" spans="1:16" s="146" customFormat="1" ht="18.75" thickBot="1" x14ac:dyDescent="0.3">
      <c r="A449" s="649"/>
      <c r="B449" s="650"/>
      <c r="C449" s="650"/>
      <c r="D449" s="651" t="s">
        <v>15</v>
      </c>
      <c r="E449" s="573"/>
      <c r="F449" s="650"/>
      <c r="G449" s="646"/>
      <c r="H449" s="382"/>
      <c r="I449" s="259">
        <f>I448+I441</f>
        <v>392311.71</v>
      </c>
      <c r="J449" s="260">
        <f>J448+J441</f>
        <v>900001</v>
      </c>
      <c r="K449" s="259">
        <f>K448+K441</f>
        <v>92847.679999999993</v>
      </c>
      <c r="L449" s="259">
        <f>L448+L441</f>
        <v>838921</v>
      </c>
      <c r="M449" s="10">
        <v>838921</v>
      </c>
      <c r="N449" s="10"/>
      <c r="O449" s="756"/>
      <c r="P449"/>
    </row>
    <row r="450" spans="1:16" s="146" customFormat="1" ht="14.1" customHeight="1" thickBot="1" x14ac:dyDescent="0.3">
      <c r="A450" s="187"/>
      <c r="B450" s="413"/>
      <c r="C450" s="413"/>
      <c r="D450" s="318"/>
      <c r="E450" s="659"/>
      <c r="F450" s="413"/>
      <c r="G450" s="431"/>
      <c r="H450" s="382"/>
      <c r="I450" s="182"/>
      <c r="J450" s="183"/>
      <c r="K450" s="182"/>
      <c r="L450" s="182"/>
      <c r="M450" s="10"/>
      <c r="N450" s="10"/>
      <c r="O450" s="756"/>
      <c r="P450"/>
    </row>
    <row r="451" spans="1:16" s="229" customFormat="1" ht="18" customHeight="1" x14ac:dyDescent="0.25">
      <c r="A451" s="654"/>
      <c r="B451" s="654"/>
      <c r="C451" s="654"/>
      <c r="D451" s="44"/>
      <c r="E451" s="125"/>
      <c r="F451" s="125"/>
      <c r="G451" s="125"/>
      <c r="H451" s="381"/>
      <c r="I451" s="141"/>
      <c r="J451" s="122"/>
      <c r="K451" s="141"/>
      <c r="L451" s="141"/>
      <c r="M451" s="207"/>
      <c r="N451" s="207"/>
      <c r="O451" s="764"/>
      <c r="P451" s="212"/>
    </row>
    <row r="452" spans="1:16" s="229" customFormat="1" ht="18" customHeight="1" x14ac:dyDescent="0.25">
      <c r="A452" s="654"/>
      <c r="B452" s="654"/>
      <c r="C452" s="654"/>
      <c r="D452" s="44"/>
      <c r="E452" s="125"/>
      <c r="F452" s="125"/>
      <c r="G452" s="125"/>
      <c r="H452" s="381"/>
      <c r="I452" s="141"/>
      <c r="J452" s="122"/>
      <c r="K452" s="141"/>
      <c r="L452" s="141"/>
      <c r="M452" s="207"/>
      <c r="N452" s="207"/>
      <c r="O452" s="764"/>
      <c r="P452" s="212"/>
    </row>
    <row r="453" spans="1:16" ht="18" customHeight="1" x14ac:dyDescent="0.25">
      <c r="A453" s="8" t="s">
        <v>112</v>
      </c>
    </row>
    <row r="454" spans="1:16" ht="18" customHeight="1" x14ac:dyDescent="0.25">
      <c r="A454" s="8" t="s">
        <v>845</v>
      </c>
    </row>
    <row r="455" spans="1:16" ht="18" customHeight="1" x14ac:dyDescent="0.25">
      <c r="A455" s="1636" t="s">
        <v>113</v>
      </c>
      <c r="B455" s="1636"/>
      <c r="C455" s="1636"/>
      <c r="D455" s="1636"/>
      <c r="E455" s="1636"/>
      <c r="F455" s="1636"/>
      <c r="G455" s="1636"/>
      <c r="H455" s="1636"/>
      <c r="I455" s="1636"/>
      <c r="J455" s="1636"/>
      <c r="K455" s="1636"/>
      <c r="L455" s="1636"/>
    </row>
    <row r="456" spans="1:16" s="7" customFormat="1" ht="18" customHeight="1" x14ac:dyDescent="0.25">
      <c r="A456" s="1624" t="s">
        <v>114</v>
      </c>
      <c r="B456" s="1624"/>
      <c r="C456" s="1624"/>
      <c r="D456" s="1624"/>
      <c r="E456" s="1624"/>
      <c r="F456" s="1624"/>
      <c r="G456" s="1624"/>
      <c r="H456" s="1624"/>
      <c r="I456" s="1624"/>
      <c r="J456" s="1624"/>
      <c r="K456" s="1624"/>
      <c r="L456" s="1624"/>
      <c r="M456" s="6"/>
      <c r="N456" s="6"/>
      <c r="O456" s="762"/>
    </row>
    <row r="457" spans="1:16" ht="18.75" thickBot="1" x14ac:dyDescent="0.3">
      <c r="A457" s="41"/>
      <c r="B457" s="41"/>
      <c r="C457" s="41"/>
      <c r="D457" s="63"/>
      <c r="E457" s="41"/>
      <c r="F457" s="41"/>
      <c r="G457" s="41"/>
      <c r="H457" s="41"/>
    </row>
    <row r="458" spans="1:16" ht="62.25" customHeight="1" thickBot="1" x14ac:dyDescent="0.3">
      <c r="A458" s="1625" t="s">
        <v>115</v>
      </c>
      <c r="B458" s="1626"/>
      <c r="C458" s="1626"/>
      <c r="D458" s="1626"/>
      <c r="E458" s="1626"/>
      <c r="F458" s="1626"/>
      <c r="G458" s="1627"/>
      <c r="H458" s="93" t="s">
        <v>116</v>
      </c>
      <c r="I458" s="130" t="s">
        <v>117</v>
      </c>
      <c r="J458" s="130" t="s">
        <v>118</v>
      </c>
      <c r="K458" s="130" t="s">
        <v>119</v>
      </c>
      <c r="L458" s="130" t="s">
        <v>120</v>
      </c>
    </row>
    <row r="459" spans="1:16" s="146" customFormat="1" ht="18" x14ac:dyDescent="0.25">
      <c r="A459" s="649"/>
      <c r="B459" s="650"/>
      <c r="C459" s="650"/>
      <c r="D459" s="1620" t="s">
        <v>858</v>
      </c>
      <c r="E459" s="1620"/>
      <c r="F459" s="1620"/>
      <c r="G459" s="1621"/>
      <c r="H459" s="100"/>
      <c r="I459" s="101"/>
      <c r="J459" s="102"/>
      <c r="K459" s="101"/>
      <c r="L459" s="101"/>
      <c r="M459" s="10"/>
      <c r="N459" s="10"/>
      <c r="O459" s="756"/>
      <c r="P459"/>
    </row>
    <row r="460" spans="1:16" s="146" customFormat="1" ht="18" x14ac:dyDescent="0.25">
      <c r="A460" s="649"/>
      <c r="B460" s="650"/>
      <c r="C460" s="650"/>
      <c r="D460" s="1620" t="s">
        <v>831</v>
      </c>
      <c r="E460" s="1620"/>
      <c r="F460" s="1620"/>
      <c r="G460" s="1621"/>
      <c r="H460" s="100"/>
      <c r="I460" s="101"/>
      <c r="J460" s="102"/>
      <c r="K460" s="112"/>
      <c r="L460" s="101"/>
      <c r="M460" s="10"/>
      <c r="N460" s="10"/>
      <c r="O460" s="756"/>
      <c r="P460"/>
    </row>
    <row r="461" spans="1:16" s="229" customFormat="1" ht="18" x14ac:dyDescent="0.25">
      <c r="A461" s="154"/>
      <c r="B461" s="654"/>
      <c r="C461" s="654"/>
      <c r="D461" s="656" t="s">
        <v>832</v>
      </c>
      <c r="E461" s="124"/>
      <c r="F461" s="124"/>
      <c r="G461" s="230"/>
      <c r="H461" s="100" t="s">
        <v>165</v>
      </c>
      <c r="I461" s="101"/>
      <c r="J461" s="102"/>
      <c r="K461" s="112"/>
      <c r="L461" s="101">
        <v>20000</v>
      </c>
      <c r="M461" s="207"/>
      <c r="N461" s="207"/>
      <c r="O461" s="764"/>
      <c r="P461" s="212"/>
    </row>
    <row r="462" spans="1:16" s="229" customFormat="1" ht="18" x14ac:dyDescent="0.25">
      <c r="A462" s="154"/>
      <c r="B462" s="654"/>
      <c r="C462" s="654"/>
      <c r="D462" s="656" t="s">
        <v>819</v>
      </c>
      <c r="E462" s="124"/>
      <c r="F462" s="124"/>
      <c r="G462" s="230"/>
      <c r="H462" s="100" t="s">
        <v>167</v>
      </c>
      <c r="I462" s="101"/>
      <c r="J462" s="102"/>
      <c r="K462" s="112"/>
      <c r="L462" s="101">
        <v>240000</v>
      </c>
      <c r="M462" s="207"/>
      <c r="N462" s="207"/>
      <c r="O462" s="764"/>
      <c r="P462" s="212"/>
    </row>
    <row r="463" spans="1:16" s="229" customFormat="1" ht="18" x14ac:dyDescent="0.25">
      <c r="A463" s="154"/>
      <c r="B463" s="654"/>
      <c r="C463" s="654"/>
      <c r="D463" s="44" t="s">
        <v>806</v>
      </c>
      <c r="E463" s="125"/>
      <c r="F463" s="125"/>
      <c r="G463" s="134"/>
      <c r="H463" s="100" t="s">
        <v>169</v>
      </c>
      <c r="I463" s="101"/>
      <c r="J463" s="102"/>
      <c r="K463" s="112"/>
      <c r="L463" s="101">
        <v>33945</v>
      </c>
      <c r="M463" s="207"/>
      <c r="N463" s="207"/>
      <c r="O463" s="764"/>
      <c r="P463" s="212"/>
    </row>
    <row r="464" spans="1:16" s="229" customFormat="1" ht="18" customHeight="1" x14ac:dyDescent="0.25">
      <c r="A464" s="154"/>
      <c r="B464" s="654"/>
      <c r="C464" s="654"/>
      <c r="D464" s="656" t="s">
        <v>835</v>
      </c>
      <c r="E464" s="124"/>
      <c r="F464" s="124"/>
      <c r="G464" s="230"/>
      <c r="H464" s="100" t="s">
        <v>171</v>
      </c>
      <c r="I464" s="101"/>
      <c r="J464" s="102"/>
      <c r="K464" s="101"/>
      <c r="L464" s="101">
        <v>121614</v>
      </c>
      <c r="M464" s="207"/>
      <c r="N464" s="207"/>
      <c r="O464" s="764"/>
      <c r="P464" s="212"/>
    </row>
    <row r="465" spans="1:16" s="229" customFormat="1" ht="18" customHeight="1" x14ac:dyDescent="0.25">
      <c r="A465" s="154"/>
      <c r="B465" s="654"/>
      <c r="C465" s="654"/>
      <c r="D465" s="656" t="s">
        <v>814</v>
      </c>
      <c r="E465" s="124"/>
      <c r="F465" s="124"/>
      <c r="G465" s="230"/>
      <c r="H465" s="100"/>
      <c r="I465" s="101"/>
      <c r="J465" s="102"/>
      <c r="K465" s="101"/>
      <c r="L465" s="101">
        <v>36000</v>
      </c>
      <c r="M465" s="207"/>
      <c r="N465" s="207"/>
      <c r="O465" s="764"/>
      <c r="P465" s="212"/>
    </row>
    <row r="466" spans="1:16" s="229" customFormat="1" ht="18" x14ac:dyDescent="0.25">
      <c r="A466" s="154"/>
      <c r="B466" s="654"/>
      <c r="C466" s="654"/>
      <c r="D466" s="656" t="s">
        <v>859</v>
      </c>
      <c r="E466" s="124"/>
      <c r="F466" s="124"/>
      <c r="G466" s="230"/>
      <c r="H466" s="100" t="s">
        <v>199</v>
      </c>
      <c r="I466" s="101"/>
      <c r="J466" s="102"/>
      <c r="K466" s="112"/>
      <c r="L466" s="105">
        <v>90000</v>
      </c>
      <c r="M466" s="207"/>
      <c r="N466" s="207"/>
      <c r="O466" s="764"/>
      <c r="P466" s="212"/>
    </row>
    <row r="467" spans="1:16" s="146" customFormat="1" ht="15.75" customHeight="1" x14ac:dyDescent="0.25">
      <c r="A467" s="649"/>
      <c r="B467" s="650"/>
      <c r="C467" s="650"/>
      <c r="D467" s="651" t="s">
        <v>823</v>
      </c>
      <c r="F467" s="650"/>
      <c r="G467" s="650"/>
      <c r="H467" s="100"/>
      <c r="I467" s="119">
        <f>SUM(I461:I465)</f>
        <v>0</v>
      </c>
      <c r="J467" s="150">
        <f>SUM(J461:J465)</f>
        <v>0</v>
      </c>
      <c r="K467" s="119">
        <f>SUM(K461:K465)</f>
        <v>0</v>
      </c>
      <c r="L467" s="119">
        <f>SUM(L461:L466)</f>
        <v>541559</v>
      </c>
      <c r="M467" s="10"/>
      <c r="N467" s="10"/>
      <c r="O467" s="756"/>
      <c r="P467"/>
    </row>
    <row r="468" spans="1:16" s="146" customFormat="1" ht="14.1" customHeight="1" x14ac:dyDescent="0.25">
      <c r="A468" s="649"/>
      <c r="B468" s="650"/>
      <c r="C468" s="650"/>
      <c r="D468" s="9"/>
      <c r="E468" s="651"/>
      <c r="F468" s="650"/>
      <c r="G468" s="650"/>
      <c r="H468" s="100"/>
      <c r="I468" s="155"/>
      <c r="J468" s="156"/>
      <c r="K468" s="155"/>
      <c r="L468" s="155"/>
      <c r="M468" s="10"/>
      <c r="N468" s="10"/>
      <c r="O468" s="756"/>
      <c r="P468"/>
    </row>
    <row r="469" spans="1:16" s="146" customFormat="1" ht="18" customHeight="1" x14ac:dyDescent="0.25">
      <c r="A469" s="649"/>
      <c r="B469" s="650"/>
      <c r="C469" s="650"/>
      <c r="D469" s="129" t="s">
        <v>799</v>
      </c>
      <c r="E469" s="152"/>
      <c r="F469" s="152"/>
      <c r="G469" s="152"/>
      <c r="H469" s="186"/>
      <c r="I469" s="155"/>
      <c r="J469" s="156"/>
      <c r="K469" s="155"/>
      <c r="L469" s="155"/>
      <c r="M469" s="10"/>
      <c r="N469" s="10"/>
      <c r="O469" s="756"/>
      <c r="P469"/>
    </row>
    <row r="470" spans="1:16" s="146" customFormat="1" ht="35.25" customHeight="1" x14ac:dyDescent="0.25">
      <c r="A470" s="649"/>
      <c r="B470" s="650"/>
      <c r="C470" s="650"/>
      <c r="D470" s="1611" t="s">
        <v>860</v>
      </c>
      <c r="E470" s="1611"/>
      <c r="F470" s="651"/>
      <c r="G470" s="651"/>
      <c r="H470" s="645"/>
      <c r="I470" s="101"/>
      <c r="J470" s="102"/>
      <c r="K470" s="101"/>
      <c r="L470" s="101">
        <v>160000</v>
      </c>
      <c r="M470" s="10"/>
      <c r="N470" s="10"/>
      <c r="O470" s="756"/>
      <c r="P470"/>
    </row>
    <row r="471" spans="1:16" s="146" customFormat="1" ht="18" x14ac:dyDescent="0.25">
      <c r="A471" s="649"/>
      <c r="B471" s="650"/>
      <c r="C471" s="650"/>
      <c r="D471" s="44" t="s">
        <v>861</v>
      </c>
      <c r="E471" s="651"/>
      <c r="F471" s="651"/>
      <c r="G471" s="651"/>
      <c r="H471" s="645"/>
      <c r="I471" s="101"/>
      <c r="J471" s="102"/>
      <c r="K471" s="101"/>
      <c r="L471" s="101">
        <v>15000</v>
      </c>
      <c r="M471" s="10"/>
      <c r="N471" s="10"/>
      <c r="O471" s="756"/>
      <c r="P471"/>
    </row>
    <row r="472" spans="1:16" s="146" customFormat="1" ht="15" customHeight="1" x14ac:dyDescent="0.25">
      <c r="A472" s="649"/>
      <c r="B472" s="650"/>
      <c r="C472" s="650"/>
      <c r="D472" s="651" t="s">
        <v>823</v>
      </c>
      <c r="F472" s="650"/>
      <c r="G472" s="646"/>
      <c r="H472" s="100"/>
      <c r="I472" s="119">
        <f>SUM(I470:I471)</f>
        <v>0</v>
      </c>
      <c r="J472" s="119">
        <f>SUM(J470:J471)</f>
        <v>0</v>
      </c>
      <c r="K472" s="119">
        <f>SUM(K470:K471)</f>
        <v>0</v>
      </c>
      <c r="L472" s="119">
        <f>SUM(L470:L471)</f>
        <v>175000</v>
      </c>
      <c r="M472" s="10"/>
      <c r="N472" s="10"/>
      <c r="O472" s="756"/>
      <c r="P472"/>
    </row>
    <row r="473" spans="1:16" s="146" customFormat="1" ht="18.75" thickBot="1" x14ac:dyDescent="0.3">
      <c r="A473" s="649"/>
      <c r="B473" s="650"/>
      <c r="C473" s="650"/>
      <c r="D473" s="651" t="s">
        <v>15</v>
      </c>
      <c r="F473" s="650"/>
      <c r="G473" s="646"/>
      <c r="H473" s="308"/>
      <c r="I473" s="123">
        <f>I472+I467</f>
        <v>0</v>
      </c>
      <c r="J473" s="123">
        <f>J472+J467</f>
        <v>0</v>
      </c>
      <c r="K473" s="123">
        <f>K472+K467</f>
        <v>0</v>
      </c>
      <c r="L473" s="123">
        <f>L472+L467</f>
        <v>716559</v>
      </c>
      <c r="M473" s="10">
        <v>716559</v>
      </c>
      <c r="N473" s="10"/>
      <c r="O473" s="756"/>
      <c r="P473"/>
    </row>
    <row r="474" spans="1:16" s="146" customFormat="1" ht="15.75" customHeight="1" x14ac:dyDescent="0.25">
      <c r="A474" s="649"/>
      <c r="B474" s="650"/>
      <c r="C474" s="650"/>
      <c r="D474" s="51"/>
      <c r="E474" s="651"/>
      <c r="F474" s="650"/>
      <c r="G474" s="646"/>
      <c r="H474" s="100"/>
      <c r="I474" s="383"/>
      <c r="J474" s="383"/>
      <c r="K474" s="383"/>
      <c r="L474" s="383"/>
      <c r="M474" s="10"/>
      <c r="N474" s="10"/>
      <c r="O474" s="756"/>
      <c r="P474"/>
    </row>
    <row r="475" spans="1:16" s="146" customFormat="1" ht="18" x14ac:dyDescent="0.25">
      <c r="A475" s="667"/>
      <c r="B475" s="651"/>
      <c r="C475" s="651"/>
      <c r="D475" s="1620" t="s">
        <v>862</v>
      </c>
      <c r="E475" s="1620"/>
      <c r="F475" s="1620"/>
      <c r="G475" s="1621"/>
      <c r="H475" s="376"/>
      <c r="I475" s="101"/>
      <c r="J475" s="102"/>
      <c r="K475" s="101"/>
      <c r="L475" s="101"/>
      <c r="M475" s="10"/>
      <c r="N475" s="10"/>
      <c r="O475" s="756"/>
      <c r="P475"/>
    </row>
    <row r="476" spans="1:16" s="146" customFormat="1" ht="18" x14ac:dyDescent="0.25">
      <c r="A476" s="667"/>
      <c r="B476" s="651"/>
      <c r="C476" s="651"/>
      <c r="D476" s="1620" t="s">
        <v>831</v>
      </c>
      <c r="E476" s="1620"/>
      <c r="F476" s="1620"/>
      <c r="G476" s="1621"/>
      <c r="H476" s="376"/>
      <c r="I476" s="101"/>
      <c r="J476" s="102"/>
      <c r="K476" s="101"/>
      <c r="L476" s="101"/>
      <c r="M476" s="10"/>
      <c r="N476" s="10"/>
      <c r="O476" s="756"/>
      <c r="P476"/>
    </row>
    <row r="477" spans="1:16" s="146" customFormat="1" ht="18" x14ac:dyDescent="0.25">
      <c r="A477" s="667"/>
      <c r="B477" s="651"/>
      <c r="C477" s="651"/>
      <c r="D477" s="654" t="s">
        <v>863</v>
      </c>
      <c r="E477" s="651"/>
      <c r="F477" s="651"/>
      <c r="G477" s="651"/>
      <c r="H477" s="376"/>
      <c r="I477" s="101"/>
      <c r="J477" s="102"/>
      <c r="K477" s="101"/>
      <c r="L477" s="101">
        <v>25000</v>
      </c>
      <c r="M477" s="10"/>
      <c r="N477" s="10"/>
      <c r="O477" s="756"/>
      <c r="P477"/>
    </row>
    <row r="478" spans="1:16" s="146" customFormat="1" ht="18" x14ac:dyDescent="0.25">
      <c r="A478" s="667"/>
      <c r="B478" s="651"/>
      <c r="C478" s="651"/>
      <c r="D478" s="654" t="s">
        <v>805</v>
      </c>
      <c r="E478" s="651"/>
      <c r="F478" s="651"/>
      <c r="G478" s="651"/>
      <c r="H478" s="376"/>
      <c r="I478" s="101"/>
      <c r="J478" s="102"/>
      <c r="K478" s="101"/>
      <c r="L478" s="101">
        <v>65000</v>
      </c>
      <c r="M478" s="10"/>
      <c r="N478" s="10"/>
      <c r="O478" s="756"/>
      <c r="P478"/>
    </row>
    <row r="479" spans="1:16" s="146" customFormat="1" ht="18" x14ac:dyDescent="0.25">
      <c r="A479" s="667"/>
      <c r="B479" s="651"/>
      <c r="C479" s="651"/>
      <c r="D479" s="656" t="s">
        <v>815</v>
      </c>
      <c r="E479" s="651"/>
      <c r="F479" s="651"/>
      <c r="G479" s="651"/>
      <c r="H479" s="376"/>
      <c r="I479" s="101"/>
      <c r="J479" s="102"/>
      <c r="K479" s="101"/>
      <c r="L479" s="101">
        <v>120000</v>
      </c>
      <c r="M479" s="10"/>
      <c r="N479" s="10"/>
      <c r="O479" s="756"/>
      <c r="P479"/>
    </row>
    <row r="480" spans="1:16" s="146" customFormat="1" ht="18" x14ac:dyDescent="0.25">
      <c r="A480" s="667"/>
      <c r="B480" s="651"/>
      <c r="C480" s="651"/>
      <c r="D480" s="656" t="s">
        <v>864</v>
      </c>
      <c r="E480" s="651"/>
      <c r="F480" s="651"/>
      <c r="G480" s="651"/>
      <c r="H480" s="376"/>
      <c r="I480" s="101"/>
      <c r="J480" s="102"/>
      <c r="K480" s="101"/>
      <c r="L480" s="101">
        <v>74398</v>
      </c>
      <c r="M480" s="10"/>
      <c r="N480" s="10"/>
      <c r="O480" s="756"/>
      <c r="P480"/>
    </row>
    <row r="481" spans="1:16" s="146" customFormat="1" ht="18" x14ac:dyDescent="0.25">
      <c r="A481" s="667"/>
      <c r="B481" s="651"/>
      <c r="C481" s="651"/>
      <c r="D481" s="656" t="s">
        <v>865</v>
      </c>
      <c r="E481" s="651"/>
      <c r="F481" s="651"/>
      <c r="G481" s="651"/>
      <c r="H481" s="376"/>
      <c r="I481" s="101"/>
      <c r="J481" s="102"/>
      <c r="K481" s="101"/>
      <c r="L481" s="101">
        <v>56890</v>
      </c>
      <c r="M481" s="10"/>
      <c r="N481" s="10"/>
      <c r="O481" s="756"/>
      <c r="P481"/>
    </row>
    <row r="482" spans="1:16" s="146" customFormat="1" ht="18" x14ac:dyDescent="0.25">
      <c r="A482" s="667"/>
      <c r="B482" s="651"/>
      <c r="C482" s="651"/>
      <c r="D482" s="656" t="s">
        <v>866</v>
      </c>
      <c r="E482" s="651"/>
      <c r="F482" s="651"/>
      <c r="G482" s="651"/>
      <c r="H482" s="376"/>
      <c r="I482" s="105"/>
      <c r="J482" s="106"/>
      <c r="K482" s="105"/>
      <c r="L482" s="106">
        <v>102000</v>
      </c>
      <c r="M482" s="10"/>
      <c r="N482" s="10"/>
      <c r="O482" s="756"/>
      <c r="P482"/>
    </row>
    <row r="483" spans="1:16" s="146" customFormat="1" ht="18" x14ac:dyDescent="0.25">
      <c r="A483" s="667"/>
      <c r="B483" s="651"/>
      <c r="C483" s="651"/>
      <c r="D483" s="651" t="s">
        <v>823</v>
      </c>
      <c r="F483" s="651"/>
      <c r="G483" s="651"/>
      <c r="H483" s="376"/>
      <c r="I483" s="155"/>
      <c r="J483" s="156"/>
      <c r="K483" s="155"/>
      <c r="L483" s="155">
        <f>SUM(L477:L482)</f>
        <v>443288</v>
      </c>
      <c r="M483" s="10"/>
      <c r="N483" s="10"/>
      <c r="O483" s="756"/>
      <c r="P483"/>
    </row>
    <row r="484" spans="1:16" s="146" customFormat="1" ht="18" x14ac:dyDescent="0.25">
      <c r="A484" s="667"/>
      <c r="B484" s="651"/>
      <c r="C484" s="651"/>
      <c r="D484" s="651"/>
      <c r="F484" s="651"/>
      <c r="G484" s="651"/>
      <c r="H484" s="376"/>
      <c r="I484" s="155"/>
      <c r="J484" s="156"/>
      <c r="K484" s="155"/>
      <c r="L484" s="155"/>
      <c r="M484" s="10"/>
      <c r="N484" s="10"/>
      <c r="O484" s="756"/>
      <c r="P484"/>
    </row>
    <row r="485" spans="1:16" s="146" customFormat="1" ht="18" x14ac:dyDescent="0.25">
      <c r="A485" s="667"/>
      <c r="B485" s="651"/>
      <c r="C485" s="651"/>
      <c r="D485" s="129" t="s">
        <v>799</v>
      </c>
      <c r="E485" s="651"/>
      <c r="F485" s="651"/>
      <c r="G485" s="651"/>
      <c r="H485" s="376"/>
      <c r="I485" s="101"/>
      <c r="J485" s="102"/>
      <c r="K485" s="101"/>
      <c r="L485" s="101"/>
      <c r="M485" s="10"/>
      <c r="N485" s="10"/>
      <c r="O485" s="756"/>
      <c r="P485"/>
    </row>
    <row r="486" spans="1:16" s="146" customFormat="1" ht="18" x14ac:dyDescent="0.25">
      <c r="A486" s="667"/>
      <c r="B486" s="651"/>
      <c r="C486" s="651"/>
      <c r="D486" s="656" t="s">
        <v>867</v>
      </c>
      <c r="E486" s="651"/>
      <c r="F486" s="651"/>
      <c r="G486" s="651"/>
      <c r="H486" s="376"/>
      <c r="I486" s="101"/>
      <c r="J486" s="102"/>
      <c r="K486" s="101"/>
      <c r="L486" s="101">
        <v>80000</v>
      </c>
      <c r="M486" s="10"/>
      <c r="N486" s="10"/>
      <c r="O486" s="756"/>
      <c r="P486"/>
    </row>
    <row r="487" spans="1:16" s="146" customFormat="1" ht="18" x14ac:dyDescent="0.25">
      <c r="A487" s="667"/>
      <c r="B487" s="651"/>
      <c r="C487" s="651"/>
      <c r="D487" s="656" t="s">
        <v>868</v>
      </c>
      <c r="E487" s="651"/>
      <c r="F487" s="651"/>
      <c r="G487" s="651"/>
      <c r="H487" s="376"/>
      <c r="I487" s="105"/>
      <c r="J487" s="106"/>
      <c r="K487" s="105"/>
      <c r="L487" s="105">
        <v>78000</v>
      </c>
      <c r="M487" s="10"/>
      <c r="N487" s="10"/>
      <c r="O487" s="756"/>
      <c r="P487"/>
    </row>
    <row r="488" spans="1:16" s="146" customFormat="1" ht="18" x14ac:dyDescent="0.25">
      <c r="A488" s="254"/>
      <c r="B488" s="271"/>
      <c r="C488" s="271"/>
      <c r="D488" s="651" t="s">
        <v>823</v>
      </c>
      <c r="F488" s="384"/>
      <c r="G488" s="384"/>
      <c r="H488" s="273"/>
      <c r="I488" s="119"/>
      <c r="J488" s="150"/>
      <c r="K488" s="119"/>
      <c r="L488" s="119">
        <f>SUM(L486:L487)</f>
        <v>158000</v>
      </c>
      <c r="M488" s="10"/>
      <c r="N488" s="10"/>
      <c r="O488" s="756"/>
      <c r="P488"/>
    </row>
    <row r="489" spans="1:16" s="146" customFormat="1" ht="18" x14ac:dyDescent="0.25">
      <c r="A489" s="254"/>
      <c r="B489" s="271"/>
      <c r="C489" s="271"/>
      <c r="D489" s="651" t="s">
        <v>15</v>
      </c>
      <c r="E489" s="575"/>
      <c r="F489" s="384"/>
      <c r="G489" s="384"/>
      <c r="H489" s="254"/>
      <c r="I489" s="119"/>
      <c r="J489" s="150"/>
      <c r="K489" s="119"/>
      <c r="L489" s="119">
        <f>L488+L483</f>
        <v>601288</v>
      </c>
      <c r="M489" s="10">
        <v>601288</v>
      </c>
      <c r="N489" s="10"/>
      <c r="O489" s="756"/>
      <c r="P489"/>
    </row>
    <row r="490" spans="1:16" s="146" customFormat="1" ht="18" x14ac:dyDescent="0.25">
      <c r="A490" s="254"/>
      <c r="B490" s="271"/>
      <c r="C490" s="271"/>
      <c r="D490" s="387"/>
      <c r="E490" s="651"/>
      <c r="F490" s="682"/>
      <c r="G490" s="682"/>
      <c r="H490" s="271"/>
      <c r="I490" s="155"/>
      <c r="J490" s="156"/>
      <c r="K490" s="155"/>
      <c r="L490" s="155"/>
      <c r="M490" s="10"/>
      <c r="N490" s="10"/>
      <c r="O490" s="756"/>
      <c r="P490"/>
    </row>
    <row r="491" spans="1:16" s="146" customFormat="1" ht="18" x14ac:dyDescent="0.25">
      <c r="A491" s="649"/>
      <c r="B491" s="650"/>
      <c r="C491" s="650"/>
      <c r="D491" s="1620" t="s">
        <v>870</v>
      </c>
      <c r="E491" s="1620"/>
      <c r="F491" s="1620"/>
      <c r="G491" s="1621"/>
      <c r="H491" s="195"/>
      <c r="I491" s="101"/>
      <c r="J491" s="102"/>
      <c r="K491" s="101"/>
      <c r="L491" s="101"/>
      <c r="M491" s="10"/>
      <c r="N491" s="10"/>
      <c r="O491" s="756"/>
      <c r="P491"/>
    </row>
    <row r="492" spans="1:16" s="146" customFormat="1" ht="18" x14ac:dyDescent="0.25">
      <c r="A492" s="649"/>
      <c r="B492" s="650"/>
      <c r="C492" s="650"/>
      <c r="D492" s="1620" t="s">
        <v>813</v>
      </c>
      <c r="E492" s="1620"/>
      <c r="F492" s="1620"/>
      <c r="G492" s="1621"/>
      <c r="H492" s="100"/>
      <c r="I492" s="101"/>
      <c r="J492" s="102"/>
      <c r="K492" s="101"/>
      <c r="L492" s="101"/>
      <c r="M492" s="10"/>
      <c r="N492" s="10"/>
      <c r="O492" s="756"/>
      <c r="P492"/>
    </row>
    <row r="493" spans="1:16" s="229" customFormat="1" ht="18" customHeight="1" x14ac:dyDescent="0.25">
      <c r="A493" s="154"/>
      <c r="B493" s="654"/>
      <c r="C493" s="654"/>
      <c r="D493" s="44" t="s">
        <v>804</v>
      </c>
      <c r="E493" s="125"/>
      <c r="F493" s="125"/>
      <c r="G493" s="134"/>
      <c r="H493" s="100" t="s">
        <v>165</v>
      </c>
      <c r="I493" s="101">
        <v>0</v>
      </c>
      <c r="J493" s="102">
        <v>60000</v>
      </c>
      <c r="K493" s="101"/>
      <c r="L493" s="102">
        <v>60000</v>
      </c>
      <c r="M493" s="207"/>
      <c r="N493" s="207"/>
      <c r="O493" s="764"/>
      <c r="P493" s="212"/>
    </row>
    <row r="494" spans="1:16" s="229" customFormat="1" ht="18" customHeight="1" x14ac:dyDescent="0.25">
      <c r="A494" s="154"/>
      <c r="B494" s="654"/>
      <c r="C494" s="654"/>
      <c r="D494" s="44" t="s">
        <v>871</v>
      </c>
      <c r="E494" s="125"/>
      <c r="F494" s="125"/>
      <c r="G494" s="134"/>
      <c r="H494" s="100" t="s">
        <v>187</v>
      </c>
      <c r="I494" s="101">
        <v>0</v>
      </c>
      <c r="J494" s="102">
        <v>19000</v>
      </c>
      <c r="K494" s="101"/>
      <c r="L494" s="102">
        <v>19000</v>
      </c>
      <c r="M494" s="207"/>
      <c r="N494" s="207"/>
      <c r="O494" s="764"/>
      <c r="P494" s="212"/>
    </row>
    <row r="495" spans="1:16" s="229" customFormat="1" ht="18" customHeight="1" x14ac:dyDescent="0.25">
      <c r="A495" s="154"/>
      <c r="B495" s="654"/>
      <c r="C495" s="654"/>
      <c r="D495" s="44" t="s">
        <v>808</v>
      </c>
      <c r="E495" s="125"/>
      <c r="F495" s="125"/>
      <c r="G495" s="134"/>
      <c r="H495" s="100" t="s">
        <v>199</v>
      </c>
      <c r="I495" s="101">
        <v>88000</v>
      </c>
      <c r="J495" s="102">
        <v>96000</v>
      </c>
      <c r="K495" s="101">
        <v>32000</v>
      </c>
      <c r="L495" s="102">
        <v>96000</v>
      </c>
      <c r="M495" s="207"/>
      <c r="N495" s="207"/>
      <c r="O495" s="764"/>
      <c r="P495" s="212"/>
    </row>
    <row r="496" spans="1:16" s="146" customFormat="1" ht="18" x14ac:dyDescent="0.25">
      <c r="A496" s="649"/>
      <c r="B496" s="650"/>
      <c r="C496" s="650"/>
      <c r="D496" s="651" t="s">
        <v>15</v>
      </c>
      <c r="F496" s="650"/>
      <c r="G496" s="650"/>
      <c r="H496" s="100"/>
      <c r="I496" s="119">
        <f>SUM(I493:I495)</f>
        <v>88000</v>
      </c>
      <c r="J496" s="150">
        <f>SUM(J493:J495)</f>
        <v>175000</v>
      </c>
      <c r="K496" s="119">
        <f>SUM(K493:K495)</f>
        <v>32000</v>
      </c>
      <c r="L496" s="119">
        <f>SUM(L493:L495)</f>
        <v>175000</v>
      </c>
      <c r="M496" s="10">
        <v>175000</v>
      </c>
      <c r="N496" s="10"/>
      <c r="O496" s="756"/>
      <c r="P496"/>
    </row>
    <row r="497" spans="1:16" s="146" customFormat="1" ht="18.75" customHeight="1" x14ac:dyDescent="0.25">
      <c r="A497" s="649"/>
      <c r="B497" s="650"/>
      <c r="C497" s="650"/>
      <c r="D497" s="639"/>
      <c r="E497" s="651"/>
      <c r="F497" s="650"/>
      <c r="G497" s="650"/>
      <c r="H497" s="100"/>
      <c r="I497" s="155"/>
      <c r="J497" s="156"/>
      <c r="K497" s="155"/>
      <c r="L497" s="155"/>
      <c r="M497" s="10"/>
      <c r="N497" s="10"/>
      <c r="O497" s="756"/>
      <c r="P497"/>
    </row>
    <row r="498" spans="1:16" ht="18" x14ac:dyDescent="0.25">
      <c r="A498" s="649"/>
      <c r="B498" s="650"/>
      <c r="C498" s="650"/>
      <c r="D498" s="1620" t="s">
        <v>872</v>
      </c>
      <c r="E498" s="1620"/>
      <c r="F498" s="1620"/>
      <c r="G498" s="1620"/>
      <c r="H498" s="100"/>
      <c r="I498" s="101"/>
      <c r="J498" s="102"/>
      <c r="K498" s="101"/>
      <c r="L498" s="101"/>
    </row>
    <row r="499" spans="1:16" s="146" customFormat="1" ht="18" x14ac:dyDescent="0.25">
      <c r="A499" s="649"/>
      <c r="B499" s="650"/>
      <c r="C499" s="650"/>
      <c r="D499" s="1620" t="s">
        <v>813</v>
      </c>
      <c r="E499" s="1620"/>
      <c r="F499" s="1620"/>
      <c r="G499" s="1621"/>
      <c r="H499" s="100"/>
      <c r="I499" s="101"/>
      <c r="J499" s="102"/>
      <c r="K499" s="101"/>
      <c r="L499" s="101"/>
      <c r="M499" s="10"/>
      <c r="N499" s="10"/>
      <c r="O499" s="756"/>
      <c r="P499"/>
    </row>
    <row r="500" spans="1:16" s="229" customFormat="1" ht="18" customHeight="1" x14ac:dyDescent="0.25">
      <c r="A500" s="154"/>
      <c r="B500" s="654"/>
      <c r="C500" s="654"/>
      <c r="D500" s="44" t="s">
        <v>804</v>
      </c>
      <c r="E500" s="125"/>
      <c r="F500" s="125"/>
      <c r="G500" s="134"/>
      <c r="H500" s="100" t="s">
        <v>165</v>
      </c>
      <c r="I500" s="101">
        <v>0</v>
      </c>
      <c r="J500" s="102">
        <v>25000</v>
      </c>
      <c r="K500" s="101"/>
      <c r="L500" s="101">
        <v>25000</v>
      </c>
      <c r="M500" s="207"/>
      <c r="N500" s="207"/>
      <c r="O500" s="764"/>
      <c r="P500" s="212"/>
    </row>
    <row r="501" spans="1:16" s="229" customFormat="1" ht="18" customHeight="1" x14ac:dyDescent="0.25">
      <c r="A501" s="154"/>
      <c r="B501" s="654"/>
      <c r="C501" s="654"/>
      <c r="D501" s="44" t="s">
        <v>806</v>
      </c>
      <c r="E501" s="125"/>
      <c r="F501" s="125"/>
      <c r="G501" s="134"/>
      <c r="H501" s="100" t="s">
        <v>169</v>
      </c>
      <c r="I501" s="101">
        <v>54637.5</v>
      </c>
      <c r="J501" s="102">
        <v>289579</v>
      </c>
      <c r="K501" s="101">
        <v>155306</v>
      </c>
      <c r="L501" s="101">
        <v>244230</v>
      </c>
      <c r="M501" s="207"/>
      <c r="N501" s="207"/>
      <c r="O501" s="764"/>
      <c r="P501" s="212"/>
    </row>
    <row r="502" spans="1:16" s="229" customFormat="1" ht="18" customHeight="1" x14ac:dyDescent="0.25">
      <c r="A502" s="154"/>
      <c r="B502" s="654"/>
      <c r="C502" s="654"/>
      <c r="D502" s="44" t="s">
        <v>873</v>
      </c>
      <c r="E502" s="125"/>
      <c r="F502" s="125"/>
      <c r="G502" s="134"/>
      <c r="H502" s="100" t="s">
        <v>173</v>
      </c>
      <c r="I502" s="101">
        <v>926684.85</v>
      </c>
      <c r="J502" s="102">
        <v>1200000</v>
      </c>
      <c r="K502" s="101">
        <v>400047.4</v>
      </c>
      <c r="L502" s="101">
        <v>1727900</v>
      </c>
      <c r="M502" s="207"/>
      <c r="N502" s="207"/>
      <c r="O502" s="764"/>
      <c r="P502" s="212"/>
    </row>
    <row r="503" spans="1:16" s="229" customFormat="1" ht="18" customHeight="1" x14ac:dyDescent="0.25">
      <c r="A503" s="154"/>
      <c r="B503" s="654"/>
      <c r="C503" s="654"/>
      <c r="D503" s="44" t="s">
        <v>865</v>
      </c>
      <c r="E503" s="125"/>
      <c r="F503" s="125"/>
      <c r="G503" s="134"/>
      <c r="H503" s="100"/>
      <c r="I503" s="101"/>
      <c r="J503" s="102"/>
      <c r="K503" s="101"/>
      <c r="L503" s="101">
        <v>1059090</v>
      </c>
      <c r="M503" s="207"/>
      <c r="N503" s="207"/>
      <c r="O503" s="764"/>
      <c r="P503" s="212"/>
    </row>
    <row r="504" spans="1:16" s="229" customFormat="1" ht="18" customHeight="1" x14ac:dyDescent="0.25">
      <c r="A504" s="154"/>
      <c r="B504" s="654"/>
      <c r="C504" s="654"/>
      <c r="D504" s="44" t="s">
        <v>874</v>
      </c>
      <c r="E504" s="125"/>
      <c r="F504" s="125"/>
      <c r="G504" s="655"/>
      <c r="H504" s="100" t="s">
        <v>171</v>
      </c>
      <c r="I504" s="101">
        <v>1985</v>
      </c>
      <c r="J504" s="102">
        <v>57096</v>
      </c>
      <c r="K504" s="101"/>
      <c r="L504" s="101"/>
      <c r="M504" s="207"/>
      <c r="N504" s="207"/>
      <c r="O504" s="764"/>
      <c r="P504" s="212"/>
    </row>
    <row r="505" spans="1:16" s="229" customFormat="1" ht="18" customHeight="1" x14ac:dyDescent="0.25">
      <c r="A505" s="154"/>
      <c r="B505" s="654"/>
      <c r="C505" s="654"/>
      <c r="D505" s="44" t="s">
        <v>815</v>
      </c>
      <c r="E505" s="125"/>
      <c r="F505" s="125"/>
      <c r="G505" s="134"/>
      <c r="H505" s="100" t="s">
        <v>385</v>
      </c>
      <c r="I505" s="101">
        <v>156375.29</v>
      </c>
      <c r="J505" s="102">
        <v>200000</v>
      </c>
      <c r="K505" s="101">
        <v>117485.65</v>
      </c>
      <c r="L505" s="101">
        <v>240000</v>
      </c>
      <c r="M505" s="207"/>
      <c r="N505" s="207"/>
      <c r="O505" s="764"/>
      <c r="P505" s="212"/>
    </row>
    <row r="506" spans="1:16" s="229" customFormat="1" ht="18" customHeight="1" x14ac:dyDescent="0.25">
      <c r="A506" s="154"/>
      <c r="B506" s="654"/>
      <c r="C506" s="654"/>
      <c r="D506" s="44" t="s">
        <v>871</v>
      </c>
      <c r="E506" s="125"/>
      <c r="F506" s="125"/>
      <c r="G506" s="134"/>
      <c r="H506" s="100" t="s">
        <v>187</v>
      </c>
      <c r="I506" s="101">
        <v>0</v>
      </c>
      <c r="J506" s="102">
        <v>21000</v>
      </c>
      <c r="K506" s="101"/>
      <c r="L506" s="101">
        <v>26000</v>
      </c>
      <c r="M506" s="207"/>
      <c r="N506" s="207"/>
      <c r="O506" s="764"/>
      <c r="P506" s="212"/>
    </row>
    <row r="507" spans="1:16" s="229" customFormat="1" ht="18" customHeight="1" x14ac:dyDescent="0.25">
      <c r="A507" s="154"/>
      <c r="B507" s="654"/>
      <c r="C507" s="654"/>
      <c r="D507" s="44" t="s">
        <v>875</v>
      </c>
      <c r="E507" s="125"/>
      <c r="F507" s="125"/>
      <c r="G507" s="134"/>
      <c r="H507" s="100" t="s">
        <v>189</v>
      </c>
      <c r="I507" s="101">
        <v>52830</v>
      </c>
      <c r="J507" s="102">
        <v>200000</v>
      </c>
      <c r="K507" s="101">
        <v>34530</v>
      </c>
      <c r="L507" s="101">
        <v>373000</v>
      </c>
      <c r="M507" s="207"/>
      <c r="N507" s="207"/>
      <c r="O507" s="764"/>
      <c r="P507" s="212"/>
    </row>
    <row r="508" spans="1:16" s="229" customFormat="1" ht="18" customHeight="1" x14ac:dyDescent="0.25">
      <c r="A508" s="154"/>
      <c r="B508" s="654"/>
      <c r="C508" s="654"/>
      <c r="D508" s="44" t="s">
        <v>808</v>
      </c>
      <c r="E508" s="125"/>
      <c r="F508" s="125"/>
      <c r="G508" s="134"/>
      <c r="H508" s="100" t="s">
        <v>199</v>
      </c>
      <c r="I508" s="101">
        <v>169000</v>
      </c>
      <c r="J508" s="102">
        <v>300000</v>
      </c>
      <c r="K508" s="101">
        <v>40200</v>
      </c>
      <c r="L508" s="105">
        <v>480000</v>
      </c>
      <c r="M508" s="207"/>
      <c r="N508" s="207"/>
      <c r="O508" s="764"/>
      <c r="P508" s="212"/>
    </row>
    <row r="509" spans="1:16" s="146" customFormat="1" ht="18" x14ac:dyDescent="0.25">
      <c r="A509" s="649"/>
      <c r="B509" s="650"/>
      <c r="C509" s="650"/>
      <c r="D509" s="651" t="s">
        <v>823</v>
      </c>
      <c r="E509" s="573"/>
      <c r="F509" s="650"/>
      <c r="G509" s="646"/>
      <c r="H509" s="100"/>
      <c r="I509" s="119">
        <f>SUM(I500:I508)</f>
        <v>1361512.64</v>
      </c>
      <c r="J509" s="119">
        <f>SUM(J500:J508)</f>
        <v>2292675</v>
      </c>
      <c r="K509" s="119">
        <f>SUM(K500:K508)</f>
        <v>747569.05</v>
      </c>
      <c r="L509" s="119">
        <f>SUM(L500:L508)</f>
        <v>4175220</v>
      </c>
      <c r="M509" s="10"/>
      <c r="N509" s="10"/>
      <c r="O509" s="756"/>
      <c r="P509"/>
    </row>
    <row r="510" spans="1:16" s="146" customFormat="1" ht="18" x14ac:dyDescent="0.25">
      <c r="A510" s="254"/>
      <c r="B510" s="271"/>
      <c r="C510" s="271"/>
      <c r="D510" s="387"/>
      <c r="E510" s="651"/>
      <c r="F510" s="682"/>
      <c r="G510" s="576"/>
      <c r="H510" s="273"/>
      <c r="I510" s="155"/>
      <c r="J510" s="156"/>
      <c r="K510" s="155"/>
      <c r="L510" s="155"/>
      <c r="M510" s="10"/>
      <c r="N510" s="10"/>
      <c r="O510" s="756"/>
      <c r="P510"/>
    </row>
    <row r="511" spans="1:16" s="146" customFormat="1" ht="18" x14ac:dyDescent="0.25">
      <c r="A511" s="649"/>
      <c r="B511" s="650"/>
      <c r="C511" s="650"/>
      <c r="D511" s="1620" t="s">
        <v>799</v>
      </c>
      <c r="E511" s="1620"/>
      <c r="F511" s="1620"/>
      <c r="G511" s="1621"/>
      <c r="H511" s="100"/>
      <c r="I511" s="101"/>
      <c r="J511" s="102"/>
      <c r="K511" s="101"/>
      <c r="L511" s="101"/>
      <c r="M511" s="10"/>
      <c r="N511" s="10"/>
      <c r="O511" s="756"/>
      <c r="P511"/>
    </row>
    <row r="512" spans="1:16" s="146" customFormat="1" ht="18" x14ac:dyDescent="0.25">
      <c r="A512" s="649"/>
      <c r="B512" s="650"/>
      <c r="C512" s="650"/>
      <c r="D512" s="654" t="s">
        <v>876</v>
      </c>
      <c r="E512" s="651"/>
      <c r="F512" s="651"/>
      <c r="G512" s="644"/>
      <c r="H512" s="100"/>
      <c r="I512" s="101"/>
      <c r="J512" s="102"/>
      <c r="K512" s="101"/>
      <c r="L512" s="101">
        <v>375000</v>
      </c>
      <c r="M512" s="10"/>
      <c r="N512" s="10"/>
      <c r="O512" s="756"/>
      <c r="P512"/>
    </row>
    <row r="513" spans="1:16" s="388" customFormat="1" ht="18" x14ac:dyDescent="0.25">
      <c r="A513" s="154"/>
      <c r="B513" s="654"/>
      <c r="C513" s="654"/>
      <c r="D513" s="654" t="s">
        <v>824</v>
      </c>
      <c r="E513" s="654"/>
      <c r="F513" s="654"/>
      <c r="G513" s="655"/>
      <c r="H513" s="100"/>
      <c r="I513" s="101"/>
      <c r="J513" s="102"/>
      <c r="K513" s="101"/>
      <c r="L513" s="101">
        <v>80000</v>
      </c>
      <c r="M513" s="207"/>
      <c r="N513" s="207"/>
      <c r="O513" s="764"/>
      <c r="P513" s="208"/>
    </row>
    <row r="514" spans="1:16" s="388" customFormat="1" ht="18" x14ac:dyDescent="0.25">
      <c r="A514" s="154"/>
      <c r="B514" s="654"/>
      <c r="C514" s="654"/>
      <c r="D514" s="654" t="s">
        <v>877</v>
      </c>
      <c r="E514" s="654"/>
      <c r="F514" s="654"/>
      <c r="G514" s="655"/>
      <c r="H514" s="100"/>
      <c r="I514" s="101"/>
      <c r="J514" s="102"/>
      <c r="K514" s="101"/>
      <c r="L514" s="101">
        <v>65000</v>
      </c>
      <c r="M514" s="207"/>
      <c r="N514" s="207"/>
      <c r="O514" s="764"/>
      <c r="P514" s="208"/>
    </row>
    <row r="515" spans="1:16" s="388" customFormat="1" ht="18" x14ac:dyDescent="0.25">
      <c r="A515" s="154"/>
      <c r="B515" s="654"/>
      <c r="C515" s="654"/>
      <c r="D515" s="656" t="s">
        <v>878</v>
      </c>
      <c r="E515" s="656"/>
      <c r="F515" s="656"/>
      <c r="G515" s="657"/>
      <c r="H515" s="205"/>
      <c r="I515" s="102"/>
      <c r="J515" s="102"/>
      <c r="K515" s="102"/>
      <c r="L515" s="102">
        <v>28000</v>
      </c>
      <c r="M515" s="207"/>
      <c r="N515" s="207"/>
      <c r="O515" s="764"/>
      <c r="P515" s="208"/>
    </row>
    <row r="516" spans="1:16" s="388" customFormat="1" ht="18" x14ac:dyDescent="0.25">
      <c r="A516" s="154"/>
      <c r="B516" s="654"/>
      <c r="C516" s="654"/>
      <c r="D516" s="654" t="s">
        <v>879</v>
      </c>
      <c r="E516" s="654"/>
      <c r="F516" s="654"/>
      <c r="G516" s="655"/>
      <c r="H516" s="100"/>
      <c r="I516" s="101"/>
      <c r="J516" s="102"/>
      <c r="K516" s="101"/>
      <c r="L516" s="101">
        <v>96000</v>
      </c>
      <c r="M516" s="207"/>
      <c r="N516" s="207"/>
      <c r="O516" s="764"/>
      <c r="P516" s="208"/>
    </row>
    <row r="517" spans="1:16" s="388" customFormat="1" ht="18" x14ac:dyDescent="0.25">
      <c r="A517" s="154"/>
      <c r="B517" s="654"/>
      <c r="C517" s="654"/>
      <c r="D517" s="654" t="s">
        <v>880</v>
      </c>
      <c r="E517" s="654"/>
      <c r="F517" s="654"/>
      <c r="G517" s="655"/>
      <c r="H517" s="100"/>
      <c r="I517" s="101"/>
      <c r="J517" s="102"/>
      <c r="K517" s="101"/>
      <c r="L517" s="101">
        <v>192000</v>
      </c>
      <c r="M517" s="207"/>
      <c r="N517" s="207"/>
      <c r="O517" s="764"/>
      <c r="P517" s="208"/>
    </row>
    <row r="518" spans="1:16" s="146" customFormat="1" ht="18.75" thickBot="1" x14ac:dyDescent="0.3">
      <c r="A518" s="371"/>
      <c r="B518" s="374"/>
      <c r="C518" s="374"/>
      <c r="D518" s="385"/>
      <c r="E518" s="659"/>
      <c r="F518" s="577"/>
      <c r="G518" s="578"/>
      <c r="H518" s="386"/>
      <c r="I518" s="182"/>
      <c r="J518" s="183"/>
      <c r="K518" s="182"/>
      <c r="L518" s="182"/>
      <c r="M518" s="10"/>
      <c r="N518" s="10"/>
      <c r="O518" s="756"/>
      <c r="P518"/>
    </row>
    <row r="519" spans="1:16" s="146" customFormat="1" ht="18" x14ac:dyDescent="0.25">
      <c r="A519" s="271"/>
      <c r="B519" s="271"/>
      <c r="C519" s="271"/>
      <c r="D519" s="387"/>
      <c r="E519" s="651"/>
      <c r="F519" s="682"/>
      <c r="G519" s="682"/>
      <c r="H519" s="271"/>
      <c r="I519" s="126"/>
      <c r="J519" s="127"/>
      <c r="K519" s="126"/>
      <c r="L519" s="126"/>
      <c r="M519" s="10"/>
      <c r="N519" s="10"/>
      <c r="O519" s="756"/>
      <c r="P519"/>
    </row>
    <row r="520" spans="1:16" ht="18" customHeight="1" x14ac:dyDescent="0.25">
      <c r="A520" s="8" t="s">
        <v>112</v>
      </c>
    </row>
    <row r="521" spans="1:16" ht="18" customHeight="1" x14ac:dyDescent="0.25">
      <c r="A521" s="8" t="s">
        <v>869</v>
      </c>
    </row>
    <row r="522" spans="1:16" ht="18" customHeight="1" x14ac:dyDescent="0.25">
      <c r="A522" s="1636" t="s">
        <v>113</v>
      </c>
      <c r="B522" s="1636"/>
      <c r="C522" s="1636"/>
      <c r="D522" s="1636"/>
      <c r="E522" s="1636"/>
      <c r="F522" s="1636"/>
      <c r="G522" s="1636"/>
      <c r="H522" s="1636"/>
      <c r="I522" s="1636"/>
      <c r="J522" s="1636"/>
      <c r="K522" s="1636"/>
      <c r="L522" s="1636"/>
    </row>
    <row r="523" spans="1:16" s="7" customFormat="1" ht="18" customHeight="1" x14ac:dyDescent="0.25">
      <c r="A523" s="1624" t="s">
        <v>114</v>
      </c>
      <c r="B523" s="1624"/>
      <c r="C523" s="1624"/>
      <c r="D523" s="1624"/>
      <c r="E523" s="1624"/>
      <c r="F523" s="1624"/>
      <c r="G523" s="1624"/>
      <c r="H523" s="1624"/>
      <c r="I523" s="1624"/>
      <c r="J523" s="1624"/>
      <c r="K523" s="1624"/>
      <c r="L523" s="1624"/>
      <c r="M523" s="6"/>
      <c r="N523" s="6"/>
      <c r="O523" s="762"/>
    </row>
    <row r="524" spans="1:16" ht="18.75" thickBot="1" x14ac:dyDescent="0.3">
      <c r="A524" s="41"/>
      <c r="B524" s="41"/>
      <c r="C524" s="41"/>
      <c r="D524" s="63"/>
      <c r="E524" s="41"/>
      <c r="F524" s="41"/>
      <c r="G524" s="41"/>
      <c r="H524" s="41"/>
    </row>
    <row r="525" spans="1:16" ht="63.75" customHeight="1" thickBot="1" x14ac:dyDescent="0.3">
      <c r="A525" s="1625" t="s">
        <v>115</v>
      </c>
      <c r="B525" s="1626"/>
      <c r="C525" s="1626"/>
      <c r="D525" s="1626"/>
      <c r="E525" s="1626"/>
      <c r="F525" s="1626"/>
      <c r="G525" s="1627"/>
      <c r="H525" s="93" t="s">
        <v>116</v>
      </c>
      <c r="I525" s="130" t="s">
        <v>117</v>
      </c>
      <c r="J525" s="130" t="s">
        <v>118</v>
      </c>
      <c r="K525" s="130" t="s">
        <v>119</v>
      </c>
      <c r="L525" s="130" t="s">
        <v>120</v>
      </c>
    </row>
    <row r="526" spans="1:16" s="146" customFormat="1" ht="18" x14ac:dyDescent="0.25">
      <c r="A526" s="649"/>
      <c r="B526" s="650"/>
      <c r="C526" s="650"/>
      <c r="D526" s="1620" t="s">
        <v>799</v>
      </c>
      <c r="E526" s="1620"/>
      <c r="F526" s="1620"/>
      <c r="G526" s="1621"/>
      <c r="H526" s="100"/>
      <c r="I526" s="155"/>
      <c r="J526" s="156"/>
      <c r="K526" s="155"/>
      <c r="L526" s="155"/>
      <c r="M526" s="10"/>
      <c r="N526" s="10"/>
      <c r="O526" s="756"/>
      <c r="P526"/>
    </row>
    <row r="527" spans="1:16" s="388" customFormat="1" ht="18" x14ac:dyDescent="0.25">
      <c r="A527" s="154"/>
      <c r="B527" s="654"/>
      <c r="C527" s="654"/>
      <c r="D527" s="654" t="s">
        <v>881</v>
      </c>
      <c r="E527" s="654"/>
      <c r="F527" s="654"/>
      <c r="G527" s="655"/>
      <c r="H527" s="100"/>
      <c r="I527" s="101"/>
      <c r="J527" s="102"/>
      <c r="K527" s="101"/>
      <c r="L527" s="101">
        <v>15000</v>
      </c>
      <c r="M527" s="207"/>
      <c r="N527" s="207"/>
      <c r="O527" s="764"/>
      <c r="P527" s="208"/>
    </row>
    <row r="528" spans="1:16" s="388" customFormat="1" ht="18" x14ac:dyDescent="0.25">
      <c r="A528" s="154"/>
      <c r="B528" s="654"/>
      <c r="C528" s="654"/>
      <c r="D528" s="654" t="s">
        <v>882</v>
      </c>
      <c r="E528" s="654"/>
      <c r="F528" s="654"/>
      <c r="G528" s="655"/>
      <c r="H528" s="100"/>
      <c r="I528" s="101"/>
      <c r="J528" s="102"/>
      <c r="K528" s="101"/>
      <c r="L528" s="101">
        <v>280000</v>
      </c>
      <c r="M528" s="207"/>
      <c r="N528" s="207"/>
      <c r="O528" s="764"/>
      <c r="P528" s="208"/>
    </row>
    <row r="529" spans="1:16" s="146" customFormat="1" ht="18" x14ac:dyDescent="0.25">
      <c r="A529" s="649"/>
      <c r="B529" s="650"/>
      <c r="C529" s="650"/>
      <c r="D529" s="1611" t="s">
        <v>883</v>
      </c>
      <c r="E529" s="1611"/>
      <c r="F529" s="1611"/>
      <c r="G529" s="1602"/>
      <c r="H529" s="100"/>
      <c r="I529" s="101"/>
      <c r="J529" s="102">
        <v>75000</v>
      </c>
      <c r="K529" s="101"/>
      <c r="L529" s="101"/>
      <c r="M529" s="10"/>
      <c r="N529" s="10"/>
      <c r="O529" s="756"/>
      <c r="P529"/>
    </row>
    <row r="530" spans="1:16" s="146" customFormat="1" ht="18" x14ac:dyDescent="0.25">
      <c r="A530" s="649"/>
      <c r="B530" s="650"/>
      <c r="C530" s="650"/>
      <c r="D530" s="656" t="s">
        <v>884</v>
      </c>
      <c r="E530" s="650"/>
      <c r="F530" s="650"/>
      <c r="G530" s="646"/>
      <c r="H530" s="100"/>
      <c r="I530" s="101"/>
      <c r="J530" s="102">
        <v>65000</v>
      </c>
      <c r="K530" s="101"/>
      <c r="L530" s="101"/>
      <c r="M530" s="10"/>
      <c r="N530" s="10"/>
      <c r="O530" s="756"/>
      <c r="P530"/>
    </row>
    <row r="531" spans="1:16" s="146" customFormat="1" ht="18" x14ac:dyDescent="0.25">
      <c r="A531" s="649"/>
      <c r="B531" s="650"/>
      <c r="C531" s="650"/>
      <c r="D531" s="656" t="s">
        <v>885</v>
      </c>
      <c r="E531" s="650"/>
      <c r="F531" s="650"/>
      <c r="G531" s="646"/>
      <c r="H531" s="100"/>
      <c r="I531" s="101"/>
      <c r="J531" s="102">
        <v>15000</v>
      </c>
      <c r="K531" s="101"/>
      <c r="L531" s="101"/>
      <c r="M531" s="10"/>
      <c r="N531" s="10"/>
      <c r="O531" s="756"/>
      <c r="P531"/>
    </row>
    <row r="532" spans="1:16" s="146" customFormat="1" ht="19.5" customHeight="1" x14ac:dyDescent="0.25">
      <c r="A532" s="649"/>
      <c r="B532" s="650"/>
      <c r="C532" s="650"/>
      <c r="D532" s="1611" t="s">
        <v>886</v>
      </c>
      <c r="E532" s="1611"/>
      <c r="F532" s="1611"/>
      <c r="G532" s="1602"/>
      <c r="H532" s="100"/>
      <c r="I532" s="101">
        <v>0</v>
      </c>
      <c r="J532" s="102">
        <v>40000</v>
      </c>
      <c r="K532" s="101"/>
      <c r="L532" s="101"/>
      <c r="M532" s="10"/>
      <c r="N532" s="10"/>
      <c r="O532" s="756"/>
      <c r="P532"/>
    </row>
    <row r="533" spans="1:16" s="146" customFormat="1" ht="19.5" customHeight="1" x14ac:dyDescent="0.25">
      <c r="A533" s="649"/>
      <c r="B533" s="650"/>
      <c r="C533" s="650"/>
      <c r="D533" s="1611" t="s">
        <v>887</v>
      </c>
      <c r="E533" s="1611"/>
      <c r="F533" s="1611"/>
      <c r="G533" s="1602"/>
      <c r="H533" s="100"/>
      <c r="I533" s="101">
        <v>0</v>
      </c>
      <c r="J533" s="102">
        <v>38000</v>
      </c>
      <c r="K533" s="101"/>
      <c r="L533" s="101"/>
      <c r="M533" s="10"/>
      <c r="N533" s="10"/>
      <c r="O533" s="756"/>
      <c r="P533"/>
    </row>
    <row r="534" spans="1:16" s="146" customFormat="1" ht="18.75" customHeight="1" x14ac:dyDescent="0.25">
      <c r="A534" s="649"/>
      <c r="B534" s="650"/>
      <c r="C534" s="650"/>
      <c r="D534" s="656" t="s">
        <v>888</v>
      </c>
      <c r="E534" s="650"/>
      <c r="F534" s="650"/>
      <c r="G534" s="646"/>
      <c r="H534" s="100"/>
      <c r="I534" s="101"/>
      <c r="J534" s="102">
        <v>50000</v>
      </c>
      <c r="K534" s="101"/>
      <c r="L534" s="101"/>
      <c r="M534" s="10"/>
      <c r="N534" s="10"/>
      <c r="O534" s="756"/>
      <c r="P534"/>
    </row>
    <row r="535" spans="1:16" s="146" customFormat="1" ht="18.75" customHeight="1" x14ac:dyDescent="0.25">
      <c r="A535" s="649"/>
      <c r="B535" s="650"/>
      <c r="C535" s="650"/>
      <c r="D535" s="656" t="s">
        <v>889</v>
      </c>
      <c r="E535" s="650"/>
      <c r="F535" s="650"/>
      <c r="G535" s="646"/>
      <c r="H535" s="100"/>
      <c r="I535" s="101"/>
      <c r="J535" s="102">
        <v>80000</v>
      </c>
      <c r="K535" s="101"/>
      <c r="L535" s="101"/>
      <c r="M535" s="10"/>
      <c r="N535" s="10"/>
      <c r="O535" s="756"/>
      <c r="P535"/>
    </row>
    <row r="536" spans="1:16" s="146" customFormat="1" ht="16.5" customHeight="1" x14ac:dyDescent="0.25">
      <c r="A536" s="649"/>
      <c r="B536" s="650"/>
      <c r="C536" s="650"/>
      <c r="D536" s="656" t="s">
        <v>890</v>
      </c>
      <c r="E536" s="646"/>
      <c r="F536" s="647"/>
      <c r="G536" s="647"/>
      <c r="H536" s="100"/>
      <c r="I536" s="101"/>
      <c r="J536" s="102">
        <v>30000</v>
      </c>
      <c r="K536" s="101"/>
      <c r="L536" s="105"/>
      <c r="M536" s="10"/>
      <c r="N536" s="10"/>
      <c r="O536" s="756"/>
      <c r="P536"/>
    </row>
    <row r="537" spans="1:16" s="146" customFormat="1" ht="18" x14ac:dyDescent="0.25">
      <c r="A537" s="649"/>
      <c r="B537" s="650"/>
      <c r="C537" s="650"/>
      <c r="D537" s="651" t="s">
        <v>823</v>
      </c>
      <c r="E537" s="575"/>
      <c r="F537" s="647"/>
      <c r="G537" s="647"/>
      <c r="H537" s="100"/>
      <c r="I537" s="119">
        <f>SUM(I529:I536)</f>
        <v>0</v>
      </c>
      <c r="J537" s="150">
        <f>SUM(J529:J536)</f>
        <v>393000</v>
      </c>
      <c r="K537" s="119">
        <f>SUM(K529:K536)</f>
        <v>0</v>
      </c>
      <c r="L537" s="119">
        <f>SUM(L512:L536)</f>
        <v>1131000</v>
      </c>
      <c r="M537" s="10"/>
      <c r="N537" s="10"/>
      <c r="O537" s="756"/>
      <c r="P537"/>
    </row>
    <row r="538" spans="1:16" s="146" customFormat="1" ht="18" x14ac:dyDescent="0.25">
      <c r="A538" s="649"/>
      <c r="B538" s="650"/>
      <c r="C538" s="650"/>
      <c r="D538" s="38"/>
      <c r="E538" s="644"/>
      <c r="F538" s="647"/>
      <c r="G538" s="647"/>
      <c r="H538" s="100"/>
      <c r="I538" s="155"/>
      <c r="J538" s="156"/>
      <c r="K538" s="155"/>
      <c r="L538" s="155"/>
      <c r="M538" s="10"/>
      <c r="N538" s="10"/>
      <c r="O538" s="756"/>
      <c r="P538"/>
    </row>
    <row r="539" spans="1:16" s="146" customFormat="1" ht="18" x14ac:dyDescent="0.25">
      <c r="A539" s="649"/>
      <c r="B539" s="650"/>
      <c r="C539" s="650"/>
      <c r="D539" s="1620" t="s">
        <v>892</v>
      </c>
      <c r="E539" s="1620"/>
      <c r="F539" s="650"/>
      <c r="G539" s="646"/>
      <c r="H539" s="100"/>
      <c r="I539" s="101"/>
      <c r="J539" s="102"/>
      <c r="K539" s="101"/>
      <c r="L539" s="101"/>
      <c r="M539" s="10"/>
      <c r="N539" s="10"/>
      <c r="O539" s="756"/>
      <c r="P539"/>
    </row>
    <row r="540" spans="1:16" s="146" customFormat="1" ht="18" x14ac:dyDescent="0.25">
      <c r="A540" s="649"/>
      <c r="B540" s="650"/>
      <c r="C540" s="650"/>
      <c r="D540" s="38" t="s">
        <v>893</v>
      </c>
      <c r="E540" s="650"/>
      <c r="F540" s="650"/>
      <c r="G540" s="646"/>
      <c r="H540" s="100"/>
      <c r="I540" s="101"/>
      <c r="J540" s="102"/>
      <c r="K540" s="101"/>
      <c r="L540" s="101"/>
      <c r="M540" s="10"/>
      <c r="N540" s="10"/>
      <c r="O540" s="756"/>
      <c r="P540"/>
    </row>
    <row r="541" spans="1:16" s="146" customFormat="1" ht="18" x14ac:dyDescent="0.25">
      <c r="A541" s="649"/>
      <c r="B541" s="650"/>
      <c r="C541" s="650"/>
      <c r="D541" s="38" t="s">
        <v>894</v>
      </c>
      <c r="E541" s="650"/>
      <c r="F541" s="650"/>
      <c r="G541" s="646"/>
      <c r="H541" s="100"/>
      <c r="I541" s="101">
        <v>79315</v>
      </c>
      <c r="J541" s="102">
        <v>85000</v>
      </c>
      <c r="K541" s="101"/>
      <c r="L541" s="101">
        <v>85000</v>
      </c>
      <c r="M541" s="10"/>
      <c r="N541" s="10"/>
      <c r="O541" s="756"/>
      <c r="P541"/>
    </row>
    <row r="542" spans="1:16" s="146" customFormat="1" ht="18" x14ac:dyDescent="0.25">
      <c r="A542" s="649"/>
      <c r="B542" s="650"/>
      <c r="C542" s="650"/>
      <c r="D542" s="38" t="s">
        <v>895</v>
      </c>
      <c r="E542" s="650"/>
      <c r="F542" s="650"/>
      <c r="G542" s="646"/>
      <c r="H542" s="100"/>
      <c r="I542" s="101">
        <v>23150</v>
      </c>
      <c r="J542" s="102">
        <v>40000</v>
      </c>
      <c r="K542" s="101"/>
      <c r="L542" s="101">
        <v>40000</v>
      </c>
      <c r="M542" s="10"/>
      <c r="N542" s="10"/>
      <c r="O542" s="756"/>
      <c r="P542"/>
    </row>
    <row r="543" spans="1:16" s="146" customFormat="1" ht="18" x14ac:dyDescent="0.25">
      <c r="A543" s="649"/>
      <c r="B543" s="650"/>
      <c r="C543" s="650"/>
      <c r="D543" s="38" t="s">
        <v>896</v>
      </c>
      <c r="E543" s="650"/>
      <c r="F543" s="650"/>
      <c r="G543" s="646"/>
      <c r="H543" s="100"/>
      <c r="I543" s="101">
        <v>14556</v>
      </c>
      <c r="J543" s="102">
        <v>25000</v>
      </c>
      <c r="K543" s="101"/>
      <c r="L543" s="101">
        <v>25000</v>
      </c>
      <c r="M543" s="10"/>
      <c r="N543" s="10"/>
      <c r="O543" s="756"/>
      <c r="P543"/>
    </row>
    <row r="544" spans="1:16" s="146" customFormat="1" ht="18" x14ac:dyDescent="0.25">
      <c r="A544" s="649"/>
      <c r="B544" s="650"/>
      <c r="C544" s="650"/>
      <c r="D544" s="38" t="s">
        <v>897</v>
      </c>
      <c r="E544" s="650"/>
      <c r="F544" s="650"/>
      <c r="G544" s="646"/>
      <c r="H544" s="100"/>
      <c r="I544" s="101">
        <v>56568</v>
      </c>
      <c r="J544" s="102">
        <v>60000</v>
      </c>
      <c r="K544" s="101"/>
      <c r="L544" s="101">
        <v>60000</v>
      </c>
      <c r="M544" s="10"/>
      <c r="N544" s="10"/>
      <c r="O544" s="756"/>
      <c r="P544"/>
    </row>
    <row r="545" spans="1:16" s="146" customFormat="1" ht="18" x14ac:dyDescent="0.25">
      <c r="A545" s="649"/>
      <c r="B545" s="650"/>
      <c r="C545" s="650"/>
      <c r="D545" s="38" t="s">
        <v>898</v>
      </c>
      <c r="E545" s="650"/>
      <c r="F545" s="650"/>
      <c r="G545" s="646"/>
      <c r="H545" s="100"/>
      <c r="I545" s="101">
        <v>60000</v>
      </c>
      <c r="J545" s="102">
        <v>60000</v>
      </c>
      <c r="K545" s="101"/>
      <c r="L545" s="101">
        <v>60000</v>
      </c>
      <c r="M545" s="10"/>
      <c r="N545" s="10"/>
      <c r="O545" s="756"/>
      <c r="P545"/>
    </row>
    <row r="546" spans="1:16" s="146" customFormat="1" ht="18" x14ac:dyDescent="0.25">
      <c r="A546" s="649"/>
      <c r="B546" s="650"/>
      <c r="C546" s="650"/>
      <c r="D546" s="1639" t="s">
        <v>899</v>
      </c>
      <c r="E546" s="1639"/>
      <c r="F546" s="1639"/>
      <c r="G546" s="646"/>
      <c r="H546" s="100"/>
      <c r="I546" s="101">
        <v>25800</v>
      </c>
      <c r="J546" s="102">
        <v>36000</v>
      </c>
      <c r="K546" s="101"/>
      <c r="L546" s="101">
        <v>36000</v>
      </c>
      <c r="M546" s="10"/>
      <c r="N546" s="10"/>
      <c r="O546" s="756"/>
      <c r="P546"/>
    </row>
    <row r="547" spans="1:16" s="146" customFormat="1" ht="18" x14ac:dyDescent="0.25">
      <c r="A547" s="649"/>
      <c r="B547" s="650"/>
      <c r="C547" s="650"/>
      <c r="D547" s="1611" t="s">
        <v>900</v>
      </c>
      <c r="E547" s="1611"/>
      <c r="F547" s="1611"/>
      <c r="G547" s="1602"/>
      <c r="H547" s="100"/>
      <c r="I547" s="101">
        <v>63103</v>
      </c>
      <c r="J547" s="102">
        <v>40000</v>
      </c>
      <c r="K547" s="101"/>
      <c r="L547" s="101">
        <v>40000</v>
      </c>
      <c r="M547" s="10"/>
      <c r="N547" s="10"/>
      <c r="O547" s="756"/>
      <c r="P547"/>
    </row>
    <row r="548" spans="1:16" s="146" customFormat="1" ht="18" x14ac:dyDescent="0.25">
      <c r="A548" s="649"/>
      <c r="B548" s="650"/>
      <c r="C548" s="650"/>
      <c r="D548" s="656" t="s">
        <v>901</v>
      </c>
      <c r="E548" s="650"/>
      <c r="F548" s="650"/>
      <c r="G548" s="646"/>
      <c r="H548" s="100"/>
      <c r="I548" s="101"/>
      <c r="J548" s="102">
        <v>50000</v>
      </c>
      <c r="K548" s="101"/>
      <c r="L548" s="101">
        <v>50000</v>
      </c>
      <c r="M548" s="10"/>
      <c r="N548" s="10"/>
      <c r="O548" s="756"/>
      <c r="P548"/>
    </row>
    <row r="549" spans="1:16" s="146" customFormat="1" ht="18" x14ac:dyDescent="0.25">
      <c r="A549" s="649"/>
      <c r="B549" s="650"/>
      <c r="C549" s="650"/>
      <c r="D549" s="656" t="s">
        <v>902</v>
      </c>
      <c r="E549" s="650"/>
      <c r="F549" s="650"/>
      <c r="G549" s="646"/>
      <c r="H549" s="100"/>
      <c r="I549" s="101"/>
      <c r="J549" s="102"/>
      <c r="K549" s="101"/>
      <c r="L549" s="101">
        <v>42000</v>
      </c>
      <c r="M549" s="10"/>
      <c r="N549" s="10"/>
      <c r="O549" s="756"/>
      <c r="P549"/>
    </row>
    <row r="550" spans="1:16" s="146" customFormat="1" ht="18" x14ac:dyDescent="0.25">
      <c r="A550" s="649"/>
      <c r="B550" s="650"/>
      <c r="C550" s="650"/>
      <c r="D550" s="38" t="s">
        <v>903</v>
      </c>
      <c r="E550" s="650"/>
      <c r="F550" s="650"/>
      <c r="G550" s="646"/>
      <c r="H550" s="100"/>
      <c r="I550" s="101"/>
      <c r="J550" s="102"/>
      <c r="K550" s="101"/>
      <c r="L550" s="101"/>
      <c r="M550" s="10"/>
      <c r="N550" s="10"/>
      <c r="O550" s="756"/>
      <c r="P550"/>
    </row>
    <row r="551" spans="1:16" s="146" customFormat="1" ht="18" x14ac:dyDescent="0.25">
      <c r="A551" s="649"/>
      <c r="B551" s="650"/>
      <c r="C551" s="650"/>
      <c r="D551" s="38" t="s">
        <v>904</v>
      </c>
      <c r="E551" s="650"/>
      <c r="F551" s="650"/>
      <c r="G551" s="646"/>
      <c r="H551" s="100"/>
      <c r="I551" s="101">
        <v>0</v>
      </c>
      <c r="J551" s="102">
        <v>72000</v>
      </c>
      <c r="K551" s="101"/>
      <c r="L551" s="101">
        <v>72000</v>
      </c>
      <c r="M551" s="10"/>
      <c r="N551" s="10"/>
      <c r="O551" s="756"/>
      <c r="P551"/>
    </row>
    <row r="552" spans="1:16" s="146" customFormat="1" ht="18" x14ac:dyDescent="0.25">
      <c r="A552" s="649"/>
      <c r="B552" s="650"/>
      <c r="C552" s="650"/>
      <c r="D552" s="1634" t="s">
        <v>905</v>
      </c>
      <c r="E552" s="1634"/>
      <c r="F552" s="1634"/>
      <c r="G552" s="1653"/>
      <c r="H552" s="100"/>
      <c r="I552" s="101">
        <v>0</v>
      </c>
      <c r="J552" s="102">
        <v>250000</v>
      </c>
      <c r="K552" s="101"/>
      <c r="L552" s="101">
        <v>50000</v>
      </c>
      <c r="M552" s="10"/>
      <c r="N552" s="10"/>
      <c r="O552" s="756"/>
      <c r="P552"/>
    </row>
    <row r="553" spans="1:16" s="146" customFormat="1" ht="42" customHeight="1" x14ac:dyDescent="0.25">
      <c r="A553" s="649"/>
      <c r="B553" s="650"/>
      <c r="C553" s="650"/>
      <c r="D553" s="1628" t="s">
        <v>906</v>
      </c>
      <c r="E553" s="1628"/>
      <c r="F553" s="650"/>
      <c r="G553" s="646"/>
      <c r="H553" s="100"/>
      <c r="I553" s="101">
        <v>0</v>
      </c>
      <c r="J553" s="102">
        <v>72000</v>
      </c>
      <c r="K553" s="101"/>
      <c r="L553" s="101">
        <v>72000</v>
      </c>
      <c r="M553" s="10"/>
      <c r="N553" s="10"/>
      <c r="O553" s="756"/>
      <c r="P553"/>
    </row>
    <row r="554" spans="1:16" s="146" customFormat="1" ht="38.25" customHeight="1" x14ac:dyDescent="0.25">
      <c r="A554" s="649"/>
      <c r="B554" s="650"/>
      <c r="C554" s="650"/>
      <c r="D554" s="1617" t="s">
        <v>907</v>
      </c>
      <c r="E554" s="1617"/>
      <c r="F554" s="650"/>
      <c r="G554" s="646"/>
      <c r="H554" s="100"/>
      <c r="I554" s="101">
        <v>0</v>
      </c>
      <c r="J554" s="102">
        <v>30000</v>
      </c>
      <c r="K554" s="101"/>
      <c r="L554" s="101">
        <v>30000</v>
      </c>
      <c r="M554" s="10"/>
      <c r="N554" s="10"/>
      <c r="O554" s="756"/>
      <c r="P554"/>
    </row>
    <row r="555" spans="1:16" s="146" customFormat="1" ht="18" x14ac:dyDescent="0.25">
      <c r="A555" s="649"/>
      <c r="B555" s="650"/>
      <c r="C555" s="650"/>
      <c r="D555" s="38" t="s">
        <v>908</v>
      </c>
      <c r="E555" s="650"/>
      <c r="F555" s="650"/>
      <c r="G555" s="646"/>
      <c r="H555" s="100"/>
      <c r="I555" s="101">
        <v>0</v>
      </c>
      <c r="J555" s="102">
        <v>50000</v>
      </c>
      <c r="K555" s="101"/>
      <c r="L555" s="101">
        <v>50000</v>
      </c>
      <c r="M555" s="10"/>
      <c r="N555" s="10"/>
      <c r="O555" s="756"/>
      <c r="P555"/>
    </row>
    <row r="556" spans="1:16" s="146" customFormat="1" ht="18" x14ac:dyDescent="0.25">
      <c r="A556" s="649"/>
      <c r="B556" s="650"/>
      <c r="C556" s="650"/>
      <c r="D556" s="38" t="s">
        <v>909</v>
      </c>
      <c r="E556" s="650"/>
      <c r="F556" s="650"/>
      <c r="G556" s="646"/>
      <c r="H556" s="100"/>
      <c r="I556" s="101"/>
      <c r="J556" s="102"/>
      <c r="K556" s="101"/>
      <c r="L556" s="101">
        <v>100000</v>
      </c>
      <c r="M556" s="10"/>
      <c r="N556" s="10"/>
      <c r="O556" s="756"/>
      <c r="P556"/>
    </row>
    <row r="557" spans="1:16" s="146" customFormat="1" ht="18" x14ac:dyDescent="0.25">
      <c r="A557" s="649"/>
      <c r="B557" s="650"/>
      <c r="C557" s="650"/>
      <c r="D557" s="38" t="s">
        <v>910</v>
      </c>
      <c r="E557" s="650"/>
      <c r="F557" s="650"/>
      <c r="G557" s="646"/>
      <c r="H557" s="100"/>
      <c r="I557" s="101"/>
      <c r="J557" s="102"/>
      <c r="K557" s="101"/>
      <c r="L557" s="101">
        <v>40000</v>
      </c>
      <c r="M557" s="10"/>
      <c r="N557" s="10"/>
      <c r="O557" s="756"/>
      <c r="P557"/>
    </row>
    <row r="558" spans="1:16" s="146" customFormat="1" ht="18" x14ac:dyDescent="0.25">
      <c r="A558" s="649"/>
      <c r="B558" s="650"/>
      <c r="C558" s="650"/>
      <c r="D558" s="38" t="s">
        <v>911</v>
      </c>
      <c r="E558" s="650"/>
      <c r="F558" s="650"/>
      <c r="G558" s="646"/>
      <c r="H558" s="100"/>
      <c r="I558" s="101"/>
      <c r="J558" s="102"/>
      <c r="K558" s="101"/>
      <c r="L558" s="101">
        <v>44000</v>
      </c>
      <c r="M558" s="10"/>
      <c r="N558" s="10"/>
      <c r="O558" s="756"/>
      <c r="P558"/>
    </row>
    <row r="559" spans="1:16" s="146" customFormat="1" ht="18" x14ac:dyDescent="0.25">
      <c r="A559" s="649"/>
      <c r="B559" s="650"/>
      <c r="C559" s="650"/>
      <c r="D559" s="38" t="s">
        <v>912</v>
      </c>
      <c r="E559" s="650"/>
      <c r="F559" s="650"/>
      <c r="G559" s="646"/>
      <c r="H559" s="100"/>
      <c r="I559" s="101">
        <v>0</v>
      </c>
      <c r="J559" s="102">
        <v>100000</v>
      </c>
      <c r="K559" s="101"/>
      <c r="L559" s="101"/>
      <c r="M559" s="10"/>
      <c r="N559" s="10"/>
      <c r="O559" s="756"/>
      <c r="P559"/>
    </row>
    <row r="560" spans="1:16" s="146" customFormat="1" ht="18" x14ac:dyDescent="0.25">
      <c r="A560" s="649"/>
      <c r="B560" s="650"/>
      <c r="C560" s="650"/>
      <c r="D560" s="38" t="s">
        <v>913</v>
      </c>
      <c r="E560" s="650"/>
      <c r="F560" s="650"/>
      <c r="G560" s="646"/>
      <c r="H560" s="100"/>
      <c r="I560" s="101">
        <v>0</v>
      </c>
      <c r="J560" s="102">
        <v>40000</v>
      </c>
      <c r="K560" s="101"/>
      <c r="L560" s="101"/>
      <c r="M560" s="10"/>
      <c r="N560" s="10"/>
      <c r="O560" s="756"/>
      <c r="P560"/>
    </row>
    <row r="561" spans="1:16" s="146" customFormat="1" ht="39" customHeight="1" x14ac:dyDescent="0.25">
      <c r="A561" s="649"/>
      <c r="B561" s="650"/>
      <c r="C561" s="650"/>
      <c r="D561" s="1628" t="s">
        <v>914</v>
      </c>
      <c r="E561" s="1628"/>
      <c r="F561" s="650"/>
      <c r="G561" s="650"/>
      <c r="H561" s="100"/>
      <c r="I561" s="101">
        <v>0</v>
      </c>
      <c r="J561" s="102">
        <v>50000</v>
      </c>
      <c r="K561" s="101"/>
      <c r="L561" s="101">
        <v>50000</v>
      </c>
      <c r="M561" s="10"/>
      <c r="N561" s="10"/>
      <c r="O561" s="756"/>
      <c r="P561"/>
    </row>
    <row r="562" spans="1:16" s="146" customFormat="1" ht="18" x14ac:dyDescent="0.25">
      <c r="A562" s="649"/>
      <c r="B562" s="650"/>
      <c r="C562" s="650"/>
      <c r="D562" s="38" t="s">
        <v>915</v>
      </c>
      <c r="E562" s="650"/>
      <c r="F562" s="650"/>
      <c r="G562" s="650"/>
      <c r="H562" s="100"/>
      <c r="I562" s="101">
        <v>0</v>
      </c>
      <c r="J562" s="102">
        <v>30000</v>
      </c>
      <c r="K562" s="101"/>
      <c r="L562" s="101">
        <v>30000</v>
      </c>
      <c r="M562" s="10"/>
      <c r="N562" s="10"/>
      <c r="O562" s="756"/>
      <c r="P562"/>
    </row>
    <row r="563" spans="1:16" s="146" customFormat="1" ht="18" x14ac:dyDescent="0.25">
      <c r="A563" s="649"/>
      <c r="B563" s="650"/>
      <c r="C563" s="650"/>
      <c r="D563" s="38" t="s">
        <v>916</v>
      </c>
      <c r="E563" s="650"/>
      <c r="F563" s="650"/>
      <c r="G563" s="650"/>
      <c r="H563" s="100"/>
      <c r="I563" s="101">
        <v>0</v>
      </c>
      <c r="J563" s="102">
        <v>15000</v>
      </c>
      <c r="K563" s="101"/>
      <c r="L563" s="105">
        <v>15000</v>
      </c>
      <c r="M563" s="10"/>
      <c r="N563" s="10"/>
      <c r="O563" s="756"/>
      <c r="P563"/>
    </row>
    <row r="564" spans="1:16" s="146" customFormat="1" ht="18" x14ac:dyDescent="0.25">
      <c r="A564" s="649"/>
      <c r="B564" s="650"/>
      <c r="C564" s="650"/>
      <c r="D564" s="651" t="s">
        <v>200</v>
      </c>
      <c r="F564" s="390"/>
      <c r="G564" s="390"/>
      <c r="H564" s="100"/>
      <c r="I564" s="119">
        <f>SUM(I540:I563)</f>
        <v>322492</v>
      </c>
      <c r="J564" s="119">
        <f>SUM(J540:J563)</f>
        <v>1105000</v>
      </c>
      <c r="K564" s="119">
        <f>SUM(K540:K563)</f>
        <v>0</v>
      </c>
      <c r="L564" s="119">
        <f>SUM(L540:L563)</f>
        <v>991000</v>
      </c>
      <c r="M564" s="10"/>
      <c r="N564" s="10"/>
      <c r="O564" s="756"/>
      <c r="P564"/>
    </row>
    <row r="565" spans="1:16" s="146" customFormat="1" ht="18" x14ac:dyDescent="0.25">
      <c r="A565" s="649"/>
      <c r="B565" s="650"/>
      <c r="C565" s="650"/>
      <c r="D565" s="651" t="s">
        <v>15</v>
      </c>
      <c r="F565" s="650"/>
      <c r="G565" s="650"/>
      <c r="H565" s="100"/>
      <c r="I565" s="259">
        <f>I564+I537+I509</f>
        <v>1684004.64</v>
      </c>
      <c r="J565" s="259">
        <f>J564+J537+J509</f>
        <v>3790675</v>
      </c>
      <c r="K565" s="259">
        <f>K564+K537+K509</f>
        <v>747569.05</v>
      </c>
      <c r="L565" s="259">
        <f>L564+L537+L509</f>
        <v>6297220</v>
      </c>
      <c r="M565" s="10">
        <v>6297220</v>
      </c>
      <c r="N565" s="10"/>
      <c r="O565" s="756"/>
      <c r="P565"/>
    </row>
    <row r="566" spans="1:16" s="146" customFormat="1" ht="18" x14ac:dyDescent="0.25">
      <c r="A566" s="649"/>
      <c r="B566" s="650"/>
      <c r="C566" s="650"/>
      <c r="D566" s="38"/>
      <c r="E566" s="644"/>
      <c r="F566" s="647"/>
      <c r="G566" s="647"/>
      <c r="H566" s="100"/>
      <c r="I566" s="155"/>
      <c r="J566" s="156"/>
      <c r="K566" s="155"/>
      <c r="L566" s="155"/>
      <c r="M566" s="10"/>
      <c r="N566" s="10"/>
      <c r="O566" s="756"/>
      <c r="P566"/>
    </row>
    <row r="567" spans="1:16" ht="18" x14ac:dyDescent="0.25">
      <c r="A567" s="649"/>
      <c r="B567" s="650"/>
      <c r="C567" s="650"/>
      <c r="D567" s="1620" t="s">
        <v>918</v>
      </c>
      <c r="E567" s="1620"/>
      <c r="F567" s="1620"/>
      <c r="G567" s="1621"/>
      <c r="H567" s="100"/>
      <c r="I567" s="101"/>
      <c r="J567" s="102"/>
      <c r="K567" s="101"/>
      <c r="L567" s="101"/>
    </row>
    <row r="568" spans="1:16" ht="18" x14ac:dyDescent="0.25">
      <c r="A568" s="649"/>
      <c r="B568" s="650"/>
      <c r="C568" s="650"/>
      <c r="D568" s="1620" t="s">
        <v>813</v>
      </c>
      <c r="E568" s="1620"/>
      <c r="F568" s="1620"/>
      <c r="G568" s="1621"/>
      <c r="H568" s="100"/>
      <c r="I568" s="101"/>
      <c r="J568" s="102"/>
      <c r="K568" s="101"/>
      <c r="L568" s="101"/>
    </row>
    <row r="569" spans="1:16" s="212" customFormat="1" ht="18" customHeight="1" x14ac:dyDescent="0.25">
      <c r="A569" s="154"/>
      <c r="B569" s="654"/>
      <c r="C569" s="654"/>
      <c r="D569" s="44" t="s">
        <v>806</v>
      </c>
      <c r="E569" s="125"/>
      <c r="F569" s="125"/>
      <c r="G569" s="134"/>
      <c r="H569" s="100" t="s">
        <v>169</v>
      </c>
      <c r="I569" s="101">
        <v>13473.5</v>
      </c>
      <c r="J569" s="102">
        <v>25000</v>
      </c>
      <c r="K569" s="101">
        <v>23237</v>
      </c>
      <c r="L569" s="101">
        <v>28996.5</v>
      </c>
      <c r="M569" s="207"/>
      <c r="N569" s="207"/>
      <c r="O569" s="764"/>
    </row>
    <row r="570" spans="1:16" s="212" customFormat="1" ht="18" customHeight="1" x14ac:dyDescent="0.25">
      <c r="A570" s="154"/>
      <c r="B570" s="654"/>
      <c r="C570" s="654"/>
      <c r="D570" s="44" t="s">
        <v>873</v>
      </c>
      <c r="E570" s="125"/>
      <c r="F570" s="125"/>
      <c r="G570" s="134"/>
      <c r="H570" s="100" t="s">
        <v>173</v>
      </c>
      <c r="I570" s="101">
        <v>50611.1</v>
      </c>
      <c r="J570" s="102">
        <v>100000</v>
      </c>
      <c r="K570" s="101">
        <v>21385.5</v>
      </c>
      <c r="L570" s="101">
        <v>100020</v>
      </c>
      <c r="M570" s="207"/>
      <c r="N570" s="207"/>
      <c r="O570" s="764"/>
    </row>
    <row r="571" spans="1:16" s="212" customFormat="1" ht="18" customHeight="1" x14ac:dyDescent="0.25">
      <c r="A571" s="154"/>
      <c r="B571" s="654"/>
      <c r="C571" s="654"/>
      <c r="D571" s="44" t="s">
        <v>919</v>
      </c>
      <c r="E571" s="125"/>
      <c r="F571" s="125"/>
      <c r="G571" s="134"/>
      <c r="H571" s="100" t="s">
        <v>171</v>
      </c>
      <c r="I571" s="101"/>
      <c r="J571" s="102"/>
      <c r="K571" s="101"/>
      <c r="L571" s="101">
        <v>50400</v>
      </c>
      <c r="M571" s="207"/>
      <c r="N571" s="207"/>
      <c r="O571" s="764"/>
    </row>
    <row r="572" spans="1:16" s="212" customFormat="1" ht="18" customHeight="1" x14ac:dyDescent="0.25">
      <c r="A572" s="154"/>
      <c r="B572" s="654"/>
      <c r="C572" s="654"/>
      <c r="D572" s="44" t="s">
        <v>920</v>
      </c>
      <c r="E572" s="125"/>
      <c r="F572" s="125"/>
      <c r="G572" s="134"/>
      <c r="H572" s="100" t="s">
        <v>171</v>
      </c>
      <c r="I572" s="101">
        <v>4000</v>
      </c>
      <c r="J572" s="102"/>
      <c r="K572" s="101"/>
      <c r="L572" s="101"/>
      <c r="M572" s="207"/>
      <c r="N572" s="207"/>
      <c r="O572" s="764"/>
    </row>
    <row r="573" spans="1:16" s="229" customFormat="1" ht="18" x14ac:dyDescent="0.25">
      <c r="A573" s="154"/>
      <c r="B573" s="654"/>
      <c r="C573" s="654"/>
      <c r="D573" s="206" t="s">
        <v>921</v>
      </c>
      <c r="E573" s="654"/>
      <c r="F573" s="654"/>
      <c r="G573" s="654"/>
      <c r="H573" s="100" t="s">
        <v>171</v>
      </c>
      <c r="I573" s="101">
        <v>27250</v>
      </c>
      <c r="J573" s="102"/>
      <c r="K573" s="101"/>
      <c r="L573" s="101"/>
      <c r="M573" s="207"/>
      <c r="N573" s="207"/>
      <c r="O573" s="764"/>
      <c r="P573" s="212"/>
    </row>
    <row r="574" spans="1:16" s="229" customFormat="1" ht="18" x14ac:dyDescent="0.25">
      <c r="A574" s="154"/>
      <c r="B574" s="654"/>
      <c r="C574" s="654"/>
      <c r="D574" s="206" t="s">
        <v>922</v>
      </c>
      <c r="E574" s="654"/>
      <c r="F574" s="654"/>
      <c r="G574" s="654"/>
      <c r="H574" s="100" t="s">
        <v>171</v>
      </c>
      <c r="I574" s="101">
        <v>54000</v>
      </c>
      <c r="J574" s="102"/>
      <c r="K574" s="101"/>
      <c r="L574" s="101"/>
      <c r="M574" s="207"/>
      <c r="N574" s="207"/>
      <c r="O574" s="764"/>
      <c r="P574" s="212"/>
    </row>
    <row r="575" spans="1:16" s="229" customFormat="1" ht="18" x14ac:dyDescent="0.25">
      <c r="A575" s="154"/>
      <c r="B575" s="654"/>
      <c r="C575" s="654"/>
      <c r="D575" s="391" t="s">
        <v>923</v>
      </c>
      <c r="E575" s="654"/>
      <c r="F575" s="654"/>
      <c r="G575" s="654"/>
      <c r="H575" s="100" t="s">
        <v>171</v>
      </c>
      <c r="I575" s="101"/>
      <c r="J575" s="102">
        <v>5000</v>
      </c>
      <c r="K575" s="101"/>
      <c r="L575" s="101"/>
      <c r="M575" s="207"/>
      <c r="N575" s="207"/>
      <c r="O575" s="764"/>
      <c r="P575" s="212"/>
    </row>
    <row r="576" spans="1:16" s="229" customFormat="1" ht="18" x14ac:dyDescent="0.25">
      <c r="A576" s="154"/>
      <c r="B576" s="654"/>
      <c r="C576" s="654"/>
      <c r="D576" s="44" t="s">
        <v>814</v>
      </c>
      <c r="E576" s="125"/>
      <c r="F576" s="124"/>
      <c r="G576" s="124"/>
      <c r="H576" s="100" t="s">
        <v>183</v>
      </c>
      <c r="I576" s="101">
        <v>0</v>
      </c>
      <c r="J576" s="102">
        <v>48000</v>
      </c>
      <c r="K576" s="101"/>
      <c r="L576" s="105">
        <v>48000</v>
      </c>
      <c r="M576" s="207"/>
      <c r="N576" s="207"/>
      <c r="O576" s="764"/>
      <c r="P576" s="212"/>
    </row>
    <row r="577" spans="1:16" s="146" customFormat="1" ht="18" x14ac:dyDescent="0.25">
      <c r="A577" s="649"/>
      <c r="B577" s="650"/>
      <c r="C577" s="650"/>
      <c r="D577" s="651" t="s">
        <v>200</v>
      </c>
      <c r="F577" s="650"/>
      <c r="G577" s="650"/>
      <c r="H577" s="100"/>
      <c r="I577" s="119">
        <f>SUM(I569:I576)</f>
        <v>149334.6</v>
      </c>
      <c r="J577" s="119">
        <f>SUM(J569:J576)</f>
        <v>178000</v>
      </c>
      <c r="K577" s="119">
        <f>SUM(K569:K576)</f>
        <v>44622.5</v>
      </c>
      <c r="L577" s="119">
        <f>SUM(L569:L576)</f>
        <v>227416.5</v>
      </c>
      <c r="M577" s="10"/>
      <c r="N577" s="10"/>
      <c r="O577" s="756"/>
      <c r="P577"/>
    </row>
    <row r="578" spans="1:16" s="146" customFormat="1" ht="18" x14ac:dyDescent="0.25">
      <c r="A578" s="649"/>
      <c r="B578" s="650"/>
      <c r="C578" s="650"/>
      <c r="D578" s="38"/>
      <c r="E578" s="644"/>
      <c r="F578" s="647"/>
      <c r="G578" s="647"/>
      <c r="H578" s="100"/>
      <c r="I578" s="155"/>
      <c r="J578" s="156"/>
      <c r="K578" s="155"/>
      <c r="L578" s="155"/>
      <c r="M578" s="10"/>
      <c r="N578" s="10"/>
      <c r="O578" s="756"/>
      <c r="P578"/>
    </row>
    <row r="579" spans="1:16" s="146" customFormat="1" ht="18" x14ac:dyDescent="0.25">
      <c r="A579" s="649"/>
      <c r="B579" s="650"/>
      <c r="C579" s="650"/>
      <c r="D579" s="38"/>
      <c r="E579" s="644"/>
      <c r="F579" s="647"/>
      <c r="G579" s="647"/>
      <c r="H579" s="100"/>
      <c r="I579" s="155"/>
      <c r="J579" s="156"/>
      <c r="K579" s="155"/>
      <c r="L579" s="155"/>
      <c r="M579" s="10"/>
      <c r="N579" s="10"/>
      <c r="O579" s="756"/>
      <c r="P579"/>
    </row>
    <row r="580" spans="1:16" s="146" customFormat="1" ht="18.75" thickBot="1" x14ac:dyDescent="0.3">
      <c r="A580" s="187"/>
      <c r="B580" s="413"/>
      <c r="C580" s="413"/>
      <c r="D580" s="358"/>
      <c r="E580" s="660"/>
      <c r="F580" s="389"/>
      <c r="G580" s="389"/>
      <c r="H580" s="308"/>
      <c r="I580" s="182"/>
      <c r="J580" s="183"/>
      <c r="K580" s="182"/>
      <c r="L580" s="182"/>
      <c r="M580" s="10"/>
      <c r="N580" s="10"/>
      <c r="O580" s="756"/>
      <c r="P580"/>
    </row>
    <row r="581" spans="1:16" s="146" customFormat="1" ht="18" x14ac:dyDescent="0.25">
      <c r="A581" s="650"/>
      <c r="B581" s="650"/>
      <c r="C581" s="650"/>
      <c r="D581" s="38"/>
      <c r="E581" s="651"/>
      <c r="F581" s="650"/>
      <c r="G581" s="650"/>
      <c r="H581" s="381"/>
      <c r="I581" s="126"/>
      <c r="J581" s="127"/>
      <c r="K581" s="126"/>
      <c r="L581" s="126"/>
      <c r="M581" s="10"/>
      <c r="N581" s="10"/>
      <c r="O581" s="756"/>
      <c r="P581"/>
    </row>
    <row r="582" spans="1:16" s="146" customFormat="1" ht="18" x14ac:dyDescent="0.25">
      <c r="A582" s="650"/>
      <c r="B582" s="650"/>
      <c r="C582" s="650"/>
      <c r="D582" s="38"/>
      <c r="E582" s="651"/>
      <c r="F582" s="650"/>
      <c r="G582" s="650"/>
      <c r="H582" s="381"/>
      <c r="I582" s="126"/>
      <c r="J582" s="127"/>
      <c r="K582" s="126"/>
      <c r="L582" s="126"/>
      <c r="M582" s="10"/>
      <c r="N582" s="10"/>
      <c r="O582" s="756"/>
      <c r="P582"/>
    </row>
    <row r="583" spans="1:16" ht="18" customHeight="1" x14ac:dyDescent="0.25">
      <c r="A583" s="8" t="s">
        <v>112</v>
      </c>
    </row>
    <row r="584" spans="1:16" ht="18" customHeight="1" x14ac:dyDescent="0.25">
      <c r="A584" s="8" t="s">
        <v>891</v>
      </c>
    </row>
    <row r="585" spans="1:16" ht="18" customHeight="1" x14ac:dyDescent="0.25">
      <c r="A585" s="1636" t="s">
        <v>113</v>
      </c>
      <c r="B585" s="1636"/>
      <c r="C585" s="1636"/>
      <c r="D585" s="1636"/>
      <c r="E585" s="1636"/>
      <c r="F585" s="1636"/>
      <c r="G585" s="1636"/>
      <c r="H585" s="1636"/>
      <c r="I585" s="1636"/>
      <c r="J585" s="1636"/>
      <c r="K585" s="1636"/>
      <c r="L585" s="1636"/>
    </row>
    <row r="586" spans="1:16" s="7" customFormat="1" ht="18" customHeight="1" x14ac:dyDescent="0.25">
      <c r="A586" s="1624" t="s">
        <v>114</v>
      </c>
      <c r="B586" s="1624"/>
      <c r="C586" s="1624"/>
      <c r="D586" s="1624"/>
      <c r="E586" s="1624"/>
      <c r="F586" s="1624"/>
      <c r="G586" s="1624"/>
      <c r="H586" s="1624"/>
      <c r="I586" s="1624"/>
      <c r="J586" s="1624"/>
      <c r="K586" s="1624"/>
      <c r="L586" s="1624"/>
      <c r="M586" s="6"/>
      <c r="N586" s="6"/>
      <c r="O586" s="762"/>
    </row>
    <row r="587" spans="1:16" ht="18.75" thickBot="1" x14ac:dyDescent="0.3">
      <c r="A587" s="41"/>
      <c r="B587" s="41"/>
      <c r="C587" s="41"/>
      <c r="D587" s="63"/>
      <c r="E587" s="41"/>
      <c r="F587" s="41"/>
      <c r="G587" s="41"/>
      <c r="H587" s="41"/>
    </row>
    <row r="588" spans="1:16" ht="63" customHeight="1" thickBot="1" x14ac:dyDescent="0.3">
      <c r="A588" s="1625" t="s">
        <v>115</v>
      </c>
      <c r="B588" s="1626"/>
      <c r="C588" s="1626"/>
      <c r="D588" s="1626"/>
      <c r="E588" s="1626"/>
      <c r="F588" s="1626"/>
      <c r="G588" s="1627"/>
      <c r="H588" s="93" t="s">
        <v>116</v>
      </c>
      <c r="I588" s="130" t="s">
        <v>117</v>
      </c>
      <c r="J588" s="130" t="s">
        <v>118</v>
      </c>
      <c r="K588" s="130" t="s">
        <v>119</v>
      </c>
      <c r="L588" s="130" t="s">
        <v>120</v>
      </c>
    </row>
    <row r="589" spans="1:16" s="146" customFormat="1" ht="18" x14ac:dyDescent="0.25">
      <c r="A589" s="649"/>
      <c r="B589" s="650"/>
      <c r="C589" s="650"/>
      <c r="D589" s="1620" t="s">
        <v>918</v>
      </c>
      <c r="E589" s="1620"/>
      <c r="F589" s="1620"/>
      <c r="G589" s="1621"/>
      <c r="H589" s="100"/>
      <c r="I589" s="155"/>
      <c r="J589" s="156"/>
      <c r="K589" s="155"/>
      <c r="L589" s="155"/>
      <c r="M589" s="10"/>
      <c r="N589" s="10"/>
      <c r="O589" s="756"/>
      <c r="P589"/>
    </row>
    <row r="590" spans="1:16" s="146" customFormat="1" ht="18" customHeight="1" x14ac:dyDescent="0.25">
      <c r="A590" s="649"/>
      <c r="B590" s="650"/>
      <c r="C590" s="650"/>
      <c r="D590" s="129" t="s">
        <v>799</v>
      </c>
      <c r="E590" s="152"/>
      <c r="F590" s="152"/>
      <c r="G590" s="152"/>
      <c r="H590" s="100"/>
      <c r="I590" s="101"/>
      <c r="J590" s="102"/>
      <c r="K590" s="101"/>
      <c r="L590" s="101"/>
      <c r="M590" s="10"/>
      <c r="N590" s="10"/>
      <c r="O590" s="756"/>
      <c r="P590"/>
    </row>
    <row r="591" spans="1:16" s="194" customFormat="1" ht="18" customHeight="1" x14ac:dyDescent="0.25">
      <c r="A591" s="649"/>
      <c r="B591" s="650"/>
      <c r="C591" s="650"/>
      <c r="D591" s="44" t="s">
        <v>924</v>
      </c>
      <c r="E591" s="125"/>
      <c r="F591" s="125"/>
      <c r="G591" s="125"/>
      <c r="H591" s="100"/>
      <c r="I591" s="101"/>
      <c r="J591" s="102"/>
      <c r="K591" s="101"/>
      <c r="L591" s="101">
        <v>15000</v>
      </c>
      <c r="M591" s="10"/>
      <c r="N591" s="10"/>
      <c r="O591" s="756"/>
      <c r="P591" s="191"/>
    </row>
    <row r="592" spans="1:16" s="194" customFormat="1" ht="18" customHeight="1" x14ac:dyDescent="0.25">
      <c r="A592" s="649"/>
      <c r="B592" s="650"/>
      <c r="C592" s="650"/>
      <c r="D592" s="44" t="s">
        <v>925</v>
      </c>
      <c r="E592" s="125"/>
      <c r="F592" s="125"/>
      <c r="G592" s="125"/>
      <c r="H592" s="100"/>
      <c r="I592" s="101"/>
      <c r="J592" s="102"/>
      <c r="K592" s="101"/>
      <c r="L592" s="101">
        <v>15000</v>
      </c>
      <c r="M592" s="10"/>
      <c r="N592" s="10"/>
      <c r="O592" s="756"/>
      <c r="P592" s="191"/>
    </row>
    <row r="593" spans="1:16" s="194" customFormat="1" ht="18" customHeight="1" x14ac:dyDescent="0.25">
      <c r="A593" s="649"/>
      <c r="B593" s="650"/>
      <c r="C593" s="650"/>
      <c r="D593" s="44" t="s">
        <v>926</v>
      </c>
      <c r="E593" s="125"/>
      <c r="F593" s="125"/>
      <c r="G593" s="125"/>
      <c r="H593" s="100"/>
      <c r="I593" s="101"/>
      <c r="J593" s="102"/>
      <c r="K593" s="101"/>
      <c r="L593" s="101">
        <v>20000</v>
      </c>
      <c r="M593" s="10"/>
      <c r="N593" s="10"/>
      <c r="O593" s="756"/>
      <c r="P593" s="191"/>
    </row>
    <row r="594" spans="1:16" s="146" customFormat="1" ht="18" x14ac:dyDescent="0.25">
      <c r="A594" s="649"/>
      <c r="B594" s="650"/>
      <c r="C594" s="650"/>
      <c r="D594" s="38" t="s">
        <v>927</v>
      </c>
      <c r="E594" s="157"/>
      <c r="F594" s="650"/>
      <c r="G594" s="646"/>
      <c r="H594" s="100"/>
      <c r="I594" s="101"/>
      <c r="J594" s="102">
        <v>70000</v>
      </c>
      <c r="K594" s="101"/>
      <c r="L594" s="101"/>
      <c r="M594" s="10"/>
      <c r="N594" s="10"/>
      <c r="O594" s="756"/>
      <c r="P594"/>
    </row>
    <row r="595" spans="1:16" s="146" customFormat="1" ht="18" x14ac:dyDescent="0.25">
      <c r="A595" s="649"/>
      <c r="B595" s="650"/>
      <c r="C595" s="650"/>
      <c r="D595" s="38" t="s">
        <v>928</v>
      </c>
      <c r="E595" s="157"/>
      <c r="F595" s="650"/>
      <c r="G595" s="646"/>
      <c r="H595" s="100"/>
      <c r="I595" s="101"/>
      <c r="J595" s="102">
        <v>15000</v>
      </c>
      <c r="K595" s="101"/>
      <c r="L595" s="101"/>
      <c r="M595" s="10"/>
      <c r="N595" s="10"/>
      <c r="O595" s="756"/>
      <c r="P595"/>
    </row>
    <row r="596" spans="1:16" s="146" customFormat="1" ht="39" customHeight="1" x14ac:dyDescent="0.25">
      <c r="A596" s="649"/>
      <c r="B596" s="650"/>
      <c r="C596" s="650"/>
      <c r="D596" s="1623" t="s">
        <v>929</v>
      </c>
      <c r="E596" s="1623"/>
      <c r="F596" s="1623"/>
      <c r="G596" s="1645"/>
      <c r="H596" s="100"/>
      <c r="I596" s="101"/>
      <c r="J596" s="102">
        <v>11500</v>
      </c>
      <c r="K596" s="101"/>
      <c r="L596" s="101"/>
      <c r="M596" s="10"/>
      <c r="N596" s="10"/>
      <c r="O596" s="756"/>
      <c r="P596"/>
    </row>
    <row r="597" spans="1:16" s="146" customFormat="1" ht="18" x14ac:dyDescent="0.25">
      <c r="A597" s="649"/>
      <c r="B597" s="650"/>
      <c r="C597" s="650"/>
      <c r="D597" s="38" t="s">
        <v>930</v>
      </c>
      <c r="E597" s="157"/>
      <c r="F597" s="650"/>
      <c r="G597" s="646"/>
      <c r="H597" s="100"/>
      <c r="I597" s="101"/>
      <c r="J597" s="102">
        <v>9000</v>
      </c>
      <c r="K597" s="101"/>
      <c r="L597" s="105"/>
      <c r="M597" s="10"/>
      <c r="N597" s="10"/>
      <c r="O597" s="756"/>
      <c r="P597"/>
    </row>
    <row r="598" spans="1:16" s="146" customFormat="1" ht="18.75" thickBot="1" x14ac:dyDescent="0.3">
      <c r="A598" s="649"/>
      <c r="B598" s="650"/>
      <c r="C598" s="650"/>
      <c r="D598" s="651" t="s">
        <v>200</v>
      </c>
      <c r="F598" s="651"/>
      <c r="G598" s="644"/>
      <c r="H598" s="392"/>
      <c r="I598" s="119">
        <f>SUM(I591:I597)</f>
        <v>0</v>
      </c>
      <c r="J598" s="119">
        <f>SUM(J591:J597)</f>
        <v>105500</v>
      </c>
      <c r="K598" s="119">
        <f>SUM(K591:K597)</f>
        <v>0</v>
      </c>
      <c r="L598" s="119">
        <f>SUM(L591:L597)</f>
        <v>50000</v>
      </c>
      <c r="M598" s="10"/>
      <c r="N598" s="10"/>
      <c r="O598" s="756"/>
      <c r="P598"/>
    </row>
    <row r="599" spans="1:16" s="146" customFormat="1" ht="18" x14ac:dyDescent="0.25">
      <c r="A599" s="649"/>
      <c r="B599" s="650"/>
      <c r="C599" s="650"/>
      <c r="D599" s="651" t="s">
        <v>15</v>
      </c>
      <c r="F599" s="651"/>
      <c r="G599" s="644"/>
      <c r="H599" s="301"/>
      <c r="I599" s="155">
        <f>I598+I577</f>
        <v>149334.6</v>
      </c>
      <c r="J599" s="156">
        <f>J598+J577</f>
        <v>283500</v>
      </c>
      <c r="K599" s="155">
        <f>K598+K577</f>
        <v>44622.5</v>
      </c>
      <c r="L599" s="155">
        <f>L598+L577</f>
        <v>277416.5</v>
      </c>
      <c r="M599" s="10">
        <v>277416.5</v>
      </c>
      <c r="N599" s="10"/>
      <c r="O599" s="756"/>
      <c r="P599"/>
    </row>
    <row r="600" spans="1:16" s="146" customFormat="1" ht="14.1" customHeight="1" x14ac:dyDescent="0.25">
      <c r="A600" s="649"/>
      <c r="B600" s="650"/>
      <c r="C600" s="650"/>
      <c r="D600" s="639"/>
      <c r="E600" s="651"/>
      <c r="F600" s="651"/>
      <c r="G600" s="644"/>
      <c r="H600" s="301"/>
      <c r="I600" s="155"/>
      <c r="J600" s="156"/>
      <c r="K600" s="155"/>
      <c r="L600" s="155"/>
      <c r="M600" s="10"/>
      <c r="N600" s="10"/>
      <c r="O600" s="756"/>
      <c r="P600"/>
    </row>
    <row r="601" spans="1:16" s="146" customFormat="1" ht="18" x14ac:dyDescent="0.25">
      <c r="A601" s="649"/>
      <c r="B601" s="650"/>
      <c r="C601" s="650"/>
      <c r="D601" s="36" t="s">
        <v>931</v>
      </c>
      <c r="E601" s="393"/>
      <c r="F601" s="650"/>
      <c r="G601" s="646"/>
      <c r="H601" s="100"/>
      <c r="I601" s="101"/>
      <c r="J601" s="102"/>
      <c r="K601" s="101"/>
      <c r="L601" s="101"/>
      <c r="M601" s="10"/>
      <c r="N601" s="10"/>
      <c r="O601" s="756"/>
      <c r="P601"/>
    </row>
    <row r="602" spans="1:16" s="146" customFormat="1" ht="18" x14ac:dyDescent="0.25">
      <c r="A602" s="649"/>
      <c r="B602" s="650"/>
      <c r="C602" s="650"/>
      <c r="D602" s="36" t="s">
        <v>932</v>
      </c>
      <c r="E602" s="157"/>
      <c r="F602" s="650"/>
      <c r="G602" s="646"/>
      <c r="H602" s="100"/>
      <c r="I602" s="101"/>
      <c r="J602" s="102"/>
      <c r="K602" s="101"/>
      <c r="L602" s="101"/>
      <c r="M602" s="10"/>
      <c r="N602" s="10"/>
      <c r="O602" s="756"/>
      <c r="P602"/>
    </row>
    <row r="603" spans="1:16" s="146" customFormat="1" ht="18" x14ac:dyDescent="0.25">
      <c r="A603" s="649"/>
      <c r="B603" s="650"/>
      <c r="C603" s="650"/>
      <c r="D603" s="38" t="s">
        <v>791</v>
      </c>
      <c r="E603" s="3"/>
      <c r="F603" s="650"/>
      <c r="G603" s="646"/>
      <c r="H603" s="394" t="s">
        <v>169</v>
      </c>
      <c r="I603" s="101">
        <v>21773.5</v>
      </c>
      <c r="J603" s="102">
        <v>187701</v>
      </c>
      <c r="K603" s="101">
        <v>80136</v>
      </c>
      <c r="L603" s="101">
        <v>79980</v>
      </c>
      <c r="M603" s="10"/>
      <c r="N603" s="10"/>
      <c r="O603" s="756"/>
      <c r="P603"/>
    </row>
    <row r="604" spans="1:16" s="146" customFormat="1" ht="18" x14ac:dyDescent="0.25">
      <c r="A604" s="649"/>
      <c r="B604" s="650"/>
      <c r="C604" s="650"/>
      <c r="D604" s="38" t="s">
        <v>933</v>
      </c>
      <c r="E604" s="3"/>
      <c r="F604" s="650"/>
      <c r="G604" s="646"/>
      <c r="H604" s="394" t="s">
        <v>173</v>
      </c>
      <c r="I604" s="101">
        <v>62736.92</v>
      </c>
      <c r="J604" s="102">
        <v>76032</v>
      </c>
      <c r="K604" s="101">
        <v>62083.839999999997</v>
      </c>
      <c r="L604" s="101">
        <v>341400</v>
      </c>
      <c r="M604" s="10"/>
      <c r="N604" s="10"/>
      <c r="O604" s="756"/>
      <c r="P604"/>
    </row>
    <row r="605" spans="1:16" s="146" customFormat="1" ht="18" x14ac:dyDescent="0.25">
      <c r="A605" s="649"/>
      <c r="B605" s="650"/>
      <c r="C605" s="650"/>
      <c r="D605" s="38" t="s">
        <v>793</v>
      </c>
      <c r="E605" s="3"/>
      <c r="F605" s="650"/>
      <c r="G605" s="646"/>
      <c r="H605" s="394" t="s">
        <v>171</v>
      </c>
      <c r="I605" s="101">
        <v>4394</v>
      </c>
      <c r="J605" s="102">
        <v>32850</v>
      </c>
      <c r="K605" s="101"/>
      <c r="L605" s="101"/>
      <c r="M605" s="10"/>
      <c r="N605" s="10"/>
      <c r="O605" s="756"/>
      <c r="P605"/>
    </row>
    <row r="606" spans="1:16" s="146" customFormat="1" ht="18" x14ac:dyDescent="0.25">
      <c r="A606" s="649"/>
      <c r="B606" s="650"/>
      <c r="C606" s="650"/>
      <c r="D606" s="38" t="s">
        <v>934</v>
      </c>
      <c r="E606" s="3"/>
      <c r="F606" s="650"/>
      <c r="G606" s="646"/>
      <c r="H606" s="394" t="s">
        <v>171</v>
      </c>
      <c r="I606" s="101"/>
      <c r="J606" s="102"/>
      <c r="K606" s="101"/>
      <c r="L606" s="101">
        <v>141825</v>
      </c>
      <c r="M606" s="10"/>
      <c r="N606" s="10"/>
      <c r="O606" s="756"/>
      <c r="P606"/>
    </row>
    <row r="607" spans="1:16" s="146" customFormat="1" ht="18" x14ac:dyDescent="0.25">
      <c r="A607" s="649"/>
      <c r="B607" s="650"/>
      <c r="C607" s="650"/>
      <c r="D607" s="38" t="s">
        <v>935</v>
      </c>
      <c r="E607" s="3"/>
      <c r="F607" s="650"/>
      <c r="G607" s="646"/>
      <c r="H607" s="394" t="s">
        <v>171</v>
      </c>
      <c r="I607" s="101"/>
      <c r="J607" s="102">
        <v>6000</v>
      </c>
      <c r="K607" s="101"/>
      <c r="L607" s="101"/>
      <c r="M607" s="10"/>
      <c r="N607" s="10"/>
      <c r="O607" s="756"/>
      <c r="P607"/>
    </row>
    <row r="608" spans="1:16" s="146" customFormat="1" ht="18" x14ac:dyDescent="0.25">
      <c r="A608" s="649"/>
      <c r="B608" s="650"/>
      <c r="C608" s="650"/>
      <c r="D608" s="38" t="s">
        <v>936</v>
      </c>
      <c r="E608" s="3"/>
      <c r="F608" s="650"/>
      <c r="G608" s="646"/>
      <c r="H608" s="394" t="s">
        <v>171</v>
      </c>
      <c r="I608" s="101"/>
      <c r="J608" s="102">
        <v>8000</v>
      </c>
      <c r="K608" s="101"/>
      <c r="L608" s="101"/>
      <c r="M608" s="10"/>
      <c r="N608" s="10"/>
      <c r="O608" s="756"/>
      <c r="P608"/>
    </row>
    <row r="609" spans="1:16" s="146" customFormat="1" ht="18" x14ac:dyDescent="0.25">
      <c r="A609" s="649"/>
      <c r="B609" s="650"/>
      <c r="C609" s="650"/>
      <c r="D609" s="38" t="s">
        <v>937</v>
      </c>
      <c r="E609" s="3"/>
      <c r="F609" s="650"/>
      <c r="G609" s="646"/>
      <c r="H609" s="394" t="s">
        <v>171</v>
      </c>
      <c r="I609" s="101"/>
      <c r="J609" s="102">
        <v>5000</v>
      </c>
      <c r="K609" s="101"/>
      <c r="L609" s="101"/>
      <c r="M609" s="10"/>
      <c r="N609" s="10"/>
      <c r="O609" s="756"/>
      <c r="P609"/>
    </row>
    <row r="610" spans="1:16" s="146" customFormat="1" ht="18" x14ac:dyDescent="0.25">
      <c r="A610" s="649"/>
      <c r="B610" s="650"/>
      <c r="C610" s="650"/>
      <c r="D610" s="38" t="s">
        <v>938</v>
      </c>
      <c r="E610" s="3"/>
      <c r="F610" s="650"/>
      <c r="G610" s="646"/>
      <c r="H610" s="394" t="s">
        <v>171</v>
      </c>
      <c r="I610" s="101"/>
      <c r="J610" s="102">
        <v>50000</v>
      </c>
      <c r="K610" s="101"/>
      <c r="L610" s="101"/>
      <c r="M610" s="10"/>
      <c r="N610" s="10"/>
      <c r="O610" s="756"/>
      <c r="P610"/>
    </row>
    <row r="611" spans="1:16" s="146" customFormat="1" ht="18" x14ac:dyDescent="0.25">
      <c r="A611" s="649"/>
      <c r="B611" s="650"/>
      <c r="C611" s="650"/>
      <c r="D611" s="38" t="s">
        <v>939</v>
      </c>
      <c r="E611" s="3"/>
      <c r="F611" s="650"/>
      <c r="G611" s="646"/>
      <c r="H611" s="394" t="s">
        <v>171</v>
      </c>
      <c r="I611" s="101"/>
      <c r="J611" s="102">
        <v>4500</v>
      </c>
      <c r="K611" s="101"/>
      <c r="L611" s="101"/>
      <c r="M611" s="10"/>
      <c r="N611" s="10"/>
      <c r="O611" s="756"/>
      <c r="P611"/>
    </row>
    <row r="612" spans="1:16" s="146" customFormat="1" ht="18" x14ac:dyDescent="0.25">
      <c r="A612" s="649"/>
      <c r="B612" s="650"/>
      <c r="C612" s="650"/>
      <c r="D612" s="38" t="s">
        <v>940</v>
      </c>
      <c r="E612" s="3"/>
      <c r="F612" s="650"/>
      <c r="G612" s="646"/>
      <c r="H612" s="394" t="s">
        <v>171</v>
      </c>
      <c r="I612" s="101"/>
      <c r="J612" s="102">
        <v>25000</v>
      </c>
      <c r="K612" s="101"/>
      <c r="L612" s="101"/>
      <c r="M612" s="10"/>
      <c r="N612" s="10"/>
      <c r="O612" s="756"/>
      <c r="P612"/>
    </row>
    <row r="613" spans="1:16" s="146" customFormat="1" ht="18" x14ac:dyDescent="0.25">
      <c r="A613" s="649"/>
      <c r="B613" s="650"/>
      <c r="C613" s="650"/>
      <c r="D613" s="38" t="s">
        <v>941</v>
      </c>
      <c r="E613" s="3"/>
      <c r="F613" s="650"/>
      <c r="G613" s="646"/>
      <c r="H613" s="394" t="s">
        <v>171</v>
      </c>
      <c r="I613" s="101"/>
      <c r="J613" s="102">
        <v>18000</v>
      </c>
      <c r="K613" s="101"/>
      <c r="L613" s="101"/>
      <c r="M613" s="10"/>
      <c r="N613" s="10"/>
      <c r="O613" s="756"/>
      <c r="P613"/>
    </row>
    <row r="614" spans="1:16" s="146" customFormat="1" ht="18" x14ac:dyDescent="0.25">
      <c r="A614" s="649"/>
      <c r="B614" s="650"/>
      <c r="C614" s="650"/>
      <c r="D614" s="38" t="s">
        <v>942</v>
      </c>
      <c r="E614" s="3"/>
      <c r="F614" s="650"/>
      <c r="G614" s="646"/>
      <c r="H614" s="394" t="s">
        <v>171</v>
      </c>
      <c r="I614" s="101"/>
      <c r="J614" s="102">
        <v>4000</v>
      </c>
      <c r="K614" s="101"/>
      <c r="L614" s="101"/>
      <c r="M614" s="10"/>
      <c r="N614" s="10"/>
      <c r="O614" s="756"/>
      <c r="P614"/>
    </row>
    <row r="615" spans="1:16" s="146" customFormat="1" ht="18" x14ac:dyDescent="0.25">
      <c r="A615" s="649"/>
      <c r="B615" s="650"/>
      <c r="C615" s="650"/>
      <c r="D615" s="38" t="s">
        <v>943</v>
      </c>
      <c r="E615" s="3"/>
      <c r="F615" s="650"/>
      <c r="G615" s="646"/>
      <c r="H615" s="394" t="s">
        <v>189</v>
      </c>
      <c r="I615" s="101">
        <v>0</v>
      </c>
      <c r="J615" s="102">
        <v>210000</v>
      </c>
      <c r="K615" s="101">
        <v>11297</v>
      </c>
      <c r="L615" s="101">
        <v>340000</v>
      </c>
      <c r="M615" s="10"/>
      <c r="N615" s="10"/>
      <c r="O615" s="756"/>
      <c r="P615"/>
    </row>
    <row r="616" spans="1:16" s="146" customFormat="1" ht="18" x14ac:dyDescent="0.25">
      <c r="A616" s="649"/>
      <c r="B616" s="650"/>
      <c r="C616" s="650"/>
      <c r="D616" s="38" t="s">
        <v>944</v>
      </c>
      <c r="E616" s="3"/>
      <c r="F616" s="650"/>
      <c r="G616" s="646"/>
      <c r="H616" s="394" t="s">
        <v>282</v>
      </c>
      <c r="I616" s="101">
        <v>0</v>
      </c>
      <c r="J616" s="102">
        <v>5000</v>
      </c>
      <c r="K616" s="101"/>
      <c r="L616" s="101"/>
      <c r="M616" s="10"/>
      <c r="N616" s="10"/>
      <c r="O616" s="756"/>
      <c r="P616"/>
    </row>
    <row r="617" spans="1:16" s="146" customFormat="1" ht="18" x14ac:dyDescent="0.25">
      <c r="A617" s="649"/>
      <c r="B617" s="650"/>
      <c r="C617" s="650"/>
      <c r="D617" s="38" t="s">
        <v>945</v>
      </c>
      <c r="E617" s="3"/>
      <c r="F617" s="650"/>
      <c r="G617" s="650"/>
      <c r="H617" s="394"/>
      <c r="I617" s="105">
        <v>0</v>
      </c>
      <c r="J617" s="106"/>
      <c r="K617" s="105"/>
      <c r="L617" s="105"/>
      <c r="M617" s="10"/>
      <c r="N617" s="10"/>
      <c r="O617" s="756"/>
      <c r="P617"/>
    </row>
    <row r="618" spans="1:16" s="146" customFormat="1" ht="18" x14ac:dyDescent="0.25">
      <c r="A618" s="649"/>
      <c r="B618" s="650"/>
      <c r="C618" s="650"/>
      <c r="D618" s="651" t="s">
        <v>15</v>
      </c>
      <c r="F618" s="650"/>
      <c r="G618" s="650"/>
      <c r="H618" s="100"/>
      <c r="I618" s="155">
        <f>SUM(I603:I617)</f>
        <v>88904.42</v>
      </c>
      <c r="J618" s="155">
        <f>SUM(J603:J617)</f>
        <v>632083</v>
      </c>
      <c r="K618" s="155">
        <f>SUM(K603:K617)</f>
        <v>153516.84</v>
      </c>
      <c r="L618" s="155">
        <f>SUM(L603:L617)</f>
        <v>903205</v>
      </c>
      <c r="M618" s="10"/>
      <c r="N618" s="10"/>
      <c r="O618" s="756"/>
      <c r="P618"/>
    </row>
    <row r="619" spans="1:16" s="146" customFormat="1" ht="18" x14ac:dyDescent="0.25">
      <c r="A619" s="649"/>
      <c r="B619" s="650"/>
      <c r="C619" s="650"/>
      <c r="D619" s="639"/>
      <c r="E619" s="651"/>
      <c r="F619" s="650"/>
      <c r="G619" s="650"/>
      <c r="H619" s="100"/>
      <c r="I619" s="155"/>
      <c r="J619" s="156"/>
      <c r="K619" s="155"/>
      <c r="L619" s="155"/>
      <c r="M619" s="10"/>
      <c r="N619" s="10"/>
      <c r="O619" s="756"/>
      <c r="P619"/>
    </row>
    <row r="620" spans="1:16" s="146" customFormat="1" ht="18" customHeight="1" x14ac:dyDescent="0.25">
      <c r="A620" s="649"/>
      <c r="B620" s="650"/>
      <c r="C620" s="650"/>
      <c r="D620" s="152" t="s">
        <v>799</v>
      </c>
      <c r="E620" s="152"/>
      <c r="F620" s="152"/>
      <c r="G620" s="152"/>
      <c r="H620" s="186"/>
      <c r="I620" s="101"/>
      <c r="J620" s="102"/>
      <c r="K620" s="101"/>
      <c r="L620" s="101"/>
      <c r="M620" s="10"/>
      <c r="N620" s="10"/>
      <c r="O620" s="756"/>
      <c r="P620"/>
    </row>
    <row r="621" spans="1:16" s="146" customFormat="1" ht="18" x14ac:dyDescent="0.25">
      <c r="A621" s="649"/>
      <c r="B621" s="650"/>
      <c r="C621" s="650"/>
      <c r="D621" s="395" t="s">
        <v>946</v>
      </c>
      <c r="E621" s="396"/>
      <c r="F621" s="397"/>
      <c r="G621" s="397"/>
      <c r="H621" s="398"/>
      <c r="I621" s="399"/>
      <c r="J621" s="399"/>
      <c r="K621" s="399"/>
      <c r="L621" s="399">
        <v>115000</v>
      </c>
      <c r="M621" s="10"/>
      <c r="N621" s="10"/>
      <c r="O621" s="756"/>
      <c r="P621"/>
    </row>
    <row r="622" spans="1:16" s="146" customFormat="1" ht="18" x14ac:dyDescent="0.25">
      <c r="A622" s="649"/>
      <c r="B622" s="650"/>
      <c r="C622" s="650"/>
      <c r="D622" s="395" t="s">
        <v>947</v>
      </c>
      <c r="E622" s="396"/>
      <c r="F622" s="397"/>
      <c r="G622" s="397"/>
      <c r="H622" s="398"/>
      <c r="I622" s="399"/>
      <c r="J622" s="399"/>
      <c r="K622" s="399"/>
      <c r="L622" s="399">
        <v>40000</v>
      </c>
      <c r="M622" s="10"/>
      <c r="N622" s="10"/>
      <c r="O622" s="756"/>
      <c r="P622"/>
    </row>
    <row r="623" spans="1:16" s="146" customFormat="1" ht="18" x14ac:dyDescent="0.25">
      <c r="A623" s="649"/>
      <c r="B623" s="650"/>
      <c r="C623" s="650"/>
      <c r="D623" s="38" t="s">
        <v>948</v>
      </c>
      <c r="E623" s="157"/>
      <c r="F623" s="650"/>
      <c r="G623" s="650"/>
      <c r="H623" s="100"/>
      <c r="I623" s="101"/>
      <c r="J623" s="102"/>
      <c r="K623" s="101"/>
      <c r="L623" s="101">
        <v>20000</v>
      </c>
      <c r="M623" s="10"/>
      <c r="N623" s="10"/>
      <c r="O623" s="756"/>
      <c r="P623"/>
    </row>
    <row r="624" spans="1:16" s="146" customFormat="1" ht="18" x14ac:dyDescent="0.25">
      <c r="A624" s="649"/>
      <c r="B624" s="650"/>
      <c r="C624" s="650"/>
      <c r="D624" s="38" t="s">
        <v>949</v>
      </c>
      <c r="E624" s="157"/>
      <c r="F624" s="650"/>
      <c r="G624" s="646"/>
      <c r="H624" s="100"/>
      <c r="I624" s="101"/>
      <c r="J624" s="102"/>
      <c r="K624" s="101"/>
      <c r="L624" s="105">
        <v>15000</v>
      </c>
      <c r="M624" s="10"/>
      <c r="N624" s="10"/>
      <c r="O624" s="756"/>
      <c r="P624"/>
    </row>
    <row r="625" spans="1:16" s="146" customFormat="1" ht="18.75" thickBot="1" x14ac:dyDescent="0.3">
      <c r="A625" s="649"/>
      <c r="B625" s="650"/>
      <c r="C625" s="650"/>
      <c r="D625" s="651" t="s">
        <v>200</v>
      </c>
      <c r="F625" s="651"/>
      <c r="G625" s="644"/>
      <c r="H625" s="392"/>
      <c r="I625" s="119">
        <f>SUM(I621:I624)</f>
        <v>0</v>
      </c>
      <c r="J625" s="119">
        <f>SUM(J621:J624)</f>
        <v>0</v>
      </c>
      <c r="K625" s="119">
        <f>SUM(K621:K624)</f>
        <v>0</v>
      </c>
      <c r="L625" s="119">
        <f>SUM(L621:L624)</f>
        <v>190000</v>
      </c>
      <c r="M625" s="10"/>
      <c r="N625" s="10"/>
      <c r="O625" s="756"/>
      <c r="P625"/>
    </row>
    <row r="626" spans="1:16" s="146" customFormat="1" ht="18.75" thickBot="1" x14ac:dyDescent="0.3">
      <c r="A626" s="649"/>
      <c r="B626" s="650"/>
      <c r="C626" s="650"/>
      <c r="D626" s="651" t="s">
        <v>15</v>
      </c>
      <c r="E626" s="575"/>
      <c r="F626" s="664"/>
      <c r="G626" s="664"/>
      <c r="H626" s="392"/>
      <c r="I626" s="182">
        <f>I625+I618</f>
        <v>88904.42</v>
      </c>
      <c r="J626" s="182">
        <f>J625+J618</f>
        <v>632083</v>
      </c>
      <c r="K626" s="182">
        <f>K625+K618</f>
        <v>153516.84</v>
      </c>
      <c r="L626" s="182">
        <f>L625+L618</f>
        <v>1093205</v>
      </c>
      <c r="M626" s="10">
        <v>1093205</v>
      </c>
      <c r="N626" s="10"/>
      <c r="O626" s="756"/>
      <c r="P626"/>
    </row>
    <row r="627" spans="1:16" s="146" customFormat="1" ht="18" x14ac:dyDescent="0.25">
      <c r="A627" s="649"/>
      <c r="B627" s="650"/>
      <c r="C627" s="650"/>
      <c r="D627" s="639"/>
      <c r="E627" s="644"/>
      <c r="F627" s="647"/>
      <c r="G627" s="647"/>
      <c r="H627" s="100"/>
      <c r="I627" s="155"/>
      <c r="J627" s="156"/>
      <c r="K627" s="155"/>
      <c r="L627" s="155"/>
      <c r="M627" s="10"/>
      <c r="N627" s="10"/>
      <c r="O627" s="756"/>
      <c r="P627"/>
    </row>
    <row r="628" spans="1:16" s="146" customFormat="1" ht="18" customHeight="1" x14ac:dyDescent="0.25">
      <c r="A628" s="579"/>
      <c r="B628" s="573"/>
      <c r="C628" s="573"/>
      <c r="D628" s="125" t="s">
        <v>951</v>
      </c>
      <c r="E628" s="114"/>
      <c r="F628" s="116"/>
      <c r="G628" s="116"/>
      <c r="H628" s="376"/>
      <c r="I628" s="101">
        <v>0</v>
      </c>
      <c r="J628" s="102">
        <v>500000</v>
      </c>
      <c r="K628" s="101"/>
      <c r="L628" s="102">
        <v>500000</v>
      </c>
      <c r="M628" s="10">
        <v>500000</v>
      </c>
      <c r="N628" s="10"/>
      <c r="O628" s="756"/>
      <c r="P628"/>
    </row>
    <row r="629" spans="1:16" s="146" customFormat="1" ht="18" customHeight="1" x14ac:dyDescent="0.25">
      <c r="A629" s="579"/>
      <c r="B629" s="573"/>
      <c r="C629" s="573"/>
      <c r="D629" s="125" t="s">
        <v>952</v>
      </c>
      <c r="E629" s="114"/>
      <c r="F629" s="116"/>
      <c r="G629" s="647"/>
      <c r="H629" s="100"/>
      <c r="I629" s="101">
        <v>0</v>
      </c>
      <c r="J629" s="102">
        <v>150000</v>
      </c>
      <c r="K629" s="101"/>
      <c r="L629" s="102">
        <v>150000</v>
      </c>
      <c r="M629" s="10">
        <v>150000</v>
      </c>
      <c r="N629" s="10"/>
      <c r="O629" s="756"/>
      <c r="P629"/>
    </row>
    <row r="630" spans="1:16" s="146" customFormat="1" ht="18" x14ac:dyDescent="0.25">
      <c r="A630" s="579"/>
      <c r="B630" s="573"/>
      <c r="C630" s="573"/>
      <c r="D630" s="206" t="s">
        <v>953</v>
      </c>
      <c r="E630" s="297"/>
      <c r="F630" s="580"/>
      <c r="G630" s="647"/>
      <c r="H630" s="100"/>
      <c r="I630" s="101">
        <v>0</v>
      </c>
      <c r="J630" s="102">
        <v>500000</v>
      </c>
      <c r="K630" s="101"/>
      <c r="L630" s="102">
        <v>500000</v>
      </c>
      <c r="M630" s="10">
        <v>500000</v>
      </c>
      <c r="N630" s="10"/>
      <c r="O630" s="756"/>
      <c r="P630"/>
    </row>
    <row r="631" spans="1:16" s="146" customFormat="1" ht="42" customHeight="1" x14ac:dyDescent="0.25">
      <c r="A631" s="579"/>
      <c r="B631" s="573"/>
      <c r="C631" s="573"/>
      <c r="D631" s="1634" t="s">
        <v>954</v>
      </c>
      <c r="E631" s="1653"/>
      <c r="F631" s="581"/>
      <c r="G631" s="647"/>
      <c r="H631" s="100"/>
      <c r="I631" s="101">
        <v>26500</v>
      </c>
      <c r="J631" s="102">
        <v>500000</v>
      </c>
      <c r="K631" s="101">
        <v>33600</v>
      </c>
      <c r="L631" s="102">
        <v>500000</v>
      </c>
      <c r="M631" s="10"/>
      <c r="N631" s="10">
        <v>500000</v>
      </c>
      <c r="O631" s="756"/>
      <c r="P631"/>
    </row>
    <row r="632" spans="1:16" s="146" customFormat="1" ht="38.25" customHeight="1" x14ac:dyDescent="0.25">
      <c r="A632" s="579"/>
      <c r="B632" s="573"/>
      <c r="C632" s="573"/>
      <c r="D632" s="1634" t="s">
        <v>955</v>
      </c>
      <c r="E632" s="1653"/>
      <c r="F632" s="581"/>
      <c r="G632" s="647"/>
      <c r="H632" s="100"/>
      <c r="I632" s="101">
        <v>248700</v>
      </c>
      <c r="J632" s="102">
        <v>250000</v>
      </c>
      <c r="K632" s="101"/>
      <c r="L632" s="102">
        <v>250000</v>
      </c>
      <c r="M632" s="10"/>
      <c r="N632" s="10">
        <v>250000</v>
      </c>
      <c r="O632" s="756"/>
      <c r="P632"/>
    </row>
    <row r="633" spans="1:16" s="146" customFormat="1" ht="18" x14ac:dyDescent="0.25">
      <c r="A633" s="579"/>
      <c r="B633" s="573"/>
      <c r="C633" s="573"/>
      <c r="D633" s="656" t="s">
        <v>956</v>
      </c>
      <c r="E633" s="672"/>
      <c r="F633" s="582"/>
      <c r="G633" s="647"/>
      <c r="H633" s="100"/>
      <c r="I633" s="101">
        <v>68965</v>
      </c>
      <c r="J633" s="102"/>
      <c r="K633" s="101"/>
      <c r="L633" s="102">
        <v>150000</v>
      </c>
      <c r="M633" s="10"/>
      <c r="N633" s="10">
        <v>150000</v>
      </c>
      <c r="O633" s="756"/>
      <c r="P633"/>
    </row>
    <row r="634" spans="1:16" s="146" customFormat="1" ht="18" x14ac:dyDescent="0.25">
      <c r="A634" s="579"/>
      <c r="B634" s="573"/>
      <c r="C634" s="573"/>
      <c r="D634" s="656" t="s">
        <v>957</v>
      </c>
      <c r="E634" s="672"/>
      <c r="F634" s="582"/>
      <c r="G634" s="647"/>
      <c r="H634" s="100"/>
      <c r="I634" s="101">
        <v>6382937.5</v>
      </c>
      <c r="J634" s="102">
        <v>0</v>
      </c>
      <c r="K634" s="101"/>
      <c r="L634" s="106">
        <v>15000000</v>
      </c>
      <c r="M634" s="10"/>
      <c r="N634" s="10">
        <v>15000000</v>
      </c>
      <c r="O634" s="756"/>
      <c r="P634"/>
    </row>
    <row r="635" spans="1:16" ht="18" x14ac:dyDescent="0.25">
      <c r="A635" s="649"/>
      <c r="B635" s="650"/>
      <c r="C635" s="650"/>
      <c r="D635" s="651" t="s">
        <v>15</v>
      </c>
      <c r="E635" s="236"/>
      <c r="F635" s="647"/>
      <c r="G635" s="647"/>
      <c r="H635" s="100"/>
      <c r="I635" s="119">
        <f>SUM(I628:I634)</f>
        <v>6727102.5</v>
      </c>
      <c r="J635" s="119">
        <f>SUM(J628:J634)</f>
        <v>1900000</v>
      </c>
      <c r="K635" s="119">
        <f>SUM(K628:K634)</f>
        <v>33600</v>
      </c>
      <c r="L635" s="119">
        <f>SUM(L628:L634)</f>
        <v>17050000</v>
      </c>
    </row>
    <row r="636" spans="1:16" s="146" customFormat="1" ht="18" x14ac:dyDescent="0.25">
      <c r="A636" s="649"/>
      <c r="B636" s="650"/>
      <c r="C636" s="650"/>
      <c r="D636" s="639"/>
      <c r="E636" s="644"/>
      <c r="F636" s="647"/>
      <c r="G636" s="647"/>
      <c r="H636" s="100"/>
      <c r="I636" s="155"/>
      <c r="J636" s="156"/>
      <c r="K636" s="155"/>
      <c r="L636" s="155"/>
      <c r="M636" s="10"/>
      <c r="N636" s="10"/>
      <c r="O636" s="756"/>
      <c r="P636"/>
    </row>
    <row r="637" spans="1:16" s="146" customFormat="1" ht="18" x14ac:dyDescent="0.25">
      <c r="A637" s="649"/>
      <c r="B637" s="650"/>
      <c r="C637" s="650"/>
      <c r="D637" s="639"/>
      <c r="E637" s="644"/>
      <c r="F637" s="647"/>
      <c r="G637" s="647"/>
      <c r="H637" s="100"/>
      <c r="I637" s="155"/>
      <c r="J637" s="156"/>
      <c r="K637" s="155"/>
      <c r="L637" s="155"/>
      <c r="M637" s="10"/>
      <c r="N637" s="10"/>
      <c r="O637" s="756"/>
      <c r="P637"/>
    </row>
    <row r="638" spans="1:16" s="146" customFormat="1" ht="18" x14ac:dyDescent="0.25">
      <c r="A638" s="649"/>
      <c r="B638" s="650"/>
      <c r="C638" s="650"/>
      <c r="D638" s="639"/>
      <c r="E638" s="644"/>
      <c r="F638" s="647"/>
      <c r="G638" s="647"/>
      <c r="H638" s="100"/>
      <c r="I638" s="155"/>
      <c r="J638" s="156"/>
      <c r="K638" s="155"/>
      <c r="L638" s="155"/>
      <c r="M638" s="10"/>
      <c r="N638" s="10"/>
      <c r="O638" s="756"/>
      <c r="P638"/>
    </row>
    <row r="639" spans="1:16" s="146" customFormat="1" ht="18.75" thickBot="1" x14ac:dyDescent="0.3">
      <c r="A639" s="187"/>
      <c r="B639" s="413"/>
      <c r="C639" s="413"/>
      <c r="D639" s="318"/>
      <c r="E639" s="660"/>
      <c r="F639" s="389"/>
      <c r="G639" s="389"/>
      <c r="H639" s="308"/>
      <c r="I639" s="182"/>
      <c r="J639" s="183"/>
      <c r="K639" s="182"/>
      <c r="L639" s="182"/>
      <c r="M639" s="10"/>
      <c r="N639" s="10"/>
      <c r="O639" s="756"/>
      <c r="P639"/>
    </row>
    <row r="640" spans="1:16" s="146" customFormat="1" ht="18" x14ac:dyDescent="0.25">
      <c r="A640" s="650"/>
      <c r="B640" s="650"/>
      <c r="C640" s="650"/>
      <c r="D640" s="639"/>
      <c r="E640" s="651"/>
      <c r="F640" s="650"/>
      <c r="G640" s="650"/>
      <c r="H640" s="381"/>
      <c r="I640" s="126"/>
      <c r="J640" s="127"/>
      <c r="K640" s="126"/>
      <c r="L640" s="126"/>
      <c r="M640" s="10"/>
      <c r="N640" s="10"/>
      <c r="O640" s="756"/>
      <c r="P640"/>
    </row>
    <row r="641" spans="1:16" s="146" customFormat="1" ht="18" x14ac:dyDescent="0.25">
      <c r="A641" s="650"/>
      <c r="B641" s="650"/>
      <c r="C641" s="650"/>
      <c r="D641" s="639"/>
      <c r="E641" s="651"/>
      <c r="F641" s="650"/>
      <c r="G641" s="650"/>
      <c r="H641" s="381"/>
      <c r="I641" s="126"/>
      <c r="J641" s="127"/>
      <c r="K641" s="126"/>
      <c r="L641" s="126"/>
      <c r="M641" s="10"/>
      <c r="N641" s="10"/>
      <c r="O641" s="756"/>
      <c r="P641"/>
    </row>
    <row r="642" spans="1:16" s="146" customFormat="1" ht="18" x14ac:dyDescent="0.25">
      <c r="A642" s="650"/>
      <c r="B642" s="650"/>
      <c r="C642" s="650"/>
      <c r="D642" s="639"/>
      <c r="E642" s="651"/>
      <c r="F642" s="650"/>
      <c r="G642" s="650"/>
      <c r="H642" s="381"/>
      <c r="I642" s="126"/>
      <c r="J642" s="127"/>
      <c r="K642" s="126"/>
      <c r="L642" s="126"/>
      <c r="M642" s="10"/>
      <c r="N642" s="10"/>
      <c r="O642" s="756"/>
      <c r="P642"/>
    </row>
    <row r="643" spans="1:16" s="146" customFormat="1" ht="18" x14ac:dyDescent="0.25">
      <c r="A643" s="650"/>
      <c r="B643" s="650"/>
      <c r="C643" s="650"/>
      <c r="D643" s="639"/>
      <c r="E643" s="651"/>
      <c r="F643" s="650"/>
      <c r="G643" s="650"/>
      <c r="H643" s="381"/>
      <c r="I643" s="126"/>
      <c r="J643" s="127"/>
      <c r="K643" s="126"/>
      <c r="L643" s="126"/>
      <c r="M643" s="10"/>
      <c r="N643" s="10"/>
      <c r="O643" s="756"/>
      <c r="P643"/>
    </row>
    <row r="644" spans="1:16" s="146" customFormat="1" ht="18" x14ac:dyDescent="0.25">
      <c r="A644" s="650"/>
      <c r="B644" s="650"/>
      <c r="C644" s="650"/>
      <c r="D644" s="639"/>
      <c r="E644" s="651"/>
      <c r="F644" s="650"/>
      <c r="G644" s="650"/>
      <c r="H644" s="381"/>
      <c r="I644" s="126"/>
      <c r="J644" s="127"/>
      <c r="K644" s="126"/>
      <c r="L644" s="126"/>
      <c r="M644" s="10"/>
      <c r="N644" s="10"/>
      <c r="O644" s="756"/>
      <c r="P644"/>
    </row>
    <row r="645" spans="1:16" s="146" customFormat="1" ht="18" x14ac:dyDescent="0.25">
      <c r="A645" s="650"/>
      <c r="B645" s="650"/>
      <c r="C645" s="650"/>
      <c r="D645" s="639"/>
      <c r="E645" s="651"/>
      <c r="F645" s="650"/>
      <c r="G645" s="650"/>
      <c r="H645" s="381"/>
      <c r="I645" s="126"/>
      <c r="J645" s="127"/>
      <c r="K645" s="126"/>
      <c r="L645" s="126"/>
      <c r="M645" s="10"/>
      <c r="N645" s="10"/>
      <c r="O645" s="756"/>
      <c r="P645"/>
    </row>
    <row r="646" spans="1:16" s="146" customFormat="1" ht="18" x14ac:dyDescent="0.25">
      <c r="A646" s="650"/>
      <c r="B646" s="650"/>
      <c r="C646" s="650"/>
      <c r="D646" s="639"/>
      <c r="E646" s="651"/>
      <c r="F646" s="650"/>
      <c r="G646" s="650"/>
      <c r="H646" s="381"/>
      <c r="I646" s="126"/>
      <c r="J646" s="127"/>
      <c r="K646" s="126"/>
      <c r="L646" s="126"/>
      <c r="M646" s="10"/>
      <c r="N646" s="10"/>
      <c r="O646" s="756"/>
      <c r="P646"/>
    </row>
    <row r="647" spans="1:16" ht="18" customHeight="1" x14ac:dyDescent="0.25">
      <c r="A647" s="8" t="s">
        <v>112</v>
      </c>
    </row>
    <row r="648" spans="1:16" ht="18" customHeight="1" x14ac:dyDescent="0.25">
      <c r="A648" s="8" t="s">
        <v>917</v>
      </c>
    </row>
    <row r="649" spans="1:16" ht="18" customHeight="1" x14ac:dyDescent="0.25">
      <c r="A649" s="1636" t="s">
        <v>113</v>
      </c>
      <c r="B649" s="1636"/>
      <c r="C649" s="1636"/>
      <c r="D649" s="1636"/>
      <c r="E649" s="1636"/>
      <c r="F649" s="1636"/>
      <c r="G649" s="1636"/>
      <c r="H649" s="1636"/>
      <c r="I649" s="1636"/>
      <c r="J649" s="1636"/>
      <c r="K649" s="1636"/>
      <c r="L649" s="1636"/>
    </row>
    <row r="650" spans="1:16" s="7" customFormat="1" ht="18" customHeight="1" x14ac:dyDescent="0.25">
      <c r="A650" s="1624" t="s">
        <v>114</v>
      </c>
      <c r="B650" s="1624"/>
      <c r="C650" s="1624"/>
      <c r="D650" s="1624"/>
      <c r="E650" s="1624"/>
      <c r="F650" s="1624"/>
      <c r="G650" s="1624"/>
      <c r="H650" s="1624"/>
      <c r="I650" s="1624"/>
      <c r="J650" s="1624"/>
      <c r="K650" s="1624"/>
      <c r="L650" s="1624"/>
      <c r="M650" s="6"/>
      <c r="N650" s="6"/>
      <c r="O650" s="762"/>
    </row>
    <row r="651" spans="1:16" ht="18.75" thickBot="1" x14ac:dyDescent="0.3">
      <c r="A651" s="41"/>
      <c r="B651" s="41"/>
      <c r="C651" s="41"/>
      <c r="D651" s="63"/>
      <c r="E651" s="41"/>
      <c r="F651" s="41"/>
      <c r="G651" s="41"/>
      <c r="H651" s="41"/>
    </row>
    <row r="652" spans="1:16" ht="61.5" customHeight="1" thickBot="1" x14ac:dyDescent="0.3">
      <c r="A652" s="1625" t="s">
        <v>115</v>
      </c>
      <c r="B652" s="1626"/>
      <c r="C652" s="1626"/>
      <c r="D652" s="1626"/>
      <c r="E652" s="1626"/>
      <c r="F652" s="1626"/>
      <c r="G652" s="1627"/>
      <c r="H652" s="93" t="s">
        <v>116</v>
      </c>
      <c r="I652" s="130" t="s">
        <v>117</v>
      </c>
      <c r="J652" s="130" t="s">
        <v>118</v>
      </c>
      <c r="K652" s="130" t="s">
        <v>119</v>
      </c>
      <c r="L652" s="130" t="s">
        <v>120</v>
      </c>
    </row>
    <row r="653" spans="1:16" ht="18" x14ac:dyDescent="0.25">
      <c r="A653" s="649"/>
      <c r="B653" s="650"/>
      <c r="C653" s="650"/>
      <c r="D653" s="369" t="s">
        <v>958</v>
      </c>
      <c r="E653" s="400"/>
      <c r="F653" s="401"/>
      <c r="G653" s="646"/>
      <c r="H653" s="100"/>
      <c r="I653" s="101"/>
      <c r="J653" s="102"/>
      <c r="K653" s="101"/>
      <c r="L653" s="101"/>
    </row>
    <row r="654" spans="1:16" ht="18" x14ac:dyDescent="0.25">
      <c r="A654" s="649"/>
      <c r="B654" s="650"/>
      <c r="C654" s="650"/>
      <c r="D654" s="1620" t="s">
        <v>813</v>
      </c>
      <c r="E654" s="1620"/>
      <c r="F654" s="1620"/>
      <c r="G654" s="1621"/>
      <c r="H654" s="100"/>
      <c r="I654" s="101"/>
      <c r="J654" s="102"/>
      <c r="K654" s="101"/>
      <c r="L654" s="101"/>
    </row>
    <row r="655" spans="1:16" s="212" customFormat="1" ht="18" customHeight="1" x14ac:dyDescent="0.25">
      <c r="A655" s="154"/>
      <c r="B655" s="654"/>
      <c r="C655" s="654"/>
      <c r="D655" s="44" t="s">
        <v>959</v>
      </c>
      <c r="E655" s="402"/>
      <c r="F655" s="403"/>
      <c r="G655" s="655"/>
      <c r="H655" s="100" t="s">
        <v>165</v>
      </c>
      <c r="I655" s="101">
        <v>63692.44</v>
      </c>
      <c r="J655" s="102">
        <v>120000</v>
      </c>
      <c r="K655" s="101"/>
      <c r="L655" s="102">
        <v>120000</v>
      </c>
      <c r="M655" s="207"/>
      <c r="N655" s="207"/>
      <c r="O655" s="764"/>
    </row>
    <row r="656" spans="1:16" s="212" customFormat="1" ht="18" customHeight="1" x14ac:dyDescent="0.25">
      <c r="A656" s="154"/>
      <c r="B656" s="654"/>
      <c r="C656" s="654"/>
      <c r="D656" s="44" t="s">
        <v>805</v>
      </c>
      <c r="E656" s="402"/>
      <c r="F656" s="403"/>
      <c r="G656" s="655"/>
      <c r="H656" s="100" t="s">
        <v>167</v>
      </c>
      <c r="I656" s="101">
        <v>0</v>
      </c>
      <c r="J656" s="102">
        <v>120000</v>
      </c>
      <c r="K656" s="101">
        <v>11968.71</v>
      </c>
      <c r="L656" s="102">
        <v>120000</v>
      </c>
      <c r="M656" s="207"/>
      <c r="N656" s="207"/>
      <c r="O656" s="764"/>
    </row>
    <row r="657" spans="1:15" s="212" customFormat="1" ht="18" customHeight="1" x14ac:dyDescent="0.25">
      <c r="A657" s="154"/>
      <c r="B657" s="654"/>
      <c r="C657" s="654"/>
      <c r="D657" s="44" t="s">
        <v>864</v>
      </c>
      <c r="E657" s="402"/>
      <c r="F657" s="403"/>
      <c r="G657" s="655"/>
      <c r="H657" s="100" t="s">
        <v>169</v>
      </c>
      <c r="I657" s="101">
        <v>607091</v>
      </c>
      <c r="J657" s="102">
        <v>180000</v>
      </c>
      <c r="K657" s="101">
        <v>177195</v>
      </c>
      <c r="L657" s="102">
        <v>585000</v>
      </c>
      <c r="M657" s="207"/>
      <c r="N657" s="207"/>
      <c r="O657" s="764"/>
    </row>
    <row r="658" spans="1:15" s="212" customFormat="1" ht="18" customHeight="1" x14ac:dyDescent="0.25">
      <c r="A658" s="154"/>
      <c r="B658" s="654"/>
      <c r="C658" s="654"/>
      <c r="D658" s="44" t="s">
        <v>873</v>
      </c>
      <c r="E658" s="157"/>
      <c r="F658" s="403"/>
      <c r="G658" s="655"/>
      <c r="H658" s="100" t="s">
        <v>173</v>
      </c>
      <c r="I658" s="101">
        <v>27554.05</v>
      </c>
      <c r="J658" s="102">
        <v>50000</v>
      </c>
      <c r="K658" s="101">
        <v>4320.6000000000004</v>
      </c>
      <c r="L658" s="102">
        <v>50000</v>
      </c>
      <c r="M658" s="207"/>
      <c r="N658" s="207"/>
      <c r="O658" s="764"/>
    </row>
    <row r="659" spans="1:15" s="212" customFormat="1" ht="18" x14ac:dyDescent="0.25">
      <c r="A659" s="154"/>
      <c r="B659" s="654"/>
      <c r="C659" s="654"/>
      <c r="D659" s="44" t="s">
        <v>960</v>
      </c>
      <c r="E659" s="402"/>
      <c r="F659" s="403"/>
      <c r="G659" s="655"/>
      <c r="H659" s="100" t="s">
        <v>179</v>
      </c>
      <c r="I659" s="101">
        <v>0</v>
      </c>
      <c r="J659" s="102">
        <v>24000</v>
      </c>
      <c r="K659" s="101"/>
      <c r="L659" s="102">
        <v>24000</v>
      </c>
      <c r="M659" s="207"/>
      <c r="N659" s="207"/>
      <c r="O659" s="764"/>
    </row>
    <row r="660" spans="1:15" s="212" customFormat="1" ht="18" customHeight="1" x14ac:dyDescent="0.25">
      <c r="A660" s="154"/>
      <c r="B660" s="654"/>
      <c r="C660" s="654"/>
      <c r="D660" s="44" t="s">
        <v>961</v>
      </c>
      <c r="E660" s="402"/>
      <c r="F660" s="403"/>
      <c r="G660" s="655"/>
      <c r="H660" s="100" t="s">
        <v>183</v>
      </c>
      <c r="I660" s="101">
        <v>0</v>
      </c>
      <c r="J660" s="102">
        <v>42000</v>
      </c>
      <c r="K660" s="101">
        <v>1701.9</v>
      </c>
      <c r="L660" s="102">
        <v>42000</v>
      </c>
      <c r="M660" s="207"/>
      <c r="N660" s="207"/>
      <c r="O660" s="764"/>
    </row>
    <row r="661" spans="1:15" s="212" customFormat="1" ht="18" customHeight="1" x14ac:dyDescent="0.25">
      <c r="A661" s="154"/>
      <c r="B661" s="654"/>
      <c r="C661" s="654"/>
      <c r="D661" s="44" t="s">
        <v>962</v>
      </c>
      <c r="E661" s="402"/>
      <c r="F661" s="402"/>
      <c r="G661" s="654"/>
      <c r="H661" s="100" t="s">
        <v>356</v>
      </c>
      <c r="I661" s="101">
        <v>0</v>
      </c>
      <c r="J661" s="102">
        <v>40000</v>
      </c>
      <c r="K661" s="101">
        <v>15894.12</v>
      </c>
      <c r="L661" s="102">
        <v>40000</v>
      </c>
      <c r="M661" s="207"/>
      <c r="N661" s="207"/>
      <c r="O661" s="764"/>
    </row>
    <row r="662" spans="1:15" s="212" customFormat="1" ht="18" customHeight="1" x14ac:dyDescent="0.25">
      <c r="A662" s="154"/>
      <c r="B662" s="654"/>
      <c r="C662" s="654"/>
      <c r="D662" s="44" t="s">
        <v>963</v>
      </c>
      <c r="E662" s="402"/>
      <c r="F662" s="402"/>
      <c r="G662" s="654"/>
      <c r="H662" s="100" t="s">
        <v>199</v>
      </c>
      <c r="I662" s="101">
        <v>0</v>
      </c>
      <c r="J662" s="102">
        <v>254000</v>
      </c>
      <c r="K662" s="101"/>
      <c r="L662" s="102">
        <v>254000</v>
      </c>
      <c r="M662" s="207"/>
      <c r="N662" s="207"/>
      <c r="O662" s="764"/>
    </row>
    <row r="663" spans="1:15" s="212" customFormat="1" ht="18" customHeight="1" x14ac:dyDescent="0.25">
      <c r="A663" s="154"/>
      <c r="B663" s="654"/>
      <c r="C663" s="654"/>
      <c r="D663" s="44"/>
      <c r="E663" s="402"/>
      <c r="F663" s="402"/>
      <c r="G663" s="654"/>
      <c r="H663" s="100"/>
      <c r="I663" s="101"/>
      <c r="J663" s="102"/>
      <c r="K663" s="101"/>
      <c r="L663" s="102"/>
      <c r="M663" s="207"/>
      <c r="N663" s="207"/>
      <c r="O663" s="764"/>
    </row>
    <row r="664" spans="1:15" ht="18" customHeight="1" x14ac:dyDescent="0.25">
      <c r="A664" s="649"/>
      <c r="B664" s="650"/>
      <c r="C664" s="650"/>
      <c r="D664" s="129" t="s">
        <v>799</v>
      </c>
      <c r="E664" s="152"/>
      <c r="F664" s="152"/>
      <c r="G664" s="152"/>
      <c r="H664" s="186"/>
      <c r="I664" s="101"/>
      <c r="J664" s="102"/>
      <c r="K664" s="101"/>
      <c r="L664" s="102"/>
    </row>
    <row r="665" spans="1:15" ht="18" customHeight="1" x14ac:dyDescent="0.25">
      <c r="A665" s="649"/>
      <c r="B665" s="650"/>
      <c r="C665" s="650"/>
      <c r="D665" s="44" t="s">
        <v>1328</v>
      </c>
      <c r="E665" s="152"/>
      <c r="F665" s="152"/>
      <c r="G665" s="152"/>
      <c r="H665" s="186"/>
      <c r="I665" s="101"/>
      <c r="J665" s="102"/>
      <c r="K665" s="101"/>
      <c r="L665" s="102">
        <v>50000</v>
      </c>
    </row>
    <row r="666" spans="1:15" ht="18" x14ac:dyDescent="0.25">
      <c r="A666" s="649"/>
      <c r="B666" s="650"/>
      <c r="C666" s="650"/>
      <c r="D666" s="656" t="s">
        <v>1327</v>
      </c>
      <c r="E666" s="670"/>
      <c r="F666" s="670"/>
      <c r="G666" s="650"/>
      <c r="H666" s="100"/>
      <c r="I666" s="101"/>
      <c r="J666" s="102">
        <v>150000</v>
      </c>
      <c r="K666" s="101"/>
      <c r="L666" s="102">
        <v>320000</v>
      </c>
    </row>
    <row r="667" spans="1:15" ht="18" x14ac:dyDescent="0.25">
      <c r="A667" s="649"/>
      <c r="B667" s="650"/>
      <c r="C667" s="650"/>
      <c r="D667" s="656" t="s">
        <v>964</v>
      </c>
      <c r="E667" s="670"/>
      <c r="F667" s="670"/>
      <c r="G667" s="650"/>
      <c r="H667" s="100"/>
      <c r="I667" s="101"/>
      <c r="J667" s="102"/>
      <c r="K667" s="101"/>
      <c r="L667" s="102">
        <v>50000</v>
      </c>
    </row>
    <row r="668" spans="1:15" ht="18" x14ac:dyDescent="0.25">
      <c r="A668" s="649"/>
      <c r="B668" s="650"/>
      <c r="C668" s="650"/>
      <c r="D668" s="656" t="s">
        <v>965</v>
      </c>
      <c r="E668" s="670"/>
      <c r="F668" s="670"/>
      <c r="G668" s="650"/>
      <c r="H668" s="100"/>
      <c r="I668" s="101"/>
      <c r="J668" s="102"/>
      <c r="K668" s="101"/>
      <c r="L668" s="102">
        <v>50000</v>
      </c>
    </row>
    <row r="669" spans="1:15" ht="18" x14ac:dyDescent="0.25">
      <c r="A669" s="649"/>
      <c r="B669" s="650"/>
      <c r="C669" s="650"/>
      <c r="D669" s="656" t="s">
        <v>966</v>
      </c>
      <c r="E669" s="670"/>
      <c r="F669" s="670"/>
      <c r="G669" s="650"/>
      <c r="H669" s="100"/>
      <c r="I669" s="101"/>
      <c r="J669" s="102"/>
      <c r="K669" s="101"/>
      <c r="L669" s="102">
        <v>84000</v>
      </c>
    </row>
    <row r="670" spans="1:15" ht="18" x14ac:dyDescent="0.25">
      <c r="A670" s="649"/>
      <c r="B670" s="650"/>
      <c r="C670" s="650"/>
      <c r="D670" s="656" t="s">
        <v>967</v>
      </c>
      <c r="E670" s="670"/>
      <c r="F670" s="670"/>
      <c r="G670" s="646"/>
      <c r="H670" s="100"/>
      <c r="I670" s="101"/>
      <c r="J670" s="102">
        <v>20000</v>
      </c>
      <c r="K670" s="101"/>
      <c r="L670" s="102"/>
    </row>
    <row r="671" spans="1:15" ht="18" x14ac:dyDescent="0.25">
      <c r="A671" s="649"/>
      <c r="B671" s="650"/>
      <c r="C671" s="650"/>
      <c r="D671" s="404" t="s">
        <v>15</v>
      </c>
      <c r="F671" s="405"/>
      <c r="G671" s="646"/>
      <c r="H671" s="100"/>
      <c r="I671" s="119">
        <f>SUM(I655:I670)</f>
        <v>698337.49</v>
      </c>
      <c r="J671" s="119">
        <f>SUM(J655:J670)</f>
        <v>1000000</v>
      </c>
      <c r="K671" s="119">
        <f>SUM(K655:K670)</f>
        <v>211080.33</v>
      </c>
      <c r="L671" s="119">
        <f>SUM(L655:L670)</f>
        <v>1789000</v>
      </c>
      <c r="M671" s="10">
        <v>1789000</v>
      </c>
    </row>
    <row r="672" spans="1:15" ht="18" x14ac:dyDescent="0.25">
      <c r="A672" s="649"/>
      <c r="B672" s="650"/>
      <c r="C672" s="650"/>
      <c r="D672" s="43"/>
      <c r="E672" s="404"/>
      <c r="F672" s="405"/>
      <c r="G672" s="646"/>
      <c r="H672" s="100"/>
      <c r="I672" s="155"/>
      <c r="J672" s="156"/>
      <c r="K672" s="155"/>
      <c r="L672" s="155"/>
    </row>
    <row r="673" spans="1:15" ht="18" x14ac:dyDescent="0.25">
      <c r="A673" s="649"/>
      <c r="B673" s="650"/>
      <c r="C673" s="650"/>
      <c r="D673" s="406" t="s">
        <v>968</v>
      </c>
      <c r="E673" s="404"/>
      <c r="F673" s="405"/>
      <c r="G673" s="646"/>
      <c r="H673" s="100"/>
      <c r="I673" s="155"/>
      <c r="J673" s="156"/>
      <c r="K673" s="155"/>
      <c r="L673" s="155"/>
    </row>
    <row r="674" spans="1:15" ht="18" x14ac:dyDescent="0.25">
      <c r="A674" s="649"/>
      <c r="B674" s="650"/>
      <c r="C674" s="650"/>
      <c r="D674" s="407" t="s">
        <v>969</v>
      </c>
      <c r="E674" s="404"/>
      <c r="F674" s="405"/>
      <c r="G674" s="646"/>
      <c r="H674" s="100"/>
      <c r="I674" s="155"/>
      <c r="J674" s="408">
        <v>5000000</v>
      </c>
      <c r="K674" s="155"/>
      <c r="L674" s="155"/>
    </row>
    <row r="675" spans="1:15" ht="18" x14ac:dyDescent="0.25">
      <c r="A675" s="649"/>
      <c r="B675" s="650"/>
      <c r="C675" s="650"/>
      <c r="D675" s="409" t="s">
        <v>970</v>
      </c>
      <c r="E675" s="404"/>
      <c r="F675" s="405"/>
      <c r="G675" s="646"/>
      <c r="H675" s="100"/>
      <c r="I675" s="155"/>
      <c r="J675" s="408">
        <v>2000000</v>
      </c>
      <c r="K675" s="155"/>
      <c r="L675" s="155"/>
    </row>
    <row r="676" spans="1:15" ht="18" x14ac:dyDescent="0.25">
      <c r="A676" s="649"/>
      <c r="B676" s="650"/>
      <c r="C676" s="650"/>
      <c r="D676" s="409" t="s">
        <v>971</v>
      </c>
      <c r="E676" s="404"/>
      <c r="F676" s="405"/>
      <c r="G676" s="646"/>
      <c r="H676" s="100"/>
      <c r="I676" s="155"/>
      <c r="J676" s="408">
        <v>2000000</v>
      </c>
      <c r="K676" s="155"/>
      <c r="L676" s="155"/>
    </row>
    <row r="677" spans="1:15" ht="18" x14ac:dyDescent="0.25">
      <c r="A677" s="649"/>
      <c r="B677" s="650"/>
      <c r="C677" s="650"/>
      <c r="D677" s="409" t="s">
        <v>972</v>
      </c>
      <c r="E677" s="404"/>
      <c r="F677" s="405"/>
      <c r="G677" s="646"/>
      <c r="H677" s="100"/>
      <c r="I677" s="155"/>
      <c r="J677" s="408">
        <v>1500000</v>
      </c>
      <c r="K677" s="155"/>
      <c r="L677" s="155"/>
    </row>
    <row r="678" spans="1:15" ht="18" x14ac:dyDescent="0.25">
      <c r="A678" s="649"/>
      <c r="B678" s="650"/>
      <c r="C678" s="650"/>
      <c r="D678" s="409" t="s">
        <v>973</v>
      </c>
      <c r="E678" s="404"/>
      <c r="F678" s="405"/>
      <c r="G678" s="646"/>
      <c r="H678" s="100"/>
      <c r="I678" s="155"/>
      <c r="J678" s="408">
        <v>8000000</v>
      </c>
      <c r="K678" s="155"/>
      <c r="L678" s="155"/>
    </row>
    <row r="679" spans="1:15" ht="18" x14ac:dyDescent="0.25">
      <c r="A679" s="649"/>
      <c r="B679" s="650"/>
      <c r="C679" s="650"/>
      <c r="D679" s="409" t="s">
        <v>974</v>
      </c>
      <c r="E679" s="404"/>
      <c r="F679" s="405"/>
      <c r="G679" s="646"/>
      <c r="H679" s="100"/>
      <c r="I679" s="155"/>
      <c r="J679" s="408">
        <v>2000000</v>
      </c>
      <c r="K679" s="155"/>
      <c r="L679" s="155"/>
    </row>
    <row r="680" spans="1:15" ht="18" x14ac:dyDescent="0.25">
      <c r="A680" s="649"/>
      <c r="B680" s="650"/>
      <c r="C680" s="650"/>
      <c r="D680" s="409" t="s">
        <v>975</v>
      </c>
      <c r="E680" s="404"/>
      <c r="F680" s="405"/>
      <c r="G680" s="646"/>
      <c r="H680" s="100"/>
      <c r="I680" s="109"/>
      <c r="J680" s="410">
        <v>3364715.97</v>
      </c>
      <c r="K680" s="109"/>
      <c r="L680" s="109"/>
    </row>
    <row r="681" spans="1:15" ht="18" x14ac:dyDescent="0.25">
      <c r="A681" s="649"/>
      <c r="B681" s="650"/>
      <c r="C681" s="650"/>
      <c r="D681" s="404" t="s">
        <v>15</v>
      </c>
      <c r="F681" s="405"/>
      <c r="G681" s="646"/>
      <c r="H681" s="100"/>
      <c r="I681" s="119"/>
      <c r="J681" s="411">
        <f>SUM(J674:J680)</f>
        <v>23864715.969999999</v>
      </c>
      <c r="K681" s="119"/>
      <c r="L681" s="119"/>
    </row>
    <row r="682" spans="1:15" ht="18" x14ac:dyDescent="0.25">
      <c r="A682" s="649"/>
      <c r="B682" s="650"/>
      <c r="C682" s="650"/>
      <c r="D682" s="43"/>
      <c r="E682" s="404"/>
      <c r="F682" s="405"/>
      <c r="G682" s="646"/>
      <c r="H682" s="100"/>
      <c r="I682" s="155"/>
      <c r="J682" s="412"/>
      <c r="K682" s="155"/>
      <c r="L682" s="155"/>
    </row>
    <row r="683" spans="1:15" ht="18" x14ac:dyDescent="0.25">
      <c r="A683" s="649"/>
      <c r="B683" s="650"/>
      <c r="C683" s="650"/>
      <c r="D683" s="1620" t="s">
        <v>977</v>
      </c>
      <c r="E683" s="1620"/>
      <c r="F683" s="1620"/>
      <c r="G683" s="1621"/>
      <c r="H683" s="100"/>
      <c r="I683" s="101"/>
      <c r="J683" s="102"/>
      <c r="K683" s="101"/>
      <c r="L683" s="101"/>
    </row>
    <row r="684" spans="1:15" ht="18" x14ac:dyDescent="0.25">
      <c r="A684" s="649"/>
      <c r="B684" s="650"/>
      <c r="C684" s="650"/>
      <c r="D684" s="656" t="s">
        <v>978</v>
      </c>
      <c r="E684" s="650"/>
      <c r="F684" s="650"/>
      <c r="G684" s="646"/>
      <c r="H684" s="100"/>
      <c r="I684" s="101">
        <v>1888000</v>
      </c>
      <c r="J684" s="102">
        <v>5000000</v>
      </c>
      <c r="K684" s="101">
        <v>623000</v>
      </c>
      <c r="L684" s="102">
        <v>5000000</v>
      </c>
    </row>
    <row r="685" spans="1:15" ht="18" x14ac:dyDescent="0.25">
      <c r="A685" s="649"/>
      <c r="B685" s="650"/>
      <c r="C685" s="650"/>
      <c r="D685" s="38" t="s">
        <v>979</v>
      </c>
      <c r="E685" s="198"/>
      <c r="F685" s="198"/>
      <c r="G685" s="646"/>
      <c r="H685" s="100"/>
      <c r="I685" s="101">
        <v>46200</v>
      </c>
      <c r="J685" s="102">
        <v>300000</v>
      </c>
      <c r="K685" s="101"/>
      <c r="L685" s="102">
        <v>300000</v>
      </c>
    </row>
    <row r="686" spans="1:15" s="415" customFormat="1" ht="18" x14ac:dyDescent="0.25">
      <c r="A686" s="649"/>
      <c r="B686" s="650"/>
      <c r="C686" s="650"/>
      <c r="D686" s="38" t="s">
        <v>980</v>
      </c>
      <c r="E686" s="199"/>
      <c r="F686" s="199"/>
      <c r="G686" s="646"/>
      <c r="H686" s="100"/>
      <c r="I686" s="101">
        <v>6347125</v>
      </c>
      <c r="J686" s="102">
        <v>6739000</v>
      </c>
      <c r="K686" s="101">
        <v>2625750</v>
      </c>
      <c r="L686" s="102">
        <v>6739000</v>
      </c>
      <c r="M686" s="10"/>
      <c r="N686" s="10"/>
      <c r="O686" s="756"/>
    </row>
    <row r="687" spans="1:15" ht="18" x14ac:dyDescent="0.25">
      <c r="A687" s="649"/>
      <c r="B687" s="650"/>
      <c r="C687" s="650"/>
      <c r="D687" s="38" t="s">
        <v>981</v>
      </c>
      <c r="E687" s="199"/>
      <c r="F687" s="199"/>
      <c r="G687" s="646"/>
      <c r="H687" s="100"/>
      <c r="I687" s="101">
        <v>61692</v>
      </c>
      <c r="J687" s="102">
        <v>200000</v>
      </c>
      <c r="K687" s="101"/>
      <c r="L687" s="102">
        <v>200000</v>
      </c>
    </row>
    <row r="688" spans="1:15" ht="18" x14ac:dyDescent="0.25">
      <c r="A688" s="649"/>
      <c r="B688" s="650"/>
      <c r="C688" s="650"/>
      <c r="D688" s="38" t="s">
        <v>982</v>
      </c>
      <c r="E688" s="199"/>
      <c r="F688" s="199"/>
      <c r="G688" s="646"/>
      <c r="H688" s="100"/>
      <c r="I688" s="101"/>
      <c r="J688" s="102">
        <v>5000000</v>
      </c>
      <c r="K688" s="101"/>
      <c r="L688" s="101"/>
    </row>
    <row r="689" spans="1:14" ht="18" x14ac:dyDescent="0.25">
      <c r="A689" s="649"/>
      <c r="B689" s="650"/>
      <c r="C689" s="650"/>
      <c r="D689" s="404" t="s">
        <v>15</v>
      </c>
      <c r="F689" s="650"/>
      <c r="G689" s="646"/>
      <c r="H689" s="100"/>
      <c r="I689" s="119">
        <f>SUM(I683:I688)</f>
        <v>8343017</v>
      </c>
      <c r="J689" s="119">
        <f>SUM(J683:J688)</f>
        <v>17239000</v>
      </c>
      <c r="K689" s="119">
        <f>SUM(K683:K688)</f>
        <v>3248750</v>
      </c>
      <c r="L689" s="119">
        <f>SUM(L683:L688)</f>
        <v>12239000</v>
      </c>
      <c r="M689" s="10">
        <v>12239000</v>
      </c>
    </row>
    <row r="690" spans="1:14" ht="18" x14ac:dyDescent="0.25">
      <c r="A690" s="649"/>
      <c r="B690" s="650"/>
      <c r="C690" s="650"/>
      <c r="D690" s="639"/>
      <c r="E690" s="404"/>
      <c r="F690" s="650"/>
      <c r="G690" s="650"/>
      <c r="H690" s="100"/>
      <c r="I690" s="155"/>
      <c r="J690" s="156"/>
      <c r="K690" s="155"/>
      <c r="L690" s="155"/>
    </row>
    <row r="691" spans="1:14" ht="18" x14ac:dyDescent="0.25">
      <c r="A691" s="649"/>
      <c r="B691" s="650"/>
      <c r="C691" s="650"/>
      <c r="D691" s="36" t="s">
        <v>983</v>
      </c>
      <c r="E691" s="199"/>
      <c r="F691" s="199"/>
      <c r="G691" s="184"/>
      <c r="H691" s="100"/>
      <c r="I691" s="101"/>
      <c r="J691" s="102"/>
      <c r="K691" s="101"/>
      <c r="L691" s="101"/>
    </row>
    <row r="692" spans="1:14" ht="18" x14ac:dyDescent="0.25">
      <c r="A692" s="649"/>
      <c r="B692" s="650"/>
      <c r="C692" s="650"/>
      <c r="D692" s="407" t="s">
        <v>984</v>
      </c>
      <c r="E692" s="199"/>
      <c r="F692" s="199"/>
      <c r="G692" s="184"/>
      <c r="H692" s="100"/>
      <c r="I692" s="101"/>
      <c r="J692" s="102">
        <v>700000</v>
      </c>
      <c r="K692" s="101"/>
      <c r="L692" s="101">
        <v>700000</v>
      </c>
    </row>
    <row r="693" spans="1:14" ht="37.5" customHeight="1" x14ac:dyDescent="0.25">
      <c r="A693" s="649"/>
      <c r="B693" s="650"/>
      <c r="C693" s="650"/>
      <c r="D693" s="1652" t="s">
        <v>985</v>
      </c>
      <c r="E693" s="1652"/>
      <c r="F693" s="1652"/>
      <c r="G693" s="184"/>
      <c r="H693" s="100"/>
      <c r="I693" s="101"/>
      <c r="J693" s="102">
        <v>500000</v>
      </c>
      <c r="K693" s="101"/>
      <c r="L693" s="101">
        <v>500000</v>
      </c>
    </row>
    <row r="694" spans="1:14" ht="51.75" customHeight="1" x14ac:dyDescent="0.25">
      <c r="A694" s="649"/>
      <c r="B694" s="650"/>
      <c r="C694" s="650"/>
      <c r="D694" s="1652" t="s">
        <v>986</v>
      </c>
      <c r="E694" s="1652"/>
      <c r="F694" s="1652"/>
      <c r="G694" s="184"/>
      <c r="H694" s="100"/>
      <c r="I694" s="101"/>
      <c r="J694" s="102">
        <v>500000</v>
      </c>
      <c r="K694" s="101"/>
      <c r="L694" s="101">
        <v>500000</v>
      </c>
    </row>
    <row r="695" spans="1:14" ht="71.25" customHeight="1" x14ac:dyDescent="0.25">
      <c r="A695" s="649"/>
      <c r="B695" s="650"/>
      <c r="C695" s="650"/>
      <c r="D695" s="1652" t="s">
        <v>987</v>
      </c>
      <c r="E695" s="1652"/>
      <c r="F695" s="1652"/>
      <c r="G695" s="184"/>
      <c r="H695" s="100"/>
      <c r="I695" s="101"/>
      <c r="J695" s="102">
        <v>500000</v>
      </c>
      <c r="K695" s="101"/>
      <c r="L695" s="101">
        <v>500000</v>
      </c>
    </row>
    <row r="696" spans="1:14" ht="18" x14ac:dyDescent="0.25">
      <c r="A696" s="649"/>
      <c r="B696" s="650"/>
      <c r="C696" s="650"/>
      <c r="D696" s="38" t="s">
        <v>988</v>
      </c>
      <c r="E696" s="3"/>
      <c r="F696" s="199"/>
      <c r="G696" s="184"/>
      <c r="H696" s="100"/>
      <c r="I696" s="101">
        <v>6325500</v>
      </c>
      <c r="J696" s="102">
        <v>10328000</v>
      </c>
      <c r="K696" s="101">
        <v>1563000</v>
      </c>
      <c r="L696" s="101">
        <v>13000000</v>
      </c>
    </row>
    <row r="697" spans="1:14" ht="76.5" customHeight="1" x14ac:dyDescent="0.25">
      <c r="A697" s="649"/>
      <c r="B697" s="650"/>
      <c r="C697" s="650"/>
      <c r="D697" s="1651" t="s">
        <v>989</v>
      </c>
      <c r="E697" s="1651"/>
      <c r="F697" s="199"/>
      <c r="G697" s="184"/>
      <c r="H697" s="100"/>
      <c r="I697" s="101">
        <v>435410.15</v>
      </c>
      <c r="J697" s="102">
        <v>500000</v>
      </c>
      <c r="K697" s="101"/>
      <c r="L697" s="101">
        <v>500000</v>
      </c>
    </row>
    <row r="698" spans="1:14" ht="33.75" customHeight="1" x14ac:dyDescent="0.25">
      <c r="A698" s="649"/>
      <c r="B698" s="650"/>
      <c r="C698" s="650"/>
      <c r="D698" s="1628" t="s">
        <v>990</v>
      </c>
      <c r="E698" s="1628"/>
      <c r="F698" s="199"/>
      <c r="G698" s="184"/>
      <c r="H698" s="100"/>
      <c r="I698" s="101"/>
      <c r="J698" s="102">
        <v>500000</v>
      </c>
      <c r="K698" s="101">
        <v>222997.87</v>
      </c>
      <c r="L698" s="101">
        <v>550000</v>
      </c>
    </row>
    <row r="699" spans="1:14" ht="21" customHeight="1" x14ac:dyDescent="0.25">
      <c r="A699" s="649"/>
      <c r="B699" s="650"/>
      <c r="C699" s="650"/>
      <c r="D699" s="1650" t="s">
        <v>991</v>
      </c>
      <c r="E699" s="1650"/>
      <c r="F699" s="199"/>
      <c r="G699" s="184"/>
      <c r="H699" s="100"/>
      <c r="I699" s="101"/>
      <c r="J699" s="102">
        <v>500000</v>
      </c>
      <c r="K699" s="101"/>
      <c r="L699" s="101">
        <v>500000</v>
      </c>
    </row>
    <row r="700" spans="1:14" ht="33.75" customHeight="1" x14ac:dyDescent="0.25">
      <c r="A700" s="649"/>
      <c r="B700" s="650"/>
      <c r="C700" s="650"/>
      <c r="D700" s="1651" t="s">
        <v>992</v>
      </c>
      <c r="E700" s="1651"/>
      <c r="F700" s="199"/>
      <c r="G700" s="184"/>
      <c r="H700" s="100"/>
      <c r="I700" s="101"/>
      <c r="J700" s="102">
        <v>15000000</v>
      </c>
      <c r="K700" s="101"/>
      <c r="L700" s="101">
        <v>15000000</v>
      </c>
    </row>
    <row r="701" spans="1:14" ht="18.75" thickBot="1" x14ac:dyDescent="0.3">
      <c r="A701" s="187"/>
      <c r="B701" s="413"/>
      <c r="C701" s="413"/>
      <c r="D701" s="583" t="s">
        <v>15</v>
      </c>
      <c r="E701" s="556"/>
      <c r="F701" s="413"/>
      <c r="G701" s="431"/>
      <c r="H701" s="308"/>
      <c r="I701" s="457">
        <f>SUM(I692:I700)</f>
        <v>6760910.1500000004</v>
      </c>
      <c r="J701" s="457">
        <f>SUM(J692:J700)</f>
        <v>29028000</v>
      </c>
      <c r="K701" s="457">
        <f>SUM(K692:K700)</f>
        <v>1785997.87</v>
      </c>
      <c r="L701" s="457">
        <f>SUM(L692:L700)</f>
        <v>31750000</v>
      </c>
      <c r="N701" s="10">
        <v>31750000</v>
      </c>
    </row>
    <row r="702" spans="1:14" ht="18" x14ac:dyDescent="0.25">
      <c r="A702" s="650"/>
      <c r="B702" s="650"/>
      <c r="C702" s="650"/>
      <c r="D702" s="639"/>
      <c r="E702" s="650"/>
      <c r="F702" s="650"/>
      <c r="G702" s="650"/>
      <c r="H702" s="381"/>
      <c r="I702" s="141"/>
      <c r="J702" s="122"/>
      <c r="K702" s="141"/>
      <c r="L702" s="141"/>
    </row>
    <row r="703" spans="1:14" ht="18" customHeight="1" x14ac:dyDescent="0.25">
      <c r="A703" s="8" t="s">
        <v>112</v>
      </c>
    </row>
    <row r="704" spans="1:14" ht="18" customHeight="1" x14ac:dyDescent="0.25">
      <c r="A704" s="8" t="s">
        <v>950</v>
      </c>
    </row>
    <row r="705" spans="1:16" ht="18" customHeight="1" x14ac:dyDescent="0.25">
      <c r="A705" s="1636" t="s">
        <v>113</v>
      </c>
      <c r="B705" s="1636"/>
      <c r="C705" s="1636"/>
      <c r="D705" s="1636"/>
      <c r="E705" s="1636"/>
      <c r="F705" s="1636"/>
      <c r="G705" s="1636"/>
      <c r="H705" s="1636"/>
      <c r="I705" s="1636"/>
      <c r="J705" s="1636"/>
      <c r="K705" s="1636"/>
      <c r="L705" s="1636"/>
    </row>
    <row r="706" spans="1:16" s="7" customFormat="1" ht="18" customHeight="1" x14ac:dyDescent="0.25">
      <c r="A706" s="1624" t="s">
        <v>114</v>
      </c>
      <c r="B706" s="1624"/>
      <c r="C706" s="1624"/>
      <c r="D706" s="1624"/>
      <c r="E706" s="1624"/>
      <c r="F706" s="1624"/>
      <c r="G706" s="1624"/>
      <c r="H706" s="1624"/>
      <c r="I706" s="1624"/>
      <c r="J706" s="1624"/>
      <c r="K706" s="1624"/>
      <c r="L706" s="1624"/>
      <c r="M706" s="6"/>
      <c r="N706" s="6"/>
      <c r="O706" s="762"/>
    </row>
    <row r="707" spans="1:16" ht="18.75" thickBot="1" x14ac:dyDescent="0.3">
      <c r="A707" s="41"/>
      <c r="B707" s="41"/>
      <c r="C707" s="41"/>
      <c r="D707" s="63"/>
      <c r="E707" s="41"/>
      <c r="F707" s="41"/>
      <c r="G707" s="41"/>
      <c r="H707" s="41"/>
    </row>
    <row r="708" spans="1:16" ht="62.25" customHeight="1" thickBot="1" x14ac:dyDescent="0.3">
      <c r="A708" s="1625" t="s">
        <v>115</v>
      </c>
      <c r="B708" s="1626"/>
      <c r="C708" s="1626"/>
      <c r="D708" s="1626"/>
      <c r="E708" s="1626"/>
      <c r="F708" s="1626"/>
      <c r="G708" s="1627"/>
      <c r="H708" s="93" t="s">
        <v>116</v>
      </c>
      <c r="I708" s="130" t="s">
        <v>117</v>
      </c>
      <c r="J708" s="130" t="s">
        <v>118</v>
      </c>
      <c r="K708" s="130" t="s">
        <v>119</v>
      </c>
      <c r="L708" s="130" t="s">
        <v>120</v>
      </c>
    </row>
    <row r="709" spans="1:16" ht="18" x14ac:dyDescent="0.25">
      <c r="A709" s="649"/>
      <c r="B709" s="650"/>
      <c r="C709" s="650"/>
      <c r="D709" s="648" t="s">
        <v>993</v>
      </c>
      <c r="E709" s="199"/>
      <c r="F709" s="199"/>
      <c r="G709" s="393"/>
      <c r="H709" s="100"/>
      <c r="I709" s="101"/>
      <c r="J709" s="102"/>
      <c r="K709" s="101"/>
      <c r="L709" s="101"/>
    </row>
    <row r="710" spans="1:16" ht="18" x14ac:dyDescent="0.25">
      <c r="A710" s="649"/>
      <c r="B710" s="650"/>
      <c r="C710" s="650"/>
      <c r="D710" s="38" t="s">
        <v>994</v>
      </c>
      <c r="E710" s="157"/>
      <c r="F710" s="199"/>
      <c r="G710" s="184"/>
      <c r="H710" s="100"/>
      <c r="I710" s="101">
        <v>0</v>
      </c>
      <c r="J710" s="102">
        <v>787680</v>
      </c>
      <c r="K710" s="101"/>
      <c r="L710" s="101">
        <v>1181475</v>
      </c>
    </row>
    <row r="711" spans="1:16" ht="18" x14ac:dyDescent="0.25">
      <c r="A711" s="649"/>
      <c r="B711" s="650"/>
      <c r="C711" s="650"/>
      <c r="D711" s="38" t="s">
        <v>995</v>
      </c>
      <c r="E711" s="157"/>
      <c r="F711" s="199"/>
      <c r="G711" s="184"/>
      <c r="H711" s="100"/>
      <c r="I711" s="101"/>
      <c r="J711" s="102"/>
      <c r="K711" s="101"/>
      <c r="L711" s="101"/>
    </row>
    <row r="712" spans="1:16" ht="18" x14ac:dyDescent="0.25">
      <c r="A712" s="649"/>
      <c r="B712" s="650"/>
      <c r="C712" s="650"/>
      <c r="D712" s="679" t="s">
        <v>996</v>
      </c>
      <c r="E712" s="157"/>
      <c r="F712" s="157"/>
      <c r="G712" s="393"/>
      <c r="H712" s="100"/>
      <c r="I712" s="101">
        <v>0</v>
      </c>
      <c r="J712" s="102">
        <v>75000</v>
      </c>
      <c r="K712" s="101"/>
      <c r="L712" s="101">
        <v>75000</v>
      </c>
    </row>
    <row r="713" spans="1:16" ht="18" x14ac:dyDescent="0.25">
      <c r="A713" s="649"/>
      <c r="B713" s="650"/>
      <c r="C713" s="650"/>
      <c r="D713" s="38" t="s">
        <v>997</v>
      </c>
      <c r="E713" s="157"/>
      <c r="F713" s="157"/>
      <c r="G713" s="393"/>
      <c r="H713" s="100"/>
      <c r="I713" s="101">
        <v>0</v>
      </c>
      <c r="J713" s="102">
        <v>50000</v>
      </c>
      <c r="K713" s="101"/>
      <c r="L713" s="101">
        <v>50000</v>
      </c>
    </row>
    <row r="714" spans="1:16" ht="18" x14ac:dyDescent="0.25">
      <c r="A714" s="649"/>
      <c r="B714" s="650"/>
      <c r="C714" s="650"/>
      <c r="D714" s="38" t="s">
        <v>998</v>
      </c>
      <c r="E714" s="303"/>
      <c r="F714" s="303"/>
      <c r="G714" s="393"/>
      <c r="H714" s="100"/>
      <c r="I714" s="101">
        <v>0</v>
      </c>
      <c r="J714" s="102">
        <v>25000</v>
      </c>
      <c r="K714" s="101"/>
      <c r="L714" s="101">
        <v>25000</v>
      </c>
    </row>
    <row r="715" spans="1:16" ht="18" x14ac:dyDescent="0.25">
      <c r="A715" s="649"/>
      <c r="B715" s="650"/>
      <c r="C715" s="650"/>
      <c r="D715" s="38" t="s">
        <v>999</v>
      </c>
      <c r="E715" s="303"/>
      <c r="F715" s="303"/>
      <c r="G715" s="393"/>
      <c r="H715" s="100"/>
      <c r="I715" s="101">
        <v>0</v>
      </c>
      <c r="J715" s="102">
        <v>25000</v>
      </c>
      <c r="K715" s="101"/>
      <c r="L715" s="101">
        <v>25000</v>
      </c>
    </row>
    <row r="716" spans="1:16" ht="18" x14ac:dyDescent="0.25">
      <c r="A716" s="649"/>
      <c r="B716" s="650"/>
      <c r="C716" s="650"/>
      <c r="D716" s="38" t="s">
        <v>1000</v>
      </c>
      <c r="E716" s="303"/>
      <c r="F716" s="303"/>
      <c r="G716" s="393"/>
      <c r="H716" s="100"/>
      <c r="I716" s="101"/>
      <c r="J716" s="102">
        <v>2000000</v>
      </c>
      <c r="K716" s="101"/>
      <c r="L716" s="101">
        <v>2000000</v>
      </c>
    </row>
    <row r="717" spans="1:16" ht="18" x14ac:dyDescent="0.25">
      <c r="A717" s="649"/>
      <c r="B717" s="650"/>
      <c r="C717" s="650"/>
      <c r="D717" s="38" t="s">
        <v>1001</v>
      </c>
      <c r="E717" s="303"/>
      <c r="F717" s="303"/>
      <c r="G717" s="393"/>
      <c r="H717" s="100"/>
      <c r="I717" s="101">
        <v>145176.70000000001</v>
      </c>
      <c r="J717" s="102"/>
      <c r="K717" s="101"/>
      <c r="L717" s="101"/>
    </row>
    <row r="718" spans="1:16" ht="18" x14ac:dyDescent="0.25">
      <c r="A718" s="649"/>
      <c r="B718" s="650"/>
      <c r="C718" s="650"/>
      <c r="D718" s="38" t="s">
        <v>1002</v>
      </c>
      <c r="E718" s="303"/>
      <c r="F718" s="303"/>
      <c r="G718" s="393"/>
      <c r="H718" s="100"/>
      <c r="I718" s="105"/>
      <c r="J718" s="106"/>
      <c r="K718" s="105"/>
      <c r="L718" s="105">
        <v>680000</v>
      </c>
    </row>
    <row r="719" spans="1:16" s="146" customFormat="1" ht="18" x14ac:dyDescent="0.25">
      <c r="A719" s="649"/>
      <c r="B719" s="650"/>
      <c r="C719" s="650"/>
      <c r="D719" s="404" t="s">
        <v>15</v>
      </c>
      <c r="F719" s="153"/>
      <c r="G719" s="417"/>
      <c r="H719" s="100"/>
      <c r="I719" s="259">
        <f>SUM(I710:I718)</f>
        <v>145176.70000000001</v>
      </c>
      <c r="J719" s="259">
        <f>SUM(J710:J718)</f>
        <v>2962680</v>
      </c>
      <c r="K719" s="259">
        <f>SUM(K710:K718)</f>
        <v>0</v>
      </c>
      <c r="L719" s="259">
        <f>SUM(L710:L718)</f>
        <v>4036475</v>
      </c>
      <c r="M719" s="10"/>
      <c r="N719" s="10">
        <v>4036475</v>
      </c>
      <c r="O719" s="756"/>
      <c r="P719"/>
    </row>
    <row r="720" spans="1:16" s="146" customFormat="1" ht="18" x14ac:dyDescent="0.25">
      <c r="A720" s="649"/>
      <c r="B720" s="650"/>
      <c r="C720" s="650"/>
      <c r="D720" s="416"/>
      <c r="E720" s="680"/>
      <c r="F720" s="153"/>
      <c r="G720" s="153"/>
      <c r="H720" s="195"/>
      <c r="I720" s="101"/>
      <c r="J720" s="102"/>
      <c r="K720" s="101"/>
      <c r="L720" s="101"/>
      <c r="M720" s="10"/>
      <c r="N720" s="10"/>
      <c r="O720" s="756"/>
      <c r="P720"/>
    </row>
    <row r="721" spans="1:16" s="146" customFormat="1" ht="18" x14ac:dyDescent="0.25">
      <c r="A721" s="649"/>
      <c r="B721" s="650"/>
      <c r="C721" s="650"/>
      <c r="D721" s="648" t="s">
        <v>1004</v>
      </c>
      <c r="E721" s="199"/>
      <c r="F721" s="199"/>
      <c r="G721" s="393"/>
      <c r="H721" s="100"/>
      <c r="I721" s="101"/>
      <c r="J721" s="102"/>
      <c r="K721" s="101"/>
      <c r="L721" s="101"/>
      <c r="M721" s="10"/>
      <c r="N721" s="10"/>
      <c r="O721" s="756"/>
      <c r="P721"/>
    </row>
    <row r="722" spans="1:16" s="146" customFormat="1" ht="18" x14ac:dyDescent="0.25">
      <c r="A722" s="649"/>
      <c r="B722" s="650"/>
      <c r="C722" s="650"/>
      <c r="D722" s="38" t="s">
        <v>1005</v>
      </c>
      <c r="E722" s="184"/>
      <c r="F722" s="184"/>
      <c r="G722" s="184"/>
      <c r="H722" s="100"/>
      <c r="I722" s="101">
        <v>416539.65</v>
      </c>
      <c r="J722" s="102">
        <v>870000</v>
      </c>
      <c r="K722" s="101"/>
      <c r="L722" s="101">
        <v>270000</v>
      </c>
      <c r="M722" s="10"/>
      <c r="N722" s="10"/>
      <c r="O722" s="756"/>
      <c r="P722"/>
    </row>
    <row r="723" spans="1:16" s="146" customFormat="1" ht="18" x14ac:dyDescent="0.25">
      <c r="A723" s="649"/>
      <c r="B723" s="650"/>
      <c r="C723" s="650"/>
      <c r="D723" s="38" t="s">
        <v>1006</v>
      </c>
      <c r="E723" s="421"/>
      <c r="F723" s="184"/>
      <c r="G723" s="421"/>
      <c r="H723" s="100"/>
      <c r="I723" s="101">
        <v>367737.3</v>
      </c>
      <c r="J723" s="102">
        <v>947500</v>
      </c>
      <c r="K723" s="101">
        <v>107200</v>
      </c>
      <c r="L723" s="101">
        <v>789000</v>
      </c>
      <c r="M723" s="10"/>
      <c r="N723" s="10"/>
      <c r="O723" s="756"/>
      <c r="P723"/>
    </row>
    <row r="724" spans="1:16" s="146" customFormat="1" ht="18" x14ac:dyDescent="0.25">
      <c r="A724" s="649"/>
      <c r="B724" s="650"/>
      <c r="C724" s="650"/>
      <c r="D724" s="38" t="s">
        <v>1007</v>
      </c>
      <c r="E724" s="421"/>
      <c r="F724" s="184"/>
      <c r="G724" s="421"/>
      <c r="H724" s="100"/>
      <c r="I724" s="101">
        <v>0</v>
      </c>
      <c r="J724" s="102">
        <v>2000000</v>
      </c>
      <c r="K724" s="101"/>
      <c r="L724" s="101">
        <v>2000000</v>
      </c>
      <c r="M724" s="10"/>
      <c r="N724" s="10"/>
      <c r="O724" s="756"/>
      <c r="P724"/>
    </row>
    <row r="725" spans="1:16" s="146" customFormat="1" ht="18" x14ac:dyDescent="0.25">
      <c r="A725" s="649"/>
      <c r="B725" s="650"/>
      <c r="C725" s="650"/>
      <c r="D725" s="38" t="s">
        <v>1008</v>
      </c>
      <c r="E725" s="204"/>
      <c r="F725" s="184"/>
      <c r="G725" s="204"/>
      <c r="H725" s="100"/>
      <c r="I725" s="101">
        <v>0</v>
      </c>
      <c r="J725" s="102">
        <v>1000000</v>
      </c>
      <c r="K725" s="101"/>
      <c r="L725" s="101"/>
      <c r="M725" s="10"/>
      <c r="N725" s="10"/>
      <c r="O725" s="756"/>
      <c r="P725"/>
    </row>
    <row r="726" spans="1:16" s="146" customFormat="1" ht="18" x14ac:dyDescent="0.25">
      <c r="A726" s="649"/>
      <c r="B726" s="650"/>
      <c r="C726" s="650"/>
      <c r="D726" s="38" t="s">
        <v>1009</v>
      </c>
      <c r="E726" s="204"/>
      <c r="F726" s="184"/>
      <c r="G726" s="204"/>
      <c r="H726" s="100"/>
      <c r="I726" s="101"/>
      <c r="J726" s="102"/>
      <c r="K726" s="101"/>
      <c r="L726" s="101">
        <v>1570000</v>
      </c>
      <c r="M726" s="10"/>
      <c r="N726" s="10"/>
      <c r="O726" s="756"/>
      <c r="P726"/>
    </row>
    <row r="727" spans="1:16" s="146" customFormat="1" ht="17.25" customHeight="1" x14ac:dyDescent="0.25">
      <c r="A727" s="649"/>
      <c r="B727" s="650"/>
      <c r="C727" s="650"/>
      <c r="D727" s="38" t="s">
        <v>1010</v>
      </c>
      <c r="E727" s="204"/>
      <c r="F727" s="184"/>
      <c r="G727" s="204"/>
      <c r="H727" s="100"/>
      <c r="I727" s="101">
        <v>0</v>
      </c>
      <c r="J727" s="102">
        <v>50000</v>
      </c>
      <c r="K727" s="101"/>
      <c r="L727" s="101"/>
      <c r="M727" s="10"/>
      <c r="N727" s="10"/>
      <c r="O727" s="756"/>
      <c r="P727"/>
    </row>
    <row r="728" spans="1:16" s="146" customFormat="1" ht="18" x14ac:dyDescent="0.25">
      <c r="A728" s="649"/>
      <c r="B728" s="650"/>
      <c r="C728" s="650"/>
      <c r="D728" s="679" t="s">
        <v>1011</v>
      </c>
      <c r="E728" s="204"/>
      <c r="F728" s="422"/>
      <c r="G728" s="204"/>
      <c r="H728" s="100"/>
      <c r="I728" s="101">
        <v>641500</v>
      </c>
      <c r="J728" s="102">
        <v>7158500</v>
      </c>
      <c r="K728" s="101"/>
      <c r="L728" s="101">
        <v>4890000</v>
      </c>
      <c r="M728" s="10"/>
      <c r="N728" s="10"/>
      <c r="O728" s="756"/>
      <c r="P728"/>
    </row>
    <row r="729" spans="1:16" s="146" customFormat="1" ht="18" x14ac:dyDescent="0.25">
      <c r="A729" s="649"/>
      <c r="B729" s="650"/>
      <c r="C729" s="650"/>
      <c r="D729" s="679" t="s">
        <v>1012</v>
      </c>
      <c r="E729" s="204"/>
      <c r="F729" s="422"/>
      <c r="G729" s="204"/>
      <c r="H729" s="100"/>
      <c r="I729" s="101"/>
      <c r="J729" s="102"/>
      <c r="K729" s="101"/>
      <c r="L729" s="101">
        <v>250000</v>
      </c>
      <c r="M729" s="10"/>
      <c r="N729" s="10"/>
      <c r="O729" s="756"/>
      <c r="P729"/>
    </row>
    <row r="730" spans="1:16" s="146" customFormat="1" ht="18" x14ac:dyDescent="0.25">
      <c r="A730" s="649"/>
      <c r="B730" s="650"/>
      <c r="C730" s="650"/>
      <c r="D730" s="38" t="s">
        <v>1013</v>
      </c>
      <c r="E730" s="184"/>
      <c r="F730" s="184"/>
      <c r="G730" s="184"/>
      <c r="H730" s="100"/>
      <c r="I730" s="101">
        <v>0</v>
      </c>
      <c r="J730" s="102">
        <v>200000</v>
      </c>
      <c r="K730" s="101"/>
      <c r="L730" s="101"/>
      <c r="M730" s="10"/>
      <c r="N730" s="10"/>
      <c r="O730" s="756"/>
      <c r="P730"/>
    </row>
    <row r="731" spans="1:16" s="146" customFormat="1" ht="35.25" customHeight="1" x14ac:dyDescent="0.25">
      <c r="A731" s="649"/>
      <c r="B731" s="650"/>
      <c r="C731" s="650"/>
      <c r="D731" s="1623" t="s">
        <v>1014</v>
      </c>
      <c r="E731" s="1623"/>
      <c r="F731" s="184"/>
      <c r="G731" s="184"/>
      <c r="H731" s="100"/>
      <c r="I731" s="101">
        <v>194900</v>
      </c>
      <c r="J731" s="102">
        <v>0</v>
      </c>
      <c r="K731" s="101"/>
      <c r="L731" s="101"/>
      <c r="M731" s="10"/>
      <c r="N731" s="10"/>
      <c r="O731" s="756"/>
      <c r="P731"/>
    </row>
    <row r="732" spans="1:16" s="146" customFormat="1" ht="18" x14ac:dyDescent="0.25">
      <c r="A732" s="649"/>
      <c r="B732" s="650"/>
      <c r="C732" s="650"/>
      <c r="D732" s="38" t="s">
        <v>1015</v>
      </c>
      <c r="E732" s="184"/>
      <c r="F732" s="184"/>
      <c r="G732" s="184"/>
      <c r="H732" s="100"/>
      <c r="I732" s="101">
        <v>84083.95</v>
      </c>
      <c r="J732" s="102">
        <v>100000</v>
      </c>
      <c r="K732" s="101"/>
      <c r="L732" s="101">
        <v>120000</v>
      </c>
      <c r="M732" s="10"/>
      <c r="N732" s="10"/>
      <c r="O732" s="756"/>
      <c r="P732"/>
    </row>
    <row r="733" spans="1:16" s="146" customFormat="1" ht="18" x14ac:dyDescent="0.25">
      <c r="A733" s="649"/>
      <c r="B733" s="650"/>
      <c r="C733" s="650"/>
      <c r="D733" s="38" t="s">
        <v>1016</v>
      </c>
      <c r="E733" s="204"/>
      <c r="F733" s="184"/>
      <c r="G733" s="204"/>
      <c r="H733" s="100"/>
      <c r="I733" s="101">
        <v>0</v>
      </c>
      <c r="J733" s="102">
        <v>100000</v>
      </c>
      <c r="K733" s="101"/>
      <c r="L733" s="101">
        <v>130000</v>
      </c>
      <c r="M733" s="10"/>
      <c r="N733" s="10"/>
      <c r="O733" s="756"/>
      <c r="P733"/>
    </row>
    <row r="734" spans="1:16" s="146" customFormat="1" ht="18" x14ac:dyDescent="0.25">
      <c r="A734" s="649"/>
      <c r="B734" s="650"/>
      <c r="C734" s="650"/>
      <c r="D734" s="38" t="s">
        <v>1017</v>
      </c>
      <c r="E734" s="204"/>
      <c r="F734" s="184"/>
      <c r="G734" s="204"/>
      <c r="H734" s="100"/>
      <c r="I734" s="101">
        <v>200290</v>
      </c>
      <c r="J734" s="102">
        <v>500000</v>
      </c>
      <c r="K734" s="101">
        <v>8800</v>
      </c>
      <c r="L734" s="101">
        <v>670000</v>
      </c>
      <c r="M734" s="10"/>
      <c r="N734" s="10"/>
      <c r="O734" s="756"/>
      <c r="P734"/>
    </row>
    <row r="735" spans="1:16" s="146" customFormat="1" ht="18" x14ac:dyDescent="0.25">
      <c r="A735" s="649"/>
      <c r="B735" s="650"/>
      <c r="C735" s="650"/>
      <c r="D735" s="38" t="s">
        <v>1018</v>
      </c>
      <c r="E735" s="204"/>
      <c r="F735" s="184"/>
      <c r="G735" s="204"/>
      <c r="H735" s="100"/>
      <c r="I735" s="101"/>
      <c r="J735" s="102">
        <v>350000</v>
      </c>
      <c r="K735" s="101"/>
      <c r="L735" s="101"/>
      <c r="M735" s="10"/>
      <c r="N735" s="10"/>
      <c r="O735" s="756"/>
      <c r="P735"/>
    </row>
    <row r="736" spans="1:16" s="146" customFormat="1" ht="18" x14ac:dyDescent="0.25">
      <c r="A736" s="649"/>
      <c r="B736" s="650"/>
      <c r="C736" s="650"/>
      <c r="D736" s="38" t="s">
        <v>1019</v>
      </c>
      <c r="E736" s="393"/>
      <c r="F736" s="184"/>
      <c r="G736" s="393"/>
      <c r="H736" s="100"/>
      <c r="I736" s="101">
        <v>0</v>
      </c>
      <c r="J736" s="102">
        <v>50000</v>
      </c>
      <c r="K736" s="101"/>
      <c r="L736" s="101">
        <v>50000</v>
      </c>
      <c r="M736" s="10"/>
      <c r="N736" s="10"/>
      <c r="O736" s="756"/>
      <c r="P736"/>
    </row>
    <row r="737" spans="1:16" s="146" customFormat="1" ht="18" x14ac:dyDescent="0.25">
      <c r="A737" s="649"/>
      <c r="B737" s="650"/>
      <c r="C737" s="650"/>
      <c r="D737" s="38" t="s">
        <v>1020</v>
      </c>
      <c r="E737" s="393"/>
      <c r="F737" s="184"/>
      <c r="G737" s="393"/>
      <c r="H737" s="100"/>
      <c r="I737" s="101"/>
      <c r="J737" s="102"/>
      <c r="K737" s="101"/>
      <c r="L737" s="101">
        <v>811500</v>
      </c>
      <c r="M737" s="10"/>
      <c r="N737" s="10"/>
      <c r="O737" s="756"/>
      <c r="P737"/>
    </row>
    <row r="738" spans="1:16" ht="18" x14ac:dyDescent="0.25">
      <c r="A738" s="649"/>
      <c r="B738" s="650"/>
      <c r="C738" s="650"/>
      <c r="D738" s="404" t="s">
        <v>15</v>
      </c>
      <c r="F738" s="113"/>
      <c r="G738" s="114"/>
      <c r="H738" s="100"/>
      <c r="I738" s="119">
        <f>SUM(I722:I737)</f>
        <v>1905050.9</v>
      </c>
      <c r="J738" s="119">
        <f>SUM(J722:J737)</f>
        <v>13326000</v>
      </c>
      <c r="K738" s="119">
        <f>SUM(K722:K737)</f>
        <v>116000</v>
      </c>
      <c r="L738" s="119">
        <f>SUM(L722:L737)</f>
        <v>11550500</v>
      </c>
      <c r="O738" s="756">
        <v>11550500</v>
      </c>
    </row>
    <row r="739" spans="1:16" ht="18" x14ac:dyDescent="0.25">
      <c r="A739" s="649"/>
      <c r="B739" s="650"/>
      <c r="C739" s="650"/>
      <c r="D739" s="170"/>
      <c r="E739" s="404"/>
      <c r="F739" s="113"/>
      <c r="G739" s="113"/>
      <c r="H739" s="100"/>
      <c r="I739" s="155"/>
      <c r="J739" s="156"/>
      <c r="K739" s="155"/>
      <c r="L739" s="155"/>
    </row>
    <row r="740" spans="1:16" ht="18" x14ac:dyDescent="0.25">
      <c r="A740" s="649"/>
      <c r="B740" s="650"/>
      <c r="C740" s="650"/>
      <c r="D740" s="648" t="s">
        <v>1021</v>
      </c>
      <c r="E740" s="199"/>
      <c r="F740" s="199"/>
      <c r="G740" s="393"/>
      <c r="H740" s="100"/>
      <c r="I740" s="101"/>
      <c r="J740" s="102"/>
      <c r="K740" s="101"/>
      <c r="L740" s="101"/>
    </row>
    <row r="741" spans="1:16" ht="39" customHeight="1" x14ac:dyDescent="0.25">
      <c r="A741" s="649"/>
      <c r="B741" s="650"/>
      <c r="C741" s="650"/>
      <c r="D741" s="1602" t="s">
        <v>1022</v>
      </c>
      <c r="E741" s="1603"/>
      <c r="F741" s="1603"/>
      <c r="G741" s="1603"/>
      <c r="H741" s="100"/>
      <c r="I741" s="101"/>
      <c r="J741" s="102"/>
      <c r="K741" s="101"/>
      <c r="L741" s="101">
        <v>103400</v>
      </c>
    </row>
    <row r="742" spans="1:16" s="179" customFormat="1" ht="23.25" customHeight="1" thickBot="1" x14ac:dyDescent="0.3">
      <c r="A742" s="675"/>
      <c r="B742" s="658"/>
      <c r="C742" s="658"/>
      <c r="D742" s="1648" t="s">
        <v>1023</v>
      </c>
      <c r="E742" s="1649"/>
      <c r="F742" s="1649"/>
      <c r="G742" s="1649"/>
      <c r="H742" s="423"/>
      <c r="I742" s="219">
        <v>74565</v>
      </c>
      <c r="J742" s="220">
        <v>97500</v>
      </c>
      <c r="K742" s="219">
        <v>84775</v>
      </c>
      <c r="L742" s="182"/>
      <c r="M742" s="193"/>
      <c r="N742" s="193"/>
      <c r="O742" s="763"/>
    </row>
    <row r="743" spans="1:16" s="146" customFormat="1" ht="18" x14ac:dyDescent="0.25">
      <c r="A743" s="649"/>
      <c r="B743" s="650"/>
      <c r="C743" s="650"/>
      <c r="D743" s="404" t="s">
        <v>15</v>
      </c>
      <c r="F743" s="650"/>
      <c r="G743" s="646"/>
      <c r="H743" s="100"/>
      <c r="I743" s="155">
        <f>SUM(I741:I742)</f>
        <v>74565</v>
      </c>
      <c r="J743" s="155">
        <f>SUM(J741:J742)</f>
        <v>97500</v>
      </c>
      <c r="K743" s="155">
        <f>SUM(K741:K742)</f>
        <v>84775</v>
      </c>
      <c r="L743" s="155">
        <f>SUM(L741:L742)</f>
        <v>103400</v>
      </c>
      <c r="M743" s="10">
        <v>103400</v>
      </c>
      <c r="N743" s="10"/>
      <c r="O743" s="756"/>
      <c r="P743"/>
    </row>
    <row r="744" spans="1:16" s="146" customFormat="1" ht="18" x14ac:dyDescent="0.25">
      <c r="A744" s="649"/>
      <c r="B744" s="650"/>
      <c r="C744" s="650"/>
      <c r="D744" s="639"/>
      <c r="E744" s="404"/>
      <c r="F744" s="650"/>
      <c r="G744" s="646"/>
      <c r="H744" s="100"/>
      <c r="I744" s="155"/>
      <c r="J744" s="155"/>
      <c r="K744" s="155"/>
      <c r="L744" s="155"/>
      <c r="M744" s="10"/>
      <c r="N744" s="10"/>
      <c r="O744" s="756"/>
      <c r="P744"/>
    </row>
    <row r="745" spans="1:16" s="146" customFormat="1" ht="18" x14ac:dyDescent="0.25">
      <c r="A745" s="649"/>
      <c r="B745" s="650"/>
      <c r="C745" s="650"/>
      <c r="D745" s="1620" t="s">
        <v>1024</v>
      </c>
      <c r="E745" s="1620"/>
      <c r="F745" s="1620"/>
      <c r="G745" s="1621"/>
      <c r="H745" s="100"/>
      <c r="I745" s="101"/>
      <c r="J745" s="102"/>
      <c r="K745" s="101"/>
      <c r="L745" s="101"/>
      <c r="M745" s="10"/>
      <c r="N745" s="10"/>
      <c r="O745" s="756"/>
      <c r="P745"/>
    </row>
    <row r="746" spans="1:16" s="146" customFormat="1" ht="18" x14ac:dyDescent="0.25">
      <c r="A746" s="649"/>
      <c r="B746" s="650"/>
      <c r="C746" s="650"/>
      <c r="D746" s="38" t="s">
        <v>1025</v>
      </c>
      <c r="E746" s="184"/>
      <c r="F746" s="184"/>
      <c r="G746" s="184"/>
      <c r="H746" s="100"/>
      <c r="I746" s="101">
        <v>0</v>
      </c>
      <c r="J746" s="102">
        <v>50000</v>
      </c>
      <c r="K746" s="101"/>
      <c r="L746" s="102"/>
      <c r="M746" s="10"/>
      <c r="N746" s="10"/>
      <c r="O746" s="756"/>
      <c r="P746"/>
    </row>
    <row r="747" spans="1:16" s="146" customFormat="1" ht="18" x14ac:dyDescent="0.25">
      <c r="A747" s="649"/>
      <c r="B747" s="650"/>
      <c r="C747" s="650"/>
      <c r="D747" s="38" t="s">
        <v>1026</v>
      </c>
      <c r="E747" s="184"/>
      <c r="F747" s="184"/>
      <c r="G747" s="184"/>
      <c r="H747" s="100"/>
      <c r="I747" s="101">
        <v>0</v>
      </c>
      <c r="J747" s="102"/>
      <c r="K747" s="101"/>
      <c r="L747" s="106"/>
      <c r="M747" s="10"/>
      <c r="N747" s="10"/>
      <c r="O747" s="756"/>
      <c r="P747"/>
    </row>
    <row r="748" spans="1:16" s="146" customFormat="1" ht="18" x14ac:dyDescent="0.25">
      <c r="A748" s="649"/>
      <c r="B748" s="650"/>
      <c r="C748" s="650"/>
      <c r="D748" s="404" t="s">
        <v>15</v>
      </c>
      <c r="F748" s="184"/>
      <c r="G748" s="184"/>
      <c r="H748" s="100"/>
      <c r="I748" s="119">
        <f>SUM(I746:I747)</f>
        <v>0</v>
      </c>
      <c r="J748" s="150">
        <f>SUM(J746:J747)</f>
        <v>50000</v>
      </c>
      <c r="K748" s="119">
        <f>SUM(K746:K747)</f>
        <v>0</v>
      </c>
      <c r="L748" s="119">
        <f>SUM(L746:L747)</f>
        <v>0</v>
      </c>
      <c r="M748" s="10"/>
      <c r="N748" s="10"/>
      <c r="O748" s="756"/>
      <c r="P748"/>
    </row>
    <row r="749" spans="1:16" s="146" customFormat="1" ht="18.75" thickBot="1" x14ac:dyDescent="0.3">
      <c r="A749" s="649"/>
      <c r="B749" s="650"/>
      <c r="C749" s="650"/>
      <c r="D749" s="404"/>
      <c r="E749" s="573"/>
      <c r="F749" s="184"/>
      <c r="G749" s="184"/>
      <c r="H749" s="100"/>
      <c r="I749" s="155"/>
      <c r="J749" s="156"/>
      <c r="K749" s="155"/>
      <c r="L749" s="155"/>
      <c r="M749" s="10"/>
      <c r="N749" s="10"/>
      <c r="O749" s="756"/>
      <c r="P749"/>
    </row>
    <row r="750" spans="1:16" s="146" customFormat="1" ht="18" x14ac:dyDescent="0.25">
      <c r="A750" s="649"/>
      <c r="B750" s="650"/>
      <c r="C750" s="650"/>
      <c r="D750" s="648" t="s">
        <v>1028</v>
      </c>
      <c r="E750" s="113"/>
      <c r="F750" s="424"/>
      <c r="G750" s="424"/>
      <c r="H750" s="425"/>
      <c r="I750" s="101"/>
      <c r="J750" s="102"/>
      <c r="K750" s="101"/>
      <c r="L750" s="101"/>
      <c r="M750" s="10"/>
      <c r="N750" s="10"/>
      <c r="O750" s="756"/>
      <c r="P750"/>
    </row>
    <row r="751" spans="1:16" s="313" customFormat="1" ht="18" x14ac:dyDescent="0.25">
      <c r="A751" s="675"/>
      <c r="B751" s="658"/>
      <c r="C751" s="658"/>
      <c r="D751" s="426" t="s">
        <v>1029</v>
      </c>
      <c r="E751" s="174"/>
      <c r="F751" s="174"/>
      <c r="G751" s="174"/>
      <c r="H751" s="423"/>
      <c r="I751" s="101"/>
      <c r="J751" s="102"/>
      <c r="K751" s="101"/>
      <c r="L751" s="102"/>
      <c r="M751" s="193"/>
      <c r="N751" s="193"/>
      <c r="O751" s="763"/>
      <c r="P751" s="179"/>
    </row>
    <row r="752" spans="1:16" s="313" customFormat="1" ht="61.5" customHeight="1" x14ac:dyDescent="0.25">
      <c r="A752" s="675"/>
      <c r="B752" s="658"/>
      <c r="C752" s="658"/>
      <c r="D752" s="1638" t="s">
        <v>1030</v>
      </c>
      <c r="E752" s="1638"/>
      <c r="F752" s="174"/>
      <c r="G752" s="174"/>
      <c r="H752" s="423"/>
      <c r="I752" s="101"/>
      <c r="J752" s="102"/>
      <c r="K752" s="101"/>
      <c r="L752" s="102">
        <v>200000</v>
      </c>
      <c r="M752" s="193"/>
      <c r="N752" s="193"/>
      <c r="O752" s="763"/>
      <c r="P752" s="179"/>
    </row>
    <row r="753" spans="1:16" s="313" customFormat="1" ht="60.75" customHeight="1" x14ac:dyDescent="0.25">
      <c r="A753" s="675"/>
      <c r="B753" s="658"/>
      <c r="C753" s="658"/>
      <c r="D753" s="1638" t="s">
        <v>1031</v>
      </c>
      <c r="E753" s="1638"/>
      <c r="F753" s="174"/>
      <c r="G753" s="174"/>
      <c r="H753" s="423"/>
      <c r="I753" s="101"/>
      <c r="J753" s="102"/>
      <c r="K753" s="101"/>
      <c r="L753" s="102">
        <v>100000</v>
      </c>
      <c r="M753" s="193"/>
      <c r="N753" s="193"/>
      <c r="O753" s="763"/>
      <c r="P753" s="179"/>
    </row>
    <row r="754" spans="1:16" s="313" customFormat="1" ht="35.25" customHeight="1" x14ac:dyDescent="0.25">
      <c r="A754" s="675"/>
      <c r="B754" s="658"/>
      <c r="C754" s="658"/>
      <c r="D754" s="1628" t="s">
        <v>1032</v>
      </c>
      <c r="E754" s="1628"/>
      <c r="F754" s="174"/>
      <c r="G754" s="174"/>
      <c r="H754" s="423"/>
      <c r="I754" s="101"/>
      <c r="J754" s="102"/>
      <c r="K754" s="101"/>
      <c r="L754" s="102">
        <v>200000</v>
      </c>
      <c r="M754" s="193"/>
      <c r="N754" s="193"/>
      <c r="O754" s="763"/>
      <c r="P754" s="179"/>
    </row>
    <row r="755" spans="1:16" s="146" customFormat="1" ht="36" customHeight="1" x14ac:dyDescent="0.25">
      <c r="A755" s="649"/>
      <c r="B755" s="650"/>
      <c r="C755" s="650"/>
      <c r="D755" s="1623" t="s">
        <v>1033</v>
      </c>
      <c r="E755" s="1623"/>
      <c r="F755" s="199"/>
      <c r="G755" s="184"/>
      <c r="H755" s="100"/>
      <c r="I755" s="101"/>
      <c r="J755" s="102">
        <v>1000000</v>
      </c>
      <c r="K755" s="101"/>
      <c r="L755" s="102"/>
      <c r="M755" s="10"/>
      <c r="N755" s="10"/>
      <c r="O755" s="756"/>
      <c r="P755"/>
    </row>
    <row r="756" spans="1:16" s="313" customFormat="1" ht="25.5" customHeight="1" x14ac:dyDescent="0.25">
      <c r="A756" s="675"/>
      <c r="B756" s="658"/>
      <c r="C756" s="658"/>
      <c r="D756" s="669" t="s">
        <v>1034</v>
      </c>
      <c r="E756" s="427"/>
      <c r="F756" s="427"/>
      <c r="G756" s="192"/>
      <c r="H756" s="423"/>
      <c r="I756" s="101">
        <v>4319.7</v>
      </c>
      <c r="J756" s="102"/>
      <c r="K756" s="101"/>
      <c r="L756" s="102"/>
      <c r="M756" s="193"/>
      <c r="N756" s="193"/>
      <c r="O756" s="763"/>
      <c r="P756" s="179"/>
    </row>
    <row r="757" spans="1:16" s="313" customFormat="1" ht="25.5" customHeight="1" x14ac:dyDescent="0.25">
      <c r="A757" s="675"/>
      <c r="B757" s="658"/>
      <c r="C757" s="658"/>
      <c r="D757" s="669" t="s">
        <v>1035</v>
      </c>
      <c r="E757" s="427"/>
      <c r="F757" s="427"/>
      <c r="G757" s="192"/>
      <c r="H757" s="423"/>
      <c r="I757" s="101"/>
      <c r="J757" s="102">
        <v>50000</v>
      </c>
      <c r="K757" s="101"/>
      <c r="L757" s="102"/>
      <c r="M757" s="193"/>
      <c r="N757" s="193"/>
      <c r="O757" s="763"/>
      <c r="P757" s="179"/>
    </row>
    <row r="758" spans="1:16" s="146" customFormat="1" ht="18.75" thickBot="1" x14ac:dyDescent="0.3">
      <c r="A758" s="187"/>
      <c r="B758" s="413"/>
      <c r="C758" s="413"/>
      <c r="D758" s="418"/>
      <c r="E758" s="419"/>
      <c r="F758" s="420"/>
      <c r="G758" s="420"/>
      <c r="H758" s="414"/>
      <c r="I758" s="219"/>
      <c r="J758" s="220"/>
      <c r="K758" s="219"/>
      <c r="L758" s="219"/>
      <c r="M758" s="10"/>
      <c r="N758" s="10"/>
      <c r="O758" s="756"/>
      <c r="P758"/>
    </row>
    <row r="759" spans="1:16" s="146" customFormat="1" ht="18" x14ac:dyDescent="0.25">
      <c r="A759" s="650"/>
      <c r="B759" s="650"/>
      <c r="C759" s="650"/>
      <c r="D759" s="416"/>
      <c r="E759" s="680"/>
      <c r="F759" s="153"/>
      <c r="G759" s="153"/>
      <c r="H759" s="381"/>
      <c r="I759" s="141"/>
      <c r="J759" s="122"/>
      <c r="K759" s="141"/>
      <c r="L759" s="141"/>
      <c r="M759" s="10"/>
      <c r="N759" s="10"/>
      <c r="O759" s="756"/>
      <c r="P759"/>
    </row>
    <row r="760" spans="1:16" ht="18" customHeight="1" x14ac:dyDescent="0.25">
      <c r="A760" s="8" t="s">
        <v>112</v>
      </c>
    </row>
    <row r="761" spans="1:16" ht="18" customHeight="1" x14ac:dyDescent="0.25">
      <c r="A761" s="8" t="s">
        <v>976</v>
      </c>
    </row>
    <row r="762" spans="1:16" ht="18" customHeight="1" x14ac:dyDescent="0.25">
      <c r="A762" s="1636" t="s">
        <v>113</v>
      </c>
      <c r="B762" s="1636"/>
      <c r="C762" s="1636"/>
      <c r="D762" s="1636"/>
      <c r="E762" s="1636"/>
      <c r="F762" s="1636"/>
      <c r="G762" s="1636"/>
      <c r="H762" s="1636"/>
      <c r="I762" s="1636"/>
      <c r="J762" s="1636"/>
      <c r="K762" s="1636"/>
      <c r="L762" s="1636"/>
    </row>
    <row r="763" spans="1:16" s="7" customFormat="1" ht="18" customHeight="1" x14ac:dyDescent="0.25">
      <c r="A763" s="1624" t="s">
        <v>114</v>
      </c>
      <c r="B763" s="1624"/>
      <c r="C763" s="1624"/>
      <c r="D763" s="1624"/>
      <c r="E763" s="1624"/>
      <c r="F763" s="1624"/>
      <c r="G763" s="1624"/>
      <c r="H763" s="1624"/>
      <c r="I763" s="1624"/>
      <c r="J763" s="1624"/>
      <c r="K763" s="1624"/>
      <c r="L763" s="1624"/>
      <c r="M763" s="6"/>
      <c r="N763" s="6"/>
      <c r="O763" s="762"/>
    </row>
    <row r="764" spans="1:16" ht="18.75" thickBot="1" x14ac:dyDescent="0.3">
      <c r="A764" s="41"/>
      <c r="B764" s="41"/>
      <c r="C764" s="41"/>
      <c r="D764" s="63"/>
      <c r="E764" s="41"/>
      <c r="F764" s="41"/>
      <c r="G764" s="41"/>
      <c r="H764" s="41"/>
    </row>
    <row r="765" spans="1:16" ht="63.75" customHeight="1" thickBot="1" x14ac:dyDescent="0.3">
      <c r="A765" s="1625" t="s">
        <v>115</v>
      </c>
      <c r="B765" s="1626"/>
      <c r="C765" s="1626"/>
      <c r="D765" s="1626"/>
      <c r="E765" s="1626"/>
      <c r="F765" s="1626"/>
      <c r="G765" s="1627"/>
      <c r="H765" s="93" t="s">
        <v>116</v>
      </c>
      <c r="I765" s="130" t="s">
        <v>117</v>
      </c>
      <c r="J765" s="130" t="s">
        <v>118</v>
      </c>
      <c r="K765" s="130" t="s">
        <v>119</v>
      </c>
      <c r="L765" s="130" t="s">
        <v>120</v>
      </c>
    </row>
    <row r="766" spans="1:16" s="146" customFormat="1" ht="18" x14ac:dyDescent="0.25">
      <c r="A766" s="649"/>
      <c r="B766" s="650"/>
      <c r="C766" s="650"/>
      <c r="D766" s="648" t="s">
        <v>1028</v>
      </c>
      <c r="E766" s="113"/>
      <c r="F766" s="424"/>
      <c r="G766" s="424"/>
      <c r="H766" s="425"/>
      <c r="I766" s="101"/>
      <c r="J766" s="102"/>
      <c r="K766" s="101"/>
      <c r="L766" s="101"/>
      <c r="M766" s="10"/>
      <c r="N766" s="10"/>
      <c r="O766" s="756"/>
      <c r="P766"/>
    </row>
    <row r="767" spans="1:16" s="313" customFormat="1" ht="34.5" customHeight="1" x14ac:dyDescent="0.25">
      <c r="A767" s="675"/>
      <c r="B767" s="658"/>
      <c r="C767" s="658"/>
      <c r="D767" s="1622" t="s">
        <v>1036</v>
      </c>
      <c r="E767" s="1622"/>
      <c r="F767" s="192"/>
      <c r="G767" s="192"/>
      <c r="H767" s="423"/>
      <c r="I767" s="101"/>
      <c r="J767" s="102">
        <v>50000</v>
      </c>
      <c r="K767" s="101"/>
      <c r="L767" s="102">
        <v>50000</v>
      </c>
      <c r="M767" s="193"/>
      <c r="N767" s="193"/>
      <c r="O767" s="763"/>
      <c r="P767" s="179"/>
    </row>
    <row r="768" spans="1:16" s="313" customFormat="1" ht="37.5" customHeight="1" x14ac:dyDescent="0.25">
      <c r="A768" s="675"/>
      <c r="B768" s="658"/>
      <c r="C768" s="658"/>
      <c r="D768" s="1622" t="s">
        <v>1037</v>
      </c>
      <c r="E768" s="1622"/>
      <c r="F768" s="192"/>
      <c r="G768" s="192"/>
      <c r="H768" s="423"/>
      <c r="I768" s="101"/>
      <c r="J768" s="102">
        <v>50000</v>
      </c>
      <c r="K768" s="101"/>
      <c r="L768" s="102">
        <v>50000</v>
      </c>
      <c r="M768" s="193"/>
      <c r="N768" s="193"/>
      <c r="O768" s="763"/>
      <c r="P768" s="179"/>
    </row>
    <row r="769" spans="1:16" s="313" customFormat="1" ht="18" customHeight="1" x14ac:dyDescent="0.25">
      <c r="A769" s="675"/>
      <c r="B769" s="658"/>
      <c r="C769" s="658"/>
      <c r="D769" s="669" t="s">
        <v>1038</v>
      </c>
      <c r="E769" s="652"/>
      <c r="F769" s="192"/>
      <c r="G769" s="192"/>
      <c r="H769" s="423"/>
      <c r="I769" s="101"/>
      <c r="J769" s="102">
        <v>50000</v>
      </c>
      <c r="K769" s="101"/>
      <c r="L769" s="102">
        <v>50000</v>
      </c>
      <c r="M769" s="193"/>
      <c r="N769" s="193"/>
      <c r="O769" s="763"/>
      <c r="P769" s="179"/>
    </row>
    <row r="770" spans="1:16" s="313" customFormat="1" ht="38.25" customHeight="1" x14ac:dyDescent="0.25">
      <c r="A770" s="675"/>
      <c r="B770" s="658"/>
      <c r="C770" s="658"/>
      <c r="D770" s="1622" t="s">
        <v>1039</v>
      </c>
      <c r="E770" s="1622"/>
      <c r="F770" s="192"/>
      <c r="G770" s="192"/>
      <c r="H770" s="423"/>
      <c r="I770" s="101"/>
      <c r="J770" s="102">
        <v>50000</v>
      </c>
      <c r="K770" s="101"/>
      <c r="L770" s="102">
        <v>50000</v>
      </c>
      <c r="M770" s="193"/>
      <c r="N770" s="193"/>
      <c r="O770" s="763"/>
      <c r="P770" s="179"/>
    </row>
    <row r="771" spans="1:16" s="313" customFormat="1" ht="23.25" customHeight="1" x14ac:dyDescent="0.25">
      <c r="A771" s="675" t="s">
        <v>1040</v>
      </c>
      <c r="B771" s="658"/>
      <c r="C771" s="658"/>
      <c r="D771" s="1622" t="s">
        <v>1041</v>
      </c>
      <c r="E771" s="1622"/>
      <c r="F771" s="192"/>
      <c r="G771" s="192"/>
      <c r="H771" s="423"/>
      <c r="I771" s="101"/>
      <c r="J771" s="102">
        <v>542535</v>
      </c>
      <c r="K771" s="101"/>
      <c r="L771" s="102">
        <v>542535</v>
      </c>
      <c r="M771" s="193"/>
      <c r="N771" s="193"/>
      <c r="O771" s="763"/>
      <c r="P771" s="179"/>
    </row>
    <row r="772" spans="1:16" s="313" customFormat="1" ht="19.5" customHeight="1" x14ac:dyDescent="0.25">
      <c r="A772" s="675"/>
      <c r="B772" s="658"/>
      <c r="C772" s="658"/>
      <c r="D772" s="669" t="s">
        <v>1042</v>
      </c>
      <c r="E772" s="652"/>
      <c r="F772" s="192"/>
      <c r="G772" s="192"/>
      <c r="H772" s="423"/>
      <c r="I772" s="101"/>
      <c r="J772" s="102">
        <v>25000</v>
      </c>
      <c r="K772" s="101"/>
      <c r="L772" s="102"/>
      <c r="M772" s="193"/>
      <c r="N772" s="193"/>
      <c r="O772" s="763"/>
      <c r="P772" s="179"/>
    </row>
    <row r="773" spans="1:16" s="146" customFormat="1" ht="18" x14ac:dyDescent="0.25">
      <c r="A773" s="649"/>
      <c r="B773" s="650"/>
      <c r="C773" s="650"/>
      <c r="D773" s="404" t="s">
        <v>15</v>
      </c>
      <c r="F773" s="113"/>
      <c r="G773" s="113"/>
      <c r="H773" s="100"/>
      <c r="I773" s="119">
        <f>SUM(I752:I772)</f>
        <v>4319.7</v>
      </c>
      <c r="J773" s="119">
        <f>SUM(J752:J772)</f>
        <v>1817535</v>
      </c>
      <c r="K773" s="119">
        <f>SUM(K752:K772)</f>
        <v>0</v>
      </c>
      <c r="L773" s="119">
        <f>SUM(L752:L772)</f>
        <v>1242535</v>
      </c>
      <c r="M773" s="10"/>
      <c r="N773" s="10"/>
      <c r="O773" s="756">
        <v>1242535</v>
      </c>
      <c r="P773"/>
    </row>
    <row r="774" spans="1:16" s="146" customFormat="1" ht="18" x14ac:dyDescent="0.25">
      <c r="A774" s="649"/>
      <c r="B774" s="650"/>
      <c r="C774" s="650"/>
      <c r="D774" s="170"/>
      <c r="E774" s="113"/>
      <c r="F774" s="113"/>
      <c r="G774" s="113"/>
      <c r="H774" s="381"/>
      <c r="I774" s="121"/>
      <c r="J774" s="145"/>
      <c r="K774" s="121"/>
      <c r="L774" s="121"/>
      <c r="M774" s="10"/>
      <c r="N774" s="10"/>
      <c r="O774" s="756"/>
      <c r="P774"/>
    </row>
    <row r="775" spans="1:16" s="146" customFormat="1" ht="18" x14ac:dyDescent="0.25">
      <c r="A775" s="649"/>
      <c r="B775" s="650"/>
      <c r="C775" s="650"/>
      <c r="D775" s="648" t="s">
        <v>1043</v>
      </c>
      <c r="E775" s="199"/>
      <c r="F775" s="199"/>
      <c r="G775" s="393"/>
      <c r="H775" s="100"/>
      <c r="I775" s="101"/>
      <c r="J775" s="102"/>
      <c r="K775" s="101"/>
      <c r="L775" s="101"/>
      <c r="M775" s="10"/>
      <c r="N775" s="10"/>
      <c r="O775" s="756"/>
      <c r="P775"/>
    </row>
    <row r="776" spans="1:16" s="146" customFormat="1" ht="18" customHeight="1" x14ac:dyDescent="0.25">
      <c r="A776" s="649"/>
      <c r="B776" s="650"/>
      <c r="C776" s="650"/>
      <c r="D776" s="679" t="s">
        <v>1044</v>
      </c>
      <c r="E776" s="677"/>
      <c r="F776" s="422"/>
      <c r="G776" s="422"/>
      <c r="H776" s="100"/>
      <c r="I776" s="101">
        <v>0</v>
      </c>
      <c r="J776" s="102">
        <v>1500000</v>
      </c>
      <c r="K776" s="101"/>
      <c r="L776" s="102">
        <v>700000</v>
      </c>
      <c r="M776" s="10"/>
      <c r="N776" s="10"/>
      <c r="O776" s="756"/>
      <c r="P776"/>
    </row>
    <row r="777" spans="1:16" s="146" customFormat="1" ht="18" customHeight="1" x14ac:dyDescent="0.25">
      <c r="A777" s="649" t="s">
        <v>1040</v>
      </c>
      <c r="B777" s="650"/>
      <c r="C777" s="650"/>
      <c r="D777" s="679" t="s">
        <v>1045</v>
      </c>
      <c r="E777" s="199"/>
      <c r="F777" s="184"/>
      <c r="G777" s="184"/>
      <c r="H777" s="100"/>
      <c r="I777" s="101">
        <v>0</v>
      </c>
      <c r="J777" s="102">
        <v>700000</v>
      </c>
      <c r="K777" s="101"/>
      <c r="L777" s="102">
        <v>500000</v>
      </c>
      <c r="M777" s="10"/>
      <c r="N777" s="10"/>
      <c r="O777" s="756"/>
      <c r="P777"/>
    </row>
    <row r="778" spans="1:16" s="146" customFormat="1" ht="18" customHeight="1" x14ac:dyDescent="0.25">
      <c r="A778" s="649"/>
      <c r="B778" s="650"/>
      <c r="C778" s="650"/>
      <c r="D778" s="679" t="s">
        <v>1046</v>
      </c>
      <c r="E778" s="677"/>
      <c r="F778" s="422"/>
      <c r="G778" s="422"/>
      <c r="H778" s="100"/>
      <c r="I778" s="101">
        <v>0</v>
      </c>
      <c r="J778" s="102">
        <v>1500000</v>
      </c>
      <c r="K778" s="101"/>
      <c r="L778" s="102">
        <v>800000</v>
      </c>
      <c r="M778" s="10"/>
      <c r="N778" s="10"/>
      <c r="O778" s="756"/>
      <c r="P778"/>
    </row>
    <row r="779" spans="1:16" s="146" customFormat="1" ht="18" customHeight="1" x14ac:dyDescent="0.25">
      <c r="A779" s="649"/>
      <c r="B779" s="650"/>
      <c r="C779" s="650"/>
      <c r="D779" s="679" t="s">
        <v>1047</v>
      </c>
      <c r="E779" s="199"/>
      <c r="F779" s="184"/>
      <c r="G779" s="184"/>
      <c r="H779" s="100"/>
      <c r="I779" s="101">
        <v>3920</v>
      </c>
      <c r="J779" s="102">
        <v>350000</v>
      </c>
      <c r="K779" s="101"/>
      <c r="L779" s="102">
        <v>50000</v>
      </c>
      <c r="M779" s="10"/>
      <c r="N779" s="10"/>
      <c r="O779" s="756"/>
      <c r="P779"/>
    </row>
    <row r="780" spans="1:16" s="146" customFormat="1" ht="18" customHeight="1" x14ac:dyDescent="0.25">
      <c r="A780" s="649"/>
      <c r="B780" s="650"/>
      <c r="C780" s="650"/>
      <c r="D780" s="679" t="s">
        <v>1048</v>
      </c>
      <c r="E780" s="199"/>
      <c r="F780" s="184"/>
      <c r="G780" s="184"/>
      <c r="H780" s="100"/>
      <c r="I780" s="105">
        <v>20500</v>
      </c>
      <c r="J780" s="106">
        <v>300000</v>
      </c>
      <c r="K780" s="105"/>
      <c r="L780" s="106">
        <v>100000</v>
      </c>
      <c r="M780" s="10"/>
      <c r="N780" s="10"/>
      <c r="O780" s="756"/>
      <c r="P780"/>
    </row>
    <row r="781" spans="1:16" s="146" customFormat="1" ht="18.75" thickBot="1" x14ac:dyDescent="0.3">
      <c r="A781" s="649"/>
      <c r="B781" s="650"/>
      <c r="C781" s="650"/>
      <c r="D781" s="404" t="s">
        <v>15</v>
      </c>
      <c r="F781" s="113"/>
      <c r="G781" s="114"/>
      <c r="H781" s="308"/>
      <c r="I781" s="182">
        <f>SUM(I776:I780)</f>
        <v>24420</v>
      </c>
      <c r="J781" s="183">
        <f>SUM(J776:J780)</f>
        <v>4350000</v>
      </c>
      <c r="K781" s="182">
        <f>SUM(K776:K780)</f>
        <v>0</v>
      </c>
      <c r="L781" s="182">
        <f>SUM(L776:L780)</f>
        <v>2150000</v>
      </c>
      <c r="M781" s="10"/>
      <c r="N781" s="10">
        <v>2150000</v>
      </c>
      <c r="O781" s="756"/>
      <c r="P781"/>
    </row>
    <row r="782" spans="1:16" s="146" customFormat="1" ht="18" x14ac:dyDescent="0.25">
      <c r="A782" s="649"/>
      <c r="B782" s="650"/>
      <c r="C782" s="650"/>
      <c r="D782" s="170"/>
      <c r="E782" s="113"/>
      <c r="F782" s="113"/>
      <c r="G782" s="114"/>
      <c r="H782" s="100"/>
      <c r="I782" s="101"/>
      <c r="J782" s="102"/>
      <c r="K782" s="101"/>
      <c r="L782" s="101"/>
      <c r="M782" s="10"/>
      <c r="N782" s="10"/>
      <c r="O782" s="756"/>
      <c r="P782"/>
    </row>
    <row r="783" spans="1:16" s="146" customFormat="1" ht="18" x14ac:dyDescent="0.25">
      <c r="A783" s="649"/>
      <c r="B783" s="650"/>
      <c r="C783" s="650"/>
      <c r="D783" s="648" t="s">
        <v>1050</v>
      </c>
      <c r="E783" s="199"/>
      <c r="F783" s="199"/>
      <c r="G783" s="393"/>
      <c r="H783" s="100"/>
      <c r="I783" s="101"/>
      <c r="J783" s="102"/>
      <c r="K783" s="101"/>
      <c r="L783" s="101"/>
      <c r="M783" s="10"/>
      <c r="N783" s="10"/>
      <c r="O783" s="756"/>
      <c r="P783"/>
    </row>
    <row r="784" spans="1:16" s="146" customFormat="1" ht="18" x14ac:dyDescent="0.25">
      <c r="A784" s="649"/>
      <c r="B784" s="650"/>
      <c r="C784" s="650"/>
      <c r="D784" s="36" t="s">
        <v>1051</v>
      </c>
      <c r="E784" s="198"/>
      <c r="F784" s="198"/>
      <c r="G784" s="646"/>
      <c r="H784" s="100"/>
      <c r="I784" s="101"/>
      <c r="J784" s="102"/>
      <c r="K784" s="101"/>
      <c r="L784" s="101"/>
      <c r="M784" s="10"/>
      <c r="N784" s="10"/>
      <c r="O784" s="756"/>
      <c r="P784"/>
    </row>
    <row r="785" spans="1:16" s="146" customFormat="1" ht="18" x14ac:dyDescent="0.25">
      <c r="A785" s="649"/>
      <c r="B785" s="650"/>
      <c r="C785" s="650"/>
      <c r="D785" s="38" t="s">
        <v>1052</v>
      </c>
      <c r="E785" s="3"/>
      <c r="F785" s="199"/>
      <c r="G785" s="646"/>
      <c r="H785" s="100"/>
      <c r="I785" s="101">
        <v>88591.8</v>
      </c>
      <c r="J785" s="102">
        <v>300000</v>
      </c>
      <c r="K785" s="101">
        <v>49700</v>
      </c>
      <c r="L785" s="101">
        <v>300000</v>
      </c>
      <c r="M785" s="10"/>
      <c r="N785" s="10"/>
      <c r="O785" s="756"/>
      <c r="P785"/>
    </row>
    <row r="786" spans="1:16" s="146" customFormat="1" ht="18" x14ac:dyDescent="0.25">
      <c r="A786" s="649"/>
      <c r="B786" s="650"/>
      <c r="C786" s="650"/>
      <c r="D786" s="38" t="s">
        <v>1053</v>
      </c>
      <c r="E786" s="3"/>
      <c r="F786" s="199"/>
      <c r="G786" s="646"/>
      <c r="H786" s="100"/>
      <c r="I786" s="101">
        <v>0</v>
      </c>
      <c r="J786" s="102">
        <v>510000</v>
      </c>
      <c r="K786" s="101"/>
      <c r="L786" s="101">
        <v>510000</v>
      </c>
      <c r="M786" s="10"/>
      <c r="N786" s="10"/>
      <c r="O786" s="756"/>
      <c r="P786"/>
    </row>
    <row r="787" spans="1:16" s="146" customFormat="1" ht="18" x14ac:dyDescent="0.25">
      <c r="A787" s="649"/>
      <c r="B787" s="650"/>
      <c r="C787" s="650"/>
      <c r="D787" s="679" t="s">
        <v>1054</v>
      </c>
      <c r="E787" s="3"/>
      <c r="F787" s="199"/>
      <c r="G787" s="646"/>
      <c r="H787" s="100"/>
      <c r="I787" s="101">
        <v>0</v>
      </c>
      <c r="J787" s="102">
        <v>100000</v>
      </c>
      <c r="K787" s="101"/>
      <c r="L787" s="101">
        <v>100000</v>
      </c>
      <c r="M787" s="10"/>
      <c r="N787" s="10"/>
      <c r="O787" s="756"/>
      <c r="P787"/>
    </row>
    <row r="788" spans="1:16" s="146" customFormat="1" ht="18" x14ac:dyDescent="0.25">
      <c r="A788" s="649"/>
      <c r="B788" s="650"/>
      <c r="C788" s="650"/>
      <c r="D788" s="679" t="s">
        <v>1055</v>
      </c>
      <c r="E788" s="3"/>
      <c r="F788" s="199"/>
      <c r="G788" s="646"/>
      <c r="H788" s="100"/>
      <c r="I788" s="101">
        <v>0</v>
      </c>
      <c r="J788" s="102">
        <v>200000</v>
      </c>
      <c r="K788" s="101"/>
      <c r="L788" s="101">
        <v>200000</v>
      </c>
      <c r="M788" s="10"/>
      <c r="N788" s="10"/>
      <c r="O788" s="756"/>
      <c r="P788"/>
    </row>
    <row r="789" spans="1:16" s="146" customFormat="1" ht="52.5" customHeight="1" x14ac:dyDescent="0.25">
      <c r="A789" s="649"/>
      <c r="B789" s="650"/>
      <c r="C789" s="650"/>
      <c r="D789" s="1634" t="s">
        <v>1056</v>
      </c>
      <c r="E789" s="1634"/>
      <c r="F789" s="428"/>
      <c r="G789" s="646"/>
      <c r="H789" s="100"/>
      <c r="I789" s="101">
        <v>0</v>
      </c>
      <c r="J789" s="102">
        <v>60000</v>
      </c>
      <c r="K789" s="101"/>
      <c r="L789" s="101">
        <v>60000</v>
      </c>
      <c r="M789" s="10"/>
      <c r="N789" s="10"/>
      <c r="O789" s="756"/>
      <c r="P789"/>
    </row>
    <row r="790" spans="1:16" s="146" customFormat="1" ht="18" x14ac:dyDescent="0.25">
      <c r="A790" s="649"/>
      <c r="B790" s="650"/>
      <c r="C790" s="650"/>
      <c r="D790" s="180" t="s">
        <v>1057</v>
      </c>
      <c r="E790" s="225"/>
      <c r="F790" s="225"/>
      <c r="G790" s="646"/>
      <c r="H790" s="100"/>
      <c r="I790" s="101">
        <v>337275</v>
      </c>
      <c r="J790" s="102">
        <v>650000</v>
      </c>
      <c r="K790" s="101"/>
      <c r="L790" s="101">
        <v>834000</v>
      </c>
      <c r="M790" s="10"/>
      <c r="N790" s="10"/>
      <c r="O790" s="756"/>
      <c r="P790"/>
    </row>
    <row r="791" spans="1:16" s="146" customFormat="1" ht="18" x14ac:dyDescent="0.25">
      <c r="A791" s="649"/>
      <c r="B791" s="650"/>
      <c r="C791" s="650"/>
      <c r="D791" s="1639" t="s">
        <v>1058</v>
      </c>
      <c r="E791" s="1639"/>
      <c r="F791" s="1639"/>
      <c r="G791" s="646"/>
      <c r="H791" s="100"/>
      <c r="I791" s="101">
        <v>6250</v>
      </c>
      <c r="J791" s="102">
        <v>25000</v>
      </c>
      <c r="K791" s="101"/>
      <c r="L791" s="101">
        <v>25000</v>
      </c>
      <c r="M791" s="10"/>
      <c r="N791" s="10"/>
      <c r="O791" s="756"/>
      <c r="P791"/>
    </row>
    <row r="792" spans="1:16" s="146" customFormat="1" ht="18" x14ac:dyDescent="0.25">
      <c r="A792" s="649"/>
      <c r="B792" s="650"/>
      <c r="C792" s="650"/>
      <c r="D792" s="1646" t="s">
        <v>1059</v>
      </c>
      <c r="E792" s="1646"/>
      <c r="F792" s="44"/>
      <c r="G792" s="663"/>
      <c r="H792" s="205"/>
      <c r="I792" s="102">
        <v>815253.26</v>
      </c>
      <c r="J792" s="102">
        <v>1000000</v>
      </c>
      <c r="K792" s="102"/>
      <c r="L792" s="102">
        <v>300000</v>
      </c>
      <c r="M792" s="10"/>
      <c r="N792" s="10"/>
      <c r="O792" s="756"/>
      <c r="P792"/>
    </row>
    <row r="793" spans="1:16" s="146" customFormat="1" ht="18.75" customHeight="1" x14ac:dyDescent="0.25">
      <c r="A793" s="649"/>
      <c r="B793" s="650"/>
      <c r="C793" s="650"/>
      <c r="D793" s="1628" t="s">
        <v>1060</v>
      </c>
      <c r="E793" s="1628"/>
      <c r="F793" s="1628"/>
      <c r="G793" s="1647"/>
      <c r="H793" s="205"/>
      <c r="I793" s="106">
        <v>0</v>
      </c>
      <c r="J793" s="106"/>
      <c r="K793" s="106"/>
      <c r="L793" s="106">
        <v>563250</v>
      </c>
      <c r="M793" s="10"/>
      <c r="N793" s="10"/>
      <c r="O793" s="756"/>
      <c r="P793"/>
    </row>
    <row r="794" spans="1:16" s="146" customFormat="1" ht="18" x14ac:dyDescent="0.25">
      <c r="A794" s="649"/>
      <c r="B794" s="650"/>
      <c r="C794" s="650"/>
      <c r="D794" s="404" t="s">
        <v>15</v>
      </c>
      <c r="F794" s="650"/>
      <c r="G794" s="646"/>
      <c r="H794" s="100"/>
      <c r="I794" s="119">
        <f>SUM(I785:I793)</f>
        <v>1247370.06</v>
      </c>
      <c r="J794" s="150">
        <f>SUM(J785:J793)</f>
        <v>2845000</v>
      </c>
      <c r="K794" s="119">
        <f>SUM(K785:K793)</f>
        <v>49700</v>
      </c>
      <c r="L794" s="119">
        <f>SUM(L785:L793)</f>
        <v>2892250</v>
      </c>
      <c r="M794" s="10">
        <v>2892250</v>
      </c>
      <c r="N794" s="10"/>
      <c r="O794" s="756"/>
      <c r="P794"/>
    </row>
    <row r="795" spans="1:16" s="146" customFormat="1" ht="18" x14ac:dyDescent="0.25">
      <c r="A795" s="649"/>
      <c r="B795" s="650"/>
      <c r="C795" s="650"/>
      <c r="D795" s="170"/>
      <c r="E795" s="113"/>
      <c r="F795" s="113"/>
      <c r="G795" s="113"/>
      <c r="H795" s="381"/>
      <c r="I795" s="101"/>
      <c r="J795" s="102"/>
      <c r="K795" s="101"/>
      <c r="L795" s="101"/>
      <c r="M795" s="10"/>
      <c r="N795" s="10"/>
      <c r="O795" s="756"/>
      <c r="P795"/>
    </row>
    <row r="796" spans="1:16" ht="18" x14ac:dyDescent="0.25">
      <c r="A796" s="649"/>
      <c r="B796" s="650"/>
      <c r="C796" s="650"/>
      <c r="D796" s="648" t="s">
        <v>1061</v>
      </c>
      <c r="E796" s="199"/>
      <c r="F796" s="199"/>
      <c r="G796" s="393"/>
      <c r="H796" s="100"/>
      <c r="I796" s="101"/>
      <c r="J796" s="102"/>
      <c r="K796" s="101"/>
      <c r="L796" s="101"/>
    </row>
    <row r="797" spans="1:16" ht="18" x14ac:dyDescent="0.25">
      <c r="A797" s="649"/>
      <c r="B797" s="650"/>
      <c r="C797" s="650"/>
      <c r="D797" s="38" t="s">
        <v>315</v>
      </c>
      <c r="E797" s="199"/>
      <c r="F797" s="650"/>
      <c r="G797" s="646"/>
      <c r="H797" s="100"/>
      <c r="I797" s="101">
        <v>250000</v>
      </c>
      <c r="J797" s="102"/>
      <c r="K797" s="101"/>
      <c r="L797" s="101"/>
    </row>
    <row r="798" spans="1:16" ht="18" x14ac:dyDescent="0.25">
      <c r="A798" s="649"/>
      <c r="B798" s="650"/>
      <c r="C798" s="650"/>
      <c r="D798" s="38" t="s">
        <v>1062</v>
      </c>
      <c r="E798" s="199"/>
      <c r="F798" s="650"/>
      <c r="G798" s="646"/>
      <c r="H798" s="100"/>
      <c r="I798" s="101">
        <v>0</v>
      </c>
      <c r="J798" s="102">
        <v>50000</v>
      </c>
      <c r="K798" s="101"/>
      <c r="L798" s="101"/>
    </row>
    <row r="799" spans="1:16" ht="36" customHeight="1" x14ac:dyDescent="0.25">
      <c r="A799" s="649"/>
      <c r="B799" s="650"/>
      <c r="C799" s="650"/>
      <c r="D799" s="1623" t="s">
        <v>1063</v>
      </c>
      <c r="E799" s="1623"/>
      <c r="F799" s="1623"/>
      <c r="G799" s="1645"/>
      <c r="H799" s="100"/>
      <c r="I799" s="101">
        <v>0</v>
      </c>
      <c r="J799" s="102">
        <v>15000</v>
      </c>
      <c r="K799" s="101"/>
      <c r="L799" s="101"/>
    </row>
    <row r="800" spans="1:16" ht="21" customHeight="1" x14ac:dyDescent="0.25">
      <c r="A800" s="649"/>
      <c r="B800" s="650"/>
      <c r="C800" s="650"/>
      <c r="D800" s="1628" t="s">
        <v>1064</v>
      </c>
      <c r="E800" s="1628"/>
      <c r="F800" s="650"/>
      <c r="G800" s="646"/>
      <c r="H800" s="100"/>
      <c r="I800" s="101">
        <v>30000</v>
      </c>
      <c r="J800" s="102">
        <v>85000</v>
      </c>
      <c r="K800" s="101"/>
      <c r="L800" s="101"/>
    </row>
    <row r="801" spans="1:16" ht="18" x14ac:dyDescent="0.25">
      <c r="A801" s="649"/>
      <c r="B801" s="650"/>
      <c r="C801" s="650"/>
      <c r="D801" s="38" t="s">
        <v>1065</v>
      </c>
      <c r="E801" s="199"/>
      <c r="F801" s="650"/>
      <c r="G801" s="646"/>
      <c r="H801" s="100"/>
      <c r="I801" s="101"/>
      <c r="J801" s="102"/>
      <c r="K801" s="101"/>
      <c r="L801" s="101">
        <v>600000</v>
      </c>
    </row>
    <row r="802" spans="1:16" s="146" customFormat="1" ht="18" x14ac:dyDescent="0.25">
      <c r="A802" s="649"/>
      <c r="B802" s="650"/>
      <c r="C802" s="650"/>
      <c r="D802" s="38" t="s">
        <v>1066</v>
      </c>
      <c r="E802" s="199"/>
      <c r="F802" s="650"/>
      <c r="G802" s="646"/>
      <c r="H802" s="100"/>
      <c r="I802" s="101">
        <v>0</v>
      </c>
      <c r="J802" s="102">
        <v>10000</v>
      </c>
      <c r="K802" s="101"/>
      <c r="L802" s="101"/>
      <c r="M802" s="10"/>
      <c r="N802" s="10"/>
      <c r="O802" s="756"/>
      <c r="P802"/>
    </row>
    <row r="803" spans="1:16" s="146" customFormat="1" ht="18" x14ac:dyDescent="0.25">
      <c r="A803" s="649"/>
      <c r="B803" s="650"/>
      <c r="C803" s="650"/>
      <c r="D803" s="38" t="s">
        <v>1067</v>
      </c>
      <c r="E803" s="199"/>
      <c r="F803" s="650"/>
      <c r="G803" s="646"/>
      <c r="H803" s="100"/>
      <c r="I803" s="101"/>
      <c r="J803" s="102"/>
      <c r="K803" s="101"/>
      <c r="L803" s="101"/>
      <c r="M803" s="10"/>
      <c r="N803" s="10"/>
      <c r="O803" s="756"/>
      <c r="P803"/>
    </row>
    <row r="804" spans="1:16" s="146" customFormat="1" ht="18" x14ac:dyDescent="0.25">
      <c r="A804" s="649"/>
      <c r="B804" s="650"/>
      <c r="C804" s="650"/>
      <c r="D804" s="38" t="s">
        <v>1068</v>
      </c>
      <c r="E804" s="199"/>
      <c r="F804" s="650"/>
      <c r="G804" s="646"/>
      <c r="H804" s="100"/>
      <c r="I804" s="101">
        <v>0</v>
      </c>
      <c r="J804" s="102">
        <v>150000</v>
      </c>
      <c r="K804" s="101"/>
      <c r="L804" s="101">
        <v>200000</v>
      </c>
      <c r="M804" s="10"/>
      <c r="N804" s="10"/>
      <c r="O804" s="756"/>
      <c r="P804"/>
    </row>
    <row r="805" spans="1:16" s="146" customFormat="1" ht="18" x14ac:dyDescent="0.25">
      <c r="A805" s="649"/>
      <c r="B805" s="650"/>
      <c r="C805" s="650"/>
      <c r="D805" s="38" t="s">
        <v>1069</v>
      </c>
      <c r="E805" s="199"/>
      <c r="F805" s="650"/>
      <c r="G805" s="646"/>
      <c r="H805" s="100"/>
      <c r="I805" s="101">
        <v>0</v>
      </c>
      <c r="J805" s="102">
        <v>600000</v>
      </c>
      <c r="K805" s="101"/>
      <c r="L805" s="101">
        <v>600000</v>
      </c>
      <c r="M805" s="10"/>
      <c r="N805" s="10"/>
      <c r="O805" s="756"/>
      <c r="P805"/>
    </row>
    <row r="806" spans="1:16" s="146" customFormat="1" ht="18" x14ac:dyDescent="0.25">
      <c r="A806" s="649"/>
      <c r="B806" s="650"/>
      <c r="C806" s="650"/>
      <c r="D806" s="38" t="s">
        <v>1070</v>
      </c>
      <c r="E806" s="199"/>
      <c r="F806" s="650"/>
      <c r="G806" s="646"/>
      <c r="H806" s="100"/>
      <c r="I806" s="101">
        <v>0</v>
      </c>
      <c r="J806" s="102">
        <v>20000</v>
      </c>
      <c r="K806" s="101"/>
      <c r="L806" s="101"/>
      <c r="M806" s="10"/>
      <c r="N806" s="10"/>
      <c r="O806" s="756"/>
      <c r="P806"/>
    </row>
    <row r="807" spans="1:16" s="146" customFormat="1" ht="18" x14ac:dyDescent="0.25">
      <c r="A807" s="649"/>
      <c r="B807" s="650"/>
      <c r="C807" s="650"/>
      <c r="D807" s="1611" t="s">
        <v>1071</v>
      </c>
      <c r="E807" s="1611"/>
      <c r="F807" s="1611"/>
      <c r="G807" s="1602"/>
      <c r="H807" s="100"/>
      <c r="I807" s="101">
        <v>0</v>
      </c>
      <c r="J807" s="102">
        <v>600000</v>
      </c>
      <c r="K807" s="101"/>
      <c r="L807" s="101">
        <v>300000</v>
      </c>
      <c r="M807" s="10"/>
      <c r="N807" s="10"/>
      <c r="O807" s="756"/>
      <c r="P807"/>
    </row>
    <row r="808" spans="1:16" s="146" customFormat="1" ht="36.75" customHeight="1" x14ac:dyDescent="0.25">
      <c r="A808" s="649"/>
      <c r="B808" s="650"/>
      <c r="C808" s="650"/>
      <c r="D808" s="1637" t="s">
        <v>1072</v>
      </c>
      <c r="E808" s="1637"/>
      <c r="F808" s="1637"/>
      <c r="G808" s="646"/>
      <c r="H808" s="100"/>
      <c r="I808" s="101">
        <v>15000</v>
      </c>
      <c r="J808" s="102">
        <v>140000</v>
      </c>
      <c r="K808" s="101">
        <v>8046.1</v>
      </c>
      <c r="L808" s="101"/>
      <c r="M808" s="10"/>
      <c r="N808" s="10"/>
      <c r="O808" s="756"/>
      <c r="P808"/>
    </row>
    <row r="809" spans="1:16" s="146" customFormat="1" ht="56.25" customHeight="1" x14ac:dyDescent="0.25">
      <c r="A809" s="649"/>
      <c r="B809" s="650"/>
      <c r="C809" s="650"/>
      <c r="D809" s="1622" t="s">
        <v>1073</v>
      </c>
      <c r="E809" s="1622"/>
      <c r="F809" s="650"/>
      <c r="G809" s="646"/>
      <c r="H809" s="100"/>
      <c r="I809" s="101"/>
      <c r="J809" s="102"/>
      <c r="K809" s="101"/>
      <c r="L809" s="101"/>
      <c r="M809" s="10"/>
      <c r="N809" s="10"/>
      <c r="O809" s="756"/>
      <c r="P809"/>
    </row>
    <row r="810" spans="1:16" s="146" customFormat="1" ht="18" customHeight="1" x14ac:dyDescent="0.25">
      <c r="A810" s="649"/>
      <c r="B810" s="650"/>
      <c r="C810" s="650"/>
      <c r="D810" s="429" t="s">
        <v>1074</v>
      </c>
      <c r="E810" s="670"/>
      <c r="F810" s="670"/>
      <c r="G810" s="646"/>
      <c r="H810" s="100"/>
      <c r="I810" s="101"/>
      <c r="J810" s="102"/>
      <c r="K810" s="101"/>
      <c r="L810" s="101">
        <v>60000</v>
      </c>
      <c r="M810" s="10"/>
      <c r="N810" s="10"/>
      <c r="O810" s="756"/>
      <c r="P810"/>
    </row>
    <row r="811" spans="1:16" s="146" customFormat="1" ht="18" customHeight="1" x14ac:dyDescent="0.25">
      <c r="A811" s="649"/>
      <c r="B811" s="650"/>
      <c r="C811" s="650"/>
      <c r="D811" s="429" t="s">
        <v>1075</v>
      </c>
      <c r="E811" s="672"/>
      <c r="F811" s="582"/>
      <c r="G811" s="647"/>
      <c r="H811" s="100"/>
      <c r="I811" s="101"/>
      <c r="J811" s="102"/>
      <c r="K811" s="101"/>
      <c r="L811" s="101">
        <v>70000</v>
      </c>
      <c r="M811" s="10"/>
      <c r="N811" s="10"/>
      <c r="O811" s="756"/>
      <c r="P811"/>
    </row>
    <row r="812" spans="1:16" s="146" customFormat="1" ht="18" x14ac:dyDescent="0.25">
      <c r="A812" s="649"/>
      <c r="B812" s="650"/>
      <c r="C812" s="650"/>
      <c r="D812" s="44"/>
      <c r="E812" s="114"/>
      <c r="F812" s="116"/>
      <c r="G812" s="116"/>
      <c r="H812" s="100"/>
      <c r="I812" s="101"/>
      <c r="J812" s="102"/>
      <c r="K812" s="101"/>
      <c r="L812" s="101"/>
      <c r="M812" s="10"/>
      <c r="N812" s="10"/>
      <c r="O812" s="756"/>
      <c r="P812"/>
    </row>
    <row r="813" spans="1:16" s="146" customFormat="1" ht="18" x14ac:dyDescent="0.25">
      <c r="A813" s="649"/>
      <c r="B813" s="650"/>
      <c r="C813" s="650"/>
      <c r="D813" s="44"/>
      <c r="E813" s="114"/>
      <c r="F813" s="116"/>
      <c r="G813" s="116"/>
      <c r="H813" s="100"/>
      <c r="I813" s="101"/>
      <c r="J813" s="102"/>
      <c r="K813" s="101"/>
      <c r="L813" s="101"/>
      <c r="M813" s="10"/>
      <c r="N813" s="10"/>
      <c r="O813" s="756"/>
      <c r="P813"/>
    </row>
    <row r="814" spans="1:16" s="146" customFormat="1" ht="18.75" thickBot="1" x14ac:dyDescent="0.3">
      <c r="A814" s="187"/>
      <c r="B814" s="413"/>
      <c r="C814" s="413"/>
      <c r="D814" s="215"/>
      <c r="E814" s="584"/>
      <c r="F814" s="585"/>
      <c r="G814" s="585"/>
      <c r="H814" s="308"/>
      <c r="I814" s="219"/>
      <c r="J814" s="220"/>
      <c r="K814" s="219"/>
      <c r="L814" s="219"/>
      <c r="M814" s="10"/>
      <c r="N814" s="10"/>
      <c r="O814" s="756"/>
      <c r="P814"/>
    </row>
    <row r="815" spans="1:16" s="146" customFormat="1" ht="18" x14ac:dyDescent="0.25">
      <c r="A815" s="650"/>
      <c r="B815" s="650"/>
      <c r="C815" s="650"/>
      <c r="D815" s="44"/>
      <c r="E815" s="113"/>
      <c r="F815" s="113"/>
      <c r="G815" s="113"/>
      <c r="H815" s="381"/>
      <c r="I815" s="141"/>
      <c r="J815" s="122"/>
      <c r="K815" s="141"/>
      <c r="L815" s="141"/>
      <c r="M815" s="10"/>
      <c r="N815" s="10"/>
      <c r="O815" s="756"/>
      <c r="P815"/>
    </row>
    <row r="816" spans="1:16" s="146" customFormat="1" ht="18" x14ac:dyDescent="0.25">
      <c r="A816" s="650"/>
      <c r="B816" s="650"/>
      <c r="C816" s="650"/>
      <c r="D816" s="44"/>
      <c r="E816" s="113"/>
      <c r="F816" s="113"/>
      <c r="G816" s="113"/>
      <c r="H816" s="381"/>
      <c r="I816" s="141"/>
      <c r="J816" s="122"/>
      <c r="K816" s="141"/>
      <c r="L816" s="141"/>
      <c r="M816" s="10"/>
      <c r="N816" s="10"/>
      <c r="O816" s="756"/>
      <c r="P816"/>
    </row>
    <row r="817" spans="1:16" ht="18" customHeight="1" x14ac:dyDescent="0.25">
      <c r="A817" s="8" t="s">
        <v>112</v>
      </c>
    </row>
    <row r="818" spans="1:16" ht="18" customHeight="1" x14ac:dyDescent="0.25">
      <c r="A818" s="8" t="s">
        <v>1003</v>
      </c>
    </row>
    <row r="819" spans="1:16" ht="18" customHeight="1" x14ac:dyDescent="0.25">
      <c r="A819" s="1636" t="s">
        <v>113</v>
      </c>
      <c r="B819" s="1636"/>
      <c r="C819" s="1636"/>
      <c r="D819" s="1636"/>
      <c r="E819" s="1636"/>
      <c r="F819" s="1636"/>
      <c r="G819" s="1636"/>
      <c r="H819" s="1636"/>
      <c r="I819" s="1636"/>
      <c r="J819" s="1636"/>
      <c r="K819" s="1636"/>
      <c r="L819" s="1636"/>
    </row>
    <row r="820" spans="1:16" s="7" customFormat="1" ht="18" customHeight="1" x14ac:dyDescent="0.25">
      <c r="A820" s="1624" t="s">
        <v>114</v>
      </c>
      <c r="B820" s="1624"/>
      <c r="C820" s="1624"/>
      <c r="D820" s="1624"/>
      <c r="E820" s="1624"/>
      <c r="F820" s="1624"/>
      <c r="G820" s="1624"/>
      <c r="H820" s="1624"/>
      <c r="I820" s="1624"/>
      <c r="J820" s="1624"/>
      <c r="K820" s="1624"/>
      <c r="L820" s="1624"/>
      <c r="M820" s="6"/>
      <c r="N820" s="6"/>
      <c r="O820" s="762"/>
    </row>
    <row r="821" spans="1:16" ht="18.75" thickBot="1" x14ac:dyDescent="0.3">
      <c r="A821" s="41"/>
      <c r="B821" s="41"/>
      <c r="C821" s="41"/>
      <c r="D821" s="63"/>
      <c r="E821" s="41"/>
      <c r="F821" s="41"/>
      <c r="G821" s="41"/>
      <c r="H821" s="41"/>
    </row>
    <row r="822" spans="1:16" ht="63.75" customHeight="1" thickBot="1" x14ac:dyDescent="0.3">
      <c r="A822" s="1625" t="s">
        <v>115</v>
      </c>
      <c r="B822" s="1626"/>
      <c r="C822" s="1626"/>
      <c r="D822" s="1626"/>
      <c r="E822" s="1626"/>
      <c r="F822" s="1626"/>
      <c r="G822" s="1627"/>
      <c r="H822" s="93" t="s">
        <v>116</v>
      </c>
      <c r="I822" s="130" t="s">
        <v>117</v>
      </c>
      <c r="J822" s="130" t="s">
        <v>118</v>
      </c>
      <c r="K822" s="130" t="s">
        <v>119</v>
      </c>
      <c r="L822" s="130" t="s">
        <v>120</v>
      </c>
    </row>
    <row r="823" spans="1:16" s="146" customFormat="1" ht="18" x14ac:dyDescent="0.25">
      <c r="A823" s="649"/>
      <c r="B823" s="650"/>
      <c r="C823" s="650"/>
      <c r="D823" s="648" t="s">
        <v>1061</v>
      </c>
      <c r="E823" s="650"/>
      <c r="F823" s="650"/>
      <c r="G823" s="646"/>
      <c r="H823" s="100"/>
      <c r="I823" s="101"/>
      <c r="J823" s="102"/>
      <c r="K823" s="101"/>
      <c r="L823" s="101"/>
      <c r="M823" s="10"/>
      <c r="N823" s="10"/>
      <c r="O823" s="756"/>
      <c r="P823"/>
    </row>
    <row r="824" spans="1:16" s="146" customFormat="1" ht="35.25" customHeight="1" x14ac:dyDescent="0.25">
      <c r="A824" s="649"/>
      <c r="B824" s="650"/>
      <c r="C824" s="650"/>
      <c r="D824" s="1637" t="s">
        <v>1076</v>
      </c>
      <c r="E824" s="1637"/>
      <c r="F824" s="1637"/>
      <c r="G824" s="1641"/>
      <c r="H824" s="100"/>
      <c r="I824" s="101">
        <v>30178</v>
      </c>
      <c r="J824" s="102">
        <v>227783.76</v>
      </c>
      <c r="K824" s="101"/>
      <c r="L824" s="101"/>
      <c r="M824" s="10"/>
      <c r="N824" s="10"/>
      <c r="O824" s="756"/>
      <c r="P824"/>
    </row>
    <row r="825" spans="1:16" s="146" customFormat="1" ht="18" customHeight="1" x14ac:dyDescent="0.25">
      <c r="A825" s="649"/>
      <c r="B825" s="650"/>
      <c r="C825" s="650"/>
      <c r="D825" s="429" t="s">
        <v>1077</v>
      </c>
      <c r="E825" s="670"/>
      <c r="F825" s="670"/>
      <c r="G825" s="672"/>
      <c r="H825" s="100"/>
      <c r="I825" s="101"/>
      <c r="J825" s="102"/>
      <c r="K825" s="101"/>
      <c r="L825" s="101"/>
      <c r="M825" s="10"/>
      <c r="N825" s="10"/>
      <c r="O825" s="756"/>
      <c r="P825"/>
    </row>
    <row r="826" spans="1:16" s="146" customFormat="1" ht="18" customHeight="1" x14ac:dyDescent="0.25">
      <c r="A826" s="649"/>
      <c r="B826" s="650"/>
      <c r="C826" s="650"/>
      <c r="D826" s="429" t="s">
        <v>1078</v>
      </c>
      <c r="E826" s="670"/>
      <c r="F826" s="670"/>
      <c r="G826" s="672"/>
      <c r="H826" s="100"/>
      <c r="I826" s="101"/>
      <c r="J826" s="102"/>
      <c r="K826" s="101"/>
      <c r="L826" s="102">
        <v>200000</v>
      </c>
      <c r="M826" s="10"/>
      <c r="N826" s="10"/>
      <c r="O826" s="756"/>
      <c r="P826"/>
    </row>
    <row r="827" spans="1:16" s="146" customFormat="1" ht="18" customHeight="1" x14ac:dyDescent="0.25">
      <c r="A827" s="649"/>
      <c r="B827" s="650"/>
      <c r="C827" s="650"/>
      <c r="D827" s="429" t="s">
        <v>1079</v>
      </c>
      <c r="E827" s="670"/>
      <c r="F827" s="670"/>
      <c r="G827" s="672"/>
      <c r="H827" s="100"/>
      <c r="I827" s="101"/>
      <c r="J827" s="102"/>
      <c r="K827" s="101"/>
      <c r="L827" s="101">
        <v>127783.76</v>
      </c>
      <c r="M827" s="10"/>
      <c r="N827" s="10"/>
      <c r="O827" s="756"/>
      <c r="P827"/>
    </row>
    <row r="828" spans="1:16" s="146" customFormat="1" ht="18" customHeight="1" x14ac:dyDescent="0.25">
      <c r="A828" s="649"/>
      <c r="B828" s="650"/>
      <c r="C828" s="650"/>
      <c r="D828" s="429" t="s">
        <v>1080</v>
      </c>
      <c r="E828" s="670"/>
      <c r="F828" s="670"/>
      <c r="G828" s="672"/>
      <c r="H828" s="100"/>
      <c r="I828" s="101"/>
      <c r="J828" s="102"/>
      <c r="K828" s="101"/>
      <c r="L828" s="101">
        <v>800000</v>
      </c>
      <c r="M828" s="10"/>
      <c r="N828" s="10"/>
      <c r="O828" s="756"/>
      <c r="P828"/>
    </row>
    <row r="829" spans="1:16" s="146" customFormat="1" ht="53.25" customHeight="1" x14ac:dyDescent="0.25">
      <c r="A829" s="649"/>
      <c r="B829" s="650"/>
      <c r="C829" s="650"/>
      <c r="D829" s="1623" t="s">
        <v>1081</v>
      </c>
      <c r="E829" s="1623"/>
      <c r="F829" s="650"/>
      <c r="G829" s="646"/>
      <c r="H829" s="100"/>
      <c r="I829" s="101">
        <v>0</v>
      </c>
      <c r="J829" s="102">
        <v>170000</v>
      </c>
      <c r="K829" s="101">
        <v>65660</v>
      </c>
      <c r="L829" s="101"/>
      <c r="M829" s="10"/>
      <c r="N829" s="10"/>
      <c r="O829" s="756"/>
      <c r="P829"/>
    </row>
    <row r="830" spans="1:16" s="146" customFormat="1" ht="35.25" customHeight="1" x14ac:dyDescent="0.25">
      <c r="A830" s="649"/>
      <c r="B830" s="650"/>
      <c r="C830" s="650"/>
      <c r="D830" s="1623" t="s">
        <v>1082</v>
      </c>
      <c r="E830" s="1623"/>
      <c r="F830" s="650"/>
      <c r="G830" s="646"/>
      <c r="H830" s="100"/>
      <c r="I830" s="101">
        <v>0</v>
      </c>
      <c r="J830" s="102">
        <v>600000</v>
      </c>
      <c r="K830" s="101"/>
      <c r="L830" s="101"/>
      <c r="M830" s="10"/>
      <c r="N830" s="10"/>
      <c r="O830" s="756"/>
      <c r="P830"/>
    </row>
    <row r="831" spans="1:16" s="146" customFormat="1" ht="18" x14ac:dyDescent="0.25">
      <c r="A831" s="649"/>
      <c r="B831" s="650"/>
      <c r="C831" s="650"/>
      <c r="D831" s="153" t="s">
        <v>15</v>
      </c>
      <c r="F831" s="650"/>
      <c r="G831" s="646"/>
      <c r="H831" s="100"/>
      <c r="I831" s="119">
        <f>SUM(I797:I830)</f>
        <v>325178</v>
      </c>
      <c r="J831" s="150">
        <f>SUM(J797:J830)</f>
        <v>2667783.7599999998</v>
      </c>
      <c r="K831" s="119">
        <f>SUM(K797:K830)</f>
        <v>73706.100000000006</v>
      </c>
      <c r="L831" s="119">
        <f>SUM(L797:L830)</f>
        <v>2957783.76</v>
      </c>
      <c r="M831" s="10">
        <v>2957783.76</v>
      </c>
      <c r="N831" s="10"/>
      <c r="O831" s="756"/>
      <c r="P831"/>
    </row>
    <row r="832" spans="1:16" s="146" customFormat="1" ht="18" x14ac:dyDescent="0.25">
      <c r="A832" s="649"/>
      <c r="B832" s="650"/>
      <c r="C832" s="650"/>
      <c r="D832" s="639"/>
      <c r="E832" s="153"/>
      <c r="F832" s="650"/>
      <c r="G832" s="650"/>
      <c r="H832" s="100"/>
      <c r="I832" s="155"/>
      <c r="J832" s="156"/>
      <c r="K832" s="155"/>
      <c r="L832" s="155"/>
      <c r="M832" s="10"/>
      <c r="N832" s="10"/>
      <c r="O832" s="756"/>
      <c r="P832"/>
    </row>
    <row r="833" spans="1:16" ht="18" x14ac:dyDescent="0.25">
      <c r="A833" s="649"/>
      <c r="B833" s="650"/>
      <c r="C833" s="650"/>
      <c r="D833" s="648" t="s">
        <v>1360</v>
      </c>
      <c r="E833" s="199"/>
      <c r="F833" s="199"/>
      <c r="G833" s="393"/>
      <c r="H833" s="100"/>
      <c r="I833" s="101"/>
      <c r="J833" s="102"/>
      <c r="K833" s="101"/>
      <c r="L833" s="101"/>
    </row>
    <row r="834" spans="1:16" ht="36.75" hidden="1" customHeight="1" x14ac:dyDescent="0.25">
      <c r="A834" s="649"/>
      <c r="B834" s="650"/>
      <c r="C834" s="650"/>
      <c r="D834" s="1637" t="s">
        <v>1083</v>
      </c>
      <c r="E834" s="1637"/>
      <c r="F834" s="1637"/>
      <c r="G834" s="1641"/>
      <c r="H834" s="100"/>
      <c r="I834" s="101">
        <v>0</v>
      </c>
      <c r="J834" s="102">
        <v>0</v>
      </c>
      <c r="K834" s="101"/>
      <c r="L834" s="101"/>
    </row>
    <row r="835" spans="1:16" ht="36.75" hidden="1" customHeight="1" x14ac:dyDescent="0.25">
      <c r="A835" s="649"/>
      <c r="B835" s="650"/>
      <c r="C835" s="650"/>
      <c r="D835" s="1642" t="s">
        <v>1084</v>
      </c>
      <c r="E835" s="1643"/>
      <c r="F835" s="1643"/>
      <c r="G835" s="1644"/>
      <c r="H835" s="100"/>
      <c r="I835" s="101">
        <v>0</v>
      </c>
      <c r="J835" s="102">
        <v>0</v>
      </c>
      <c r="K835" s="101"/>
      <c r="L835" s="101"/>
    </row>
    <row r="836" spans="1:16" ht="18" hidden="1" x14ac:dyDescent="0.25">
      <c r="A836" s="649"/>
      <c r="B836" s="650"/>
      <c r="C836" s="650"/>
      <c r="D836" s="38" t="s">
        <v>1085</v>
      </c>
      <c r="E836" s="199"/>
      <c r="F836" s="198"/>
      <c r="G836" s="646"/>
      <c r="H836" s="100"/>
      <c r="I836" s="101">
        <v>0</v>
      </c>
      <c r="J836" s="102">
        <v>0</v>
      </c>
      <c r="K836" s="101"/>
      <c r="L836" s="101"/>
    </row>
    <row r="837" spans="1:16" ht="35.25" hidden="1" customHeight="1" x14ac:dyDescent="0.25">
      <c r="A837" s="649"/>
      <c r="B837" s="650"/>
      <c r="C837" s="650"/>
      <c r="D837" s="1623" t="s">
        <v>1086</v>
      </c>
      <c r="E837" s="1623"/>
      <c r="F837" s="198"/>
      <c r="G837" s="646"/>
      <c r="H837" s="100"/>
      <c r="I837" s="101">
        <v>0</v>
      </c>
      <c r="J837" s="102">
        <v>0</v>
      </c>
      <c r="K837" s="101"/>
      <c r="L837" s="101"/>
    </row>
    <row r="838" spans="1:16" ht="18" hidden="1" x14ac:dyDescent="0.25">
      <c r="A838" s="649"/>
      <c r="B838" s="650"/>
      <c r="C838" s="650"/>
      <c r="D838" s="38" t="s">
        <v>1087</v>
      </c>
      <c r="E838" s="199"/>
      <c r="F838" s="198"/>
      <c r="G838" s="646"/>
      <c r="H838" s="100"/>
      <c r="I838" s="101">
        <v>0</v>
      </c>
      <c r="J838" s="102">
        <v>0</v>
      </c>
      <c r="K838" s="101"/>
      <c r="L838" s="101"/>
    </row>
    <row r="839" spans="1:16" s="146" customFormat="1" ht="18" hidden="1" x14ac:dyDescent="0.25">
      <c r="A839" s="649"/>
      <c r="B839" s="650"/>
      <c r="C839" s="650"/>
      <c r="D839" s="38" t="s">
        <v>1088</v>
      </c>
      <c r="E839" s="199"/>
      <c r="F839" s="198"/>
      <c r="G839" s="646"/>
      <c r="H839" s="100"/>
      <c r="I839" s="101">
        <v>0</v>
      </c>
      <c r="J839" s="102">
        <v>0</v>
      </c>
      <c r="K839" s="101"/>
      <c r="L839" s="101"/>
      <c r="M839" s="10"/>
      <c r="N839" s="10"/>
      <c r="O839" s="756"/>
      <c r="P839"/>
    </row>
    <row r="840" spans="1:16" s="146" customFormat="1" ht="18" hidden="1" x14ac:dyDescent="0.25">
      <c r="A840" s="649"/>
      <c r="B840" s="650"/>
      <c r="C840" s="650"/>
      <c r="D840" s="38" t="s">
        <v>1089</v>
      </c>
      <c r="E840" s="199"/>
      <c r="F840" s="198"/>
      <c r="G840" s="646"/>
      <c r="H840" s="100"/>
      <c r="I840" s="101">
        <v>0</v>
      </c>
      <c r="J840" s="102">
        <v>0</v>
      </c>
      <c r="K840" s="101"/>
      <c r="L840" s="101"/>
      <c r="M840" s="10"/>
      <c r="N840" s="10"/>
      <c r="O840" s="756"/>
      <c r="P840"/>
    </row>
    <row r="841" spans="1:16" s="146" customFormat="1" ht="18" hidden="1" x14ac:dyDescent="0.25">
      <c r="A841" s="649"/>
      <c r="B841" s="650"/>
      <c r="C841" s="650"/>
      <c r="D841" s="38" t="s">
        <v>1090</v>
      </c>
      <c r="E841" s="199"/>
      <c r="F841" s="199"/>
      <c r="G841" s="646"/>
      <c r="H841" s="100"/>
      <c r="I841" s="101">
        <v>0</v>
      </c>
      <c r="J841" s="102">
        <v>0</v>
      </c>
      <c r="K841" s="101"/>
      <c r="L841" s="101"/>
      <c r="M841" s="10"/>
      <c r="N841" s="10"/>
      <c r="O841" s="756"/>
      <c r="P841"/>
    </row>
    <row r="842" spans="1:16" s="146" customFormat="1" ht="18" hidden="1" x14ac:dyDescent="0.25">
      <c r="A842" s="649"/>
      <c r="B842" s="650"/>
      <c r="C842" s="650"/>
      <c r="D842" s="38" t="s">
        <v>1091</v>
      </c>
      <c r="E842" s="199"/>
      <c r="F842" s="199"/>
      <c r="G842" s="646"/>
      <c r="H842" s="100"/>
      <c r="I842" s="101">
        <v>0</v>
      </c>
      <c r="J842" s="102">
        <v>0</v>
      </c>
      <c r="K842" s="101"/>
      <c r="L842" s="101"/>
      <c r="M842" s="10"/>
      <c r="N842" s="10"/>
      <c r="O842" s="756"/>
      <c r="P842"/>
    </row>
    <row r="843" spans="1:16" s="146" customFormat="1" ht="37.5" hidden="1" customHeight="1" x14ac:dyDescent="0.25">
      <c r="A843" s="649"/>
      <c r="B843" s="650"/>
      <c r="C843" s="650"/>
      <c r="D843" s="1623" t="s">
        <v>1092</v>
      </c>
      <c r="E843" s="1623"/>
      <c r="F843" s="199"/>
      <c r="G843" s="646"/>
      <c r="H843" s="100"/>
      <c r="I843" s="101">
        <v>0</v>
      </c>
      <c r="J843" s="102">
        <v>0</v>
      </c>
      <c r="K843" s="101"/>
      <c r="L843" s="101"/>
      <c r="M843" s="10"/>
      <c r="N843" s="10"/>
      <c r="O843" s="756"/>
      <c r="P843"/>
    </row>
    <row r="844" spans="1:16" s="146" customFormat="1" ht="18" x14ac:dyDescent="0.25">
      <c r="A844" s="649"/>
      <c r="B844" s="650"/>
      <c r="C844" s="650"/>
      <c r="D844" s="36" t="s">
        <v>1093</v>
      </c>
      <c r="E844" s="199"/>
      <c r="F844" s="199"/>
      <c r="G844" s="646"/>
      <c r="H844" s="100"/>
      <c r="I844" s="101">
        <v>593459.19999999995</v>
      </c>
      <c r="J844" s="102">
        <v>1260000</v>
      </c>
      <c r="K844" s="101">
        <v>102100.15</v>
      </c>
      <c r="L844" s="101"/>
      <c r="M844" s="10"/>
      <c r="N844" s="10"/>
      <c r="O844" s="756"/>
      <c r="P844"/>
    </row>
    <row r="845" spans="1:16" s="146" customFormat="1" ht="17.45" customHeight="1" x14ac:dyDescent="0.25">
      <c r="A845" s="649"/>
      <c r="B845" s="650"/>
      <c r="C845" s="650"/>
      <c r="D845" s="38" t="s">
        <v>1094</v>
      </c>
      <c r="E845" s="199"/>
      <c r="F845" s="199"/>
      <c r="G845" s="646"/>
      <c r="H845" s="100"/>
      <c r="I845" s="101"/>
      <c r="J845" s="102"/>
      <c r="K845" s="101"/>
      <c r="L845" s="101">
        <v>70000</v>
      </c>
      <c r="M845" s="10"/>
      <c r="N845" s="10"/>
      <c r="O845" s="756"/>
      <c r="P845"/>
    </row>
    <row r="846" spans="1:16" s="146" customFormat="1" ht="17.45" customHeight="1" x14ac:dyDescent="0.25">
      <c r="A846" s="649"/>
      <c r="B846" s="650"/>
      <c r="C846" s="650"/>
      <c r="D846" s="38" t="s">
        <v>1095</v>
      </c>
      <c r="E846" s="199"/>
      <c r="F846" s="199"/>
      <c r="G846" s="646"/>
      <c r="H846" s="100"/>
      <c r="I846" s="101"/>
      <c r="J846" s="102"/>
      <c r="K846" s="101"/>
      <c r="L846" s="101">
        <v>32500</v>
      </c>
      <c r="M846" s="10"/>
      <c r="N846" s="10"/>
      <c r="O846" s="756"/>
      <c r="P846"/>
    </row>
    <row r="847" spans="1:16" s="146" customFormat="1" ht="36.75" customHeight="1" x14ac:dyDescent="0.25">
      <c r="A847" s="649"/>
      <c r="B847" s="650"/>
      <c r="C847" s="650"/>
      <c r="D847" s="1623" t="s">
        <v>1096</v>
      </c>
      <c r="E847" s="1623"/>
      <c r="F847" s="199"/>
      <c r="G847" s="646"/>
      <c r="H847" s="100"/>
      <c r="I847" s="101"/>
      <c r="J847" s="102"/>
      <c r="K847" s="101"/>
      <c r="L847" s="101">
        <v>160000</v>
      </c>
      <c r="M847" s="10"/>
      <c r="N847" s="10"/>
      <c r="O847" s="756"/>
      <c r="P847"/>
    </row>
    <row r="848" spans="1:16" s="146" customFormat="1" ht="17.45" customHeight="1" x14ac:dyDescent="0.25">
      <c r="A848" s="649"/>
      <c r="B848" s="650"/>
      <c r="C848" s="650"/>
      <c r="D848" s="38" t="s">
        <v>1097</v>
      </c>
      <c r="E848" s="199"/>
      <c r="F848" s="199"/>
      <c r="G848" s="646"/>
      <c r="H848" s="195"/>
      <c r="I848" s="101"/>
      <c r="J848" s="102"/>
      <c r="K848" s="101"/>
      <c r="L848" s="101">
        <v>20000</v>
      </c>
      <c r="M848" s="10"/>
      <c r="N848" s="10"/>
      <c r="O848" s="756"/>
      <c r="P848"/>
    </row>
    <row r="849" spans="1:16" s="146" customFormat="1" ht="17.45" customHeight="1" x14ac:dyDescent="0.25">
      <c r="A849" s="649"/>
      <c r="B849" s="650"/>
      <c r="C849" s="650"/>
      <c r="D849" s="38" t="s">
        <v>1099</v>
      </c>
      <c r="E849" s="199"/>
      <c r="F849" s="199"/>
      <c r="G849" s="646"/>
      <c r="H849" s="100"/>
      <c r="I849" s="101"/>
      <c r="J849" s="102"/>
      <c r="K849" s="101"/>
      <c r="L849" s="101">
        <v>47500</v>
      </c>
      <c r="M849" s="10"/>
      <c r="N849" s="10"/>
      <c r="O849" s="756"/>
      <c r="P849"/>
    </row>
    <row r="850" spans="1:16" s="146" customFormat="1" ht="36" customHeight="1" x14ac:dyDescent="0.25">
      <c r="A850" s="649"/>
      <c r="B850" s="650"/>
      <c r="C850" s="650"/>
      <c r="D850" s="1623" t="s">
        <v>1100</v>
      </c>
      <c r="E850" s="1623"/>
      <c r="F850" s="199"/>
      <c r="G850" s="646"/>
      <c r="H850" s="100"/>
      <c r="I850" s="101"/>
      <c r="J850" s="102"/>
      <c r="K850" s="101"/>
      <c r="L850" s="101">
        <v>100000</v>
      </c>
      <c r="M850" s="10"/>
      <c r="N850" s="10"/>
      <c r="O850" s="756"/>
      <c r="P850"/>
    </row>
    <row r="851" spans="1:16" s="146" customFormat="1" ht="18" x14ac:dyDescent="0.25">
      <c r="A851" s="649"/>
      <c r="B851" s="650"/>
      <c r="C851" s="650"/>
      <c r="D851" s="38" t="s">
        <v>1101</v>
      </c>
      <c r="E851" s="199"/>
      <c r="F851" s="199"/>
      <c r="G851" s="646"/>
      <c r="H851" s="100"/>
      <c r="I851" s="101"/>
      <c r="J851" s="102"/>
      <c r="K851" s="101"/>
      <c r="L851" s="101">
        <v>180000</v>
      </c>
      <c r="M851" s="10"/>
      <c r="N851" s="10"/>
      <c r="O851" s="756"/>
      <c r="P851"/>
    </row>
    <row r="852" spans="1:16" s="146" customFormat="1" ht="35.25" customHeight="1" x14ac:dyDescent="0.25">
      <c r="A852" s="649"/>
      <c r="B852" s="650"/>
      <c r="C852" s="650"/>
      <c r="D852" s="1623" t="s">
        <v>1102</v>
      </c>
      <c r="E852" s="1623"/>
      <c r="F852" s="199"/>
      <c r="G852" s="646"/>
      <c r="H852" s="100"/>
      <c r="I852" s="101"/>
      <c r="J852" s="102"/>
      <c r="K852" s="101"/>
      <c r="L852" s="101">
        <v>200000</v>
      </c>
      <c r="M852" s="10"/>
      <c r="N852" s="10"/>
      <c r="O852" s="756"/>
      <c r="P852"/>
    </row>
    <row r="853" spans="1:16" s="146" customFormat="1" ht="36.75" customHeight="1" x14ac:dyDescent="0.25">
      <c r="A853" s="649"/>
      <c r="B853" s="650"/>
      <c r="C853" s="650"/>
      <c r="D853" s="1623" t="s">
        <v>1103</v>
      </c>
      <c r="E853" s="1623"/>
      <c r="F853" s="199"/>
      <c r="G853" s="646"/>
      <c r="H853" s="100"/>
      <c r="I853" s="101"/>
      <c r="J853" s="102"/>
      <c r="K853" s="101"/>
      <c r="L853" s="101">
        <v>200000</v>
      </c>
      <c r="M853" s="10"/>
      <c r="N853" s="10"/>
      <c r="O853" s="756"/>
      <c r="P853"/>
    </row>
    <row r="854" spans="1:16" s="146" customFormat="1" ht="18" x14ac:dyDescent="0.25">
      <c r="A854" s="649"/>
      <c r="B854" s="650"/>
      <c r="C854" s="650"/>
      <c r="D854" s="38" t="s">
        <v>1104</v>
      </c>
      <c r="E854" s="199"/>
      <c r="F854" s="199"/>
      <c r="G854" s="646"/>
      <c r="H854" s="100"/>
      <c r="I854" s="101"/>
      <c r="J854" s="102"/>
      <c r="K854" s="101"/>
      <c r="L854" s="101">
        <v>250000</v>
      </c>
      <c r="M854" s="10"/>
      <c r="N854" s="10"/>
      <c r="O854" s="756"/>
      <c r="P854"/>
    </row>
    <row r="855" spans="1:16" s="146" customFormat="1" ht="18" x14ac:dyDescent="0.25">
      <c r="A855" s="649"/>
      <c r="B855" s="650"/>
      <c r="C855" s="650"/>
      <c r="D855" s="38" t="s">
        <v>1105</v>
      </c>
      <c r="E855" s="199"/>
      <c r="F855" s="199"/>
      <c r="G855" s="646"/>
      <c r="H855" s="100"/>
      <c r="I855" s="101"/>
      <c r="J855" s="102"/>
      <c r="K855" s="101"/>
      <c r="L855" s="101">
        <v>40000</v>
      </c>
      <c r="M855" s="10"/>
      <c r="N855" s="10"/>
      <c r="O855" s="756"/>
      <c r="P855"/>
    </row>
    <row r="856" spans="1:16" s="146" customFormat="1" ht="18" x14ac:dyDescent="0.25">
      <c r="A856" s="649"/>
      <c r="B856" s="650"/>
      <c r="C856" s="650"/>
      <c r="D856" s="38"/>
      <c r="E856" s="199"/>
      <c r="F856" s="199"/>
      <c r="G856" s="646"/>
      <c r="H856" s="100"/>
      <c r="I856" s="101"/>
      <c r="J856" s="102"/>
      <c r="K856" s="101"/>
      <c r="L856" s="101"/>
      <c r="M856" s="10"/>
      <c r="N856" s="10"/>
      <c r="O856" s="756"/>
      <c r="P856"/>
    </row>
    <row r="857" spans="1:16" s="146" customFormat="1" ht="18" x14ac:dyDescent="0.25">
      <c r="A857" s="649"/>
      <c r="B857" s="650"/>
      <c r="C857" s="650"/>
      <c r="D857" s="36" t="s">
        <v>1106</v>
      </c>
      <c r="E857" s="199"/>
      <c r="F857" s="199"/>
      <c r="G857" s="646"/>
      <c r="H857" s="100"/>
      <c r="I857" s="101">
        <v>291202.95</v>
      </c>
      <c r="J857" s="102">
        <v>1500000</v>
      </c>
      <c r="K857" s="101">
        <v>40600</v>
      </c>
      <c r="L857" s="101"/>
      <c r="M857" s="10"/>
      <c r="N857" s="10"/>
      <c r="O857" s="756"/>
      <c r="P857"/>
    </row>
    <row r="858" spans="1:16" s="146" customFormat="1" ht="17.45" customHeight="1" x14ac:dyDescent="0.25">
      <c r="A858" s="649"/>
      <c r="B858" s="650"/>
      <c r="C858" s="650"/>
      <c r="D858" s="38" t="s">
        <v>1107</v>
      </c>
      <c r="E858" s="199"/>
      <c r="F858" s="199"/>
      <c r="G858" s="646"/>
      <c r="H858" s="100"/>
      <c r="I858" s="101"/>
      <c r="J858" s="102"/>
      <c r="K858" s="101"/>
      <c r="L858" s="101">
        <v>200000</v>
      </c>
      <c r="M858" s="10"/>
      <c r="N858" s="10"/>
      <c r="O858" s="756"/>
      <c r="P858"/>
    </row>
    <row r="859" spans="1:16" s="146" customFormat="1" ht="17.45" customHeight="1" x14ac:dyDescent="0.25">
      <c r="A859" s="649"/>
      <c r="B859" s="650"/>
      <c r="C859" s="650"/>
      <c r="D859" s="38" t="s">
        <v>1108</v>
      </c>
      <c r="E859" s="199"/>
      <c r="F859" s="199"/>
      <c r="G859" s="646"/>
      <c r="H859" s="100"/>
      <c r="I859" s="101"/>
      <c r="J859" s="102"/>
      <c r="K859" s="101"/>
      <c r="L859" s="101">
        <v>200000</v>
      </c>
      <c r="M859" s="10"/>
      <c r="N859" s="10"/>
      <c r="O859" s="756"/>
      <c r="P859"/>
    </row>
    <row r="860" spans="1:16" s="146" customFormat="1" ht="17.45" customHeight="1" x14ac:dyDescent="0.25">
      <c r="A860" s="649"/>
      <c r="B860" s="650"/>
      <c r="C860" s="650"/>
      <c r="D860" s="38" t="s">
        <v>1109</v>
      </c>
      <c r="E860" s="199"/>
      <c r="F860" s="199"/>
      <c r="G860" s="646"/>
      <c r="H860" s="100"/>
      <c r="I860" s="101"/>
      <c r="J860" s="102"/>
      <c r="K860" s="101"/>
      <c r="L860" s="101">
        <v>250000</v>
      </c>
      <c r="M860" s="10"/>
      <c r="N860" s="10"/>
      <c r="O860" s="756"/>
      <c r="P860"/>
    </row>
    <row r="861" spans="1:16" s="146" customFormat="1" ht="17.45" customHeight="1" x14ac:dyDescent="0.25">
      <c r="A861" s="649"/>
      <c r="B861" s="650"/>
      <c r="C861" s="650"/>
      <c r="D861" s="38" t="s">
        <v>1110</v>
      </c>
      <c r="E861" s="199"/>
      <c r="F861" s="199"/>
      <c r="G861" s="646"/>
      <c r="H861" s="100"/>
      <c r="I861" s="101"/>
      <c r="J861" s="102"/>
      <c r="K861" s="101"/>
      <c r="L861" s="101">
        <v>300000</v>
      </c>
      <c r="M861" s="10"/>
      <c r="N861" s="10"/>
      <c r="O861" s="756"/>
      <c r="P861"/>
    </row>
    <row r="862" spans="1:16" s="146" customFormat="1" ht="17.45" customHeight="1" x14ac:dyDescent="0.25">
      <c r="A862" s="649"/>
      <c r="B862" s="650"/>
      <c r="C862" s="650"/>
      <c r="D862" s="38" t="s">
        <v>1111</v>
      </c>
      <c r="E862" s="199"/>
      <c r="F862" s="199"/>
      <c r="G862" s="646"/>
      <c r="H862" s="100"/>
      <c r="I862" s="101"/>
      <c r="J862" s="102"/>
      <c r="K862" s="101"/>
      <c r="L862" s="101">
        <v>150000</v>
      </c>
      <c r="M862" s="10"/>
      <c r="N862" s="10"/>
      <c r="O862" s="756"/>
      <c r="P862"/>
    </row>
    <row r="863" spans="1:16" s="146" customFormat="1" ht="17.45" customHeight="1" x14ac:dyDescent="0.25">
      <c r="A863" s="649"/>
      <c r="B863" s="650"/>
      <c r="C863" s="650"/>
      <c r="D863" s="38" t="s">
        <v>1112</v>
      </c>
      <c r="E863" s="199"/>
      <c r="F863" s="199"/>
      <c r="G863" s="646"/>
      <c r="H863" s="100"/>
      <c r="I863" s="101"/>
      <c r="J863" s="102"/>
      <c r="K863" s="101"/>
      <c r="L863" s="101">
        <v>200000</v>
      </c>
      <c r="M863" s="10"/>
      <c r="N863" s="10"/>
      <c r="O863" s="756"/>
      <c r="P863"/>
    </row>
    <row r="864" spans="1:16" s="146" customFormat="1" ht="17.45" customHeight="1" x14ac:dyDescent="0.25">
      <c r="A864" s="649"/>
      <c r="B864" s="650"/>
      <c r="C864" s="650"/>
      <c r="D864" s="38" t="s">
        <v>1113</v>
      </c>
      <c r="E864" s="199"/>
      <c r="F864" s="199"/>
      <c r="G864" s="646"/>
      <c r="H864" s="100"/>
      <c r="I864" s="101"/>
      <c r="J864" s="102"/>
      <c r="K864" s="101"/>
      <c r="L864" s="101">
        <v>400000</v>
      </c>
      <c r="M864" s="10"/>
      <c r="N864" s="10"/>
      <c r="O864" s="756"/>
      <c r="P864"/>
    </row>
    <row r="865" spans="1:16" s="146" customFormat="1" ht="17.45" customHeight="1" x14ac:dyDescent="0.25">
      <c r="A865" s="649"/>
      <c r="B865" s="650"/>
      <c r="C865" s="650"/>
      <c r="D865" s="38" t="s">
        <v>1114</v>
      </c>
      <c r="E865" s="199"/>
      <c r="F865" s="199"/>
      <c r="G865" s="646"/>
      <c r="H865" s="100"/>
      <c r="I865" s="101"/>
      <c r="J865" s="102"/>
      <c r="K865" s="101"/>
      <c r="L865" s="101">
        <v>10000</v>
      </c>
      <c r="M865" s="10"/>
      <c r="N865" s="10"/>
      <c r="O865" s="756"/>
      <c r="P865"/>
    </row>
    <row r="866" spans="1:16" s="146" customFormat="1" ht="17.45" customHeight="1" x14ac:dyDescent="0.25">
      <c r="A866" s="649"/>
      <c r="B866" s="650"/>
      <c r="C866" s="650"/>
      <c r="D866" s="38" t="s">
        <v>1115</v>
      </c>
      <c r="E866" s="199"/>
      <c r="F866" s="199"/>
      <c r="G866" s="646"/>
      <c r="H866" s="100"/>
      <c r="I866" s="101"/>
      <c r="J866" s="102"/>
      <c r="K866" s="101"/>
      <c r="L866" s="101">
        <v>350000</v>
      </c>
      <c r="M866" s="10"/>
      <c r="N866" s="10"/>
      <c r="O866" s="756"/>
      <c r="P866"/>
    </row>
    <row r="867" spans="1:16" s="146" customFormat="1" ht="17.45" customHeight="1" x14ac:dyDescent="0.25">
      <c r="A867" s="649"/>
      <c r="B867" s="650"/>
      <c r="C867" s="650"/>
      <c r="D867" s="38" t="s">
        <v>1116</v>
      </c>
      <c r="E867" s="199"/>
      <c r="F867" s="199"/>
      <c r="G867" s="646"/>
      <c r="H867" s="100"/>
      <c r="I867" s="101"/>
      <c r="J867" s="102"/>
      <c r="K867" s="101"/>
      <c r="L867" s="101">
        <v>1000000</v>
      </c>
      <c r="M867" s="10"/>
      <c r="N867" s="10"/>
      <c r="O867" s="756"/>
      <c r="P867"/>
    </row>
    <row r="868" spans="1:16" s="146" customFormat="1" ht="17.100000000000001" customHeight="1" x14ac:dyDescent="0.25">
      <c r="A868" s="649"/>
      <c r="B868" s="650"/>
      <c r="C868" s="650"/>
      <c r="D868" s="153" t="s">
        <v>15</v>
      </c>
      <c r="F868" s="650"/>
      <c r="G868" s="646"/>
      <c r="H868" s="100"/>
      <c r="I868" s="119">
        <f>SUM(I844:I866)</f>
        <v>884662.14999999991</v>
      </c>
      <c r="J868" s="119">
        <f>SUM(J844:J866)</f>
        <v>2760000</v>
      </c>
      <c r="K868" s="119">
        <f>SUM(K844:K866)</f>
        <v>142700.15</v>
      </c>
      <c r="L868" s="119">
        <f>SUM(L844:L867)</f>
        <v>4360000</v>
      </c>
      <c r="M868" s="10">
        <v>4360000</v>
      </c>
      <c r="N868" s="10"/>
      <c r="O868" s="756"/>
      <c r="P868"/>
    </row>
    <row r="869" spans="1:16" s="146" customFormat="1" ht="17.45" customHeight="1" x14ac:dyDescent="0.25">
      <c r="A869" s="649"/>
      <c r="B869" s="650"/>
      <c r="C869" s="650"/>
      <c r="D869" s="38"/>
      <c r="E869" s="199"/>
      <c r="F869" s="199"/>
      <c r="G869" s="650"/>
      <c r="H869" s="381"/>
      <c r="I869" s="101"/>
      <c r="J869" s="102"/>
      <c r="K869" s="101"/>
      <c r="L869" s="101"/>
      <c r="M869" s="10"/>
      <c r="N869" s="10"/>
      <c r="O869" s="756"/>
      <c r="P869"/>
    </row>
    <row r="870" spans="1:16" s="146" customFormat="1" ht="17.100000000000001" customHeight="1" x14ac:dyDescent="0.25">
      <c r="A870" s="649"/>
      <c r="B870" s="650"/>
      <c r="C870" s="650"/>
      <c r="D870" s="641" t="s">
        <v>33</v>
      </c>
      <c r="E870" s="153"/>
      <c r="F870" s="650"/>
      <c r="G870" s="646"/>
      <c r="H870" s="100"/>
      <c r="I870" s="155"/>
      <c r="J870" s="156"/>
      <c r="K870" s="155"/>
      <c r="L870" s="155"/>
      <c r="M870" s="10"/>
      <c r="N870" s="10"/>
      <c r="O870" s="756"/>
      <c r="P870"/>
    </row>
    <row r="871" spans="1:16" s="203" customFormat="1" ht="55.5" customHeight="1" x14ac:dyDescent="0.25">
      <c r="A871" s="649"/>
      <c r="B871" s="650"/>
      <c r="C871" s="650"/>
      <c r="D871" s="1574" t="s">
        <v>1117</v>
      </c>
      <c r="E871" s="1574"/>
      <c r="F871" s="650"/>
      <c r="G871" s="646"/>
      <c r="H871" s="100"/>
      <c r="I871" s="101"/>
      <c r="J871" s="102"/>
      <c r="K871" s="101"/>
      <c r="L871" s="101">
        <v>500000</v>
      </c>
      <c r="M871" s="10"/>
      <c r="N871" s="10"/>
      <c r="O871" s="756"/>
      <c r="P871" s="415"/>
    </row>
    <row r="872" spans="1:16" s="203" customFormat="1" ht="36" customHeight="1" x14ac:dyDescent="0.25">
      <c r="A872" s="649"/>
      <c r="B872" s="650"/>
      <c r="C872" s="650"/>
      <c r="D872" s="1574" t="s">
        <v>1118</v>
      </c>
      <c r="E872" s="1574"/>
      <c r="F872" s="650"/>
      <c r="G872" s="646"/>
      <c r="H872" s="100"/>
      <c r="I872" s="101"/>
      <c r="J872" s="102"/>
      <c r="K872" s="101"/>
      <c r="L872" s="101">
        <v>100000</v>
      </c>
      <c r="M872" s="10"/>
      <c r="N872" s="10"/>
      <c r="O872" s="756"/>
      <c r="P872" s="415"/>
    </row>
    <row r="873" spans="1:16" s="146" customFormat="1" ht="18" x14ac:dyDescent="0.25">
      <c r="A873" s="649"/>
      <c r="B873" s="650"/>
      <c r="C873" s="650"/>
      <c r="D873" s="656" t="s">
        <v>1119</v>
      </c>
      <c r="E873" s="153"/>
      <c r="F873" s="650"/>
      <c r="G873" s="646"/>
      <c r="H873" s="100"/>
      <c r="I873" s="109"/>
      <c r="J873" s="106">
        <v>1441794.32</v>
      </c>
      <c r="K873" s="105">
        <v>565022.64</v>
      </c>
      <c r="L873" s="106">
        <v>1542319.76</v>
      </c>
      <c r="M873" s="10"/>
      <c r="N873" s="10"/>
      <c r="O873" s="756"/>
      <c r="P873"/>
    </row>
    <row r="874" spans="1:16" s="146" customFormat="1" ht="17.100000000000001" customHeight="1" x14ac:dyDescent="0.25">
      <c r="A874" s="649"/>
      <c r="B874" s="650"/>
      <c r="C874" s="650"/>
      <c r="D874" s="153" t="s">
        <v>15</v>
      </c>
      <c r="F874" s="650"/>
      <c r="G874" s="646"/>
      <c r="H874" s="100"/>
      <c r="I874" s="109"/>
      <c r="J874" s="110">
        <f>SUM(J871:J873)</f>
        <v>1441794.32</v>
      </c>
      <c r="K874" s="110">
        <f>SUM(K871:K873)</f>
        <v>565022.64</v>
      </c>
      <c r="L874" s="110">
        <f>SUM(L871:L873)</f>
        <v>2142319.7599999998</v>
      </c>
      <c r="M874" s="10">
        <v>2142319.7599999998</v>
      </c>
      <c r="N874" s="10"/>
      <c r="O874" s="756"/>
      <c r="P874"/>
    </row>
    <row r="875" spans="1:16" s="146" customFormat="1" ht="17.45" customHeight="1" x14ac:dyDescent="0.25">
      <c r="A875" s="649"/>
      <c r="B875" s="650"/>
      <c r="C875" s="650"/>
      <c r="D875" s="38"/>
      <c r="E875" s="199"/>
      <c r="F875" s="199"/>
      <c r="G875" s="650"/>
      <c r="H875" s="381"/>
      <c r="I875" s="101"/>
      <c r="J875" s="102"/>
      <c r="K875" s="101"/>
      <c r="L875" s="101"/>
      <c r="M875" s="10"/>
      <c r="N875" s="10"/>
      <c r="O875" s="756"/>
      <c r="P875"/>
    </row>
    <row r="876" spans="1:16" s="146" customFormat="1" ht="17.45" customHeight="1" x14ac:dyDescent="0.25">
      <c r="A876" s="649"/>
      <c r="B876" s="650"/>
      <c r="C876" s="650"/>
      <c r="D876" s="38"/>
      <c r="E876" s="199"/>
      <c r="F876" s="199"/>
      <c r="G876" s="650"/>
      <c r="H876" s="381"/>
      <c r="I876" s="101"/>
      <c r="J876" s="102"/>
      <c r="K876" s="101"/>
      <c r="L876" s="101"/>
      <c r="M876" s="10"/>
      <c r="N876" s="10"/>
      <c r="O876" s="756"/>
      <c r="P876"/>
    </row>
    <row r="877" spans="1:16" s="146" customFormat="1" ht="17.45" customHeight="1" thickBot="1" x14ac:dyDescent="0.3">
      <c r="A877" s="187"/>
      <c r="B877" s="413"/>
      <c r="C877" s="413"/>
      <c r="D877" s="358"/>
      <c r="E877" s="430"/>
      <c r="F877" s="430"/>
      <c r="G877" s="413"/>
      <c r="H877" s="414"/>
      <c r="I877" s="219"/>
      <c r="J877" s="220"/>
      <c r="K877" s="219"/>
      <c r="L877" s="219"/>
      <c r="M877" s="10"/>
      <c r="N877" s="10"/>
      <c r="O877" s="756"/>
      <c r="P877"/>
    </row>
    <row r="878" spans="1:16" s="146" customFormat="1" ht="17.45" customHeight="1" x14ac:dyDescent="0.25">
      <c r="A878" s="650"/>
      <c r="B878" s="650"/>
      <c r="C878" s="650"/>
      <c r="D878" s="38"/>
      <c r="E878" s="199"/>
      <c r="F878" s="199"/>
      <c r="G878" s="650"/>
      <c r="H878" s="381"/>
      <c r="I878" s="141"/>
      <c r="J878" s="122"/>
      <c r="K878" s="141"/>
      <c r="L878" s="141"/>
      <c r="M878" s="10"/>
      <c r="N878" s="10"/>
      <c r="O878" s="756"/>
      <c r="P878"/>
    </row>
    <row r="879" spans="1:16" s="146" customFormat="1" ht="17.45" customHeight="1" x14ac:dyDescent="0.25">
      <c r="A879" s="650"/>
      <c r="B879" s="650"/>
      <c r="C879" s="650"/>
      <c r="D879" s="38"/>
      <c r="E879" s="199"/>
      <c r="F879" s="199"/>
      <c r="G879" s="650"/>
      <c r="H879" s="381"/>
      <c r="I879" s="141"/>
      <c r="J879" s="122"/>
      <c r="K879" s="141"/>
      <c r="L879" s="141"/>
      <c r="M879" s="10"/>
      <c r="N879" s="10"/>
      <c r="O879" s="756"/>
      <c r="P879"/>
    </row>
    <row r="880" spans="1:16" s="146" customFormat="1" ht="17.45" customHeight="1" x14ac:dyDescent="0.25">
      <c r="A880" s="650"/>
      <c r="B880" s="650"/>
      <c r="C880" s="650"/>
      <c r="D880" s="38"/>
      <c r="E880" s="199"/>
      <c r="F880" s="199"/>
      <c r="G880" s="650"/>
      <c r="H880" s="381"/>
      <c r="I880" s="141"/>
      <c r="J880" s="122"/>
      <c r="K880" s="141"/>
      <c r="L880" s="141"/>
      <c r="M880" s="10"/>
      <c r="N880" s="10"/>
      <c r="O880" s="756"/>
      <c r="P880"/>
    </row>
    <row r="881" spans="1:16" s="146" customFormat="1" ht="17.45" customHeight="1" x14ac:dyDescent="0.25">
      <c r="A881" s="650"/>
      <c r="B881" s="650"/>
      <c r="C881" s="650"/>
      <c r="D881" s="38"/>
      <c r="E881" s="199"/>
      <c r="F881" s="199"/>
      <c r="G881" s="650"/>
      <c r="H881" s="381"/>
      <c r="I881" s="141"/>
      <c r="J881" s="122"/>
      <c r="K881" s="141"/>
      <c r="L881" s="141"/>
      <c r="M881" s="10"/>
      <c r="N881" s="10"/>
      <c r="O881" s="756"/>
      <c r="P881"/>
    </row>
    <row r="882" spans="1:16" s="146" customFormat="1" ht="17.45" customHeight="1" x14ac:dyDescent="0.25">
      <c r="A882" s="650"/>
      <c r="B882" s="650"/>
      <c r="C882" s="650"/>
      <c r="D882" s="38"/>
      <c r="E882" s="199"/>
      <c r="F882" s="199"/>
      <c r="G882" s="650"/>
      <c r="H882" s="381"/>
      <c r="I882" s="141"/>
      <c r="J882" s="122"/>
      <c r="K882" s="141"/>
      <c r="L882" s="141"/>
      <c r="M882" s="10"/>
      <c r="N882" s="10"/>
      <c r="O882" s="756"/>
      <c r="P882"/>
    </row>
    <row r="883" spans="1:16" s="146" customFormat="1" ht="17.45" customHeight="1" x14ac:dyDescent="0.25">
      <c r="A883" s="650"/>
      <c r="B883" s="650"/>
      <c r="C883" s="650"/>
      <c r="D883" s="38"/>
      <c r="E883" s="199"/>
      <c r="F883" s="199"/>
      <c r="G883" s="650"/>
      <c r="H883" s="381"/>
      <c r="I883" s="141"/>
      <c r="J883" s="122"/>
      <c r="K883" s="141"/>
      <c r="L883" s="141"/>
      <c r="M883" s="10"/>
      <c r="N883" s="10"/>
      <c r="O883" s="756"/>
      <c r="P883"/>
    </row>
    <row r="884" spans="1:16" ht="18" customHeight="1" x14ac:dyDescent="0.25">
      <c r="A884" s="8" t="s">
        <v>112</v>
      </c>
    </row>
    <row r="885" spans="1:16" ht="18" customHeight="1" x14ac:dyDescent="0.25">
      <c r="A885" s="8" t="s">
        <v>1027</v>
      </c>
    </row>
    <row r="886" spans="1:16" ht="18" customHeight="1" x14ac:dyDescent="0.25">
      <c r="A886" s="1636" t="s">
        <v>113</v>
      </c>
      <c r="B886" s="1636"/>
      <c r="C886" s="1636"/>
      <c r="D886" s="1636"/>
      <c r="E886" s="1636"/>
      <c r="F886" s="1636"/>
      <c r="G886" s="1636"/>
      <c r="H886" s="1636"/>
      <c r="I886" s="1636"/>
      <c r="J886" s="1636"/>
      <c r="K886" s="1636"/>
      <c r="L886" s="1636"/>
    </row>
    <row r="887" spans="1:16" s="7" customFormat="1" ht="18" customHeight="1" x14ac:dyDescent="0.25">
      <c r="A887" s="1624" t="s">
        <v>114</v>
      </c>
      <c r="B887" s="1624"/>
      <c r="C887" s="1624"/>
      <c r="D887" s="1624"/>
      <c r="E887" s="1624"/>
      <c r="F887" s="1624"/>
      <c r="G887" s="1624"/>
      <c r="H887" s="1624"/>
      <c r="I887" s="1624"/>
      <c r="J887" s="1624"/>
      <c r="K887" s="1624"/>
      <c r="L887" s="1624"/>
      <c r="M887" s="6"/>
      <c r="N887" s="6"/>
      <c r="O887" s="762"/>
    </row>
    <row r="888" spans="1:16" ht="12" customHeight="1" thickBot="1" x14ac:dyDescent="0.3">
      <c r="A888" s="41"/>
      <c r="B888" s="41"/>
      <c r="C888" s="41"/>
      <c r="D888" s="63"/>
      <c r="E888" s="41"/>
      <c r="F888" s="41"/>
      <c r="G888" s="41"/>
      <c r="H888" s="41"/>
    </row>
    <row r="889" spans="1:16" ht="63.75" customHeight="1" thickBot="1" x14ac:dyDescent="0.3">
      <c r="A889" s="1625" t="s">
        <v>115</v>
      </c>
      <c r="B889" s="1626"/>
      <c r="C889" s="1626"/>
      <c r="D889" s="1626"/>
      <c r="E889" s="1626"/>
      <c r="F889" s="1626"/>
      <c r="G889" s="1627"/>
      <c r="H889" s="93" t="s">
        <v>116</v>
      </c>
      <c r="I889" s="130" t="s">
        <v>117</v>
      </c>
      <c r="J889" s="130" t="s">
        <v>118</v>
      </c>
      <c r="K889" s="130" t="s">
        <v>119</v>
      </c>
      <c r="L889" s="130" t="s">
        <v>120</v>
      </c>
    </row>
    <row r="890" spans="1:16" s="146" customFormat="1" ht="18" x14ac:dyDescent="0.25">
      <c r="A890" s="649"/>
      <c r="B890" s="650"/>
      <c r="C890" s="650"/>
      <c r="D890" s="648" t="s">
        <v>1120</v>
      </c>
      <c r="E890" s="199"/>
      <c r="F890" s="199"/>
      <c r="G890" s="432"/>
      <c r="H890" s="100"/>
      <c r="I890" s="101"/>
      <c r="J890" s="102"/>
      <c r="K890" s="101"/>
      <c r="L890" s="101"/>
      <c r="M890" s="10"/>
      <c r="N890" s="10"/>
      <c r="O890" s="756"/>
      <c r="P890"/>
    </row>
    <row r="891" spans="1:16" s="146" customFormat="1" ht="18" x14ac:dyDescent="0.25">
      <c r="A891" s="649"/>
      <c r="B891" s="650"/>
      <c r="C891" s="650"/>
      <c r="D891" s="36" t="s">
        <v>1121</v>
      </c>
      <c r="E891" s="677"/>
      <c r="F891" s="650"/>
      <c r="G891" s="646"/>
      <c r="H891" s="100"/>
      <c r="I891" s="101"/>
      <c r="J891" s="102"/>
      <c r="K891" s="101"/>
      <c r="L891" s="101"/>
      <c r="M891" s="10"/>
      <c r="N891" s="10"/>
      <c r="O891" s="756"/>
      <c r="P891"/>
    </row>
    <row r="892" spans="1:16" s="146" customFormat="1" ht="17.45" customHeight="1" x14ac:dyDescent="0.25">
      <c r="A892" s="649"/>
      <c r="B892" s="650"/>
      <c r="C892" s="650"/>
      <c r="D892" s="679" t="s">
        <v>1122</v>
      </c>
      <c r="E892" s="3"/>
      <c r="F892" s="650"/>
      <c r="G892" s="646"/>
      <c r="H892" s="100"/>
      <c r="I892" s="101">
        <v>0</v>
      </c>
      <c r="J892" s="102">
        <v>30000</v>
      </c>
      <c r="K892" s="101"/>
      <c r="L892" s="101"/>
      <c r="M892" s="10"/>
      <c r="N892" s="10"/>
      <c r="O892" s="756"/>
      <c r="P892"/>
    </row>
    <row r="893" spans="1:16" s="146" customFormat="1" ht="17.45" customHeight="1" x14ac:dyDescent="0.25">
      <c r="A893" s="649"/>
      <c r="B893" s="650"/>
      <c r="C893" s="650"/>
      <c r="D893" s="679" t="s">
        <v>1123</v>
      </c>
      <c r="E893" s="3"/>
      <c r="F893" s="650"/>
      <c r="G893" s="646"/>
      <c r="H893" s="100"/>
      <c r="I893" s="101">
        <v>0</v>
      </c>
      <c r="J893" s="102">
        <v>100000</v>
      </c>
      <c r="K893" s="101"/>
      <c r="L893" s="101"/>
      <c r="M893" s="10"/>
      <c r="N893" s="10"/>
      <c r="O893" s="756"/>
      <c r="P893"/>
    </row>
    <row r="894" spans="1:16" s="146" customFormat="1" ht="35.25" customHeight="1" x14ac:dyDescent="0.25">
      <c r="A894" s="649"/>
      <c r="B894" s="650"/>
      <c r="C894" s="650"/>
      <c r="D894" s="1623" t="s">
        <v>1124</v>
      </c>
      <c r="E894" s="1623"/>
      <c r="F894" s="650"/>
      <c r="G894" s="646"/>
      <c r="H894" s="100"/>
      <c r="I894" s="101"/>
      <c r="J894" s="102">
        <v>20000</v>
      </c>
      <c r="K894" s="101"/>
      <c r="L894" s="101"/>
      <c r="M894" s="10"/>
      <c r="N894" s="10"/>
      <c r="O894" s="756"/>
      <c r="P894"/>
    </row>
    <row r="895" spans="1:16" s="146" customFormat="1" ht="17.45" customHeight="1" x14ac:dyDescent="0.25">
      <c r="A895" s="649"/>
      <c r="B895" s="650"/>
      <c r="C895" s="650"/>
      <c r="D895" s="679" t="s">
        <v>1125</v>
      </c>
      <c r="E895" s="3"/>
      <c r="F895" s="650"/>
      <c r="G895" s="646"/>
      <c r="H895" s="100"/>
      <c r="I895" s="101">
        <v>99390</v>
      </c>
      <c r="J895" s="102">
        <v>200000</v>
      </c>
      <c r="K895" s="101">
        <v>10210</v>
      </c>
      <c r="L895" s="101">
        <v>201100</v>
      </c>
      <c r="M895" s="10"/>
      <c r="N895" s="10"/>
      <c r="O895" s="756"/>
      <c r="P895"/>
    </row>
    <row r="896" spans="1:16" s="146" customFormat="1" ht="17.45" customHeight="1" x14ac:dyDescent="0.25">
      <c r="A896" s="649"/>
      <c r="B896" s="650"/>
      <c r="C896" s="650"/>
      <c r="D896" s="679" t="s">
        <v>1126</v>
      </c>
      <c r="E896" s="3"/>
      <c r="F896" s="650"/>
      <c r="G896" s="646"/>
      <c r="H896" s="100"/>
      <c r="I896" s="101"/>
      <c r="J896" s="102"/>
      <c r="K896" s="101"/>
      <c r="L896" s="101">
        <v>40000</v>
      </c>
      <c r="M896" s="10"/>
      <c r="N896" s="10"/>
      <c r="O896" s="756"/>
      <c r="P896"/>
    </row>
    <row r="897" spans="1:16" s="146" customFormat="1" ht="17.45" customHeight="1" x14ac:dyDescent="0.25">
      <c r="A897" s="649"/>
      <c r="B897" s="650"/>
      <c r="C897" s="650"/>
      <c r="D897" s="679" t="s">
        <v>1127</v>
      </c>
      <c r="E897" s="3"/>
      <c r="F897" s="650"/>
      <c r="G897" s="646"/>
      <c r="H897" s="100"/>
      <c r="I897" s="101">
        <v>0</v>
      </c>
      <c r="J897" s="102">
        <v>40000</v>
      </c>
      <c r="K897" s="101"/>
      <c r="L897" s="101"/>
      <c r="M897" s="10"/>
      <c r="N897" s="10"/>
      <c r="O897" s="756"/>
      <c r="P897"/>
    </row>
    <row r="898" spans="1:16" s="146" customFormat="1" ht="17.45" customHeight="1" x14ac:dyDescent="0.25">
      <c r="A898" s="649"/>
      <c r="B898" s="650"/>
      <c r="C898" s="650"/>
      <c r="D898" s="679" t="s">
        <v>1128</v>
      </c>
      <c r="E898" s="3"/>
      <c r="F898" s="650"/>
      <c r="G898" s="646"/>
      <c r="H898" s="100"/>
      <c r="I898" s="101">
        <v>0</v>
      </c>
      <c r="J898" s="102">
        <v>80000</v>
      </c>
      <c r="K898" s="101"/>
      <c r="L898" s="101"/>
      <c r="M898" s="10"/>
      <c r="N898" s="10"/>
      <c r="O898" s="756"/>
      <c r="P898"/>
    </row>
    <row r="899" spans="1:16" s="146" customFormat="1" ht="17.45" customHeight="1" x14ac:dyDescent="0.25">
      <c r="A899" s="649"/>
      <c r="B899" s="650"/>
      <c r="C899" s="650"/>
      <c r="D899" s="679" t="s">
        <v>1129</v>
      </c>
      <c r="E899" s="3"/>
      <c r="F899" s="650"/>
      <c r="G899" s="646"/>
      <c r="H899" s="100"/>
      <c r="I899" s="101">
        <v>29500</v>
      </c>
      <c r="J899" s="102">
        <v>50000</v>
      </c>
      <c r="K899" s="101"/>
      <c r="L899" s="101"/>
      <c r="M899" s="10"/>
      <c r="N899" s="10"/>
      <c r="O899" s="756"/>
      <c r="P899"/>
    </row>
    <row r="900" spans="1:16" s="146" customFormat="1" ht="17.45" customHeight="1" x14ac:dyDescent="0.25">
      <c r="A900" s="649"/>
      <c r="B900" s="650"/>
      <c r="C900" s="650"/>
      <c r="D900" s="679" t="s">
        <v>1130</v>
      </c>
      <c r="E900" s="3"/>
      <c r="F900" s="650"/>
      <c r="G900" s="646"/>
      <c r="H900" s="100"/>
      <c r="I900" s="101">
        <v>0</v>
      </c>
      <c r="J900" s="102">
        <v>100000</v>
      </c>
      <c r="K900" s="101"/>
      <c r="L900" s="101"/>
      <c r="M900" s="10"/>
      <c r="N900" s="10"/>
      <c r="O900" s="756"/>
      <c r="P900"/>
    </row>
    <row r="901" spans="1:16" s="146" customFormat="1" ht="17.45" customHeight="1" x14ac:dyDescent="0.25">
      <c r="A901" s="649"/>
      <c r="B901" s="650"/>
      <c r="C901" s="650"/>
      <c r="D901" s="679" t="s">
        <v>1131</v>
      </c>
      <c r="E901" s="3"/>
      <c r="F901" s="650"/>
      <c r="G901" s="646"/>
      <c r="H901" s="100"/>
      <c r="I901" s="101">
        <v>0</v>
      </c>
      <c r="J901" s="102">
        <v>50000</v>
      </c>
      <c r="K901" s="101"/>
      <c r="L901" s="101"/>
      <c r="M901" s="10"/>
      <c r="N901" s="10"/>
      <c r="O901" s="756"/>
      <c r="P901"/>
    </row>
    <row r="902" spans="1:16" s="146" customFormat="1" ht="17.45" customHeight="1" x14ac:dyDescent="0.25">
      <c r="A902" s="649"/>
      <c r="B902" s="650"/>
      <c r="C902" s="650"/>
      <c r="D902" s="679" t="s">
        <v>1132</v>
      </c>
      <c r="E902" s="3"/>
      <c r="F902" s="650"/>
      <c r="G902" s="646"/>
      <c r="H902" s="100"/>
      <c r="I902" s="101">
        <v>0</v>
      </c>
      <c r="J902" s="102">
        <v>27000</v>
      </c>
      <c r="K902" s="101"/>
      <c r="L902" s="101">
        <v>27000</v>
      </c>
      <c r="M902" s="10"/>
      <c r="N902" s="10"/>
      <c r="O902" s="756"/>
      <c r="P902"/>
    </row>
    <row r="903" spans="1:16" s="146" customFormat="1" ht="17.45" customHeight="1" x14ac:dyDescent="0.25">
      <c r="A903" s="649"/>
      <c r="B903" s="650"/>
      <c r="C903" s="650"/>
      <c r="D903" s="679" t="s">
        <v>1133</v>
      </c>
      <c r="E903" s="125"/>
      <c r="F903" s="650"/>
      <c r="G903" s="646"/>
      <c r="H903" s="100"/>
      <c r="I903" s="101"/>
      <c r="J903" s="102">
        <v>25000</v>
      </c>
      <c r="K903" s="101"/>
      <c r="L903" s="101">
        <v>25000</v>
      </c>
      <c r="M903" s="10"/>
      <c r="N903" s="10"/>
      <c r="O903" s="756"/>
      <c r="P903"/>
    </row>
    <row r="904" spans="1:16" s="146" customFormat="1" ht="17.45" customHeight="1" x14ac:dyDescent="0.25">
      <c r="A904" s="649"/>
      <c r="B904" s="650"/>
      <c r="C904" s="650"/>
      <c r="D904" s="679" t="s">
        <v>1134</v>
      </c>
      <c r="E904" s="125"/>
      <c r="F904" s="650"/>
      <c r="G904" s="646"/>
      <c r="H904" s="100"/>
      <c r="I904" s="101"/>
      <c r="J904" s="102"/>
      <c r="K904" s="101"/>
      <c r="L904" s="101">
        <v>189000</v>
      </c>
      <c r="M904" s="10"/>
      <c r="N904" s="10"/>
      <c r="O904" s="756"/>
      <c r="P904"/>
    </row>
    <row r="905" spans="1:16" s="146" customFormat="1" ht="17.45" customHeight="1" x14ac:dyDescent="0.25">
      <c r="A905" s="649"/>
      <c r="B905" s="650"/>
      <c r="C905" s="650"/>
      <c r="D905" s="679" t="s">
        <v>1135</v>
      </c>
      <c r="E905" s="125"/>
      <c r="F905" s="650"/>
      <c r="G905" s="646"/>
      <c r="H905" s="100"/>
      <c r="I905" s="101"/>
      <c r="J905" s="102"/>
      <c r="K905" s="101"/>
      <c r="L905" s="101">
        <v>108945</v>
      </c>
      <c r="M905" s="10"/>
      <c r="N905" s="10"/>
      <c r="O905" s="756"/>
      <c r="P905"/>
    </row>
    <row r="906" spans="1:16" s="146" customFormat="1" ht="17.45" customHeight="1" x14ac:dyDescent="0.25">
      <c r="A906" s="649"/>
      <c r="B906" s="650"/>
      <c r="C906" s="650"/>
      <c r="D906" s="679" t="s">
        <v>1136</v>
      </c>
      <c r="E906" s="125"/>
      <c r="F906" s="650"/>
      <c r="G906" s="646"/>
      <c r="H906" s="100"/>
      <c r="I906" s="101"/>
      <c r="J906" s="102">
        <v>100000</v>
      </c>
      <c r="K906" s="101"/>
      <c r="L906" s="101"/>
      <c r="M906" s="10"/>
      <c r="N906" s="10"/>
      <c r="O906" s="756"/>
      <c r="P906"/>
    </row>
    <row r="907" spans="1:16" s="146" customFormat="1" ht="17.45" customHeight="1" x14ac:dyDescent="0.25">
      <c r="A907" s="649"/>
      <c r="B907" s="650"/>
      <c r="C907" s="650"/>
      <c r="D907" s="679"/>
      <c r="E907" s="125"/>
      <c r="F907" s="650"/>
      <c r="G907" s="646"/>
      <c r="H907" s="100"/>
      <c r="I907" s="101"/>
      <c r="J907" s="102"/>
      <c r="K907" s="101"/>
      <c r="L907" s="101"/>
      <c r="M907" s="10"/>
      <c r="N907" s="10"/>
      <c r="O907" s="756"/>
      <c r="P907"/>
    </row>
    <row r="908" spans="1:16" s="146" customFormat="1" ht="18" x14ac:dyDescent="0.25">
      <c r="A908" s="649"/>
      <c r="B908" s="650"/>
      <c r="C908" s="650"/>
      <c r="D908" s="36" t="s">
        <v>1138</v>
      </c>
      <c r="E908" s="677"/>
      <c r="F908" s="650"/>
      <c r="G908" s="646"/>
      <c r="H908" s="100"/>
      <c r="I908" s="101"/>
      <c r="J908" s="102"/>
      <c r="K908" s="101"/>
      <c r="L908" s="101"/>
      <c r="M908" s="10"/>
      <c r="N908" s="10"/>
      <c r="O908" s="756"/>
      <c r="P908"/>
    </row>
    <row r="909" spans="1:16" s="146" customFormat="1" ht="18" x14ac:dyDescent="0.25">
      <c r="A909" s="649"/>
      <c r="B909" s="650"/>
      <c r="C909" s="650"/>
      <c r="D909" s="38" t="s">
        <v>1139</v>
      </c>
      <c r="E909" s="677"/>
      <c r="F909" s="650"/>
      <c r="G909" s="646"/>
      <c r="H909" s="100"/>
      <c r="I909" s="101">
        <v>0</v>
      </c>
      <c r="J909" s="102">
        <v>0</v>
      </c>
      <c r="K909" s="101">
        <v>0</v>
      </c>
      <c r="L909" s="101">
        <v>200000</v>
      </c>
      <c r="M909" s="10"/>
      <c r="N909" s="10"/>
      <c r="O909" s="756"/>
      <c r="P909"/>
    </row>
    <row r="910" spans="1:16" s="146" customFormat="1" ht="36" customHeight="1" x14ac:dyDescent="0.25">
      <c r="A910" s="649"/>
      <c r="B910" s="650"/>
      <c r="C910" s="650"/>
      <c r="D910" s="1623" t="s">
        <v>1140</v>
      </c>
      <c r="E910" s="1623"/>
      <c r="F910" s="650"/>
      <c r="G910" s="646"/>
      <c r="H910" s="100"/>
      <c r="I910" s="101">
        <v>0</v>
      </c>
      <c r="J910" s="102">
        <v>20000</v>
      </c>
      <c r="K910" s="101"/>
      <c r="L910" s="101">
        <v>20000</v>
      </c>
      <c r="M910" s="10"/>
      <c r="N910" s="10"/>
      <c r="O910" s="756"/>
      <c r="P910"/>
    </row>
    <row r="911" spans="1:16" s="146" customFormat="1" ht="18" x14ac:dyDescent="0.25">
      <c r="A911" s="649"/>
      <c r="B911" s="650"/>
      <c r="C911" s="650"/>
      <c r="D911" s="679" t="s">
        <v>1141</v>
      </c>
      <c r="E911" s="3"/>
      <c r="F911" s="650"/>
      <c r="G911" s="646"/>
      <c r="H911" s="100"/>
      <c r="I911" s="101">
        <v>0</v>
      </c>
      <c r="J911" s="102">
        <v>80000</v>
      </c>
      <c r="K911" s="101">
        <v>0</v>
      </c>
      <c r="L911" s="101"/>
      <c r="M911" s="10"/>
      <c r="N911" s="10"/>
      <c r="O911" s="756"/>
      <c r="P911"/>
    </row>
    <row r="912" spans="1:16" s="146" customFormat="1" ht="18" x14ac:dyDescent="0.25">
      <c r="A912" s="649"/>
      <c r="B912" s="650"/>
      <c r="C912" s="650"/>
      <c r="D912" s="679" t="s">
        <v>1142</v>
      </c>
      <c r="E912" s="3"/>
      <c r="F912" s="650"/>
      <c r="G912" s="646"/>
      <c r="H912" s="100"/>
      <c r="I912" s="101">
        <v>498450</v>
      </c>
      <c r="J912" s="102">
        <v>500000</v>
      </c>
      <c r="K912" s="101">
        <v>0</v>
      </c>
      <c r="L912" s="101">
        <v>2000000</v>
      </c>
      <c r="M912" s="10"/>
      <c r="N912" s="10"/>
      <c r="O912" s="756"/>
      <c r="P912"/>
    </row>
    <row r="913" spans="1:16" s="146" customFormat="1" ht="18" x14ac:dyDescent="0.25">
      <c r="A913" s="649"/>
      <c r="B913" s="650"/>
      <c r="C913" s="650"/>
      <c r="D913" s="679" t="s">
        <v>1143</v>
      </c>
      <c r="E913" s="3"/>
      <c r="F913" s="650"/>
      <c r="G913" s="646"/>
      <c r="H913" s="100"/>
      <c r="I913" s="101">
        <v>99750</v>
      </c>
      <c r="J913" s="102">
        <v>80000</v>
      </c>
      <c r="K913" s="101">
        <v>0</v>
      </c>
      <c r="L913" s="101"/>
      <c r="M913" s="10"/>
      <c r="N913" s="10"/>
      <c r="O913" s="756"/>
      <c r="P913"/>
    </row>
    <row r="914" spans="1:16" s="146" customFormat="1" ht="18" x14ac:dyDescent="0.25">
      <c r="A914" s="649"/>
      <c r="B914" s="650"/>
      <c r="C914" s="650"/>
      <c r="D914" s="679" t="s">
        <v>1144</v>
      </c>
      <c r="E914" s="3"/>
      <c r="F914" s="650"/>
      <c r="G914" s="646"/>
      <c r="H914" s="100"/>
      <c r="I914" s="101">
        <v>0</v>
      </c>
      <c r="J914" s="102">
        <v>0</v>
      </c>
      <c r="K914" s="101">
        <v>0</v>
      </c>
      <c r="L914" s="101"/>
      <c r="M914" s="10"/>
      <c r="N914" s="10"/>
      <c r="O914" s="756"/>
      <c r="P914"/>
    </row>
    <row r="915" spans="1:16" s="146" customFormat="1" ht="18" x14ac:dyDescent="0.25">
      <c r="A915" s="649"/>
      <c r="B915" s="650"/>
      <c r="C915" s="650"/>
      <c r="D915" s="679" t="s">
        <v>1145</v>
      </c>
      <c r="E915" s="3"/>
      <c r="F915" s="650"/>
      <c r="G915" s="646"/>
      <c r="H915" s="100"/>
      <c r="I915" s="101"/>
      <c r="J915" s="102">
        <v>800000</v>
      </c>
      <c r="K915" s="101">
        <v>0</v>
      </c>
      <c r="L915" s="101">
        <v>800000</v>
      </c>
      <c r="M915" s="10"/>
      <c r="N915" s="10"/>
      <c r="O915" s="756"/>
      <c r="P915"/>
    </row>
    <row r="916" spans="1:16" s="146" customFormat="1" ht="37.5" customHeight="1" x14ac:dyDescent="0.25">
      <c r="A916" s="649"/>
      <c r="B916" s="650"/>
      <c r="C916" s="650"/>
      <c r="D916" s="1623" t="s">
        <v>1146</v>
      </c>
      <c r="E916" s="1623"/>
      <c r="F916" s="650"/>
      <c r="G916" s="646"/>
      <c r="H916" s="100"/>
      <c r="I916" s="101">
        <v>0</v>
      </c>
      <c r="J916" s="102">
        <v>70000</v>
      </c>
      <c r="K916" s="101">
        <v>0</v>
      </c>
      <c r="L916" s="101"/>
      <c r="M916" s="10"/>
      <c r="N916" s="10"/>
      <c r="O916" s="756"/>
      <c r="P916"/>
    </row>
    <row r="917" spans="1:16" s="146" customFormat="1" ht="18" x14ac:dyDescent="0.25">
      <c r="A917" s="649"/>
      <c r="B917" s="650"/>
      <c r="C917" s="650"/>
      <c r="D917" s="1639" t="s">
        <v>1147</v>
      </c>
      <c r="E917" s="1639"/>
      <c r="F917" s="1639"/>
      <c r="G917" s="1640"/>
      <c r="H917" s="100"/>
      <c r="I917" s="101">
        <v>181000</v>
      </c>
      <c r="J917" s="102">
        <v>200000</v>
      </c>
      <c r="K917" s="101">
        <v>14000</v>
      </c>
      <c r="L917" s="101">
        <v>300000</v>
      </c>
      <c r="M917" s="10"/>
      <c r="N917" s="10"/>
      <c r="O917" s="756"/>
      <c r="P917"/>
    </row>
    <row r="918" spans="1:16" s="146" customFormat="1" ht="18" x14ac:dyDescent="0.25">
      <c r="A918" s="649"/>
      <c r="B918" s="650"/>
      <c r="C918" s="650"/>
      <c r="D918" s="679" t="s">
        <v>1148</v>
      </c>
      <c r="E918" s="3"/>
      <c r="F918" s="650"/>
      <c r="G918" s="646"/>
      <c r="H918" s="100"/>
      <c r="I918" s="101">
        <v>0</v>
      </c>
      <c r="J918" s="102">
        <v>50000</v>
      </c>
      <c r="K918" s="101">
        <v>10000</v>
      </c>
      <c r="L918" s="101">
        <v>50000</v>
      </c>
      <c r="M918" s="10"/>
      <c r="N918" s="10"/>
      <c r="O918" s="756"/>
      <c r="P918"/>
    </row>
    <row r="919" spans="1:16" s="146" customFormat="1" ht="18" x14ac:dyDescent="0.25">
      <c r="A919" s="649"/>
      <c r="B919" s="650"/>
      <c r="C919" s="650"/>
      <c r="D919" s="679" t="s">
        <v>1149</v>
      </c>
      <c r="E919" s="3"/>
      <c r="F919" s="650"/>
      <c r="G919" s="646"/>
      <c r="H919" s="100"/>
      <c r="I919" s="101">
        <v>0</v>
      </c>
      <c r="J919" s="102">
        <v>100000</v>
      </c>
      <c r="K919" s="101">
        <v>0</v>
      </c>
      <c r="L919" s="101">
        <v>500000</v>
      </c>
      <c r="M919" s="10"/>
      <c r="N919" s="10"/>
      <c r="O919" s="756"/>
      <c r="P919"/>
    </row>
    <row r="920" spans="1:16" s="146" customFormat="1" ht="18" x14ac:dyDescent="0.25">
      <c r="A920" s="649"/>
      <c r="B920" s="650"/>
      <c r="C920" s="650"/>
      <c r="D920" s="679" t="s">
        <v>1150</v>
      </c>
      <c r="E920" s="3"/>
      <c r="F920" s="650"/>
      <c r="G920" s="646"/>
      <c r="H920" s="100"/>
      <c r="I920" s="101">
        <v>128752</v>
      </c>
      <c r="J920" s="102">
        <v>0</v>
      </c>
      <c r="K920" s="101"/>
      <c r="L920" s="101"/>
      <c r="M920" s="10"/>
      <c r="N920" s="10"/>
      <c r="O920" s="756"/>
      <c r="P920"/>
    </row>
    <row r="921" spans="1:16" ht="18" x14ac:dyDescent="0.25">
      <c r="A921" s="649"/>
      <c r="B921" s="650"/>
      <c r="C921" s="650"/>
      <c r="D921" s="679" t="s">
        <v>1151</v>
      </c>
      <c r="E921" s="3"/>
      <c r="F921" s="650"/>
      <c r="G921" s="646"/>
      <c r="H921" s="100"/>
      <c r="I921" s="101"/>
      <c r="J921" s="102">
        <v>3000000</v>
      </c>
      <c r="K921" s="101">
        <v>0</v>
      </c>
      <c r="L921" s="101"/>
    </row>
    <row r="922" spans="1:16" ht="18" x14ac:dyDescent="0.25">
      <c r="A922" s="649"/>
      <c r="B922" s="650"/>
      <c r="C922" s="650"/>
      <c r="D922" s="38" t="s">
        <v>1152</v>
      </c>
      <c r="E922" s="199"/>
      <c r="F922" s="650"/>
      <c r="G922" s="646"/>
      <c r="H922" s="100"/>
      <c r="I922" s="101">
        <v>1477220</v>
      </c>
      <c r="J922" s="102">
        <v>500000</v>
      </c>
      <c r="K922" s="101">
        <v>0</v>
      </c>
      <c r="L922" s="101">
        <v>500000</v>
      </c>
    </row>
    <row r="923" spans="1:16" s="191" customFormat="1" ht="18" x14ac:dyDescent="0.25">
      <c r="A923" s="433"/>
      <c r="B923" s="435"/>
      <c r="C923" s="435"/>
      <c r="D923" s="240" t="s">
        <v>1153</v>
      </c>
      <c r="E923" s="434"/>
      <c r="F923" s="435"/>
      <c r="G923" s="436"/>
      <c r="H923" s="437"/>
      <c r="I923" s="438">
        <v>3426500</v>
      </c>
      <c r="J923" s="439">
        <v>3783500</v>
      </c>
      <c r="K923" s="438">
        <v>1431550</v>
      </c>
      <c r="L923" s="438">
        <v>2979000</v>
      </c>
      <c r="M923" s="10"/>
      <c r="N923" s="10"/>
      <c r="O923" s="756"/>
    </row>
    <row r="924" spans="1:16" s="191" customFormat="1" ht="18" x14ac:dyDescent="0.25">
      <c r="A924" s="433"/>
      <c r="B924" s="435"/>
      <c r="C924" s="435"/>
      <c r="D924" s="240" t="s">
        <v>1154</v>
      </c>
      <c r="E924" s="434"/>
      <c r="F924" s="435"/>
      <c r="G924" s="436"/>
      <c r="H924" s="437"/>
      <c r="I924" s="438">
        <v>473000</v>
      </c>
      <c r="J924" s="439">
        <v>529000</v>
      </c>
      <c r="K924" s="438">
        <v>193500</v>
      </c>
      <c r="L924" s="438">
        <v>474000</v>
      </c>
      <c r="M924" s="10"/>
      <c r="N924" s="10"/>
      <c r="O924" s="756"/>
    </row>
    <row r="925" spans="1:16" s="191" customFormat="1" ht="18" x14ac:dyDescent="0.25">
      <c r="A925" s="433"/>
      <c r="B925" s="435"/>
      <c r="C925" s="435"/>
      <c r="D925" s="240" t="s">
        <v>1155</v>
      </c>
      <c r="E925" s="434"/>
      <c r="F925" s="435"/>
      <c r="G925" s="436"/>
      <c r="H925" s="437"/>
      <c r="I925" s="440">
        <v>717000</v>
      </c>
      <c r="J925" s="441">
        <v>793500</v>
      </c>
      <c r="K925" s="440">
        <v>282375</v>
      </c>
      <c r="L925" s="440">
        <v>639000</v>
      </c>
      <c r="M925" s="10"/>
      <c r="N925" s="10"/>
      <c r="O925" s="756"/>
    </row>
    <row r="926" spans="1:16" ht="18" x14ac:dyDescent="0.25">
      <c r="A926" s="649"/>
      <c r="B926" s="650"/>
      <c r="C926" s="650"/>
      <c r="D926" s="153" t="s">
        <v>15</v>
      </c>
      <c r="F926" s="650"/>
      <c r="G926" s="646"/>
      <c r="H926" s="100"/>
      <c r="I926" s="119">
        <f>SUM(I891:I925)</f>
        <v>7130562</v>
      </c>
      <c r="J926" s="150">
        <f>SUM(J891:J925)</f>
        <v>11328000</v>
      </c>
      <c r="K926" s="119">
        <f>SUM(K891:K925)</f>
        <v>1941635</v>
      </c>
      <c r="L926" s="119">
        <f>SUM(L891:L925)</f>
        <v>9053045</v>
      </c>
      <c r="N926" s="10">
        <v>9053045</v>
      </c>
    </row>
    <row r="927" spans="1:16" ht="18" x14ac:dyDescent="0.25">
      <c r="A927" s="649"/>
      <c r="B927" s="650"/>
      <c r="C927" s="650"/>
      <c r="D927" s="639"/>
      <c r="E927" s="153"/>
      <c r="F927" s="650"/>
      <c r="G927" s="650"/>
      <c r="H927" s="100"/>
      <c r="I927" s="155"/>
      <c r="J927" s="156"/>
      <c r="K927" s="155"/>
      <c r="L927" s="155"/>
    </row>
    <row r="928" spans="1:16" ht="18" x14ac:dyDescent="0.25">
      <c r="A928" s="649"/>
      <c r="B928" s="650"/>
      <c r="C928" s="650"/>
      <c r="D928" s="648" t="s">
        <v>1156</v>
      </c>
      <c r="E928" s="199"/>
      <c r="F928" s="199"/>
      <c r="G928" s="393"/>
      <c r="H928" s="100"/>
      <c r="I928" s="101"/>
      <c r="J928" s="102"/>
      <c r="K928" s="101"/>
      <c r="L928" s="101"/>
    </row>
    <row r="929" spans="1:16" ht="18" x14ac:dyDescent="0.25">
      <c r="A929" s="649"/>
      <c r="B929" s="650"/>
      <c r="C929" s="650"/>
      <c r="D929" s="442" t="s">
        <v>1157</v>
      </c>
      <c r="E929" s="199"/>
      <c r="F929" s="199"/>
      <c r="G929" s="393"/>
      <c r="H929" s="100"/>
      <c r="I929" s="101"/>
      <c r="J929" s="443">
        <v>10750000</v>
      </c>
      <c r="K929" s="101"/>
      <c r="L929" s="101"/>
      <c r="N929" s="757"/>
    </row>
    <row r="930" spans="1:16" ht="18" x14ac:dyDescent="0.25">
      <c r="A930" s="649"/>
      <c r="B930" s="650"/>
      <c r="C930" s="650"/>
      <c r="D930" s="38" t="s">
        <v>1158</v>
      </c>
      <c r="E930" s="650"/>
      <c r="F930" s="650"/>
      <c r="G930" s="646"/>
      <c r="H930" s="100"/>
      <c r="I930" s="101">
        <v>4484515.96</v>
      </c>
      <c r="J930" s="102">
        <v>4279800</v>
      </c>
      <c r="K930" s="101">
        <v>1870404.48</v>
      </c>
      <c r="L930" s="101">
        <v>4531591.68</v>
      </c>
      <c r="M930" s="444"/>
      <c r="N930" s="757"/>
    </row>
    <row r="931" spans="1:16" ht="18" x14ac:dyDescent="0.25">
      <c r="A931" s="649"/>
      <c r="B931" s="650"/>
      <c r="C931" s="650"/>
      <c r="D931" s="38" t="s">
        <v>1159</v>
      </c>
      <c r="E931" s="650"/>
      <c r="F931" s="650"/>
      <c r="G931" s="646"/>
      <c r="H931" s="100"/>
      <c r="I931" s="101">
        <v>40000</v>
      </c>
      <c r="J931" s="102">
        <v>200000</v>
      </c>
      <c r="K931" s="101">
        <v>20000</v>
      </c>
      <c r="L931" s="101"/>
      <c r="M931" s="444"/>
      <c r="N931" s="445"/>
    </row>
    <row r="932" spans="1:16" ht="36" customHeight="1" x14ac:dyDescent="0.25">
      <c r="A932" s="649"/>
      <c r="B932" s="650"/>
      <c r="C932" s="650"/>
      <c r="D932" s="1623" t="s">
        <v>1160</v>
      </c>
      <c r="E932" s="1623"/>
      <c r="F932" s="650"/>
      <c r="G932" s="646"/>
      <c r="H932" s="100"/>
      <c r="I932" s="101"/>
      <c r="J932" s="102">
        <v>400000</v>
      </c>
      <c r="K932" s="101"/>
      <c r="L932" s="101">
        <v>400000</v>
      </c>
      <c r="N932" s="445"/>
    </row>
    <row r="933" spans="1:16" ht="18" x14ac:dyDescent="0.25">
      <c r="A933" s="649"/>
      <c r="B933" s="650"/>
      <c r="C933" s="650"/>
      <c r="D933" s="38" t="s">
        <v>1161</v>
      </c>
      <c r="E933" s="650"/>
      <c r="F933" s="650"/>
      <c r="G933" s="646"/>
      <c r="H933" s="100"/>
      <c r="I933" s="101">
        <v>226272</v>
      </c>
      <c r="J933" s="102">
        <v>0</v>
      </c>
      <c r="K933" s="101"/>
      <c r="L933" s="101"/>
      <c r="N933" s="445"/>
    </row>
    <row r="934" spans="1:16" ht="39" customHeight="1" x14ac:dyDescent="0.25">
      <c r="A934" s="649"/>
      <c r="B934" s="650"/>
      <c r="C934" s="650"/>
      <c r="D934" s="1637" t="s">
        <v>1162</v>
      </c>
      <c r="E934" s="1637"/>
      <c r="F934" s="1637"/>
      <c r="G934" s="1641"/>
      <c r="H934" s="100"/>
      <c r="I934" s="101">
        <v>5609293</v>
      </c>
      <c r="J934" s="102">
        <v>0</v>
      </c>
      <c r="K934" s="101"/>
      <c r="L934" s="101">
        <v>15000000</v>
      </c>
      <c r="N934" s="445"/>
    </row>
    <row r="935" spans="1:16" ht="18" x14ac:dyDescent="0.25">
      <c r="A935" s="649"/>
      <c r="B935" s="650"/>
      <c r="C935" s="650"/>
      <c r="D935" s="656" t="s">
        <v>1163</v>
      </c>
      <c r="E935" s="670"/>
      <c r="F935" s="670"/>
      <c r="G935" s="672"/>
      <c r="H935" s="100"/>
      <c r="I935" s="101">
        <v>1000000</v>
      </c>
      <c r="J935" s="102"/>
      <c r="K935" s="101"/>
      <c r="L935" s="101"/>
      <c r="N935" s="445"/>
    </row>
    <row r="936" spans="1:16" ht="18" x14ac:dyDescent="0.25">
      <c r="A936" s="649"/>
      <c r="B936" s="650"/>
      <c r="C936" s="650"/>
      <c r="D936" s="38"/>
      <c r="E936" s="650"/>
      <c r="F936" s="650"/>
      <c r="G936" s="646"/>
      <c r="H936" s="100"/>
      <c r="I936" s="105"/>
      <c r="J936" s="106"/>
      <c r="K936" s="105"/>
      <c r="L936" s="105"/>
      <c r="N936" s="445"/>
    </row>
    <row r="937" spans="1:16" ht="18" x14ac:dyDescent="0.25">
      <c r="A937" s="649"/>
      <c r="B937" s="650"/>
      <c r="C937" s="650"/>
      <c r="D937" s="153" t="s">
        <v>200</v>
      </c>
      <c r="F937" s="650"/>
      <c r="G937" s="646"/>
      <c r="H937" s="100"/>
      <c r="I937" s="315">
        <f>SUM(I930:I936)</f>
        <v>11360080.960000001</v>
      </c>
      <c r="J937" s="150">
        <f>SUM(J929:J936)</f>
        <v>15629800</v>
      </c>
      <c r="K937" s="119">
        <f>SUM(K929:K936)</f>
        <v>1890404.48</v>
      </c>
      <c r="L937" s="119">
        <f>SUM(L930:L936)</f>
        <v>19931591.68</v>
      </c>
      <c r="N937" s="445">
        <v>19931591.68</v>
      </c>
    </row>
    <row r="938" spans="1:16" ht="18" x14ac:dyDescent="0.25">
      <c r="A938" s="649"/>
      <c r="B938" s="650"/>
      <c r="C938" s="650"/>
      <c r="D938" s="153"/>
      <c r="F938" s="650"/>
      <c r="G938" s="646"/>
      <c r="H938" s="100"/>
      <c r="I938" s="189"/>
      <c r="J938" s="156"/>
      <c r="K938" s="155"/>
      <c r="L938" s="155"/>
      <c r="N938" s="445"/>
    </row>
    <row r="939" spans="1:16" ht="18" x14ac:dyDescent="0.25">
      <c r="A939" s="649"/>
      <c r="B939" s="650"/>
      <c r="C939" s="650"/>
      <c r="D939" s="36" t="s">
        <v>1164</v>
      </c>
      <c r="E939" s="650"/>
      <c r="F939" s="650"/>
      <c r="G939" s="646"/>
      <c r="H939" s="100"/>
      <c r="I939" s="101"/>
      <c r="J939" s="102"/>
      <c r="K939" s="101"/>
      <c r="L939" s="101"/>
      <c r="N939" s="445"/>
    </row>
    <row r="940" spans="1:16" ht="18" x14ac:dyDescent="0.25">
      <c r="A940" s="649"/>
      <c r="B940" s="650"/>
      <c r="C940" s="650"/>
      <c r="D940" s="38" t="s">
        <v>1165</v>
      </c>
      <c r="E940" s="199"/>
      <c r="F940" s="199"/>
      <c r="G940" s="646"/>
      <c r="H940" s="100"/>
      <c r="I940" s="101"/>
      <c r="J940" s="102"/>
      <c r="K940" s="101"/>
      <c r="L940" s="101"/>
      <c r="N940" s="445"/>
    </row>
    <row r="941" spans="1:16" ht="36.75" customHeight="1" x14ac:dyDescent="0.25">
      <c r="A941" s="649"/>
      <c r="B941" s="650"/>
      <c r="C941" s="650"/>
      <c r="D941" s="1623" t="s">
        <v>1166</v>
      </c>
      <c r="E941" s="1623"/>
      <c r="F941" s="199"/>
      <c r="G941" s="646"/>
      <c r="H941" s="100"/>
      <c r="I941" s="101">
        <v>20920.830000000002</v>
      </c>
      <c r="J941" s="102">
        <v>50000</v>
      </c>
      <c r="K941" s="101">
        <v>7245.5</v>
      </c>
      <c r="L941" s="101">
        <v>50000</v>
      </c>
    </row>
    <row r="942" spans="1:16" s="146" customFormat="1" ht="18" x14ac:dyDescent="0.25">
      <c r="A942" s="649"/>
      <c r="B942" s="650"/>
      <c r="C942" s="650"/>
      <c r="D942" s="38" t="s">
        <v>1167</v>
      </c>
      <c r="E942" s="199"/>
      <c r="F942" s="199"/>
      <c r="G942" s="646"/>
      <c r="H942" s="100"/>
      <c r="I942" s="101"/>
      <c r="J942" s="102">
        <v>595103.21</v>
      </c>
      <c r="K942" s="101"/>
      <c r="L942" s="101">
        <v>600000</v>
      </c>
      <c r="M942" s="10"/>
      <c r="N942" s="10"/>
      <c r="O942" s="756"/>
      <c r="P942"/>
    </row>
    <row r="943" spans="1:16" s="146" customFormat="1" ht="18" customHeight="1" thickBot="1" x14ac:dyDescent="0.3">
      <c r="A943" s="187"/>
      <c r="B943" s="413"/>
      <c r="C943" s="413"/>
      <c r="D943" s="681"/>
      <c r="E943" s="681"/>
      <c r="F943" s="430"/>
      <c r="G943" s="431"/>
      <c r="H943" s="308"/>
      <c r="I943" s="219"/>
      <c r="J943" s="220"/>
      <c r="K943" s="219"/>
      <c r="L943" s="219"/>
      <c r="M943" s="10"/>
      <c r="N943" s="10"/>
      <c r="O943" s="756"/>
      <c r="P943"/>
    </row>
    <row r="944" spans="1:16" s="146" customFormat="1" ht="18" customHeight="1" x14ac:dyDescent="0.25">
      <c r="A944" s="650"/>
      <c r="B944" s="650"/>
      <c r="C944" s="650"/>
      <c r="D944" s="661"/>
      <c r="E944" s="661"/>
      <c r="F944" s="199"/>
      <c r="G944" s="650"/>
      <c r="H944" s="381"/>
      <c r="I944" s="141"/>
      <c r="J944" s="122"/>
      <c r="K944" s="141"/>
      <c r="L944" s="141"/>
      <c r="M944" s="10"/>
      <c r="N944" s="10"/>
      <c r="O944" s="756"/>
      <c r="P944"/>
    </row>
    <row r="945" spans="1:16" s="146" customFormat="1" ht="18" customHeight="1" x14ac:dyDescent="0.25">
      <c r="A945" s="650"/>
      <c r="B945" s="650"/>
      <c r="C945" s="650"/>
      <c r="D945" s="661"/>
      <c r="E945" s="661"/>
      <c r="F945" s="199"/>
      <c r="G945" s="650"/>
      <c r="H945" s="381"/>
      <c r="I945" s="141"/>
      <c r="J945" s="122"/>
      <c r="K945" s="141"/>
      <c r="L945" s="141"/>
      <c r="M945" s="10"/>
      <c r="N945" s="10"/>
      <c r="O945" s="756"/>
      <c r="P945"/>
    </row>
    <row r="946" spans="1:16" ht="18" customHeight="1" x14ac:dyDescent="0.25">
      <c r="A946" s="235" t="s">
        <v>112</v>
      </c>
      <c r="B946" s="235"/>
      <c r="C946" s="235"/>
      <c r="D946" s="51"/>
      <c r="E946" s="235"/>
      <c r="F946" s="235"/>
      <c r="G946" s="235"/>
      <c r="H946" s="235"/>
      <c r="I946" s="160"/>
      <c r="J946" s="161"/>
      <c r="K946" s="160"/>
      <c r="L946" s="160"/>
    </row>
    <row r="947" spans="1:16" ht="18" customHeight="1" x14ac:dyDescent="0.25">
      <c r="A947" s="8" t="s">
        <v>1049</v>
      </c>
    </row>
    <row r="948" spans="1:16" ht="18" customHeight="1" x14ac:dyDescent="0.25">
      <c r="A948" s="1636" t="s">
        <v>113</v>
      </c>
      <c r="B948" s="1636"/>
      <c r="C948" s="1636"/>
      <c r="D948" s="1636"/>
      <c r="E948" s="1636"/>
      <c r="F948" s="1636"/>
      <c r="G948" s="1636"/>
      <c r="H948" s="1636"/>
      <c r="I948" s="1636"/>
      <c r="J948" s="1636"/>
      <c r="K948" s="1636"/>
      <c r="L948" s="1636"/>
    </row>
    <row r="949" spans="1:16" s="7" customFormat="1" ht="18" customHeight="1" x14ac:dyDescent="0.25">
      <c r="A949" s="1624" t="s">
        <v>114</v>
      </c>
      <c r="B949" s="1624"/>
      <c r="C949" s="1624"/>
      <c r="D949" s="1624"/>
      <c r="E949" s="1624"/>
      <c r="F949" s="1624"/>
      <c r="G949" s="1624"/>
      <c r="H949" s="1624"/>
      <c r="I949" s="1624"/>
      <c r="J949" s="1624"/>
      <c r="K949" s="1624"/>
      <c r="L949" s="1624"/>
      <c r="M949" s="6"/>
      <c r="N949" s="6"/>
      <c r="O949" s="762"/>
    </row>
    <row r="950" spans="1:16" ht="18.75" thickBot="1" x14ac:dyDescent="0.3">
      <c r="A950" s="41"/>
      <c r="B950" s="41"/>
      <c r="C950" s="41"/>
      <c r="D950" s="63"/>
      <c r="E950" s="41"/>
      <c r="F950" s="41"/>
      <c r="G950" s="41"/>
      <c r="H950" s="41"/>
    </row>
    <row r="951" spans="1:16" ht="61.5" customHeight="1" thickBot="1" x14ac:dyDescent="0.3">
      <c r="A951" s="1625" t="s">
        <v>115</v>
      </c>
      <c r="B951" s="1626"/>
      <c r="C951" s="1626"/>
      <c r="D951" s="1626"/>
      <c r="E951" s="1626"/>
      <c r="F951" s="1626"/>
      <c r="G951" s="1627"/>
      <c r="H951" s="93" t="s">
        <v>116</v>
      </c>
      <c r="I951" s="130" t="s">
        <v>117</v>
      </c>
      <c r="J951" s="130" t="s">
        <v>118</v>
      </c>
      <c r="K951" s="130" t="s">
        <v>119</v>
      </c>
      <c r="L951" s="130" t="s">
        <v>120</v>
      </c>
    </row>
    <row r="952" spans="1:16" s="146" customFormat="1" ht="19.5" customHeight="1" x14ac:dyDescent="0.25">
      <c r="A952" s="649"/>
      <c r="B952" s="650"/>
      <c r="C952" s="650"/>
      <c r="D952" s="36" t="s">
        <v>1175</v>
      </c>
      <c r="E952" s="661"/>
      <c r="F952" s="199"/>
      <c r="G952" s="646"/>
      <c r="H952" s="100"/>
      <c r="I952" s="101"/>
      <c r="J952" s="102"/>
      <c r="K952" s="101"/>
      <c r="L952" s="101"/>
      <c r="M952" s="10"/>
      <c r="N952" s="10"/>
      <c r="O952" s="756"/>
      <c r="P952"/>
    </row>
    <row r="953" spans="1:16" s="146" customFormat="1" ht="18" x14ac:dyDescent="0.25">
      <c r="A953" s="649"/>
      <c r="B953" s="650"/>
      <c r="C953" s="650"/>
      <c r="D953" s="38" t="s">
        <v>1168</v>
      </c>
      <c r="E953" s="199"/>
      <c r="F953" s="199"/>
      <c r="G953" s="646"/>
      <c r="H953" s="100"/>
      <c r="I953" s="101">
        <v>0</v>
      </c>
      <c r="J953" s="102">
        <v>900000</v>
      </c>
      <c r="K953" s="101"/>
      <c r="L953" s="101"/>
      <c r="M953" s="10"/>
      <c r="N953" s="10"/>
      <c r="O953" s="756"/>
      <c r="P953"/>
    </row>
    <row r="954" spans="1:16" s="146" customFormat="1" ht="18" x14ac:dyDescent="0.25">
      <c r="A954" s="649"/>
      <c r="B954" s="650"/>
      <c r="C954" s="650"/>
      <c r="D954" s="38" t="s">
        <v>1169</v>
      </c>
      <c r="E954" s="199"/>
      <c r="F954" s="199"/>
      <c r="G954" s="646"/>
      <c r="H954" s="100"/>
      <c r="I954" s="101">
        <v>0</v>
      </c>
      <c r="J954" s="102">
        <v>300000</v>
      </c>
      <c r="K954" s="101"/>
      <c r="L954" s="102">
        <v>300000</v>
      </c>
      <c r="M954" s="10"/>
      <c r="N954" s="10"/>
      <c r="O954" s="756"/>
      <c r="P954"/>
    </row>
    <row r="955" spans="1:16" s="146" customFormat="1" ht="18" x14ac:dyDescent="0.25">
      <c r="A955" s="649"/>
      <c r="B955" s="650"/>
      <c r="C955" s="650"/>
      <c r="D955" s="38" t="s">
        <v>1170</v>
      </c>
      <c r="E955" s="199"/>
      <c r="F955" s="199"/>
      <c r="G955" s="646"/>
      <c r="H955" s="100"/>
      <c r="I955" s="101"/>
      <c r="J955" s="102"/>
      <c r="K955" s="101"/>
      <c r="L955" s="102"/>
      <c r="M955" s="10"/>
      <c r="N955" s="10"/>
      <c r="O955" s="756"/>
      <c r="P955"/>
    </row>
    <row r="956" spans="1:16" s="146" customFormat="1" ht="18" x14ac:dyDescent="0.25">
      <c r="A956" s="649"/>
      <c r="B956" s="650"/>
      <c r="C956" s="650"/>
      <c r="D956" s="38" t="s">
        <v>1171</v>
      </c>
      <c r="E956" s="199"/>
      <c r="F956" s="199"/>
      <c r="G956" s="646"/>
      <c r="H956" s="100"/>
      <c r="I956" s="101">
        <v>551000</v>
      </c>
      <c r="J956" s="102">
        <v>700000</v>
      </c>
      <c r="K956" s="101"/>
      <c r="L956" s="102">
        <v>1000000</v>
      </c>
      <c r="M956" s="10"/>
      <c r="N956" s="10"/>
      <c r="O956" s="756"/>
      <c r="P956"/>
    </row>
    <row r="957" spans="1:16" s="146" customFormat="1" ht="18" x14ac:dyDescent="0.25">
      <c r="A957" s="649"/>
      <c r="B957" s="650"/>
      <c r="C957" s="650"/>
      <c r="D957" s="38" t="s">
        <v>1172</v>
      </c>
      <c r="E957" s="199"/>
      <c r="F957" s="199"/>
      <c r="G957" s="646"/>
      <c r="H957" s="100"/>
      <c r="I957" s="101">
        <v>69350</v>
      </c>
      <c r="J957" s="102">
        <v>350000</v>
      </c>
      <c r="K957" s="101"/>
      <c r="L957" s="101">
        <v>350000</v>
      </c>
      <c r="M957" s="10"/>
      <c r="N957" s="10"/>
      <c r="O957" s="756"/>
      <c r="P957"/>
    </row>
    <row r="958" spans="1:16" s="146" customFormat="1" ht="36.75" customHeight="1" x14ac:dyDescent="0.25">
      <c r="A958" s="649"/>
      <c r="B958" s="650"/>
      <c r="C958" s="650"/>
      <c r="D958" s="1623" t="s">
        <v>1173</v>
      </c>
      <c r="E958" s="1623"/>
      <c r="F958" s="199"/>
      <c r="G958" s="646"/>
      <c r="H958" s="100"/>
      <c r="I958" s="101">
        <v>0</v>
      </c>
      <c r="J958" s="102">
        <v>500000</v>
      </c>
      <c r="K958" s="101">
        <v>472606</v>
      </c>
      <c r="L958" s="101">
        <v>700000</v>
      </c>
      <c r="M958" s="10"/>
      <c r="N958" s="10"/>
      <c r="O958" s="756"/>
      <c r="P958"/>
    </row>
    <row r="959" spans="1:16" s="146" customFormat="1" ht="18" x14ac:dyDescent="0.25">
      <c r="A959" s="649"/>
      <c r="B959" s="650"/>
      <c r="C959" s="650"/>
      <c r="D959" s="38" t="s">
        <v>1176</v>
      </c>
      <c r="E959" s="199"/>
      <c r="F959" s="199"/>
      <c r="G959" s="646"/>
      <c r="H959" s="100"/>
      <c r="I959" s="101"/>
      <c r="J959" s="102"/>
      <c r="K959" s="101"/>
      <c r="L959" s="101"/>
      <c r="M959" s="10"/>
      <c r="N959" s="10"/>
      <c r="O959" s="756"/>
      <c r="P959"/>
    </row>
    <row r="960" spans="1:16" s="146" customFormat="1" ht="36" customHeight="1" x14ac:dyDescent="0.25">
      <c r="A960" s="649"/>
      <c r="B960" s="650"/>
      <c r="C960" s="650"/>
      <c r="D960" s="1623" t="s">
        <v>1177</v>
      </c>
      <c r="E960" s="1623"/>
      <c r="F960" s="199"/>
      <c r="G960" s="646"/>
      <c r="H960" s="100"/>
      <c r="I960" s="101">
        <v>3000</v>
      </c>
      <c r="J960" s="102">
        <v>500000</v>
      </c>
      <c r="K960" s="101">
        <v>10000</v>
      </c>
      <c r="L960" s="101">
        <v>100000</v>
      </c>
      <c r="M960" s="10"/>
      <c r="N960" s="10"/>
      <c r="O960" s="756"/>
      <c r="P960"/>
    </row>
    <row r="961" spans="1:16" s="146" customFormat="1" ht="18" x14ac:dyDescent="0.25">
      <c r="A961" s="649"/>
      <c r="B961" s="650"/>
      <c r="C961" s="650"/>
      <c r="D961" s="38" t="s">
        <v>1178</v>
      </c>
      <c r="E961" s="199"/>
      <c r="F961" s="199"/>
      <c r="G961" s="646"/>
      <c r="H961" s="100"/>
      <c r="I961" s="101">
        <v>0</v>
      </c>
      <c r="J961" s="102">
        <v>200000</v>
      </c>
      <c r="K961" s="101"/>
      <c r="L961" s="101">
        <v>200000</v>
      </c>
      <c r="M961" s="10"/>
      <c r="N961" s="10"/>
      <c r="O961" s="756"/>
      <c r="P961"/>
    </row>
    <row r="962" spans="1:16" s="146" customFormat="1" ht="36.75" customHeight="1" x14ac:dyDescent="0.25">
      <c r="A962" s="649"/>
      <c r="B962" s="650"/>
      <c r="C962" s="650"/>
      <c r="D962" s="1623" t="s">
        <v>1179</v>
      </c>
      <c r="E962" s="1623"/>
      <c r="F962" s="199"/>
      <c r="G962" s="646"/>
      <c r="H962" s="100"/>
      <c r="I962" s="101">
        <v>2941.33</v>
      </c>
      <c r="J962" s="102">
        <v>150000</v>
      </c>
      <c r="K962" s="101"/>
      <c r="L962" s="101">
        <v>150000</v>
      </c>
      <c r="M962" s="10"/>
      <c r="N962" s="10"/>
      <c r="O962" s="756"/>
      <c r="P962"/>
    </row>
    <row r="963" spans="1:16" s="146" customFormat="1" ht="18" x14ac:dyDescent="0.25">
      <c r="A963" s="649"/>
      <c r="B963" s="650"/>
      <c r="C963" s="650"/>
      <c r="D963" s="38" t="s">
        <v>1180</v>
      </c>
      <c r="E963" s="199"/>
      <c r="F963" s="199"/>
      <c r="G963" s="646"/>
      <c r="H963" s="100"/>
      <c r="I963" s="101"/>
      <c r="J963" s="102">
        <v>200000</v>
      </c>
      <c r="K963" s="101"/>
      <c r="L963" s="101">
        <v>200000</v>
      </c>
      <c r="M963" s="10"/>
      <c r="N963" s="10"/>
      <c r="O963" s="756"/>
      <c r="P963"/>
    </row>
    <row r="964" spans="1:16" s="146" customFormat="1" ht="18" customHeight="1" x14ac:dyDescent="0.25">
      <c r="A964" s="649"/>
      <c r="B964" s="650"/>
      <c r="C964" s="650"/>
      <c r="D964" s="1634" t="s">
        <v>1181</v>
      </c>
      <c r="E964" s="1634"/>
      <c r="F964" s="199"/>
      <c r="G964" s="646"/>
      <c r="H964" s="100"/>
      <c r="I964" s="101"/>
      <c r="J964" s="102">
        <v>1000000</v>
      </c>
      <c r="K964" s="101"/>
      <c r="L964" s="101">
        <v>1000000</v>
      </c>
      <c r="M964" s="10"/>
      <c r="N964" s="10"/>
      <c r="O964" s="756"/>
      <c r="P964"/>
    </row>
    <row r="965" spans="1:16" s="146" customFormat="1" ht="36.75" customHeight="1" x14ac:dyDescent="0.25">
      <c r="A965" s="649"/>
      <c r="B965" s="650"/>
      <c r="C965" s="650"/>
      <c r="D965" s="1634" t="s">
        <v>1182</v>
      </c>
      <c r="E965" s="1634"/>
      <c r="F965" s="199"/>
      <c r="G965" s="646"/>
      <c r="H965" s="100"/>
      <c r="I965" s="101"/>
      <c r="J965" s="102">
        <v>100000</v>
      </c>
      <c r="K965" s="101"/>
      <c r="L965" s="105">
        <v>100000</v>
      </c>
      <c r="M965" s="10"/>
      <c r="N965" s="10"/>
      <c r="O965" s="756"/>
      <c r="P965"/>
    </row>
    <row r="966" spans="1:16" s="146" customFormat="1" ht="18" x14ac:dyDescent="0.25">
      <c r="A966" s="649"/>
      <c r="B966" s="650"/>
      <c r="C966" s="650"/>
      <c r="D966" s="153" t="s">
        <v>200</v>
      </c>
      <c r="F966" s="650"/>
      <c r="G966" s="646"/>
      <c r="H966" s="100"/>
      <c r="I966" s="119">
        <f>SUM(I940:I965)</f>
        <v>647212.15999999992</v>
      </c>
      <c r="J966" s="150">
        <f>SUM(J940:J965)</f>
        <v>5545103.21</v>
      </c>
      <c r="K966" s="119">
        <f>SUM(K940:K965)</f>
        <v>489851.5</v>
      </c>
      <c r="L966" s="119">
        <f>SUM(L940:L965)</f>
        <v>4750000</v>
      </c>
      <c r="M966" s="10"/>
      <c r="N966" s="758">
        <v>4750000</v>
      </c>
      <c r="O966" s="756"/>
      <c r="P966"/>
    </row>
    <row r="967" spans="1:16" s="146" customFormat="1" ht="18" x14ac:dyDescent="0.25">
      <c r="A967" s="649"/>
      <c r="B967" s="650"/>
      <c r="C967" s="650"/>
      <c r="D967" s="38"/>
      <c r="E967" s="153"/>
      <c r="F967" s="650"/>
      <c r="G967" s="646"/>
      <c r="H967" s="100"/>
      <c r="I967" s="155"/>
      <c r="J967" s="156"/>
      <c r="K967" s="155"/>
      <c r="L967" s="155"/>
      <c r="M967" s="10"/>
      <c r="N967" s="10"/>
      <c r="O967" s="756"/>
      <c r="P967"/>
    </row>
    <row r="968" spans="1:16" s="146" customFormat="1" ht="18" x14ac:dyDescent="0.25">
      <c r="A968" s="649"/>
      <c r="B968" s="650"/>
      <c r="C968" s="650"/>
      <c r="D968" s="152" t="s">
        <v>1184</v>
      </c>
      <c r="E968" s="152"/>
      <c r="F968" s="152"/>
      <c r="G968" s="295"/>
      <c r="H968" s="100"/>
      <c r="I968" s="101"/>
      <c r="J968" s="102"/>
      <c r="K968" s="101"/>
      <c r="L968" s="101"/>
      <c r="M968" s="10"/>
      <c r="N968" s="10"/>
      <c r="O968" s="756"/>
      <c r="P968"/>
    </row>
    <row r="969" spans="1:16" s="146" customFormat="1" ht="18" x14ac:dyDescent="0.25">
      <c r="A969" s="649"/>
      <c r="B969" s="650"/>
      <c r="C969" s="650"/>
      <c r="D969" s="38" t="s">
        <v>1185</v>
      </c>
      <c r="E969" s="199"/>
      <c r="F969" s="199"/>
      <c r="G969" s="646"/>
      <c r="H969" s="100"/>
      <c r="I969" s="101">
        <v>596760</v>
      </c>
      <c r="J969" s="102">
        <v>0</v>
      </c>
      <c r="K969" s="101"/>
      <c r="L969" s="101"/>
      <c r="M969" s="10"/>
      <c r="N969" s="10"/>
      <c r="O969" s="756"/>
      <c r="P969"/>
    </row>
    <row r="970" spans="1:16" s="146" customFormat="1" ht="18.75" customHeight="1" x14ac:dyDescent="0.25">
      <c r="A970" s="649"/>
      <c r="B970" s="650"/>
      <c r="C970" s="650"/>
      <c r="D970" s="666" t="s">
        <v>1186</v>
      </c>
      <c r="E970" s="671"/>
      <c r="F970" s="199"/>
      <c r="G970" s="646"/>
      <c r="H970" s="100"/>
      <c r="I970" s="101"/>
      <c r="J970" s="102">
        <v>20000</v>
      </c>
      <c r="K970" s="101"/>
      <c r="L970" s="101"/>
      <c r="M970" s="10"/>
      <c r="N970" s="10"/>
      <c r="O970" s="756"/>
      <c r="P970"/>
    </row>
    <row r="971" spans="1:16" s="146" customFormat="1" ht="18.75" customHeight="1" x14ac:dyDescent="0.25">
      <c r="A971" s="649"/>
      <c r="B971" s="650"/>
      <c r="C971" s="650"/>
      <c r="D971" s="669" t="s">
        <v>1187</v>
      </c>
      <c r="E971" s="671"/>
      <c r="F971" s="199"/>
      <c r="G971" s="646"/>
      <c r="H971" s="100"/>
      <c r="I971" s="101"/>
      <c r="J971" s="102">
        <v>25000</v>
      </c>
      <c r="K971" s="101"/>
      <c r="L971" s="101">
        <v>25000</v>
      </c>
      <c r="M971" s="10"/>
      <c r="N971" s="10"/>
      <c r="O971" s="756"/>
      <c r="P971"/>
    </row>
    <row r="972" spans="1:16" s="146" customFormat="1" ht="18.75" customHeight="1" x14ac:dyDescent="0.25">
      <c r="A972" s="649"/>
      <c r="B972" s="650"/>
      <c r="C972" s="650"/>
      <c r="D972" s="669" t="s">
        <v>1188</v>
      </c>
      <c r="E972" s="671"/>
      <c r="F972" s="199"/>
      <c r="G972" s="646"/>
      <c r="H972" s="100"/>
      <c r="I972" s="101"/>
      <c r="J972" s="102">
        <v>270000</v>
      </c>
      <c r="K972" s="101">
        <v>135000</v>
      </c>
      <c r="L972" s="101">
        <v>270000</v>
      </c>
      <c r="M972" s="10"/>
      <c r="N972" s="10"/>
      <c r="O972" s="756"/>
      <c r="P972"/>
    </row>
    <row r="973" spans="1:16" s="146" customFormat="1" ht="18.75" customHeight="1" x14ac:dyDescent="0.25">
      <c r="A973" s="649"/>
      <c r="B973" s="650"/>
      <c r="C973" s="650"/>
      <c r="D973" s="669" t="s">
        <v>1189</v>
      </c>
      <c r="E973" s="671"/>
      <c r="F973" s="199"/>
      <c r="G973" s="646"/>
      <c r="H973" s="100"/>
      <c r="I973" s="101"/>
      <c r="J973" s="102"/>
      <c r="K973" s="101"/>
      <c r="L973" s="101">
        <v>65000</v>
      </c>
      <c r="M973" s="10"/>
      <c r="N973" s="10"/>
      <c r="O973" s="756"/>
      <c r="P973"/>
    </row>
    <row r="974" spans="1:16" s="146" customFormat="1" ht="18.75" customHeight="1" x14ac:dyDescent="0.25">
      <c r="A974" s="649"/>
      <c r="B974" s="650"/>
      <c r="C974" s="650"/>
      <c r="D974" s="669" t="s">
        <v>1190</v>
      </c>
      <c r="E974" s="671"/>
      <c r="F974" s="199"/>
      <c r="G974" s="646"/>
      <c r="H974" s="100"/>
      <c r="I974" s="101"/>
      <c r="J974" s="102">
        <v>60000</v>
      </c>
      <c r="K974" s="101"/>
      <c r="L974" s="101">
        <v>60000</v>
      </c>
      <c r="M974" s="10"/>
      <c r="N974" s="10"/>
      <c r="O974" s="756"/>
      <c r="P974"/>
    </row>
    <row r="975" spans="1:16" s="146" customFormat="1" ht="18.75" customHeight="1" x14ac:dyDescent="0.25">
      <c r="A975" s="649"/>
      <c r="B975" s="650"/>
      <c r="C975" s="650"/>
      <c r="D975" s="1634" t="s">
        <v>1191</v>
      </c>
      <c r="E975" s="1634"/>
      <c r="F975" s="199"/>
      <c r="G975" s="646"/>
      <c r="H975" s="100"/>
      <c r="I975" s="101"/>
      <c r="J975" s="102">
        <v>600000</v>
      </c>
      <c r="K975" s="101"/>
      <c r="L975" s="101">
        <v>600000</v>
      </c>
      <c r="M975" s="10"/>
      <c r="N975" s="10"/>
      <c r="O975" s="756"/>
      <c r="P975"/>
    </row>
    <row r="976" spans="1:16" s="146" customFormat="1" ht="37.5" customHeight="1" x14ac:dyDescent="0.25">
      <c r="A976" s="649"/>
      <c r="B976" s="650"/>
      <c r="C976" s="650"/>
      <c r="D976" s="1623" t="s">
        <v>1192</v>
      </c>
      <c r="E976" s="1623"/>
      <c r="F976" s="1623"/>
      <c r="G976" s="646"/>
      <c r="H976" s="100"/>
      <c r="I976" s="101">
        <v>0</v>
      </c>
      <c r="J976" s="102">
        <v>65000</v>
      </c>
      <c r="K976" s="101"/>
      <c r="L976" s="101"/>
      <c r="M976" s="10"/>
      <c r="N976" s="10"/>
      <c r="O976" s="756"/>
      <c r="P976"/>
    </row>
    <row r="977" spans="1:16" s="146" customFormat="1" ht="33.75" customHeight="1" x14ac:dyDescent="0.25">
      <c r="A977" s="649"/>
      <c r="B977" s="650"/>
      <c r="C977" s="650"/>
      <c r="D977" s="1638" t="s">
        <v>1193</v>
      </c>
      <c r="E977" s="1638"/>
      <c r="F977" s="662"/>
      <c r="G977" s="663"/>
      <c r="H977" s="205"/>
      <c r="I977" s="102">
        <v>800000</v>
      </c>
      <c r="J977" s="102">
        <v>750000</v>
      </c>
      <c r="K977" s="102">
        <v>654000</v>
      </c>
      <c r="L977" s="102">
        <v>1500000</v>
      </c>
      <c r="M977" s="10"/>
      <c r="N977" s="10"/>
      <c r="O977" s="756"/>
      <c r="P977"/>
    </row>
    <row r="978" spans="1:16" s="146" customFormat="1" ht="21" customHeight="1" x14ac:dyDescent="0.25">
      <c r="A978" s="649"/>
      <c r="B978" s="650"/>
      <c r="C978" s="650"/>
      <c r="D978" s="1623" t="s">
        <v>1194</v>
      </c>
      <c r="E978" s="1623"/>
      <c r="F978" s="661"/>
      <c r="G978" s="646"/>
      <c r="H978" s="100"/>
      <c r="I978" s="101">
        <v>72000</v>
      </c>
      <c r="J978" s="102">
        <v>200000</v>
      </c>
      <c r="K978" s="101">
        <v>41000</v>
      </c>
      <c r="L978" s="101">
        <v>200000</v>
      </c>
      <c r="M978" s="10"/>
      <c r="N978" s="10"/>
      <c r="O978" s="756"/>
      <c r="P978"/>
    </row>
    <row r="979" spans="1:16" s="146" customFormat="1" ht="19.5" customHeight="1" x14ac:dyDescent="0.25">
      <c r="A979" s="649"/>
      <c r="B979" s="650"/>
      <c r="C979" s="650"/>
      <c r="D979" s="1623" t="s">
        <v>1195</v>
      </c>
      <c r="E979" s="1623"/>
      <c r="F979" s="661"/>
      <c r="G979" s="646"/>
      <c r="H979" s="100"/>
      <c r="I979" s="101">
        <v>690000</v>
      </c>
      <c r="J979" s="102">
        <v>3000000</v>
      </c>
      <c r="K979" s="101"/>
      <c r="L979" s="101"/>
      <c r="M979" s="10"/>
      <c r="N979" s="10"/>
      <c r="O979" s="756"/>
      <c r="P979"/>
    </row>
    <row r="980" spans="1:16" s="146" customFormat="1" ht="19.5" customHeight="1" x14ac:dyDescent="0.25">
      <c r="A980" s="649"/>
      <c r="B980" s="650"/>
      <c r="C980" s="650"/>
      <c r="D980" s="679" t="s">
        <v>1196</v>
      </c>
      <c r="E980" s="661"/>
      <c r="F980" s="661"/>
      <c r="G980" s="646"/>
      <c r="H980" s="100"/>
      <c r="I980" s="101"/>
      <c r="J980" s="102"/>
      <c r="K980" s="101"/>
      <c r="L980" s="101">
        <v>3000000</v>
      </c>
      <c r="M980" s="10"/>
      <c r="N980" s="10"/>
      <c r="O980" s="756"/>
      <c r="P980"/>
    </row>
    <row r="981" spans="1:16" s="146" customFormat="1" ht="38.25" customHeight="1" x14ac:dyDescent="0.25">
      <c r="A981" s="649"/>
      <c r="B981" s="650"/>
      <c r="C981" s="650"/>
      <c r="D981" s="1622" t="s">
        <v>1197</v>
      </c>
      <c r="E981" s="1622"/>
      <c r="F981" s="661"/>
      <c r="G981" s="646"/>
      <c r="H981" s="100"/>
      <c r="I981" s="101"/>
      <c r="J981" s="102">
        <v>10000</v>
      </c>
      <c r="K981" s="101"/>
      <c r="L981" s="101">
        <v>10000</v>
      </c>
      <c r="M981" s="10"/>
      <c r="N981" s="10"/>
      <c r="O981" s="756"/>
      <c r="P981"/>
    </row>
    <row r="982" spans="1:16" s="146" customFormat="1" ht="18.75" customHeight="1" x14ac:dyDescent="0.25">
      <c r="A982" s="649"/>
      <c r="B982" s="650"/>
      <c r="C982" s="650"/>
      <c r="D982" s="180" t="s">
        <v>1198</v>
      </c>
      <c r="E982" s="658"/>
      <c r="F982" s="661"/>
      <c r="G982" s="646"/>
      <c r="H982" s="100"/>
      <c r="I982" s="101"/>
      <c r="J982" s="102">
        <v>60000</v>
      </c>
      <c r="K982" s="101"/>
      <c r="L982" s="101"/>
      <c r="M982" s="10"/>
      <c r="N982" s="10"/>
      <c r="O982" s="756"/>
      <c r="P982"/>
    </row>
    <row r="983" spans="1:16" s="146" customFormat="1" ht="18" x14ac:dyDescent="0.25">
      <c r="A983" s="649"/>
      <c r="B983" s="650"/>
      <c r="C983" s="650"/>
      <c r="D983" s="38" t="s">
        <v>1199</v>
      </c>
      <c r="E983" s="199"/>
      <c r="F983" s="199"/>
      <c r="G983" s="646"/>
      <c r="H983" s="100"/>
      <c r="I983" s="101"/>
      <c r="J983" s="102"/>
      <c r="K983" s="101"/>
      <c r="L983" s="101"/>
      <c r="M983" s="10"/>
      <c r="N983" s="10"/>
      <c r="O983" s="756"/>
      <c r="P983"/>
    </row>
    <row r="984" spans="1:16" s="146" customFormat="1" ht="18" x14ac:dyDescent="0.25">
      <c r="A984" s="649"/>
      <c r="B984" s="650"/>
      <c r="C984" s="650"/>
      <c r="D984" s="38" t="s">
        <v>1200</v>
      </c>
      <c r="E984" s="199"/>
      <c r="F984" s="199"/>
      <c r="G984" s="646"/>
      <c r="H984" s="100"/>
      <c r="I984" s="105">
        <v>65729.5</v>
      </c>
      <c r="J984" s="106"/>
      <c r="K984" s="105"/>
      <c r="L984" s="105"/>
      <c r="M984" s="10"/>
      <c r="N984" s="10"/>
      <c r="O984" s="756"/>
      <c r="P984"/>
    </row>
    <row r="985" spans="1:16" s="146" customFormat="1" ht="18" x14ac:dyDescent="0.25">
      <c r="A985" s="649"/>
      <c r="B985" s="650"/>
      <c r="C985" s="650"/>
      <c r="D985" s="153" t="s">
        <v>200</v>
      </c>
      <c r="F985" s="650"/>
      <c r="G985" s="646"/>
      <c r="H985" s="100"/>
      <c r="I985" s="119">
        <f>SUM(I969:I984)</f>
        <v>2224489.5</v>
      </c>
      <c r="J985" s="150">
        <f>SUM(J969:J984)</f>
        <v>5060000</v>
      </c>
      <c r="K985" s="119">
        <f>SUM(K969:K984)</f>
        <v>830000</v>
      </c>
      <c r="L985" s="119">
        <f>SUM(L969:L984)</f>
        <v>5730000</v>
      </c>
      <c r="M985" s="759"/>
      <c r="N985" s="10">
        <v>5730000</v>
      </c>
      <c r="O985" s="756"/>
      <c r="P985"/>
    </row>
    <row r="986" spans="1:16" s="146" customFormat="1" ht="18" x14ac:dyDescent="0.25">
      <c r="A986" s="649"/>
      <c r="B986" s="650"/>
      <c r="C986" s="650"/>
      <c r="D986" s="639"/>
      <c r="E986" s="153"/>
      <c r="F986" s="650"/>
      <c r="G986" s="650"/>
      <c r="H986" s="100"/>
      <c r="I986" s="155"/>
      <c r="J986" s="156"/>
      <c r="K986" s="155"/>
      <c r="L986" s="155"/>
      <c r="M986" s="10"/>
      <c r="N986" s="10"/>
      <c r="O986" s="756"/>
      <c r="P986"/>
    </row>
    <row r="987" spans="1:16" s="146" customFormat="1" ht="18" x14ac:dyDescent="0.25">
      <c r="A987" s="649"/>
      <c r="B987" s="650"/>
      <c r="C987" s="650"/>
      <c r="D987" s="36" t="s">
        <v>1201</v>
      </c>
      <c r="E987" s="184"/>
      <c r="F987" s="184"/>
      <c r="G987" s="184"/>
      <c r="H987" s="100"/>
      <c r="I987" s="101"/>
      <c r="J987" s="102"/>
      <c r="K987" s="101"/>
      <c r="L987" s="101"/>
      <c r="M987" s="10"/>
      <c r="N987" s="10"/>
      <c r="O987" s="756"/>
      <c r="P987"/>
    </row>
    <row r="988" spans="1:16" s="146" customFormat="1" ht="18" x14ac:dyDescent="0.25">
      <c r="A988" s="649"/>
      <c r="B988" s="650"/>
      <c r="C988" s="650"/>
      <c r="D988" s="679" t="s">
        <v>1202</v>
      </c>
      <c r="E988" s="3"/>
      <c r="F988" s="677"/>
      <c r="G988" s="422"/>
      <c r="H988" s="100"/>
      <c r="I988" s="101">
        <v>254241.76</v>
      </c>
      <c r="J988" s="102">
        <v>3321095</v>
      </c>
      <c r="K988" s="101">
        <v>290409.59000000003</v>
      </c>
      <c r="L988" s="101"/>
      <c r="M988" s="760"/>
      <c r="N988" s="10"/>
      <c r="O988" s="756"/>
      <c r="P988"/>
    </row>
    <row r="989" spans="1:16" s="146" customFormat="1" ht="36.75" customHeight="1" x14ac:dyDescent="0.25">
      <c r="A989" s="649"/>
      <c r="B989" s="650"/>
      <c r="C989" s="650"/>
      <c r="D989" s="1637" t="s">
        <v>1203</v>
      </c>
      <c r="E989" s="1637"/>
      <c r="F989" s="670"/>
      <c r="G989" s="400"/>
      <c r="H989" s="100"/>
      <c r="I989" s="101">
        <v>185000</v>
      </c>
      <c r="J989" s="102"/>
      <c r="K989" s="101"/>
      <c r="L989" s="101"/>
      <c r="M989" s="10"/>
      <c r="N989" s="10"/>
      <c r="O989" s="756"/>
      <c r="P989"/>
    </row>
    <row r="990" spans="1:16" s="146" customFormat="1" ht="36.75" customHeight="1" x14ac:dyDescent="0.25">
      <c r="A990" s="649"/>
      <c r="B990" s="650"/>
      <c r="C990" s="650"/>
      <c r="D990" s="1637" t="s">
        <v>1204</v>
      </c>
      <c r="E990" s="1637"/>
      <c r="F990" s="670"/>
      <c r="G990" s="400"/>
      <c r="H990" s="100"/>
      <c r="I990" s="101"/>
      <c r="J990" s="102"/>
      <c r="K990" s="101"/>
      <c r="L990" s="101"/>
      <c r="M990" s="10"/>
      <c r="N990" s="10"/>
      <c r="O990" s="756"/>
      <c r="P990"/>
    </row>
    <row r="991" spans="1:16" s="146" customFormat="1" ht="18" customHeight="1" x14ac:dyDescent="0.25">
      <c r="A991" s="649"/>
      <c r="B991" s="650"/>
      <c r="C991" s="650"/>
      <c r="D991" s="656" t="s">
        <v>1205</v>
      </c>
      <c r="E991" s="670"/>
      <c r="F991" s="670"/>
      <c r="G991" s="400"/>
      <c r="H991" s="100"/>
      <c r="I991" s="101"/>
      <c r="J991" s="102"/>
      <c r="K991" s="101"/>
      <c r="L991" s="102">
        <v>50000</v>
      </c>
      <c r="M991" s="10"/>
      <c r="N991" s="10"/>
      <c r="O991" s="756"/>
      <c r="P991"/>
    </row>
    <row r="992" spans="1:16" s="146" customFormat="1" ht="18" customHeight="1" x14ac:dyDescent="0.25">
      <c r="A992" s="649"/>
      <c r="B992" s="650"/>
      <c r="C992" s="650"/>
      <c r="D992" s="656" t="s">
        <v>1206</v>
      </c>
      <c r="E992" s="670"/>
      <c r="F992" s="670"/>
      <c r="G992" s="400"/>
      <c r="H992" s="100"/>
      <c r="I992" s="101"/>
      <c r="J992" s="102"/>
      <c r="K992" s="101"/>
      <c r="L992" s="102">
        <v>50000</v>
      </c>
      <c r="M992" s="10"/>
      <c r="N992" s="10"/>
      <c r="O992" s="756"/>
      <c r="P992"/>
    </row>
    <row r="993" spans="1:16" s="146" customFormat="1" ht="18" customHeight="1" x14ac:dyDescent="0.25">
      <c r="A993" s="649"/>
      <c r="B993" s="650"/>
      <c r="C993" s="650"/>
      <c r="D993" s="656" t="s">
        <v>1207</v>
      </c>
      <c r="E993" s="670"/>
      <c r="F993" s="670"/>
      <c r="G993" s="400"/>
      <c r="H993" s="100"/>
      <c r="I993" s="101"/>
      <c r="J993" s="102"/>
      <c r="K993" s="101"/>
      <c r="L993" s="102">
        <v>50000</v>
      </c>
      <c r="M993" s="10"/>
      <c r="N993" s="10"/>
      <c r="O993" s="756"/>
      <c r="P993"/>
    </row>
    <row r="994" spans="1:16" s="146" customFormat="1" ht="18" customHeight="1" x14ac:dyDescent="0.25">
      <c r="A994" s="649"/>
      <c r="B994" s="650"/>
      <c r="C994" s="650"/>
      <c r="D994" s="656" t="s">
        <v>1208</v>
      </c>
      <c r="E994" s="670"/>
      <c r="F994" s="670"/>
      <c r="G994" s="400"/>
      <c r="H994" s="100"/>
      <c r="I994" s="101"/>
      <c r="J994" s="102"/>
      <c r="K994" s="101"/>
      <c r="L994" s="102">
        <v>58246</v>
      </c>
      <c r="M994" s="10"/>
      <c r="N994" s="10"/>
      <c r="O994" s="756"/>
      <c r="P994"/>
    </row>
    <row r="995" spans="1:16" s="146" customFormat="1" ht="18" customHeight="1" x14ac:dyDescent="0.25">
      <c r="A995" s="649"/>
      <c r="B995" s="650"/>
      <c r="C995" s="650"/>
      <c r="D995" s="656" t="s">
        <v>1209</v>
      </c>
      <c r="E995" s="670"/>
      <c r="F995" s="670"/>
      <c r="G995" s="400"/>
      <c r="H995" s="100"/>
      <c r="I995" s="101"/>
      <c r="J995" s="102"/>
      <c r="K995" s="101"/>
      <c r="L995" s="102">
        <v>38165</v>
      </c>
      <c r="M995" s="10"/>
      <c r="N995" s="10"/>
      <c r="O995" s="756"/>
      <c r="P995"/>
    </row>
    <row r="996" spans="1:16" s="146" customFormat="1" ht="18" customHeight="1" x14ac:dyDescent="0.25">
      <c r="A996" s="649"/>
      <c r="B996" s="650"/>
      <c r="C996" s="650"/>
      <c r="D996" s="656" t="s">
        <v>1210</v>
      </c>
      <c r="E996" s="670"/>
      <c r="F996" s="670"/>
      <c r="G996" s="400"/>
      <c r="H996" s="100"/>
      <c r="I996" s="101"/>
      <c r="J996" s="102"/>
      <c r="K996" s="101"/>
      <c r="L996" s="102">
        <v>50000</v>
      </c>
      <c r="M996" s="10"/>
      <c r="N996" s="10"/>
      <c r="O996" s="756"/>
      <c r="P996"/>
    </row>
    <row r="997" spans="1:16" s="146" customFormat="1" ht="18" customHeight="1" x14ac:dyDescent="0.25">
      <c r="A997" s="649"/>
      <c r="B997" s="650"/>
      <c r="C997" s="650"/>
      <c r="D997" s="656" t="s">
        <v>1211</v>
      </c>
      <c r="E997" s="670"/>
      <c r="F997" s="670"/>
      <c r="G997" s="400"/>
      <c r="H997" s="100"/>
      <c r="I997" s="101"/>
      <c r="J997" s="102"/>
      <c r="K997" s="101"/>
      <c r="L997" s="102">
        <v>96000</v>
      </c>
      <c r="M997" s="10"/>
      <c r="N997" s="10"/>
      <c r="O997" s="756"/>
      <c r="P997"/>
    </row>
    <row r="998" spans="1:16" s="146" customFormat="1" ht="18" customHeight="1" x14ac:dyDescent="0.25">
      <c r="A998" s="649"/>
      <c r="B998" s="650"/>
      <c r="C998" s="650"/>
      <c r="D998" s="656" t="s">
        <v>1212</v>
      </c>
      <c r="E998" s="670"/>
      <c r="F998" s="670"/>
      <c r="G998" s="400"/>
      <c r="H998" s="100"/>
      <c r="I998" s="101"/>
      <c r="J998" s="102"/>
      <c r="K998" s="101"/>
      <c r="L998" s="102">
        <v>400000</v>
      </c>
      <c r="M998" s="10"/>
      <c r="N998" s="10"/>
      <c r="O998" s="756"/>
      <c r="P998"/>
    </row>
    <row r="999" spans="1:16" s="146" customFormat="1" ht="18" customHeight="1" x14ac:dyDescent="0.25">
      <c r="A999" s="649"/>
      <c r="B999" s="650"/>
      <c r="C999" s="650"/>
      <c r="D999" s="656" t="s">
        <v>1213</v>
      </c>
      <c r="E999" s="670"/>
      <c r="F999" s="670"/>
      <c r="G999" s="400"/>
      <c r="H999" s="100"/>
      <c r="I999" s="101"/>
      <c r="J999" s="102"/>
      <c r="K999" s="101"/>
      <c r="L999" s="101">
        <v>100000</v>
      </c>
      <c r="M999" s="10"/>
      <c r="N999" s="10"/>
      <c r="O999" s="756"/>
      <c r="P999"/>
    </row>
    <row r="1000" spans="1:16" s="146" customFormat="1" ht="18" customHeight="1" thickBot="1" x14ac:dyDescent="0.3">
      <c r="A1000" s="187"/>
      <c r="B1000" s="413"/>
      <c r="C1000" s="413"/>
      <c r="D1000" s="447"/>
      <c r="E1000" s="448"/>
      <c r="F1000" s="448"/>
      <c r="G1000" s="449"/>
      <c r="H1000" s="308"/>
      <c r="I1000" s="219"/>
      <c r="J1000" s="220"/>
      <c r="K1000" s="219"/>
      <c r="L1000" s="219"/>
      <c r="M1000" s="10"/>
      <c r="N1000" s="10"/>
      <c r="O1000" s="756"/>
      <c r="P1000"/>
    </row>
    <row r="1001" spans="1:16" s="146" customFormat="1" ht="18" customHeight="1" x14ac:dyDescent="0.25">
      <c r="A1001" s="650"/>
      <c r="B1001" s="650"/>
      <c r="C1001" s="650"/>
      <c r="D1001" s="656"/>
      <c r="E1001" s="670"/>
      <c r="F1001" s="670"/>
      <c r="G1001" s="400"/>
      <c r="H1001" s="381"/>
      <c r="I1001" s="141"/>
      <c r="J1001" s="122"/>
      <c r="K1001" s="141"/>
      <c r="L1001" s="141"/>
      <c r="M1001" s="10"/>
      <c r="N1001" s="10"/>
      <c r="O1001" s="756"/>
      <c r="P1001"/>
    </row>
    <row r="1002" spans="1:16" s="146" customFormat="1" ht="18" customHeight="1" x14ac:dyDescent="0.25">
      <c r="A1002" s="650"/>
      <c r="B1002" s="650"/>
      <c r="C1002" s="650"/>
      <c r="D1002" s="656"/>
      <c r="E1002" s="670"/>
      <c r="F1002" s="670"/>
      <c r="G1002" s="400"/>
      <c r="H1002" s="381"/>
      <c r="I1002" s="141"/>
      <c r="J1002" s="122"/>
      <c r="K1002" s="141"/>
      <c r="L1002" s="141"/>
      <c r="M1002" s="10"/>
      <c r="N1002" s="10"/>
      <c r="O1002" s="756"/>
      <c r="P1002"/>
    </row>
    <row r="1003" spans="1:16" ht="18" customHeight="1" x14ac:dyDescent="0.25">
      <c r="A1003" s="235" t="s">
        <v>112</v>
      </c>
      <c r="B1003" s="235"/>
      <c r="C1003" s="235"/>
      <c r="D1003" s="51"/>
      <c r="E1003" s="235"/>
      <c r="F1003" s="235"/>
      <c r="G1003" s="235"/>
      <c r="H1003" s="235"/>
      <c r="I1003" s="160"/>
      <c r="J1003" s="161"/>
      <c r="K1003" s="160"/>
      <c r="L1003" s="160"/>
    </row>
    <row r="1004" spans="1:16" ht="18" customHeight="1" x14ac:dyDescent="0.25">
      <c r="A1004" s="8" t="s">
        <v>1098</v>
      </c>
    </row>
    <row r="1005" spans="1:16" ht="18" customHeight="1" x14ac:dyDescent="0.25">
      <c r="A1005" s="1636" t="s">
        <v>113</v>
      </c>
      <c r="B1005" s="1636"/>
      <c r="C1005" s="1636"/>
      <c r="D1005" s="1636"/>
      <c r="E1005" s="1636"/>
      <c r="F1005" s="1636"/>
      <c r="G1005" s="1636"/>
      <c r="H1005" s="1636"/>
      <c r="I1005" s="1636"/>
      <c r="J1005" s="1636"/>
      <c r="K1005" s="1636"/>
      <c r="L1005" s="1636"/>
    </row>
    <row r="1006" spans="1:16" s="7" customFormat="1" ht="18" customHeight="1" x14ac:dyDescent="0.25">
      <c r="A1006" s="1624" t="s">
        <v>114</v>
      </c>
      <c r="B1006" s="1624"/>
      <c r="C1006" s="1624"/>
      <c r="D1006" s="1624"/>
      <c r="E1006" s="1624"/>
      <c r="F1006" s="1624"/>
      <c r="G1006" s="1624"/>
      <c r="H1006" s="1624"/>
      <c r="I1006" s="1624"/>
      <c r="J1006" s="1624"/>
      <c r="K1006" s="1624"/>
      <c r="L1006" s="1624"/>
      <c r="M1006" s="6"/>
      <c r="N1006" s="6"/>
      <c r="O1006" s="762"/>
    </row>
    <row r="1007" spans="1:16" ht="18.75" thickBot="1" x14ac:dyDescent="0.3">
      <c r="A1007" s="41"/>
      <c r="B1007" s="41"/>
      <c r="C1007" s="41"/>
      <c r="D1007" s="63"/>
      <c r="E1007" s="41"/>
      <c r="F1007" s="41"/>
      <c r="G1007" s="41"/>
      <c r="H1007" s="41"/>
    </row>
    <row r="1008" spans="1:16" ht="63" customHeight="1" thickBot="1" x14ac:dyDescent="0.3">
      <c r="A1008" s="1625" t="s">
        <v>115</v>
      </c>
      <c r="B1008" s="1626"/>
      <c r="C1008" s="1626"/>
      <c r="D1008" s="1626"/>
      <c r="E1008" s="1626"/>
      <c r="F1008" s="1626"/>
      <c r="G1008" s="1627"/>
      <c r="H1008" s="93" t="s">
        <v>116</v>
      </c>
      <c r="I1008" s="130" t="s">
        <v>117</v>
      </c>
      <c r="J1008" s="130" t="s">
        <v>118</v>
      </c>
      <c r="K1008" s="130" t="s">
        <v>119</v>
      </c>
      <c r="L1008" s="130" t="s">
        <v>120</v>
      </c>
    </row>
    <row r="1009" spans="1:16" s="146" customFormat="1" ht="18" x14ac:dyDescent="0.25">
      <c r="A1009" s="649"/>
      <c r="B1009" s="650"/>
      <c r="C1009" s="650"/>
      <c r="D1009" s="36" t="s">
        <v>1215</v>
      </c>
      <c r="E1009" s="184"/>
      <c r="F1009" s="184"/>
      <c r="G1009" s="184"/>
      <c r="H1009" s="100"/>
      <c r="I1009" s="101"/>
      <c r="J1009" s="102"/>
      <c r="K1009" s="101"/>
      <c r="L1009" s="209"/>
      <c r="M1009" s="10"/>
      <c r="N1009" s="10"/>
      <c r="O1009" s="756"/>
      <c r="P1009"/>
    </row>
    <row r="1010" spans="1:16" s="146" customFormat="1" ht="18" customHeight="1" x14ac:dyDescent="0.25">
      <c r="A1010" s="649"/>
      <c r="B1010" s="650"/>
      <c r="C1010" s="650"/>
      <c r="D1010" s="656" t="s">
        <v>1216</v>
      </c>
      <c r="E1010" s="670"/>
      <c r="F1010" s="670"/>
      <c r="G1010" s="400"/>
      <c r="H1010" s="100"/>
      <c r="I1010" s="101"/>
      <c r="J1010" s="102"/>
      <c r="K1010" s="101"/>
      <c r="L1010" s="101">
        <v>100000</v>
      </c>
      <c r="M1010" s="10"/>
      <c r="N1010" s="10"/>
      <c r="O1010" s="756"/>
      <c r="P1010"/>
    </row>
    <row r="1011" spans="1:16" s="146" customFormat="1" ht="36.75" customHeight="1" x14ac:dyDescent="0.25">
      <c r="A1011" s="649"/>
      <c r="B1011" s="650"/>
      <c r="C1011" s="650"/>
      <c r="D1011" s="1637" t="s">
        <v>1217</v>
      </c>
      <c r="E1011" s="1637"/>
      <c r="F1011" s="670"/>
      <c r="G1011" s="400"/>
      <c r="H1011" s="100"/>
      <c r="I1011" s="101"/>
      <c r="J1011" s="102"/>
      <c r="K1011" s="101"/>
      <c r="L1011" s="101">
        <v>600000</v>
      </c>
      <c r="M1011" s="10"/>
      <c r="N1011" s="10"/>
      <c r="O1011" s="756"/>
      <c r="P1011"/>
    </row>
    <row r="1012" spans="1:16" s="146" customFormat="1" ht="18" customHeight="1" x14ac:dyDescent="0.25">
      <c r="A1012" s="649"/>
      <c r="B1012" s="650"/>
      <c r="C1012" s="650"/>
      <c r="D1012" s="656" t="s">
        <v>1218</v>
      </c>
      <c r="E1012" s="670"/>
      <c r="F1012" s="670"/>
      <c r="G1012" s="400"/>
      <c r="H1012" s="100"/>
      <c r="I1012" s="101"/>
      <c r="J1012" s="102"/>
      <c r="K1012" s="101"/>
      <c r="L1012" s="101">
        <v>10000</v>
      </c>
      <c r="M1012" s="10"/>
      <c r="N1012" s="10"/>
      <c r="O1012" s="756"/>
      <c r="P1012"/>
    </row>
    <row r="1013" spans="1:16" s="146" customFormat="1" ht="37.5" customHeight="1" x14ac:dyDescent="0.25">
      <c r="A1013" s="649"/>
      <c r="B1013" s="650"/>
      <c r="C1013" s="650"/>
      <c r="D1013" s="1637" t="s">
        <v>1219</v>
      </c>
      <c r="E1013" s="1637"/>
      <c r="F1013" s="670"/>
      <c r="G1013" s="400"/>
      <c r="H1013" s="100"/>
      <c r="I1013" s="101"/>
      <c r="J1013" s="102"/>
      <c r="K1013" s="101"/>
      <c r="L1013" s="101">
        <v>180000</v>
      </c>
      <c r="M1013" s="10"/>
      <c r="N1013" s="10"/>
      <c r="O1013" s="756"/>
      <c r="P1013"/>
    </row>
    <row r="1014" spans="1:16" s="146" customFormat="1" ht="18" customHeight="1" x14ac:dyDescent="0.25">
      <c r="A1014" s="649"/>
      <c r="B1014" s="650"/>
      <c r="C1014" s="650"/>
      <c r="D1014" s="656" t="s">
        <v>1220</v>
      </c>
      <c r="E1014" s="670"/>
      <c r="F1014" s="670"/>
      <c r="G1014" s="400"/>
      <c r="H1014" s="100"/>
      <c r="I1014" s="101"/>
      <c r="J1014" s="102"/>
      <c r="K1014" s="101"/>
      <c r="L1014" s="102">
        <v>600000</v>
      </c>
      <c r="M1014" s="10"/>
      <c r="N1014" s="10"/>
      <c r="O1014" s="756"/>
      <c r="P1014"/>
    </row>
    <row r="1015" spans="1:16" s="146" customFormat="1" ht="18" customHeight="1" x14ac:dyDescent="0.25">
      <c r="A1015" s="649"/>
      <c r="B1015" s="650"/>
      <c r="C1015" s="650"/>
      <c r="D1015" s="656" t="s">
        <v>1221</v>
      </c>
      <c r="E1015" s="670"/>
      <c r="F1015" s="670"/>
      <c r="G1015" s="400"/>
      <c r="H1015" s="100"/>
      <c r="I1015" s="101"/>
      <c r="J1015" s="102"/>
      <c r="K1015" s="101"/>
      <c r="L1015" s="101">
        <v>25000</v>
      </c>
      <c r="M1015" s="10"/>
      <c r="N1015" s="10"/>
      <c r="O1015" s="756"/>
      <c r="P1015"/>
    </row>
    <row r="1016" spans="1:16" s="146" customFormat="1" ht="18" customHeight="1" x14ac:dyDescent="0.25">
      <c r="A1016" s="649"/>
      <c r="B1016" s="650"/>
      <c r="C1016" s="650"/>
      <c r="D1016" s="656" t="s">
        <v>1222</v>
      </c>
      <c r="E1016" s="670"/>
      <c r="F1016" s="670"/>
      <c r="G1016" s="400"/>
      <c r="H1016" s="100"/>
      <c r="I1016" s="101"/>
      <c r="J1016" s="102"/>
      <c r="K1016" s="101"/>
      <c r="L1016" s="101">
        <v>250000</v>
      </c>
      <c r="M1016" s="10"/>
      <c r="N1016" s="10"/>
      <c r="O1016" s="756"/>
      <c r="P1016"/>
    </row>
    <row r="1017" spans="1:16" s="146" customFormat="1" ht="18" customHeight="1" x14ac:dyDescent="0.25">
      <c r="A1017" s="649"/>
      <c r="B1017" s="650"/>
      <c r="C1017" s="650"/>
      <c r="D1017" s="656" t="s">
        <v>1223</v>
      </c>
      <c r="E1017" s="670"/>
      <c r="F1017" s="670"/>
      <c r="G1017" s="400"/>
      <c r="H1017" s="100"/>
      <c r="I1017" s="101"/>
      <c r="J1017" s="102"/>
      <c r="K1017" s="101"/>
      <c r="L1017" s="102">
        <v>200000</v>
      </c>
      <c r="M1017" s="10"/>
      <c r="N1017" s="10"/>
      <c r="O1017" s="756"/>
      <c r="P1017"/>
    </row>
    <row r="1018" spans="1:16" s="146" customFormat="1" ht="36.75" customHeight="1" x14ac:dyDescent="0.25">
      <c r="A1018" s="649"/>
      <c r="B1018" s="650"/>
      <c r="C1018" s="650"/>
      <c r="D1018" s="1637" t="s">
        <v>1224</v>
      </c>
      <c r="E1018" s="1637"/>
      <c r="F1018" s="670"/>
      <c r="G1018" s="400"/>
      <c r="H1018" s="100"/>
      <c r="I1018" s="101"/>
      <c r="J1018" s="102"/>
      <c r="K1018" s="101"/>
      <c r="L1018" s="102">
        <v>50000</v>
      </c>
      <c r="M1018" s="10"/>
      <c r="N1018" s="10"/>
      <c r="O1018" s="756"/>
      <c r="P1018"/>
    </row>
    <row r="1019" spans="1:16" s="146" customFormat="1" ht="18" customHeight="1" x14ac:dyDescent="0.25">
      <c r="A1019" s="649"/>
      <c r="B1019" s="650"/>
      <c r="C1019" s="650"/>
      <c r="D1019" s="656" t="s">
        <v>1225</v>
      </c>
      <c r="E1019" s="670"/>
      <c r="F1019" s="670"/>
      <c r="G1019" s="400"/>
      <c r="H1019" s="100"/>
      <c r="I1019" s="101"/>
      <c r="J1019" s="102"/>
      <c r="K1019" s="101"/>
      <c r="L1019" s="105">
        <v>50000</v>
      </c>
      <c r="M1019" s="10"/>
      <c r="N1019" s="10"/>
      <c r="O1019" s="756"/>
      <c r="P1019"/>
    </row>
    <row r="1020" spans="1:16" s="146" customFormat="1" ht="18" x14ac:dyDescent="0.25">
      <c r="A1020" s="649"/>
      <c r="B1020" s="650"/>
      <c r="C1020" s="650"/>
      <c r="D1020" s="153" t="s">
        <v>200</v>
      </c>
      <c r="F1020" s="650"/>
      <c r="G1020" s="646"/>
      <c r="H1020" s="100"/>
      <c r="I1020" s="119">
        <f>SUM(I988:I1013)</f>
        <v>439241.76</v>
      </c>
      <c r="J1020" s="150">
        <f>SUM(J988:J1013)</f>
        <v>3321095</v>
      </c>
      <c r="K1020" s="119">
        <f>SUM(K988:K1013)</f>
        <v>290409.59000000003</v>
      </c>
      <c r="L1020" s="119">
        <f>SUM(L988:L1019)</f>
        <v>2957411</v>
      </c>
      <c r="M1020" s="10"/>
      <c r="N1020" s="10">
        <v>2957411</v>
      </c>
      <c r="O1020" s="756"/>
      <c r="P1020"/>
    </row>
    <row r="1021" spans="1:16" s="146" customFormat="1" ht="18" x14ac:dyDescent="0.25">
      <c r="A1021" s="649"/>
      <c r="B1021" s="650"/>
      <c r="C1021" s="650"/>
      <c r="D1021" s="639"/>
      <c r="E1021" s="153"/>
      <c r="F1021" s="650"/>
      <c r="G1021" s="650"/>
      <c r="H1021" s="100"/>
      <c r="I1021" s="155"/>
      <c r="J1021" s="156"/>
      <c r="K1021" s="155"/>
      <c r="L1021" s="155"/>
      <c r="M1021" s="10"/>
      <c r="N1021" s="10"/>
      <c r="O1021" s="756"/>
      <c r="P1021"/>
    </row>
    <row r="1022" spans="1:16" s="146" customFormat="1" ht="18" x14ac:dyDescent="0.25">
      <c r="A1022" s="649"/>
      <c r="B1022" s="650"/>
      <c r="C1022" s="650"/>
      <c r="D1022" s="369" t="s">
        <v>1226</v>
      </c>
      <c r="E1022" s="153"/>
      <c r="F1022" s="650"/>
      <c r="G1022" s="650"/>
      <c r="H1022" s="100"/>
      <c r="I1022" s="155"/>
      <c r="J1022" s="156"/>
      <c r="K1022" s="155"/>
      <c r="L1022" s="155"/>
      <c r="M1022" s="10"/>
      <c r="N1022" s="10"/>
      <c r="O1022" s="756"/>
      <c r="P1022"/>
    </row>
    <row r="1023" spans="1:16" s="146" customFormat="1" ht="18" x14ac:dyDescent="0.25">
      <c r="A1023" s="649"/>
      <c r="B1023" s="650"/>
      <c r="C1023" s="650"/>
      <c r="D1023" s="656" t="s">
        <v>1227</v>
      </c>
      <c r="E1023" s="153"/>
      <c r="F1023" s="650"/>
      <c r="G1023" s="650"/>
      <c r="H1023" s="100"/>
      <c r="I1023" s="155"/>
      <c r="J1023" s="156"/>
      <c r="K1023" s="155"/>
      <c r="L1023" s="101">
        <v>50000</v>
      </c>
      <c r="M1023" s="10"/>
      <c r="N1023" s="10"/>
      <c r="O1023" s="756"/>
      <c r="P1023"/>
    </row>
    <row r="1024" spans="1:16" s="146" customFormat="1" ht="18" x14ac:dyDescent="0.25">
      <c r="A1024" s="649"/>
      <c r="B1024" s="650"/>
      <c r="C1024" s="650"/>
      <c r="D1024" s="153" t="s">
        <v>200</v>
      </c>
      <c r="F1024" s="650"/>
      <c r="G1024" s="650"/>
      <c r="H1024" s="100"/>
      <c r="I1024" s="119"/>
      <c r="J1024" s="150"/>
      <c r="K1024" s="119"/>
      <c r="L1024" s="119">
        <f>SUM(L1023:L1023)</f>
        <v>50000</v>
      </c>
      <c r="M1024" s="10"/>
      <c r="N1024" s="10">
        <v>50000</v>
      </c>
      <c r="O1024" s="756"/>
      <c r="P1024"/>
    </row>
    <row r="1025" spans="1:16" s="146" customFormat="1" ht="18" x14ac:dyDescent="0.25">
      <c r="A1025" s="649"/>
      <c r="B1025" s="650"/>
      <c r="C1025" s="650"/>
      <c r="D1025" s="639"/>
      <c r="E1025" s="153"/>
      <c r="F1025" s="650"/>
      <c r="G1025" s="650"/>
      <c r="H1025" s="100"/>
      <c r="I1025" s="155"/>
      <c r="J1025" s="156"/>
      <c r="K1025" s="155"/>
      <c r="L1025" s="155"/>
      <c r="M1025" s="10"/>
      <c r="N1025" s="10"/>
      <c r="O1025" s="756"/>
      <c r="P1025"/>
    </row>
    <row r="1026" spans="1:16" s="146" customFormat="1" ht="18" x14ac:dyDescent="0.25">
      <c r="A1026" s="649"/>
      <c r="B1026" s="650"/>
      <c r="C1026" s="650"/>
      <c r="D1026" s="36" t="s">
        <v>1228</v>
      </c>
      <c r="E1026" s="450"/>
      <c r="F1026" s="400"/>
      <c r="G1026" s="400"/>
      <c r="H1026" s="100"/>
      <c r="I1026" s="101"/>
      <c r="J1026" s="102"/>
      <c r="K1026" s="101"/>
      <c r="L1026" s="101"/>
      <c r="M1026" s="10"/>
      <c r="N1026" s="10"/>
      <c r="O1026" s="756"/>
      <c r="P1026"/>
    </row>
    <row r="1027" spans="1:16" s="146" customFormat="1" ht="18" x14ac:dyDescent="0.25">
      <c r="A1027" s="649"/>
      <c r="B1027" s="650"/>
      <c r="C1027" s="650"/>
      <c r="D1027" s="656" t="s">
        <v>1229</v>
      </c>
      <c r="E1027" s="157"/>
      <c r="F1027" s="400"/>
      <c r="G1027" s="400"/>
      <c r="H1027" s="100"/>
      <c r="I1027" s="101">
        <v>0</v>
      </c>
      <c r="J1027" s="102">
        <v>30000</v>
      </c>
      <c r="K1027" s="101"/>
      <c r="L1027" s="101">
        <v>30000</v>
      </c>
      <c r="M1027" s="10"/>
      <c r="N1027" s="10"/>
      <c r="O1027" s="756"/>
      <c r="P1027"/>
    </row>
    <row r="1028" spans="1:16" s="146" customFormat="1" ht="18" x14ac:dyDescent="0.25">
      <c r="A1028" s="649"/>
      <c r="B1028" s="650"/>
      <c r="C1028" s="650"/>
      <c r="D1028" s="656" t="s">
        <v>1230</v>
      </c>
      <c r="E1028" s="157"/>
      <c r="F1028" s="400"/>
      <c r="G1028" s="400"/>
      <c r="H1028" s="100"/>
      <c r="I1028" s="101"/>
      <c r="J1028" s="102">
        <v>30000</v>
      </c>
      <c r="K1028" s="101">
        <v>11900</v>
      </c>
      <c r="L1028" s="101">
        <v>30000</v>
      </c>
      <c r="M1028" s="10"/>
      <c r="N1028" s="10"/>
      <c r="O1028" s="756"/>
      <c r="P1028"/>
    </row>
    <row r="1029" spans="1:16" s="146" customFormat="1" ht="18" x14ac:dyDescent="0.25">
      <c r="A1029" s="649"/>
      <c r="B1029" s="650"/>
      <c r="C1029" s="650"/>
      <c r="D1029" s="656" t="s">
        <v>1231</v>
      </c>
      <c r="E1029" s="157"/>
      <c r="F1029" s="400"/>
      <c r="G1029" s="400"/>
      <c r="H1029" s="100"/>
      <c r="I1029" s="101">
        <v>0</v>
      </c>
      <c r="J1029" s="102">
        <v>30000</v>
      </c>
      <c r="K1029" s="101">
        <v>6750</v>
      </c>
      <c r="L1029" s="101">
        <v>30000</v>
      </c>
      <c r="M1029" s="10"/>
      <c r="N1029" s="10"/>
      <c r="O1029" s="756"/>
      <c r="P1029"/>
    </row>
    <row r="1030" spans="1:16" s="146" customFormat="1" ht="18" x14ac:dyDescent="0.25">
      <c r="A1030" s="649"/>
      <c r="B1030" s="650"/>
      <c r="C1030" s="650"/>
      <c r="D1030" s="656" t="s">
        <v>1232</v>
      </c>
      <c r="E1030" s="157"/>
      <c r="F1030" s="400"/>
      <c r="G1030" s="400"/>
      <c r="H1030" s="100"/>
      <c r="I1030" s="101"/>
      <c r="J1030" s="102">
        <v>20000</v>
      </c>
      <c r="K1030" s="101"/>
      <c r="L1030" s="101">
        <v>20000</v>
      </c>
      <c r="M1030" s="10"/>
      <c r="N1030" s="10"/>
      <c r="O1030" s="756"/>
      <c r="P1030"/>
    </row>
    <row r="1031" spans="1:16" s="146" customFormat="1" ht="18" x14ac:dyDescent="0.25">
      <c r="A1031" s="649"/>
      <c r="B1031" s="650"/>
      <c r="C1031" s="650"/>
      <c r="D1031" s="656" t="s">
        <v>1233</v>
      </c>
      <c r="E1031" s="157"/>
      <c r="F1031" s="400"/>
      <c r="G1031" s="400"/>
      <c r="H1031" s="100"/>
      <c r="I1031" s="101"/>
      <c r="J1031" s="102"/>
      <c r="K1031" s="101"/>
      <c r="L1031" s="101">
        <v>20000</v>
      </c>
      <c r="M1031" s="10"/>
      <c r="N1031" s="10"/>
      <c r="O1031" s="756"/>
      <c r="P1031"/>
    </row>
    <row r="1032" spans="1:16" s="146" customFormat="1" ht="18" x14ac:dyDescent="0.25">
      <c r="A1032" s="649"/>
      <c r="B1032" s="650"/>
      <c r="C1032" s="650"/>
      <c r="D1032" s="656" t="s">
        <v>1234</v>
      </c>
      <c r="E1032" s="157"/>
      <c r="F1032" s="400"/>
      <c r="G1032" s="400"/>
      <c r="H1032" s="100"/>
      <c r="I1032" s="101"/>
      <c r="J1032" s="102"/>
      <c r="K1032" s="101"/>
      <c r="L1032" s="101">
        <v>50000</v>
      </c>
      <c r="M1032" s="10"/>
      <c r="N1032" s="10"/>
      <c r="O1032" s="756"/>
      <c r="P1032"/>
    </row>
    <row r="1033" spans="1:16" s="146" customFormat="1" ht="18" x14ac:dyDescent="0.25">
      <c r="A1033" s="649"/>
      <c r="B1033" s="650"/>
      <c r="C1033" s="650"/>
      <c r="D1033" s="656" t="s">
        <v>1235</v>
      </c>
      <c r="E1033" s="157"/>
      <c r="F1033" s="400"/>
      <c r="G1033" s="400"/>
      <c r="H1033" s="100"/>
      <c r="I1033" s="105">
        <v>0</v>
      </c>
      <c r="J1033" s="106">
        <v>100000</v>
      </c>
      <c r="K1033" s="105"/>
      <c r="L1033" s="105">
        <v>100000</v>
      </c>
      <c r="M1033" s="10"/>
      <c r="N1033" s="10"/>
      <c r="O1033" s="756"/>
      <c r="P1033"/>
    </row>
    <row r="1034" spans="1:16" s="146" customFormat="1" ht="18" x14ac:dyDescent="0.25">
      <c r="A1034" s="649"/>
      <c r="B1034" s="650"/>
      <c r="C1034" s="650"/>
      <c r="D1034" s="153" t="s">
        <v>200</v>
      </c>
      <c r="F1034" s="650"/>
      <c r="G1034" s="646"/>
      <c r="H1034" s="100"/>
      <c r="I1034" s="119">
        <f>SUM(I1027:I1033)</f>
        <v>0</v>
      </c>
      <c r="J1034" s="150">
        <f>SUM(J1027:J1033)</f>
        <v>210000</v>
      </c>
      <c r="K1034" s="119">
        <f>SUM(K1027:K1033)</f>
        <v>18650</v>
      </c>
      <c r="L1034" s="119">
        <f>SUM(L1027:L1033)</f>
        <v>280000</v>
      </c>
      <c r="M1034" s="10"/>
      <c r="N1034" s="10">
        <v>280000</v>
      </c>
      <c r="O1034" s="756"/>
      <c r="P1034"/>
    </row>
    <row r="1035" spans="1:16" ht="18.75" thickBot="1" x14ac:dyDescent="0.3">
      <c r="A1035" s="649"/>
      <c r="B1035" s="650"/>
      <c r="C1035" s="650"/>
      <c r="D1035" s="651" t="s">
        <v>15</v>
      </c>
      <c r="F1035" s="413"/>
      <c r="G1035" s="431"/>
      <c r="H1035" s="308"/>
      <c r="I1035" s="123">
        <f>I1034+I1020+I985+I966+I937</f>
        <v>14671024.380000001</v>
      </c>
      <c r="J1035" s="158">
        <f>J1034+J1020+J985+J966+J937</f>
        <v>29765998.210000001</v>
      </c>
      <c r="K1035" s="123">
        <f>K1034+K1020+K985+K966+K937</f>
        <v>3519315.5700000003</v>
      </c>
      <c r="L1035" s="123">
        <f>L1034+L1020+L985+L966+L937+L1024</f>
        <v>33699002.68</v>
      </c>
    </row>
    <row r="1036" spans="1:16" ht="18" x14ac:dyDescent="0.25">
      <c r="A1036" s="649"/>
      <c r="B1036" s="650"/>
      <c r="C1036" s="650"/>
      <c r="D1036" s="639"/>
      <c r="E1036" s="651"/>
      <c r="F1036" s="650"/>
      <c r="G1036" s="650"/>
      <c r="H1036" s="100"/>
      <c r="I1036" s="155"/>
      <c r="J1036" s="156"/>
      <c r="K1036" s="155"/>
      <c r="L1036" s="155"/>
    </row>
    <row r="1037" spans="1:16" ht="18" x14ac:dyDescent="0.25">
      <c r="A1037" s="649"/>
      <c r="B1037" s="650"/>
      <c r="C1037" s="650"/>
      <c r="D1037" s="36" t="s">
        <v>1236</v>
      </c>
      <c r="E1037" s="199"/>
      <c r="F1037" s="199"/>
      <c r="G1037" s="199"/>
      <c r="H1037" s="100"/>
      <c r="I1037" s="101"/>
      <c r="J1037" s="102"/>
      <c r="K1037" s="101"/>
      <c r="L1037" s="101"/>
    </row>
    <row r="1038" spans="1:16" s="146" customFormat="1" ht="18" x14ac:dyDescent="0.25">
      <c r="A1038" s="649"/>
      <c r="B1038" s="650"/>
      <c r="C1038" s="650"/>
      <c r="D1038" s="38" t="s">
        <v>1237</v>
      </c>
      <c r="E1038" s="157"/>
      <c r="F1038" s="199"/>
      <c r="G1038" s="38"/>
      <c r="H1038" s="100"/>
      <c r="I1038" s="101">
        <v>0</v>
      </c>
      <c r="J1038" s="102">
        <v>2000000</v>
      </c>
      <c r="K1038" s="101">
        <v>1191282.5</v>
      </c>
      <c r="L1038" s="101">
        <v>2000000</v>
      </c>
      <c r="M1038" s="10"/>
      <c r="N1038" s="10"/>
      <c r="O1038" s="756"/>
      <c r="P1038"/>
    </row>
    <row r="1039" spans="1:16" s="146" customFormat="1" ht="18" x14ac:dyDescent="0.25">
      <c r="A1039" s="649"/>
      <c r="B1039" s="650"/>
      <c r="C1039" s="650"/>
      <c r="D1039" s="38" t="s">
        <v>1238</v>
      </c>
      <c r="E1039" s="157"/>
      <c r="F1039" s="199"/>
      <c r="G1039" s="199"/>
      <c r="H1039" s="100"/>
      <c r="I1039" s="101">
        <v>0</v>
      </c>
      <c r="J1039" s="102">
        <v>100000</v>
      </c>
      <c r="K1039" s="101"/>
      <c r="L1039" s="101">
        <v>150000</v>
      </c>
      <c r="M1039" s="10"/>
      <c r="N1039" s="10"/>
      <c r="O1039" s="756"/>
      <c r="P1039"/>
    </row>
    <row r="1040" spans="1:16" s="146" customFormat="1" ht="18" x14ac:dyDescent="0.25">
      <c r="A1040" s="649"/>
      <c r="B1040" s="650"/>
      <c r="C1040" s="650"/>
      <c r="D1040" s="38" t="s">
        <v>1239</v>
      </c>
      <c r="E1040" s="157"/>
      <c r="F1040" s="199"/>
      <c r="G1040" s="199"/>
      <c r="H1040" s="100"/>
      <c r="I1040" s="102">
        <v>0</v>
      </c>
      <c r="J1040" s="102">
        <v>300000</v>
      </c>
      <c r="K1040" s="101"/>
      <c r="L1040" s="101">
        <v>500000</v>
      </c>
      <c r="M1040" s="10"/>
      <c r="N1040" s="10"/>
      <c r="O1040" s="756"/>
      <c r="P1040"/>
    </row>
    <row r="1041" spans="1:16" s="146" customFormat="1" ht="18" x14ac:dyDescent="0.25">
      <c r="A1041" s="649"/>
      <c r="B1041" s="650"/>
      <c r="C1041" s="650"/>
      <c r="D1041" s="38" t="s">
        <v>1240</v>
      </c>
      <c r="E1041" s="157"/>
      <c r="F1041" s="199"/>
      <c r="G1041" s="199"/>
      <c r="H1041" s="100"/>
      <c r="I1041" s="102">
        <v>487344</v>
      </c>
      <c r="J1041" s="102">
        <v>500000</v>
      </c>
      <c r="K1041" s="101"/>
      <c r="L1041" s="101">
        <v>500000</v>
      </c>
      <c r="M1041" s="10"/>
      <c r="N1041" s="10"/>
      <c r="O1041" s="756"/>
      <c r="P1041"/>
    </row>
    <row r="1042" spans="1:16" s="313" customFormat="1" ht="18" customHeight="1" x14ac:dyDescent="0.25">
      <c r="A1042" s="675"/>
      <c r="B1042" s="658"/>
      <c r="C1042" s="658"/>
      <c r="D1042" s="669" t="s">
        <v>1241</v>
      </c>
      <c r="E1042" s="671"/>
      <c r="F1042" s="427"/>
      <c r="G1042" s="427"/>
      <c r="H1042" s="423"/>
      <c r="I1042" s="102"/>
      <c r="J1042" s="102"/>
      <c r="K1042" s="101"/>
      <c r="L1042" s="101">
        <v>260000</v>
      </c>
      <c r="M1042" s="193"/>
      <c r="N1042" s="193"/>
      <c r="O1042" s="763"/>
      <c r="P1042" s="179"/>
    </row>
    <row r="1043" spans="1:16" s="313" customFormat="1" ht="18" customHeight="1" x14ac:dyDescent="0.25">
      <c r="A1043" s="675"/>
      <c r="B1043" s="658"/>
      <c r="C1043" s="658"/>
      <c r="D1043" s="669" t="s">
        <v>1242</v>
      </c>
      <c r="E1043" s="671"/>
      <c r="F1043" s="427"/>
      <c r="G1043" s="427"/>
      <c r="H1043" s="423"/>
      <c r="I1043" s="102"/>
      <c r="J1043" s="102"/>
      <c r="K1043" s="101"/>
      <c r="L1043" s="101">
        <v>200000</v>
      </c>
      <c r="M1043" s="193"/>
      <c r="N1043" s="193"/>
      <c r="O1043" s="763"/>
      <c r="P1043" s="179"/>
    </row>
    <row r="1044" spans="1:16" s="313" customFormat="1" ht="18" customHeight="1" x14ac:dyDescent="0.25">
      <c r="A1044" s="675"/>
      <c r="B1044" s="658"/>
      <c r="C1044" s="658"/>
      <c r="D1044" s="669" t="s">
        <v>1243</v>
      </c>
      <c r="E1044" s="671"/>
      <c r="F1044" s="427"/>
      <c r="G1044" s="427"/>
      <c r="H1044" s="423"/>
      <c r="I1044" s="102"/>
      <c r="J1044" s="102"/>
      <c r="K1044" s="101"/>
      <c r="L1044" s="101">
        <v>100000</v>
      </c>
      <c r="M1044" s="193"/>
      <c r="N1044" s="193"/>
      <c r="O1044" s="763"/>
      <c r="P1044" s="179"/>
    </row>
    <row r="1045" spans="1:16" s="313" customFormat="1" ht="18.75" customHeight="1" x14ac:dyDescent="0.25">
      <c r="A1045" s="675"/>
      <c r="B1045" s="658"/>
      <c r="C1045" s="658"/>
      <c r="D1045" s="1628" t="s">
        <v>1244</v>
      </c>
      <c r="E1045" s="1628"/>
      <c r="F1045" s="427"/>
      <c r="G1045" s="427"/>
      <c r="H1045" s="423"/>
      <c r="I1045" s="102"/>
      <c r="J1045" s="102"/>
      <c r="K1045" s="101"/>
      <c r="L1045" s="101">
        <v>500000</v>
      </c>
      <c r="M1045" s="193"/>
      <c r="N1045" s="193"/>
      <c r="O1045" s="763"/>
      <c r="P1045" s="179"/>
    </row>
    <row r="1046" spans="1:16" s="146" customFormat="1" ht="18" x14ac:dyDescent="0.25">
      <c r="A1046" s="649"/>
      <c r="B1046" s="650"/>
      <c r="C1046" s="650"/>
      <c r="D1046" s="38" t="s">
        <v>1371</v>
      </c>
      <c r="E1046" s="157"/>
      <c r="F1046" s="451"/>
      <c r="G1046" s="199"/>
      <c r="H1046" s="100"/>
      <c r="I1046" s="102">
        <v>158363.5</v>
      </c>
      <c r="J1046" s="102">
        <v>0</v>
      </c>
      <c r="K1046" s="101"/>
      <c r="L1046" s="101">
        <v>1600000</v>
      </c>
      <c r="M1046" s="10"/>
      <c r="N1046" s="10"/>
      <c r="O1046" s="756"/>
      <c r="P1046"/>
    </row>
    <row r="1047" spans="1:16" s="313" customFormat="1" ht="18" customHeight="1" x14ac:dyDescent="0.25">
      <c r="A1047" s="675"/>
      <c r="B1047" s="658"/>
      <c r="C1047" s="658"/>
      <c r="D1047" s="669" t="s">
        <v>1245</v>
      </c>
      <c r="E1047" s="671"/>
      <c r="F1047" s="427"/>
      <c r="G1047" s="427"/>
      <c r="H1047" s="423"/>
      <c r="I1047" s="102"/>
      <c r="J1047" s="102"/>
      <c r="K1047" s="101"/>
      <c r="L1047" s="101">
        <v>400000</v>
      </c>
      <c r="M1047" s="193"/>
      <c r="N1047" s="193"/>
      <c r="O1047" s="763"/>
      <c r="P1047" s="179"/>
    </row>
    <row r="1048" spans="1:16" s="146" customFormat="1" ht="18" x14ac:dyDescent="0.25">
      <c r="A1048" s="649"/>
      <c r="B1048" s="650"/>
      <c r="C1048" s="650"/>
      <c r="D1048" s="38" t="s">
        <v>1246</v>
      </c>
      <c r="E1048" s="157"/>
      <c r="F1048" s="199"/>
      <c r="G1048" s="199"/>
      <c r="H1048" s="100"/>
      <c r="I1048" s="102">
        <v>29936170</v>
      </c>
      <c r="J1048" s="102">
        <v>0</v>
      </c>
      <c r="K1048" s="101"/>
      <c r="L1048" s="101">
        <v>41000000</v>
      </c>
      <c r="M1048" s="10"/>
      <c r="N1048" s="10"/>
      <c r="O1048" s="756"/>
      <c r="P1048"/>
    </row>
    <row r="1049" spans="1:16" s="313" customFormat="1" ht="18" customHeight="1" x14ac:dyDescent="0.25">
      <c r="A1049" s="675"/>
      <c r="B1049" s="658"/>
      <c r="C1049" s="658"/>
      <c r="D1049" s="669" t="s">
        <v>1247</v>
      </c>
      <c r="E1049" s="671"/>
      <c r="F1049" s="427"/>
      <c r="G1049" s="427"/>
      <c r="H1049" s="423"/>
      <c r="I1049" s="102"/>
      <c r="J1049" s="102"/>
      <c r="K1049" s="101"/>
      <c r="L1049" s="101">
        <v>20000000</v>
      </c>
      <c r="M1049" s="193"/>
      <c r="N1049" s="193"/>
      <c r="O1049" s="763"/>
      <c r="P1049" s="179"/>
    </row>
    <row r="1050" spans="1:16" s="313" customFormat="1" ht="18" customHeight="1" x14ac:dyDescent="0.25">
      <c r="A1050" s="675"/>
      <c r="B1050" s="658"/>
      <c r="C1050" s="658"/>
      <c r="D1050" s="669" t="s">
        <v>1248</v>
      </c>
      <c r="E1050" s="671"/>
      <c r="F1050" s="427"/>
      <c r="G1050" s="427"/>
      <c r="H1050" s="423"/>
      <c r="I1050" s="102"/>
      <c r="J1050" s="102"/>
      <c r="K1050" s="101"/>
      <c r="L1050" s="101">
        <v>2000000</v>
      </c>
      <c r="M1050" s="193"/>
      <c r="N1050" s="193"/>
      <c r="O1050" s="763"/>
      <c r="P1050" s="179"/>
    </row>
    <row r="1051" spans="1:16" s="146" customFormat="1" ht="36" customHeight="1" x14ac:dyDescent="0.25">
      <c r="A1051" s="649"/>
      <c r="B1051" s="650"/>
      <c r="C1051" s="650"/>
      <c r="D1051" s="1623" t="s">
        <v>1249</v>
      </c>
      <c r="E1051" s="1623"/>
      <c r="F1051" s="199"/>
      <c r="G1051" s="199"/>
      <c r="H1051" s="100"/>
      <c r="I1051" s="102">
        <v>988763.25</v>
      </c>
      <c r="J1051" s="102">
        <v>0</v>
      </c>
      <c r="K1051" s="101"/>
      <c r="L1051" s="101">
        <v>2000000</v>
      </c>
      <c r="M1051" s="10"/>
      <c r="N1051" s="10"/>
      <c r="O1051" s="756"/>
      <c r="P1051"/>
    </row>
    <row r="1052" spans="1:16" s="146" customFormat="1" ht="18" x14ac:dyDescent="0.25">
      <c r="A1052" s="649"/>
      <c r="B1052" s="650"/>
      <c r="C1052" s="650"/>
      <c r="D1052" s="38" t="s">
        <v>1250</v>
      </c>
      <c r="E1052" s="157"/>
      <c r="F1052" s="199"/>
      <c r="G1052" s="199"/>
      <c r="H1052" s="100"/>
      <c r="I1052" s="102"/>
      <c r="J1052" s="102"/>
      <c r="K1052" s="101"/>
      <c r="L1052" s="101"/>
      <c r="M1052" s="10"/>
      <c r="N1052" s="10"/>
      <c r="O1052" s="756"/>
      <c r="P1052"/>
    </row>
    <row r="1053" spans="1:16" s="146" customFormat="1" ht="18" x14ac:dyDescent="0.25">
      <c r="A1053" s="649"/>
      <c r="B1053" s="650"/>
      <c r="C1053" s="650"/>
      <c r="D1053" s="38" t="s">
        <v>1251</v>
      </c>
      <c r="E1053" s="157"/>
      <c r="F1053" s="199"/>
      <c r="G1053" s="38"/>
      <c r="H1053" s="100"/>
      <c r="I1053" s="102">
        <v>2137440</v>
      </c>
      <c r="J1053" s="102">
        <v>0</v>
      </c>
      <c r="K1053" s="101"/>
      <c r="L1053" s="101"/>
      <c r="M1053" s="10"/>
      <c r="N1053" s="10"/>
      <c r="O1053" s="756"/>
      <c r="P1053"/>
    </row>
    <row r="1054" spans="1:16" s="146" customFormat="1" ht="18" x14ac:dyDescent="0.25">
      <c r="A1054" s="649"/>
      <c r="B1054" s="650"/>
      <c r="C1054" s="650"/>
      <c r="D1054" s="38" t="s">
        <v>1252</v>
      </c>
      <c r="E1054" s="157"/>
      <c r="F1054" s="199"/>
      <c r="G1054" s="38"/>
      <c r="H1054" s="100"/>
      <c r="I1054" s="102">
        <v>0</v>
      </c>
      <c r="J1054" s="102">
        <v>0</v>
      </c>
      <c r="K1054" s="101"/>
      <c r="L1054" s="101"/>
      <c r="M1054" s="10"/>
      <c r="N1054" s="10"/>
      <c r="O1054" s="756"/>
      <c r="P1054"/>
    </row>
    <row r="1055" spans="1:16" s="146" customFormat="1" ht="18" x14ac:dyDescent="0.25">
      <c r="A1055" s="649"/>
      <c r="B1055" s="650"/>
      <c r="C1055" s="650"/>
      <c r="D1055" s="38" t="s">
        <v>1253</v>
      </c>
      <c r="E1055" s="157"/>
      <c r="F1055" s="199"/>
      <c r="G1055" s="305"/>
      <c r="H1055" s="100"/>
      <c r="I1055" s="102">
        <v>4060000</v>
      </c>
      <c r="J1055" s="102">
        <v>5000000</v>
      </c>
      <c r="K1055" s="101">
        <v>4000000</v>
      </c>
      <c r="L1055" s="101"/>
      <c r="M1055" s="10"/>
      <c r="N1055" s="10"/>
      <c r="O1055" s="756"/>
      <c r="P1055"/>
    </row>
    <row r="1056" spans="1:16" s="146" customFormat="1" ht="21" customHeight="1" x14ac:dyDescent="0.25">
      <c r="A1056" s="649"/>
      <c r="B1056" s="650"/>
      <c r="C1056" s="650"/>
      <c r="D1056" s="1634" t="s">
        <v>1254</v>
      </c>
      <c r="E1056" s="1634"/>
      <c r="F1056" s="199"/>
      <c r="G1056" s="199"/>
      <c r="H1056" s="100"/>
      <c r="I1056" s="102">
        <v>6577175</v>
      </c>
      <c r="J1056" s="102">
        <v>10000000</v>
      </c>
      <c r="K1056" s="101"/>
      <c r="L1056" s="101"/>
      <c r="M1056" s="10"/>
      <c r="N1056" s="10"/>
      <c r="O1056" s="756"/>
      <c r="P1056"/>
    </row>
    <row r="1057" spans="1:16" s="146" customFormat="1" ht="36.75" customHeight="1" x14ac:dyDescent="0.25">
      <c r="A1057" s="649"/>
      <c r="B1057" s="650"/>
      <c r="C1057" s="650"/>
      <c r="D1057" s="1623" t="s">
        <v>1255</v>
      </c>
      <c r="E1057" s="1623"/>
      <c r="F1057" s="199"/>
      <c r="G1057" s="199"/>
      <c r="H1057" s="100"/>
      <c r="I1057" s="102">
        <v>1093880</v>
      </c>
      <c r="J1057" s="102">
        <v>3000000</v>
      </c>
      <c r="K1057" s="101"/>
      <c r="L1057" s="101"/>
      <c r="M1057" s="10"/>
      <c r="N1057" s="10"/>
      <c r="O1057" s="756"/>
      <c r="P1057"/>
    </row>
    <row r="1058" spans="1:16" s="146" customFormat="1" ht="18" x14ac:dyDescent="0.25">
      <c r="A1058" s="649"/>
      <c r="B1058" s="650"/>
      <c r="C1058" s="650"/>
      <c r="D1058" s="38" t="s">
        <v>1256</v>
      </c>
      <c r="E1058" s="199"/>
      <c r="F1058" s="157"/>
      <c r="G1058" s="199"/>
      <c r="H1058" s="100"/>
      <c r="I1058" s="102"/>
      <c r="J1058" s="102">
        <v>700000</v>
      </c>
      <c r="K1058" s="101"/>
      <c r="L1058" s="101"/>
      <c r="M1058" s="10"/>
      <c r="N1058" s="10"/>
      <c r="O1058" s="756"/>
      <c r="P1058"/>
    </row>
    <row r="1059" spans="1:16" s="146" customFormat="1" ht="36.75" customHeight="1" x14ac:dyDescent="0.25">
      <c r="A1059" s="649"/>
      <c r="B1059" s="650"/>
      <c r="C1059" s="650"/>
      <c r="D1059" s="1623" t="s">
        <v>1257</v>
      </c>
      <c r="E1059" s="1623"/>
      <c r="F1059" s="199"/>
      <c r="G1059" s="199"/>
      <c r="H1059" s="100"/>
      <c r="I1059" s="102">
        <v>5139255</v>
      </c>
      <c r="J1059" s="102">
        <v>5000000</v>
      </c>
      <c r="K1059" s="101"/>
      <c r="L1059" s="101"/>
      <c r="M1059" s="10"/>
      <c r="N1059" s="10"/>
      <c r="O1059" s="756"/>
      <c r="P1059"/>
    </row>
    <row r="1060" spans="1:16" s="146" customFormat="1" ht="18" x14ac:dyDescent="0.25">
      <c r="A1060" s="649"/>
      <c r="B1060" s="650"/>
      <c r="C1060" s="650"/>
      <c r="D1060" s="153" t="s">
        <v>15</v>
      </c>
      <c r="F1060" s="199"/>
      <c r="G1060" s="305"/>
      <c r="H1060" s="100"/>
      <c r="I1060" s="315">
        <f>SUM(I1038:I1059)</f>
        <v>50578390.75</v>
      </c>
      <c r="J1060" s="150">
        <f>SUM(J1038:J1059)</f>
        <v>26600000</v>
      </c>
      <c r="K1060" s="119">
        <f>SUM(K1038:K1059)</f>
        <v>5191282.5</v>
      </c>
      <c r="L1060" s="119">
        <f>SUM(L1038:L1059)</f>
        <v>71210000</v>
      </c>
      <c r="M1060" s="10"/>
      <c r="N1060" s="10"/>
      <c r="O1060" s="756">
        <v>71210000</v>
      </c>
      <c r="P1060"/>
    </row>
    <row r="1061" spans="1:16" s="146" customFormat="1" ht="18" customHeight="1" thickBot="1" x14ac:dyDescent="0.3">
      <c r="A1061" s="187"/>
      <c r="B1061" s="413"/>
      <c r="C1061" s="413"/>
      <c r="D1061" s="1635"/>
      <c r="E1061" s="1635"/>
      <c r="F1061" s="430"/>
      <c r="G1061" s="430"/>
      <c r="H1061" s="308"/>
      <c r="I1061" s="219"/>
      <c r="J1061" s="220"/>
      <c r="K1061" s="219"/>
      <c r="L1061" s="219"/>
      <c r="M1061" s="10"/>
      <c r="N1061" s="10"/>
      <c r="O1061" s="756"/>
      <c r="P1061"/>
    </row>
    <row r="1062" spans="1:16" s="146" customFormat="1" ht="18" customHeight="1" x14ac:dyDescent="0.25">
      <c r="A1062" s="650"/>
      <c r="B1062" s="650"/>
      <c r="C1062" s="650"/>
      <c r="D1062" s="661"/>
      <c r="E1062" s="661"/>
      <c r="F1062" s="199"/>
      <c r="G1062" s="199"/>
      <c r="H1062" s="381"/>
      <c r="I1062" s="141"/>
      <c r="J1062" s="122"/>
      <c r="K1062" s="141"/>
      <c r="L1062" s="141"/>
      <c r="M1062" s="10"/>
      <c r="N1062" s="10"/>
      <c r="O1062" s="756"/>
      <c r="P1062"/>
    </row>
    <row r="1063" spans="1:16" s="146" customFormat="1" ht="18" customHeight="1" x14ac:dyDescent="0.25">
      <c r="A1063" s="650"/>
      <c r="B1063" s="650"/>
      <c r="C1063" s="650"/>
      <c r="D1063" s="661"/>
      <c r="E1063" s="661"/>
      <c r="F1063" s="199"/>
      <c r="G1063" s="199"/>
      <c r="H1063" s="381"/>
      <c r="I1063" s="141"/>
      <c r="J1063" s="122"/>
      <c r="K1063" s="141"/>
      <c r="L1063" s="141"/>
      <c r="M1063" s="10"/>
      <c r="N1063" s="10"/>
      <c r="O1063" s="756"/>
      <c r="P1063"/>
    </row>
    <row r="1064" spans="1:16" ht="18" customHeight="1" x14ac:dyDescent="0.25">
      <c r="A1064" s="235" t="s">
        <v>112</v>
      </c>
      <c r="B1064" s="235"/>
      <c r="C1064" s="235"/>
      <c r="D1064" s="51"/>
      <c r="E1064" s="235"/>
      <c r="F1064" s="235"/>
      <c r="G1064" s="235"/>
      <c r="H1064" s="235"/>
      <c r="I1064" s="160"/>
      <c r="J1064" s="161"/>
      <c r="K1064" s="160"/>
      <c r="L1064" s="160"/>
    </row>
    <row r="1065" spans="1:16" ht="18" customHeight="1" x14ac:dyDescent="0.25">
      <c r="A1065" s="8" t="s">
        <v>1137</v>
      </c>
    </row>
    <row r="1066" spans="1:16" ht="18" customHeight="1" x14ac:dyDescent="0.25">
      <c r="A1066" s="1636" t="s">
        <v>113</v>
      </c>
      <c r="B1066" s="1636"/>
      <c r="C1066" s="1636"/>
      <c r="D1066" s="1636"/>
      <c r="E1066" s="1636"/>
      <c r="F1066" s="1636"/>
      <c r="G1066" s="1636"/>
      <c r="H1066" s="1636"/>
      <c r="I1066" s="1636"/>
      <c r="J1066" s="1636"/>
      <c r="K1066" s="1636"/>
      <c r="L1066" s="1636"/>
    </row>
    <row r="1067" spans="1:16" s="7" customFormat="1" ht="18" customHeight="1" x14ac:dyDescent="0.25">
      <c r="A1067" s="1624" t="s">
        <v>114</v>
      </c>
      <c r="B1067" s="1624"/>
      <c r="C1067" s="1624"/>
      <c r="D1067" s="1624"/>
      <c r="E1067" s="1624"/>
      <c r="F1067" s="1624"/>
      <c r="G1067" s="1624"/>
      <c r="H1067" s="1624"/>
      <c r="I1067" s="1624"/>
      <c r="J1067" s="1624"/>
      <c r="K1067" s="1624"/>
      <c r="L1067" s="1624"/>
      <c r="M1067" s="6"/>
      <c r="N1067" s="6"/>
      <c r="O1067" s="762"/>
    </row>
    <row r="1068" spans="1:16" ht="18.75" thickBot="1" x14ac:dyDescent="0.3">
      <c r="A1068" s="41"/>
      <c r="B1068" s="41"/>
      <c r="C1068" s="41"/>
      <c r="D1068" s="63"/>
      <c r="E1068" s="41"/>
      <c r="F1068" s="41"/>
      <c r="G1068" s="41"/>
      <c r="H1068" s="41"/>
    </row>
    <row r="1069" spans="1:16" ht="63.75" customHeight="1" thickBot="1" x14ac:dyDescent="0.3">
      <c r="A1069" s="1625" t="s">
        <v>115</v>
      </c>
      <c r="B1069" s="1626"/>
      <c r="C1069" s="1626"/>
      <c r="D1069" s="1626"/>
      <c r="E1069" s="1626"/>
      <c r="F1069" s="1626"/>
      <c r="G1069" s="1627"/>
      <c r="H1069" s="93" t="s">
        <v>116</v>
      </c>
      <c r="I1069" s="130" t="s">
        <v>117</v>
      </c>
      <c r="J1069" s="130" t="s">
        <v>118</v>
      </c>
      <c r="K1069" s="130" t="s">
        <v>119</v>
      </c>
      <c r="L1069" s="130" t="s">
        <v>120</v>
      </c>
    </row>
    <row r="1070" spans="1:16" s="146" customFormat="1" ht="18" x14ac:dyDescent="0.25">
      <c r="A1070" s="649"/>
      <c r="B1070" s="650"/>
      <c r="C1070" s="650"/>
      <c r="D1070" s="36" t="s">
        <v>1336</v>
      </c>
      <c r="E1070" s="199"/>
      <c r="F1070" s="199"/>
      <c r="G1070" s="199"/>
      <c r="H1070" s="100"/>
      <c r="I1070" s="101"/>
      <c r="J1070" s="102"/>
      <c r="K1070" s="101"/>
      <c r="L1070" s="101"/>
      <c r="M1070" s="10"/>
      <c r="N1070" s="10"/>
      <c r="O1070" s="756"/>
      <c r="P1070"/>
    </row>
    <row r="1071" spans="1:16" s="146" customFormat="1" ht="35.25" customHeight="1" x14ac:dyDescent="0.25">
      <c r="A1071" s="649"/>
      <c r="B1071" s="650"/>
      <c r="C1071" s="650"/>
      <c r="D1071" s="1628" t="s">
        <v>1372</v>
      </c>
      <c r="E1071" s="1628"/>
      <c r="F1071" s="199"/>
      <c r="G1071" s="199"/>
      <c r="H1071" s="100"/>
      <c r="I1071" s="101"/>
      <c r="J1071" s="102"/>
      <c r="K1071" s="101"/>
      <c r="L1071" s="101">
        <v>8000000</v>
      </c>
      <c r="M1071" s="10"/>
      <c r="N1071" s="10"/>
      <c r="O1071" s="756"/>
      <c r="P1071"/>
    </row>
    <row r="1072" spans="1:16" s="146" customFormat="1" ht="42" customHeight="1" x14ac:dyDescent="0.25">
      <c r="A1072" s="649"/>
      <c r="B1072" s="650"/>
      <c r="C1072" s="650"/>
      <c r="D1072" s="1628" t="s">
        <v>1258</v>
      </c>
      <c r="E1072" s="1628"/>
      <c r="F1072" s="199"/>
      <c r="G1072" s="199"/>
      <c r="H1072" s="100"/>
      <c r="I1072" s="101"/>
      <c r="J1072" s="102"/>
      <c r="K1072" s="101"/>
      <c r="L1072" s="101">
        <v>1000000</v>
      </c>
      <c r="M1072" s="10"/>
      <c r="N1072" s="10"/>
      <c r="O1072" s="756"/>
      <c r="P1072"/>
    </row>
    <row r="1073" spans="1:16" s="146" customFormat="1" ht="18" x14ac:dyDescent="0.25">
      <c r="A1073" s="649"/>
      <c r="B1073" s="650"/>
      <c r="C1073" s="650"/>
      <c r="D1073" s="153" t="s">
        <v>15</v>
      </c>
      <c r="F1073" s="199"/>
      <c r="G1073" s="198"/>
      <c r="H1073" s="100"/>
      <c r="I1073" s="119">
        <f>SUM(I1072:I1072)</f>
        <v>0</v>
      </c>
      <c r="J1073" s="119">
        <f>SUM(J1072:J1072)</f>
        <v>0</v>
      </c>
      <c r="K1073" s="119">
        <f>SUM(K1072:K1072)</f>
        <v>0</v>
      </c>
      <c r="L1073" s="119">
        <f>SUM(L1071:L1072)</f>
        <v>9000000</v>
      </c>
      <c r="M1073" s="10"/>
      <c r="N1073" s="10"/>
      <c r="O1073" s="756">
        <v>9000000</v>
      </c>
      <c r="P1073"/>
    </row>
    <row r="1074" spans="1:16" s="146" customFormat="1" ht="18" x14ac:dyDescent="0.25">
      <c r="A1074" s="649"/>
      <c r="B1074" s="650"/>
      <c r="C1074" s="650"/>
      <c r="D1074" s="38"/>
      <c r="E1074" s="153"/>
      <c r="F1074" s="199"/>
      <c r="G1074" s="198"/>
      <c r="H1074" s="100"/>
      <c r="I1074" s="155"/>
      <c r="J1074" s="156"/>
      <c r="K1074" s="155"/>
      <c r="L1074" s="155"/>
      <c r="M1074" s="10"/>
      <c r="N1074" s="10"/>
      <c r="O1074" s="756"/>
      <c r="P1074"/>
    </row>
    <row r="1075" spans="1:16" ht="18" x14ac:dyDescent="0.25">
      <c r="A1075" s="649"/>
      <c r="B1075" s="650"/>
      <c r="C1075" s="650"/>
      <c r="D1075" s="36" t="s">
        <v>1373</v>
      </c>
      <c r="E1075" s="199"/>
      <c r="F1075" s="199"/>
      <c r="G1075" s="199"/>
      <c r="H1075" s="100"/>
      <c r="I1075" s="101"/>
      <c r="J1075" s="102"/>
      <c r="K1075" s="101"/>
      <c r="L1075" s="101"/>
    </row>
    <row r="1076" spans="1:16" ht="36.75" customHeight="1" x14ac:dyDescent="0.25">
      <c r="A1076" s="649"/>
      <c r="B1076" s="650"/>
      <c r="C1076" s="650"/>
      <c r="D1076" s="1629" t="s">
        <v>1259</v>
      </c>
      <c r="E1076" s="1630"/>
      <c r="F1076" s="1630"/>
      <c r="G1076" s="1631"/>
      <c r="H1076" s="100"/>
      <c r="I1076" s="101">
        <v>0</v>
      </c>
      <c r="J1076" s="102">
        <v>2971000</v>
      </c>
      <c r="K1076" s="101">
        <v>0</v>
      </c>
      <c r="L1076" s="105"/>
    </row>
    <row r="1077" spans="1:16" ht="18" x14ac:dyDescent="0.25">
      <c r="A1077" s="649"/>
      <c r="B1077" s="650"/>
      <c r="C1077" s="650"/>
      <c r="D1077" s="153" t="s">
        <v>15</v>
      </c>
      <c r="F1077" s="650"/>
      <c r="G1077" s="646"/>
      <c r="H1077" s="100"/>
      <c r="I1077" s="119">
        <f>SUM(I1076:I1076)</f>
        <v>0</v>
      </c>
      <c r="J1077" s="150">
        <f>SUM(J1076:J1076)</f>
        <v>2971000</v>
      </c>
      <c r="K1077" s="119">
        <f>SUM(K1076:K1076)</f>
        <v>0</v>
      </c>
      <c r="L1077" s="119">
        <f>SUM(L1076:L1076)</f>
        <v>0</v>
      </c>
    </row>
    <row r="1078" spans="1:16" s="146" customFormat="1" ht="22.5" customHeight="1" x14ac:dyDescent="0.25">
      <c r="A1078" s="668"/>
      <c r="B1078" s="639"/>
      <c r="C1078" s="639"/>
      <c r="D1078" s="1632" t="s">
        <v>1374</v>
      </c>
      <c r="E1078" s="1632"/>
      <c r="F1078" s="1632"/>
      <c r="G1078" s="1633"/>
      <c r="H1078" s="205"/>
      <c r="I1078" s="360">
        <f>I1077+I1073+I1060+I1035+I926+I868+I831+I794+I781+I773+I748+I743+I738+I719+I701+I689+I671+I635+I626+I599+I565+I496+I449+I421+I401+I372+I361+I344+I874+I681+I473</f>
        <v>102348524.19</v>
      </c>
      <c r="J1078" s="360">
        <f>J1077+J1073+J1060+J1035+J926+J868+J831+J794+J781+J773+J748+J743+J738+J719+J701+J689+J671+J635+J626+J599+J565+J496+J449+J421+J401+J372+J361+J344+J874+J681+J473</f>
        <v>183522159.26000002</v>
      </c>
      <c r="K1078" s="360">
        <f>K1077+K1073+K1060+K1035+K926+K868+K831+K794+K781+K773+K748+K743+K738+K719+K701+K689+K671+K635+K626+K599+K565+K496+K449+K421+K401+K372+K361+K344+K874+K681+K473</f>
        <v>18252259.880000003</v>
      </c>
      <c r="L1078" s="360">
        <f>L1077+L1073+L1060+L1035+L926+L868+L831+L794+L781+L773+L748+L743+L738+L719+L701+L689+L671+L635+L626+L599+L565+L496+L449+L421+L401+L372+L361+L344+L874+L681+L473+L489</f>
        <v>228996244.69999999</v>
      </c>
      <c r="M1078" s="760">
        <f>SUM(M108:M1077)</f>
        <v>57050334.019999996</v>
      </c>
      <c r="N1078" s="760">
        <f>SUM(N108:N1077)</f>
        <v>150990522.68000001</v>
      </c>
      <c r="O1078" s="767">
        <f>SUM(O108:O1077)</f>
        <v>101373035</v>
      </c>
    </row>
    <row r="1079" spans="1:16" s="146" customFormat="1" ht="19.5" customHeight="1" x14ac:dyDescent="0.25">
      <c r="A1079" s="649"/>
      <c r="B1079" s="650"/>
      <c r="C1079" s="650"/>
      <c r="D1079" s="152" t="s">
        <v>1375</v>
      </c>
      <c r="E1079" s="152"/>
      <c r="G1079" s="644"/>
      <c r="H1079" s="301"/>
      <c r="I1079" s="315" t="e">
        <f>I1078+I287+I278+I256+I244+I230+I95+#REF!+I235</f>
        <v>#REF!</v>
      </c>
      <c r="J1079" s="315" t="e">
        <f>J1078+J287+J278+J256+J244+J230+J95+#REF!+J235</f>
        <v>#REF!</v>
      </c>
      <c r="K1079" s="315" t="e">
        <f>K1078+K287+K278+K256+K244+K230+K95+#REF!+K235</f>
        <v>#REF!</v>
      </c>
      <c r="L1079" s="315" t="e">
        <f>L1078+L287+L278+L256+L244+L230+L95+#REF!+L235</f>
        <v>#REF!</v>
      </c>
      <c r="M1079" s="10"/>
      <c r="N1079" s="10"/>
      <c r="O1079" s="756"/>
      <c r="P1079"/>
    </row>
    <row r="1080" spans="1:16" s="146" customFormat="1" ht="18.75" thickBot="1" x14ac:dyDescent="0.3">
      <c r="A1080" s="187"/>
      <c r="B1080" s="413"/>
      <c r="C1080" s="413"/>
      <c r="D1080" s="318"/>
      <c r="E1080" s="659"/>
      <c r="F1080" s="659"/>
      <c r="G1080" s="660"/>
      <c r="H1080" s="392"/>
      <c r="I1080" s="452"/>
      <c r="J1080" s="183"/>
      <c r="K1080" s="182"/>
      <c r="L1080" s="182"/>
      <c r="M1080" s="10"/>
      <c r="N1080" s="10"/>
      <c r="O1080" s="756"/>
      <c r="P1080"/>
    </row>
    <row r="1081" spans="1:16" s="146" customFormat="1" ht="18" x14ac:dyDescent="0.25">
      <c r="A1081" s="650"/>
      <c r="B1081" s="650"/>
      <c r="C1081" s="650"/>
      <c r="D1081" s="639"/>
      <c r="E1081" s="650"/>
      <c r="F1081" s="650"/>
      <c r="G1081" s="650"/>
      <c r="H1081" s="381"/>
      <c r="I1081" s="141"/>
      <c r="J1081" s="122"/>
      <c r="K1081" s="141"/>
      <c r="L1081" s="141"/>
      <c r="M1081" s="10"/>
      <c r="N1081" s="10"/>
      <c r="O1081" s="756"/>
      <c r="P1081"/>
    </row>
    <row r="1082" spans="1:16" s="146" customFormat="1" ht="18" x14ac:dyDescent="0.25">
      <c r="A1082" s="650"/>
      <c r="B1082" s="650"/>
      <c r="C1082" s="650"/>
      <c r="D1082" s="639"/>
      <c r="E1082" s="650"/>
      <c r="F1082" s="650"/>
      <c r="G1082" s="650"/>
      <c r="H1082" s="381"/>
      <c r="I1082" s="141"/>
      <c r="J1082" s="122"/>
      <c r="K1082" s="141"/>
      <c r="L1082" s="141"/>
      <c r="M1082" s="10"/>
      <c r="N1082" s="10"/>
      <c r="O1082" s="756"/>
      <c r="P1082"/>
    </row>
    <row r="1083" spans="1:16" s="146" customFormat="1" ht="18" x14ac:dyDescent="0.25">
      <c r="A1083" s="650"/>
      <c r="B1083" s="650"/>
      <c r="C1083" s="650"/>
      <c r="D1083" s="639"/>
      <c r="E1083" s="650"/>
      <c r="F1083" s="650"/>
      <c r="G1083" s="650"/>
      <c r="H1083" s="381"/>
      <c r="I1083" s="141"/>
      <c r="J1083" s="122"/>
      <c r="K1083" s="141"/>
      <c r="L1083" s="141"/>
      <c r="M1083" s="10"/>
      <c r="N1083" s="10"/>
      <c r="O1083" s="756"/>
      <c r="P1083"/>
    </row>
    <row r="1084" spans="1:16" s="146" customFormat="1" ht="18" x14ac:dyDescent="0.25">
      <c r="A1084" s="650"/>
      <c r="B1084" s="650"/>
      <c r="C1084" s="650"/>
      <c r="D1084" s="639"/>
      <c r="E1084" s="650"/>
      <c r="F1084" s="650"/>
      <c r="G1084" s="650"/>
      <c r="H1084" s="381"/>
      <c r="I1084" s="141"/>
      <c r="J1084" s="122"/>
      <c r="K1084" s="141"/>
      <c r="L1084" s="141"/>
      <c r="M1084" s="10"/>
      <c r="N1084" s="10"/>
      <c r="O1084" s="756"/>
      <c r="P1084"/>
    </row>
    <row r="1085" spans="1:16" s="146" customFormat="1" ht="18" x14ac:dyDescent="0.25">
      <c r="A1085" s="650"/>
      <c r="B1085" s="650"/>
      <c r="C1085" s="650"/>
      <c r="D1085" s="639"/>
      <c r="E1085" s="650"/>
      <c r="F1085" s="650"/>
      <c r="G1085" s="650"/>
      <c r="H1085" s="381"/>
      <c r="I1085" s="141"/>
      <c r="J1085" s="122"/>
      <c r="K1085" s="141"/>
      <c r="L1085" s="141"/>
      <c r="M1085" s="10"/>
      <c r="N1085" s="10"/>
      <c r="O1085" s="756"/>
      <c r="P1085"/>
    </row>
    <row r="1086" spans="1:16" s="146" customFormat="1" ht="18" x14ac:dyDescent="0.25">
      <c r="A1086" s="650"/>
      <c r="B1086" s="650"/>
      <c r="C1086" s="650"/>
      <c r="D1086" s="639"/>
      <c r="E1086" s="650"/>
      <c r="F1086" s="650"/>
      <c r="G1086" s="650"/>
      <c r="H1086" s="381"/>
      <c r="I1086" s="141"/>
      <c r="J1086" s="122"/>
      <c r="K1086" s="141"/>
      <c r="L1086" s="141"/>
      <c r="M1086" s="10"/>
      <c r="N1086" s="10"/>
      <c r="O1086" s="756"/>
      <c r="P1086"/>
    </row>
    <row r="1087" spans="1:16" s="146" customFormat="1" ht="18" x14ac:dyDescent="0.25">
      <c r="A1087" s="650"/>
      <c r="B1087" s="650"/>
      <c r="C1087" s="650"/>
      <c r="D1087" s="639"/>
      <c r="E1087" s="650"/>
      <c r="F1087" s="650"/>
      <c r="G1087" s="650"/>
      <c r="H1087" s="381"/>
      <c r="I1087" s="141"/>
      <c r="J1087" s="122"/>
      <c r="K1087" s="141"/>
      <c r="L1087" s="141"/>
      <c r="M1087" s="10"/>
      <c r="N1087" s="10"/>
      <c r="O1087" s="756"/>
      <c r="P1087"/>
    </row>
    <row r="1088" spans="1:16" s="146" customFormat="1" ht="18" x14ac:dyDescent="0.25">
      <c r="A1088" s="650"/>
      <c r="B1088" s="650"/>
      <c r="C1088" s="650"/>
      <c r="D1088" s="639"/>
      <c r="E1088" s="650"/>
      <c r="F1088" s="650"/>
      <c r="G1088" s="650"/>
      <c r="H1088" s="381"/>
      <c r="I1088" s="141"/>
      <c r="J1088" s="122"/>
      <c r="K1088" s="141"/>
      <c r="L1088" s="141"/>
      <c r="M1088" s="10"/>
      <c r="N1088" s="10"/>
      <c r="O1088" s="756"/>
      <c r="P1088"/>
    </row>
    <row r="1089" spans="1:16" s="146" customFormat="1" ht="18" x14ac:dyDescent="0.25">
      <c r="A1089" s="650"/>
      <c r="B1089" s="650"/>
      <c r="C1089" s="650"/>
      <c r="D1089" s="639"/>
      <c r="E1089" s="650"/>
      <c r="F1089" s="650"/>
      <c r="G1089" s="650"/>
      <c r="H1089" s="381"/>
      <c r="I1089" s="141"/>
      <c r="J1089" s="122"/>
      <c r="K1089" s="141"/>
      <c r="L1089" s="141"/>
      <c r="M1089" s="10"/>
      <c r="N1089" s="10"/>
      <c r="O1089" s="756"/>
      <c r="P1089"/>
    </row>
    <row r="1090" spans="1:16" s="146" customFormat="1" ht="18" x14ac:dyDescent="0.25">
      <c r="A1090" s="650"/>
      <c r="B1090" s="650"/>
      <c r="C1090" s="650"/>
      <c r="D1090" s="639"/>
      <c r="E1090" s="650"/>
      <c r="F1090" s="650"/>
      <c r="G1090" s="650"/>
      <c r="H1090" s="381"/>
      <c r="I1090" s="141"/>
      <c r="J1090" s="122"/>
      <c r="K1090" s="141"/>
      <c r="L1090" s="141"/>
      <c r="M1090" s="10"/>
      <c r="N1090" s="10"/>
      <c r="O1090" s="756"/>
      <c r="P1090"/>
    </row>
    <row r="1091" spans="1:16" s="146" customFormat="1" ht="18" x14ac:dyDescent="0.25">
      <c r="A1091" s="650"/>
      <c r="B1091" s="650"/>
      <c r="C1091" s="650"/>
      <c r="D1091" s="639"/>
      <c r="E1091" s="650"/>
      <c r="F1091" s="650"/>
      <c r="G1091" s="650"/>
      <c r="H1091" s="381"/>
      <c r="I1091" s="141"/>
      <c r="J1091" s="122"/>
      <c r="K1091" s="141"/>
      <c r="L1091" s="141"/>
      <c r="M1091" s="10"/>
      <c r="N1091" s="10"/>
      <c r="O1091" s="756"/>
      <c r="P1091"/>
    </row>
    <row r="1092" spans="1:16" s="146" customFormat="1" ht="18" x14ac:dyDescent="0.25">
      <c r="A1092" s="650"/>
      <c r="B1092" s="650"/>
      <c r="C1092" s="650"/>
      <c r="D1092" s="639"/>
      <c r="E1092" s="650"/>
      <c r="F1092" s="650"/>
      <c r="G1092" s="650"/>
      <c r="H1092" s="381"/>
      <c r="I1092" s="141"/>
      <c r="J1092" s="122"/>
      <c r="K1092" s="141"/>
      <c r="L1092" s="141"/>
      <c r="M1092" s="10"/>
      <c r="N1092" s="10"/>
      <c r="O1092" s="756"/>
      <c r="P1092"/>
    </row>
    <row r="1093" spans="1:16" s="146" customFormat="1" ht="18" x14ac:dyDescent="0.25">
      <c r="A1093" s="650"/>
      <c r="B1093" s="650"/>
      <c r="C1093" s="650"/>
      <c r="D1093" s="639"/>
      <c r="E1093" s="650"/>
      <c r="F1093" s="650"/>
      <c r="G1093" s="650"/>
      <c r="H1093" s="381"/>
      <c r="I1093" s="141"/>
      <c r="J1093" s="122"/>
      <c r="K1093" s="141"/>
      <c r="L1093" s="141"/>
      <c r="M1093" s="10"/>
      <c r="N1093" s="10"/>
      <c r="O1093" s="756"/>
      <c r="P1093"/>
    </row>
    <row r="1094" spans="1:16" s="146" customFormat="1" ht="18" x14ac:dyDescent="0.25">
      <c r="A1094" s="650"/>
      <c r="B1094" s="650"/>
      <c r="C1094" s="650"/>
      <c r="D1094" s="639"/>
      <c r="E1094" s="650"/>
      <c r="F1094" s="650"/>
      <c r="G1094" s="650"/>
      <c r="H1094" s="381"/>
      <c r="I1094" s="141"/>
      <c r="J1094" s="122"/>
      <c r="K1094" s="141"/>
      <c r="L1094" s="141"/>
      <c r="M1094" s="10"/>
      <c r="N1094" s="10"/>
      <c r="O1094" s="756"/>
      <c r="P1094"/>
    </row>
    <row r="1095" spans="1:16" s="146" customFormat="1" ht="18" x14ac:dyDescent="0.25">
      <c r="A1095" s="650"/>
      <c r="B1095" s="650"/>
      <c r="C1095" s="650"/>
      <c r="D1095" s="639"/>
      <c r="E1095" s="650"/>
      <c r="F1095" s="650"/>
      <c r="G1095" s="650"/>
      <c r="H1095" s="381"/>
      <c r="I1095" s="141"/>
      <c r="J1095" s="122"/>
      <c r="K1095" s="141"/>
      <c r="L1095" s="141"/>
      <c r="M1095" s="10"/>
      <c r="N1095" s="10"/>
      <c r="O1095" s="756"/>
      <c r="P1095"/>
    </row>
    <row r="1096" spans="1:16" s="146" customFormat="1" ht="18" x14ac:dyDescent="0.25">
      <c r="A1096" s="650"/>
      <c r="B1096" s="650"/>
      <c r="C1096" s="650"/>
      <c r="D1096" s="639"/>
      <c r="E1096" s="650"/>
      <c r="F1096" s="650"/>
      <c r="G1096" s="650"/>
      <c r="H1096" s="381"/>
      <c r="I1096" s="141"/>
      <c r="J1096" s="122"/>
      <c r="K1096" s="141"/>
      <c r="L1096" s="141"/>
      <c r="M1096" s="10"/>
      <c r="N1096" s="10"/>
      <c r="O1096" s="756"/>
      <c r="P1096"/>
    </row>
    <row r="1097" spans="1:16" s="146" customFormat="1" ht="18" x14ac:dyDescent="0.25">
      <c r="A1097" s="650"/>
      <c r="B1097" s="650"/>
      <c r="C1097" s="650"/>
      <c r="D1097" s="639"/>
      <c r="E1097" s="650"/>
      <c r="F1097" s="650"/>
      <c r="G1097" s="650"/>
      <c r="H1097" s="381"/>
      <c r="I1097" s="141"/>
      <c r="J1097" s="122"/>
      <c r="K1097" s="141"/>
      <c r="L1097" s="141"/>
      <c r="M1097" s="10"/>
      <c r="N1097" s="10"/>
      <c r="O1097" s="756"/>
      <c r="P1097"/>
    </row>
    <row r="1098" spans="1:16" s="146" customFormat="1" ht="18" x14ac:dyDescent="0.25">
      <c r="A1098" s="650"/>
      <c r="B1098" s="650"/>
      <c r="C1098" s="650"/>
      <c r="D1098" s="639"/>
      <c r="E1098" s="650"/>
      <c r="F1098" s="650"/>
      <c r="G1098" s="650"/>
      <c r="H1098" s="381"/>
      <c r="I1098" s="141"/>
      <c r="J1098" s="122"/>
      <c r="K1098" s="141"/>
      <c r="L1098" s="141"/>
      <c r="M1098" s="10"/>
      <c r="N1098" s="10"/>
      <c r="O1098" s="756"/>
      <c r="P1098"/>
    </row>
    <row r="1099" spans="1:16" s="146" customFormat="1" ht="18" x14ac:dyDescent="0.25">
      <c r="A1099" s="650"/>
      <c r="B1099" s="650"/>
      <c r="C1099" s="650"/>
      <c r="D1099" s="639"/>
      <c r="E1099" s="650"/>
      <c r="F1099" s="650"/>
      <c r="G1099" s="650"/>
      <c r="H1099" s="381"/>
      <c r="I1099" s="141"/>
      <c r="J1099" s="122"/>
      <c r="K1099" s="141"/>
      <c r="L1099" s="141"/>
      <c r="M1099" s="10"/>
      <c r="N1099" s="10"/>
      <c r="O1099" s="756"/>
      <c r="P1099"/>
    </row>
    <row r="1100" spans="1:16" s="146" customFormat="1" ht="18" x14ac:dyDescent="0.25">
      <c r="A1100" s="650"/>
      <c r="B1100" s="650"/>
      <c r="C1100" s="650"/>
      <c r="D1100" s="639"/>
      <c r="E1100" s="650"/>
      <c r="F1100" s="650"/>
      <c r="G1100" s="650"/>
      <c r="H1100" s="381"/>
      <c r="I1100" s="141"/>
      <c r="J1100" s="122"/>
      <c r="K1100" s="141"/>
      <c r="L1100" s="141"/>
      <c r="M1100" s="10"/>
      <c r="N1100" s="10"/>
      <c r="O1100" s="756"/>
      <c r="P1100"/>
    </row>
    <row r="1101" spans="1:16" s="146" customFormat="1" ht="18" x14ac:dyDescent="0.25">
      <c r="A1101" s="650"/>
      <c r="B1101" s="650"/>
      <c r="C1101" s="650"/>
      <c r="D1101" s="639"/>
      <c r="E1101" s="650"/>
      <c r="F1101" s="650"/>
      <c r="G1101" s="650"/>
      <c r="H1101" s="381"/>
      <c r="I1101" s="141"/>
      <c r="J1101" s="122"/>
      <c r="K1101" s="141"/>
      <c r="L1101" s="141"/>
      <c r="M1101" s="10"/>
      <c r="N1101" s="10"/>
      <c r="O1101" s="756"/>
      <c r="P1101"/>
    </row>
    <row r="1102" spans="1:16" s="146" customFormat="1" ht="18" x14ac:dyDescent="0.25">
      <c r="A1102" s="650"/>
      <c r="B1102" s="650"/>
      <c r="C1102" s="650"/>
      <c r="D1102" s="639"/>
      <c r="E1102" s="650"/>
      <c r="F1102" s="650"/>
      <c r="G1102" s="650"/>
      <c r="H1102" s="381"/>
      <c r="I1102" s="141"/>
      <c r="J1102" s="122"/>
      <c r="K1102" s="141"/>
      <c r="L1102" s="141"/>
      <c r="M1102" s="10"/>
      <c r="N1102" s="10"/>
      <c r="O1102" s="756"/>
      <c r="P1102"/>
    </row>
    <row r="1103" spans="1:16" s="146" customFormat="1" ht="18" x14ac:dyDescent="0.25">
      <c r="A1103" s="650"/>
      <c r="B1103" s="650"/>
      <c r="C1103" s="650"/>
      <c r="D1103" s="639"/>
      <c r="E1103" s="650"/>
      <c r="F1103" s="650"/>
      <c r="G1103" s="650"/>
      <c r="H1103" s="381"/>
      <c r="I1103" s="141"/>
      <c r="J1103" s="122"/>
      <c r="K1103" s="141"/>
      <c r="L1103" s="141"/>
      <c r="M1103" s="10"/>
      <c r="N1103" s="10"/>
      <c r="O1103" s="756"/>
      <c r="P1103"/>
    </row>
    <row r="1104" spans="1:16" s="146" customFormat="1" ht="18" x14ac:dyDescent="0.25">
      <c r="A1104" s="650"/>
      <c r="B1104" s="650"/>
      <c r="C1104" s="650"/>
      <c r="D1104" s="639"/>
      <c r="E1104" s="650"/>
      <c r="F1104" s="650"/>
      <c r="G1104" s="650"/>
      <c r="H1104" s="381"/>
      <c r="I1104" s="141"/>
      <c r="J1104" s="122"/>
      <c r="K1104" s="141"/>
      <c r="L1104" s="141"/>
      <c r="M1104" s="10"/>
      <c r="N1104" s="10"/>
      <c r="O1104" s="756"/>
      <c r="P1104"/>
    </row>
    <row r="1105" spans="1:16" s="146" customFormat="1" ht="18" x14ac:dyDescent="0.25">
      <c r="A1105" s="650"/>
      <c r="B1105" s="650"/>
      <c r="C1105" s="650"/>
      <c r="D1105" s="639"/>
      <c r="E1105" s="650"/>
      <c r="F1105" s="650"/>
      <c r="G1105" s="650"/>
      <c r="H1105" s="381"/>
      <c r="I1105" s="141"/>
      <c r="J1105" s="122"/>
      <c r="K1105" s="141"/>
      <c r="L1105" s="141"/>
      <c r="M1105" s="10"/>
      <c r="N1105" s="10"/>
      <c r="O1105" s="756"/>
      <c r="P1105"/>
    </row>
    <row r="1106" spans="1:16" s="146" customFormat="1" ht="18" x14ac:dyDescent="0.25">
      <c r="A1106" s="650"/>
      <c r="B1106" s="650"/>
      <c r="C1106" s="650"/>
      <c r="D1106" s="639"/>
      <c r="E1106" s="650"/>
      <c r="F1106" s="650"/>
      <c r="G1106" s="650"/>
      <c r="H1106" s="381"/>
      <c r="I1106" s="141"/>
      <c r="J1106" s="122"/>
      <c r="K1106" s="141"/>
      <c r="L1106" s="141"/>
      <c r="M1106" s="10"/>
      <c r="N1106" s="10"/>
      <c r="O1106" s="756"/>
      <c r="P1106"/>
    </row>
    <row r="1107" spans="1:16" s="146" customFormat="1" ht="18" x14ac:dyDescent="0.25">
      <c r="A1107" s="650"/>
      <c r="B1107" s="650"/>
      <c r="C1107" s="650"/>
      <c r="D1107" s="639"/>
      <c r="E1107" s="650"/>
      <c r="F1107" s="650"/>
      <c r="G1107" s="650"/>
      <c r="H1107" s="381"/>
      <c r="I1107" s="141"/>
      <c r="J1107" s="122"/>
      <c r="K1107" s="141"/>
      <c r="L1107" s="141"/>
      <c r="M1107" s="10"/>
      <c r="N1107" s="10"/>
      <c r="O1107" s="756"/>
      <c r="P1107"/>
    </row>
    <row r="1108" spans="1:16" s="146" customFormat="1" ht="18" x14ac:dyDescent="0.25">
      <c r="A1108" s="650"/>
      <c r="B1108" s="650"/>
      <c r="C1108" s="650"/>
      <c r="D1108" s="639"/>
      <c r="E1108" s="650"/>
      <c r="F1108" s="650"/>
      <c r="G1108" s="650"/>
      <c r="H1108" s="381"/>
      <c r="I1108" s="141"/>
      <c r="J1108" s="122"/>
      <c r="K1108" s="141"/>
      <c r="L1108" s="141"/>
      <c r="M1108" s="10"/>
      <c r="N1108" s="10"/>
      <c r="O1108" s="756"/>
      <c r="P1108"/>
    </row>
    <row r="1109" spans="1:16" s="146" customFormat="1" ht="18" x14ac:dyDescent="0.25">
      <c r="A1109" s="650"/>
      <c r="B1109" s="650"/>
      <c r="C1109" s="650"/>
      <c r="D1109" s="639"/>
      <c r="E1109" s="650"/>
      <c r="F1109" s="650"/>
      <c r="G1109" s="650"/>
      <c r="H1109" s="381"/>
      <c r="I1109" s="141"/>
      <c r="J1109" s="122"/>
      <c r="K1109" s="141"/>
      <c r="L1109" s="141"/>
      <c r="M1109" s="10"/>
      <c r="N1109" s="10"/>
      <c r="O1109" s="756"/>
      <c r="P1109"/>
    </row>
    <row r="1110" spans="1:16" s="146" customFormat="1" ht="18" x14ac:dyDescent="0.25">
      <c r="A1110" s="650"/>
      <c r="B1110" s="650"/>
      <c r="C1110" s="650"/>
      <c r="D1110" s="639"/>
      <c r="E1110" s="650"/>
      <c r="F1110" s="650"/>
      <c r="G1110" s="650"/>
      <c r="H1110" s="381"/>
      <c r="I1110" s="141"/>
      <c r="J1110" s="122"/>
      <c r="K1110" s="141"/>
      <c r="L1110" s="141"/>
      <c r="M1110" s="10"/>
      <c r="N1110" s="10"/>
      <c r="O1110" s="756"/>
      <c r="P1110"/>
    </row>
    <row r="1111" spans="1:16" s="146" customFormat="1" ht="18" x14ac:dyDescent="0.25">
      <c r="A1111" s="650"/>
      <c r="B1111" s="650"/>
      <c r="C1111" s="650"/>
      <c r="D1111" s="639"/>
      <c r="E1111" s="650"/>
      <c r="F1111" s="650"/>
      <c r="G1111" s="650"/>
      <c r="H1111" s="381"/>
      <c r="I1111" s="141"/>
      <c r="J1111" s="122"/>
      <c r="K1111" s="141"/>
      <c r="L1111" s="141"/>
      <c r="M1111" s="10"/>
      <c r="N1111" s="10"/>
      <c r="O1111" s="756"/>
      <c r="P1111"/>
    </row>
    <row r="1112" spans="1:16" s="146" customFormat="1" ht="18" x14ac:dyDescent="0.25">
      <c r="A1112" s="650"/>
      <c r="B1112" s="650"/>
      <c r="C1112" s="650"/>
      <c r="D1112" s="639"/>
      <c r="E1112" s="650"/>
      <c r="F1112" s="650"/>
      <c r="G1112" s="650"/>
      <c r="H1112" s="381"/>
      <c r="I1112" s="141"/>
      <c r="J1112" s="122"/>
      <c r="K1112" s="141"/>
      <c r="L1112" s="141"/>
      <c r="M1112" s="10"/>
      <c r="N1112" s="10"/>
      <c r="O1112" s="756"/>
      <c r="P1112"/>
    </row>
    <row r="1113" spans="1:16" s="146" customFormat="1" ht="18" x14ac:dyDescent="0.25">
      <c r="A1113" s="650"/>
      <c r="B1113" s="650"/>
      <c r="C1113" s="650"/>
      <c r="D1113" s="639"/>
      <c r="E1113" s="650"/>
      <c r="F1113" s="650"/>
      <c r="G1113" s="650"/>
      <c r="H1113" s="381"/>
      <c r="I1113" s="141"/>
      <c r="J1113" s="122"/>
      <c r="K1113" s="141"/>
      <c r="L1113" s="141"/>
      <c r="M1113" s="10"/>
      <c r="N1113" s="10"/>
      <c r="O1113" s="756"/>
      <c r="P1113"/>
    </row>
    <row r="1114" spans="1:16" s="146" customFormat="1" ht="18" x14ac:dyDescent="0.25">
      <c r="A1114" s="650"/>
      <c r="B1114" s="650"/>
      <c r="C1114" s="650"/>
      <c r="D1114" s="639"/>
      <c r="E1114" s="650"/>
      <c r="F1114" s="650"/>
      <c r="G1114" s="650"/>
      <c r="H1114" s="381"/>
      <c r="I1114" s="141"/>
      <c r="J1114" s="122"/>
      <c r="K1114" s="141"/>
      <c r="L1114" s="141"/>
      <c r="M1114" s="10"/>
      <c r="N1114" s="10"/>
      <c r="O1114" s="756"/>
      <c r="P1114"/>
    </row>
    <row r="1115" spans="1:16" s="146" customFormat="1" ht="18" x14ac:dyDescent="0.25">
      <c r="A1115" s="650"/>
      <c r="B1115" s="650"/>
      <c r="C1115" s="650"/>
      <c r="D1115" s="639"/>
      <c r="E1115" s="650"/>
      <c r="F1115" s="650"/>
      <c r="G1115" s="650"/>
      <c r="H1115" s="381"/>
      <c r="I1115" s="141"/>
      <c r="J1115" s="122"/>
      <c r="K1115" s="141"/>
      <c r="L1115" s="141"/>
      <c r="M1115" s="10"/>
      <c r="N1115" s="10"/>
      <c r="O1115" s="756"/>
      <c r="P1115"/>
    </row>
    <row r="1116" spans="1:16" s="146" customFormat="1" ht="18" x14ac:dyDescent="0.25">
      <c r="A1116" s="650"/>
      <c r="B1116" s="650"/>
      <c r="C1116" s="650"/>
      <c r="D1116" s="639"/>
      <c r="E1116" s="650"/>
      <c r="F1116" s="650"/>
      <c r="G1116" s="650"/>
      <c r="H1116" s="381"/>
      <c r="I1116" s="141"/>
      <c r="J1116" s="122"/>
      <c r="K1116" s="141"/>
      <c r="L1116" s="141"/>
      <c r="M1116" s="10"/>
      <c r="N1116" s="10"/>
      <c r="O1116" s="756"/>
      <c r="P1116"/>
    </row>
    <row r="1117" spans="1:16" s="146" customFormat="1" ht="18" x14ac:dyDescent="0.25">
      <c r="A1117" s="650"/>
      <c r="B1117" s="650"/>
      <c r="C1117" s="650"/>
      <c r="D1117" s="639"/>
      <c r="E1117" s="650"/>
      <c r="F1117" s="650"/>
      <c r="G1117" s="650"/>
      <c r="H1117" s="381"/>
      <c r="I1117" s="141"/>
      <c r="J1117" s="122"/>
      <c r="K1117" s="141"/>
      <c r="L1117" s="141"/>
      <c r="M1117" s="10"/>
      <c r="N1117" s="10"/>
      <c r="O1117" s="756"/>
      <c r="P1117"/>
    </row>
    <row r="1118" spans="1:16" s="146" customFormat="1" ht="18" x14ac:dyDescent="0.25">
      <c r="A1118" s="650"/>
      <c r="B1118" s="650"/>
      <c r="C1118" s="650"/>
      <c r="D1118" s="639"/>
      <c r="E1118" s="650"/>
      <c r="F1118" s="650"/>
      <c r="G1118" s="650"/>
      <c r="H1118" s="381"/>
      <c r="I1118" s="141"/>
      <c r="J1118" s="122"/>
      <c r="K1118" s="141"/>
      <c r="L1118" s="141"/>
      <c r="M1118" s="10"/>
      <c r="N1118" s="10"/>
      <c r="O1118" s="756"/>
      <c r="P1118"/>
    </row>
    <row r="1119" spans="1:16" s="146" customFormat="1" ht="18" x14ac:dyDescent="0.25">
      <c r="A1119" s="650"/>
      <c r="B1119" s="650"/>
      <c r="C1119" s="650"/>
      <c r="D1119" s="639"/>
      <c r="E1119" s="650"/>
      <c r="F1119" s="650"/>
      <c r="G1119" s="650"/>
      <c r="H1119" s="381"/>
      <c r="I1119" s="141"/>
      <c r="J1119" s="122"/>
      <c r="K1119" s="141"/>
      <c r="L1119" s="141"/>
      <c r="M1119" s="10"/>
      <c r="N1119" s="10"/>
      <c r="O1119" s="756"/>
      <c r="P1119"/>
    </row>
    <row r="1120" spans="1:16" s="146" customFormat="1" ht="18" x14ac:dyDescent="0.25">
      <c r="A1120" s="650"/>
      <c r="B1120" s="650"/>
      <c r="C1120" s="650"/>
      <c r="D1120" s="639"/>
      <c r="E1120" s="650"/>
      <c r="F1120" s="650"/>
      <c r="G1120" s="650"/>
      <c r="H1120" s="381"/>
      <c r="I1120" s="141"/>
      <c r="J1120" s="122"/>
      <c r="K1120" s="141"/>
      <c r="L1120" s="141"/>
      <c r="M1120" s="10"/>
      <c r="N1120" s="10"/>
      <c r="O1120" s="756"/>
      <c r="P1120"/>
    </row>
    <row r="1121" spans="1:16" s="146" customFormat="1" ht="18" x14ac:dyDescent="0.25">
      <c r="A1121" s="650"/>
      <c r="B1121" s="650"/>
      <c r="C1121" s="650"/>
      <c r="D1121" s="639"/>
      <c r="E1121" s="650"/>
      <c r="F1121" s="650"/>
      <c r="G1121" s="650"/>
      <c r="H1121" s="381"/>
      <c r="I1121" s="141"/>
      <c r="J1121" s="122"/>
      <c r="K1121" s="141"/>
      <c r="L1121" s="141"/>
      <c r="M1121" s="10"/>
      <c r="N1121" s="10"/>
      <c r="O1121" s="756"/>
      <c r="P1121"/>
    </row>
    <row r="1122" spans="1:16" s="146" customFormat="1" ht="18" x14ac:dyDescent="0.25">
      <c r="A1122" s="650"/>
      <c r="B1122" s="650"/>
      <c r="C1122" s="650"/>
      <c r="D1122" s="639"/>
      <c r="E1122" s="650"/>
      <c r="F1122" s="650"/>
      <c r="G1122" s="650"/>
      <c r="H1122" s="381"/>
      <c r="I1122" s="141"/>
      <c r="J1122" s="122"/>
      <c r="K1122" s="141"/>
      <c r="L1122" s="141"/>
      <c r="M1122" s="10"/>
      <c r="N1122" s="10"/>
      <c r="O1122" s="756"/>
      <c r="P1122"/>
    </row>
    <row r="1123" spans="1:16" s="146" customFormat="1" ht="18" x14ac:dyDescent="0.25">
      <c r="A1123" s="650"/>
      <c r="B1123" s="650"/>
      <c r="C1123" s="650"/>
      <c r="D1123" s="639"/>
      <c r="E1123" s="650"/>
      <c r="F1123" s="650"/>
      <c r="G1123" s="650"/>
      <c r="H1123" s="381"/>
      <c r="I1123" s="141"/>
      <c r="J1123" s="122"/>
      <c r="K1123" s="141"/>
      <c r="L1123" s="141"/>
      <c r="M1123" s="10"/>
      <c r="N1123" s="10"/>
      <c r="O1123" s="756"/>
      <c r="P1123"/>
    </row>
    <row r="1124" spans="1:16" s="146" customFormat="1" ht="18" x14ac:dyDescent="0.25">
      <c r="A1124" s="650"/>
      <c r="B1124" s="650"/>
      <c r="C1124" s="650"/>
      <c r="D1124" s="639"/>
      <c r="E1124" s="650"/>
      <c r="F1124" s="650"/>
      <c r="G1124" s="650"/>
      <c r="H1124" s="381"/>
      <c r="I1124" s="141"/>
      <c r="J1124" s="122"/>
      <c r="K1124" s="141"/>
      <c r="L1124" s="141"/>
      <c r="M1124" s="10"/>
      <c r="N1124" s="10"/>
      <c r="O1124" s="756"/>
      <c r="P1124"/>
    </row>
    <row r="1125" spans="1:16" s="146" customFormat="1" ht="18" x14ac:dyDescent="0.25">
      <c r="A1125" s="650"/>
      <c r="B1125" s="650"/>
      <c r="C1125" s="650"/>
      <c r="D1125" s="639"/>
      <c r="E1125" s="650"/>
      <c r="F1125" s="650"/>
      <c r="G1125" s="650"/>
      <c r="H1125" s="381"/>
      <c r="I1125" s="141"/>
      <c r="J1125" s="122"/>
      <c r="K1125" s="141"/>
      <c r="L1125" s="141"/>
      <c r="M1125" s="10"/>
      <c r="N1125" s="10"/>
      <c r="O1125" s="756"/>
      <c r="P1125"/>
    </row>
    <row r="1126" spans="1:16" s="146" customFormat="1" ht="18" x14ac:dyDescent="0.25">
      <c r="A1126" s="650"/>
      <c r="B1126" s="650"/>
      <c r="C1126" s="650"/>
      <c r="D1126" s="639"/>
      <c r="E1126" s="650"/>
      <c r="F1126" s="650"/>
      <c r="G1126" s="650"/>
      <c r="H1126" s="381"/>
      <c r="I1126" s="141"/>
      <c r="J1126" s="122"/>
      <c r="K1126" s="141"/>
      <c r="L1126" s="141"/>
      <c r="M1126" s="10"/>
      <c r="N1126" s="10"/>
      <c r="O1126" s="756"/>
      <c r="P1126"/>
    </row>
    <row r="1127" spans="1:16" s="146" customFormat="1" ht="18" x14ac:dyDescent="0.25">
      <c r="A1127" s="649"/>
      <c r="B1127" s="650" t="s">
        <v>123</v>
      </c>
      <c r="C1127" s="654" t="s">
        <v>1388</v>
      </c>
      <c r="D1127" s="1602" t="s">
        <v>124</v>
      </c>
      <c r="E1127" s="1603"/>
      <c r="F1127" s="1603"/>
      <c r="G1127" s="1603"/>
      <c r="H1127" s="100" t="s">
        <v>125</v>
      </c>
      <c r="I1127" s="101">
        <v>2065820.82</v>
      </c>
      <c r="J1127" s="102">
        <v>2925708</v>
      </c>
      <c r="K1127" s="101">
        <v>1282836.69</v>
      </c>
      <c r="L1127" s="101">
        <v>3171624</v>
      </c>
      <c r="M1127" s="10"/>
      <c r="N1127" s="10"/>
      <c r="O1127" s="756"/>
      <c r="P1127"/>
    </row>
    <row r="1128" spans="1:16" s="146" customFormat="1" ht="18" x14ac:dyDescent="0.25">
      <c r="A1128" s="649"/>
      <c r="B1128" s="650" t="s">
        <v>123</v>
      </c>
      <c r="C1128" s="654" t="s">
        <v>1388</v>
      </c>
      <c r="D1128" s="1602" t="s">
        <v>126</v>
      </c>
      <c r="E1128" s="1603"/>
      <c r="F1128" s="1603"/>
      <c r="G1128" s="1603"/>
      <c r="H1128" s="100" t="s">
        <v>127</v>
      </c>
      <c r="I1128" s="101">
        <v>587673.22</v>
      </c>
      <c r="J1128" s="102">
        <v>749880</v>
      </c>
      <c r="K1128" s="101">
        <v>273088.09999999998</v>
      </c>
      <c r="L1128" s="101">
        <v>813600</v>
      </c>
      <c r="M1128" s="10"/>
      <c r="N1128" s="10"/>
      <c r="O1128" s="756"/>
      <c r="P1128"/>
    </row>
    <row r="1129" spans="1:16" s="146" customFormat="1" ht="15" customHeight="1" x14ac:dyDescent="0.25">
      <c r="A1129" s="649"/>
      <c r="B1129" s="650" t="s">
        <v>123</v>
      </c>
      <c r="C1129" s="654" t="s">
        <v>1388</v>
      </c>
      <c r="D1129" s="639" t="s">
        <v>128</v>
      </c>
      <c r="E1129" s="650"/>
      <c r="F1129" s="650"/>
      <c r="G1129" s="646"/>
      <c r="H1129" s="100" t="s">
        <v>125</v>
      </c>
      <c r="I1129" s="101"/>
      <c r="J1129" s="102">
        <v>2009</v>
      </c>
      <c r="K1129" s="101"/>
      <c r="L1129" s="101">
        <v>2513.38</v>
      </c>
      <c r="M1129" s="10"/>
      <c r="N1129" s="10"/>
      <c r="O1129" s="756"/>
      <c r="P1129"/>
    </row>
    <row r="1130" spans="1:16" s="146" customFormat="1" ht="18" x14ac:dyDescent="0.25">
      <c r="A1130" s="649"/>
      <c r="B1130" s="650" t="s">
        <v>123</v>
      </c>
      <c r="C1130" s="654" t="s">
        <v>1388</v>
      </c>
      <c r="D1130" s="1602" t="s">
        <v>129</v>
      </c>
      <c r="E1130" s="1603"/>
      <c r="F1130" s="1603"/>
      <c r="G1130" s="1603"/>
      <c r="H1130" s="103" t="s">
        <v>130</v>
      </c>
      <c r="I1130" s="101">
        <v>395727.31</v>
      </c>
      <c r="J1130" s="102">
        <v>576000</v>
      </c>
      <c r="K1130" s="101">
        <v>241909.09</v>
      </c>
      <c r="L1130" s="101">
        <v>576000</v>
      </c>
      <c r="M1130" s="10"/>
      <c r="N1130" s="10"/>
      <c r="O1130" s="756"/>
      <c r="P1130"/>
    </row>
    <row r="1131" spans="1:16" s="146" customFormat="1" ht="18" x14ac:dyDescent="0.25">
      <c r="A1131" s="649"/>
      <c r="B1131" s="650" t="s">
        <v>123</v>
      </c>
      <c r="C1131" s="654" t="s">
        <v>1388</v>
      </c>
      <c r="D1131" s="1602" t="s">
        <v>135</v>
      </c>
      <c r="E1131" s="1603"/>
      <c r="F1131" s="1603"/>
      <c r="G1131" s="1603"/>
      <c r="H1131" s="100" t="s">
        <v>136</v>
      </c>
      <c r="I1131" s="101">
        <v>244412.07</v>
      </c>
      <c r="J1131" s="102">
        <v>606092.16</v>
      </c>
      <c r="K1131" s="101">
        <v>172549.97</v>
      </c>
      <c r="L1131" s="101">
        <v>1336195.2</v>
      </c>
      <c r="M1131" s="10"/>
      <c r="N1131" s="10"/>
      <c r="O1131" s="756"/>
      <c r="P1131"/>
    </row>
    <row r="1132" spans="1:16" s="146" customFormat="1" ht="18" x14ac:dyDescent="0.25">
      <c r="A1132" s="649"/>
      <c r="B1132" s="650" t="s">
        <v>123</v>
      </c>
      <c r="C1132" s="654" t="s">
        <v>1388</v>
      </c>
      <c r="D1132" s="1602" t="s">
        <v>137</v>
      </c>
      <c r="E1132" s="1603"/>
      <c r="F1132" s="1603"/>
      <c r="G1132" s="1603"/>
      <c r="H1132" s="100" t="s">
        <v>138</v>
      </c>
      <c r="I1132" s="101">
        <v>84000</v>
      </c>
      <c r="J1132" s="102">
        <v>144000</v>
      </c>
      <c r="K1132" s="101">
        <v>108000</v>
      </c>
      <c r="L1132" s="101">
        <v>144000</v>
      </c>
      <c r="M1132" s="10"/>
      <c r="N1132" s="10"/>
      <c r="O1132" s="756"/>
      <c r="P1132"/>
    </row>
    <row r="1133" spans="1:16" s="146" customFormat="1" ht="18" customHeight="1" x14ac:dyDescent="0.25">
      <c r="A1133" s="649"/>
      <c r="B1133" s="650" t="s">
        <v>123</v>
      </c>
      <c r="C1133" s="654" t="s">
        <v>1388</v>
      </c>
      <c r="D1133" s="1602" t="s">
        <v>139</v>
      </c>
      <c r="E1133" s="1603"/>
      <c r="F1133" s="1603"/>
      <c r="G1133" s="1603"/>
      <c r="H1133" s="100" t="s">
        <v>140</v>
      </c>
      <c r="I1133" s="101">
        <v>213863</v>
      </c>
      <c r="J1133" s="102">
        <v>306425</v>
      </c>
      <c r="K1133" s="101">
        <v>233314</v>
      </c>
      <c r="L1133" s="101">
        <v>332297</v>
      </c>
      <c r="M1133" s="10"/>
      <c r="N1133" s="10"/>
      <c r="O1133" s="756"/>
      <c r="P1133"/>
    </row>
    <row r="1134" spans="1:16" s="146" customFormat="1" ht="18" x14ac:dyDescent="0.25">
      <c r="A1134" s="649"/>
      <c r="B1134" s="650" t="s">
        <v>123</v>
      </c>
      <c r="C1134" s="654" t="s">
        <v>1388</v>
      </c>
      <c r="D1134" s="1602" t="s">
        <v>141</v>
      </c>
      <c r="E1134" s="1603"/>
      <c r="F1134" s="1603"/>
      <c r="G1134" s="1603"/>
      <c r="H1134" s="100" t="s">
        <v>142</v>
      </c>
      <c r="I1134" s="101">
        <v>214025</v>
      </c>
      <c r="J1134" s="102">
        <v>306425</v>
      </c>
      <c r="K1134" s="101"/>
      <c r="L1134" s="101">
        <v>332384</v>
      </c>
      <c r="M1134" s="10"/>
      <c r="N1134" s="10"/>
      <c r="O1134" s="756"/>
      <c r="P1134"/>
    </row>
    <row r="1135" spans="1:16" s="146" customFormat="1" ht="18" x14ac:dyDescent="0.25">
      <c r="A1135" s="649"/>
      <c r="B1135" s="650" t="s">
        <v>123</v>
      </c>
      <c r="C1135" s="654" t="s">
        <v>1388</v>
      </c>
      <c r="D1135" s="1602" t="s">
        <v>143</v>
      </c>
      <c r="E1135" s="1603"/>
      <c r="F1135" s="1603"/>
      <c r="G1135" s="1603"/>
      <c r="H1135" s="100" t="s">
        <v>144</v>
      </c>
      <c r="I1135" s="101">
        <v>90000</v>
      </c>
      <c r="J1135" s="102">
        <v>120000</v>
      </c>
      <c r="K1135" s="101"/>
      <c r="L1135" s="101">
        <v>120000</v>
      </c>
      <c r="M1135" s="10"/>
      <c r="N1135" s="10"/>
      <c r="O1135" s="756"/>
      <c r="P1135"/>
    </row>
    <row r="1136" spans="1:16" s="146" customFormat="1" ht="18" x14ac:dyDescent="0.25">
      <c r="A1136" s="649"/>
      <c r="B1136" s="650" t="s">
        <v>123</v>
      </c>
      <c r="C1136" s="654" t="s">
        <v>1388</v>
      </c>
      <c r="D1136" s="1602" t="s">
        <v>145</v>
      </c>
      <c r="E1136" s="1603"/>
      <c r="F1136" s="1603"/>
      <c r="G1136" s="1603"/>
      <c r="H1136" s="100" t="s">
        <v>146</v>
      </c>
      <c r="I1136" s="101">
        <v>90000</v>
      </c>
      <c r="J1136" s="102">
        <v>120000</v>
      </c>
      <c r="K1136" s="101"/>
      <c r="L1136" s="101">
        <v>120000</v>
      </c>
      <c r="M1136" s="10"/>
      <c r="N1136" s="10"/>
      <c r="O1136" s="756"/>
      <c r="P1136"/>
    </row>
    <row r="1137" spans="1:16" s="146" customFormat="1" ht="18" x14ac:dyDescent="0.25">
      <c r="A1137" s="649"/>
      <c r="B1137" s="650" t="s">
        <v>123</v>
      </c>
      <c r="C1137" s="654" t="s">
        <v>1388</v>
      </c>
      <c r="D1137" s="639" t="s">
        <v>149</v>
      </c>
      <c r="E1137" s="650"/>
      <c r="F1137" s="650"/>
      <c r="G1137" s="646"/>
      <c r="H1137" s="100" t="s">
        <v>150</v>
      </c>
      <c r="I1137" s="101">
        <v>232312.5</v>
      </c>
      <c r="J1137" s="102">
        <v>0</v>
      </c>
      <c r="K1137" s="101"/>
      <c r="L1137" s="101"/>
      <c r="M1137" s="10"/>
      <c r="N1137" s="10"/>
      <c r="O1137" s="756"/>
      <c r="P1137"/>
    </row>
    <row r="1138" spans="1:16" s="146" customFormat="1" ht="18" x14ac:dyDescent="0.25">
      <c r="A1138" s="649"/>
      <c r="B1138" s="650" t="s">
        <v>123</v>
      </c>
      <c r="C1138" s="654" t="s">
        <v>1388</v>
      </c>
      <c r="D1138" s="1602" t="s">
        <v>151</v>
      </c>
      <c r="E1138" s="1603"/>
      <c r="F1138" s="1603"/>
      <c r="G1138" s="1603"/>
      <c r="H1138" s="100" t="s">
        <v>148</v>
      </c>
      <c r="I1138" s="101">
        <v>180000</v>
      </c>
      <c r="J1138" s="102"/>
      <c r="K1138" s="101"/>
      <c r="L1138" s="101"/>
      <c r="M1138" s="10"/>
      <c r="N1138" s="10"/>
      <c r="O1138" s="756"/>
      <c r="P1138"/>
    </row>
    <row r="1139" spans="1:16" s="146" customFormat="1" ht="18" x14ac:dyDescent="0.25">
      <c r="A1139" s="649"/>
      <c r="B1139" s="650" t="s">
        <v>123</v>
      </c>
      <c r="C1139" s="654" t="s">
        <v>1388</v>
      </c>
      <c r="D1139" s="639" t="s">
        <v>231</v>
      </c>
      <c r="E1139" s="650"/>
      <c r="F1139" s="650"/>
      <c r="G1139" s="646"/>
      <c r="H1139" s="100" t="s">
        <v>232</v>
      </c>
      <c r="I1139" s="101"/>
      <c r="J1139" s="102">
        <v>10000</v>
      </c>
      <c r="K1139" s="101"/>
      <c r="L1139" s="101">
        <v>5000</v>
      </c>
      <c r="M1139" s="10"/>
      <c r="N1139" s="10"/>
      <c r="O1139" s="756"/>
      <c r="P1139"/>
    </row>
    <row r="1140" spans="1:16" s="146" customFormat="1" ht="18" x14ac:dyDescent="0.25">
      <c r="A1140" s="649"/>
      <c r="B1140" s="650" t="s">
        <v>123</v>
      </c>
      <c r="C1140" s="654" t="s">
        <v>1388</v>
      </c>
      <c r="D1140" s="656" t="s">
        <v>147</v>
      </c>
      <c r="E1140" s="650"/>
      <c r="F1140" s="650"/>
      <c r="G1140" s="646"/>
      <c r="H1140" s="100" t="s">
        <v>148</v>
      </c>
      <c r="I1140" s="101"/>
      <c r="J1140" s="102"/>
      <c r="K1140" s="101"/>
      <c r="L1140" s="101">
        <v>72000</v>
      </c>
      <c r="M1140" s="10"/>
      <c r="N1140" s="10"/>
      <c r="O1140" s="756"/>
      <c r="P1140"/>
    </row>
    <row r="1141" spans="1:16" s="146" customFormat="1" ht="18" customHeight="1" x14ac:dyDescent="0.25">
      <c r="A1141" s="649"/>
      <c r="B1141" s="650" t="s">
        <v>123</v>
      </c>
      <c r="C1141" s="654" t="s">
        <v>1388</v>
      </c>
      <c r="D1141" s="1611" t="s">
        <v>152</v>
      </c>
      <c r="E1141" s="1611"/>
      <c r="F1141" s="1611"/>
      <c r="G1141" s="1602"/>
      <c r="H1141" s="100"/>
      <c r="I1141" s="101"/>
      <c r="J1141" s="102">
        <v>205766.2</v>
      </c>
      <c r="K1141" s="101"/>
      <c r="L1141" s="101"/>
      <c r="M1141" s="10"/>
      <c r="N1141" s="10"/>
      <c r="O1141" s="756"/>
      <c r="P1141"/>
    </row>
    <row r="1142" spans="1:16" s="146" customFormat="1" ht="18" x14ac:dyDescent="0.25">
      <c r="A1142" s="649"/>
      <c r="B1142" s="650" t="s">
        <v>123</v>
      </c>
      <c r="C1142" s="654" t="s">
        <v>1388</v>
      </c>
      <c r="D1142" s="1602" t="s">
        <v>153</v>
      </c>
      <c r="E1142" s="1603"/>
      <c r="F1142" s="1603"/>
      <c r="G1142" s="1603"/>
      <c r="H1142" s="100" t="s">
        <v>154</v>
      </c>
      <c r="I1142" s="101">
        <v>286241.37</v>
      </c>
      <c r="J1142" s="102">
        <v>441311.64</v>
      </c>
      <c r="K1142" s="101">
        <v>184897.96</v>
      </c>
      <c r="L1142" s="101">
        <v>478528.48</v>
      </c>
      <c r="M1142" s="10"/>
      <c r="N1142" s="10"/>
      <c r="O1142" s="756"/>
      <c r="P1142"/>
    </row>
    <row r="1143" spans="1:16" s="146" customFormat="1" ht="18" x14ac:dyDescent="0.25">
      <c r="A1143" s="649"/>
      <c r="B1143" s="650" t="s">
        <v>123</v>
      </c>
      <c r="C1143" s="654" t="s">
        <v>1388</v>
      </c>
      <c r="D1143" s="1602" t="s">
        <v>155</v>
      </c>
      <c r="E1143" s="1603"/>
      <c r="F1143" s="1603"/>
      <c r="G1143" s="1603"/>
      <c r="H1143" s="100" t="s">
        <v>156</v>
      </c>
      <c r="I1143" s="101">
        <v>19600</v>
      </c>
      <c r="J1143" s="102">
        <v>28800</v>
      </c>
      <c r="K1143" s="101">
        <v>15005.92</v>
      </c>
      <c r="L1143" s="101">
        <v>28800</v>
      </c>
      <c r="M1143" s="10"/>
      <c r="N1143" s="10"/>
      <c r="O1143" s="756"/>
      <c r="P1143"/>
    </row>
    <row r="1144" spans="1:16" s="146" customFormat="1" ht="18" x14ac:dyDescent="0.25">
      <c r="A1144" s="649"/>
      <c r="B1144" s="650" t="s">
        <v>123</v>
      </c>
      <c r="C1144" s="654" t="s">
        <v>1388</v>
      </c>
      <c r="D1144" s="1602" t="s">
        <v>157</v>
      </c>
      <c r="E1144" s="1603"/>
      <c r="F1144" s="1603"/>
      <c r="G1144" s="1603"/>
      <c r="H1144" s="100" t="s">
        <v>158</v>
      </c>
      <c r="I1144" s="101">
        <v>35484.800000000003</v>
      </c>
      <c r="J1144" s="102">
        <v>64357.95</v>
      </c>
      <c r="K1144" s="101">
        <v>23869.67</v>
      </c>
      <c r="L1144" s="101">
        <v>159880.53</v>
      </c>
      <c r="M1144" s="10"/>
      <c r="N1144" s="10"/>
      <c r="O1144" s="756"/>
      <c r="P1144"/>
    </row>
    <row r="1145" spans="1:16" s="146" customFormat="1" ht="18" x14ac:dyDescent="0.25">
      <c r="A1145" s="649"/>
      <c r="B1145" s="650" t="s">
        <v>123</v>
      </c>
      <c r="C1145" s="654" t="s">
        <v>1388</v>
      </c>
      <c r="D1145" s="1602" t="s">
        <v>159</v>
      </c>
      <c r="E1145" s="1603"/>
      <c r="F1145" s="1603"/>
      <c r="G1145" s="1603"/>
      <c r="H1145" s="100" t="s">
        <v>160</v>
      </c>
      <c r="I1145" s="105">
        <v>19604.32</v>
      </c>
      <c r="J1145" s="106">
        <v>28800</v>
      </c>
      <c r="K1145" s="105">
        <v>12400</v>
      </c>
      <c r="L1145" s="105">
        <v>28800</v>
      </c>
      <c r="M1145" s="10"/>
      <c r="N1145" s="10"/>
      <c r="O1145" s="756"/>
      <c r="P1145"/>
    </row>
    <row r="1146" spans="1:16" s="229" customFormat="1" ht="18" customHeight="1" x14ac:dyDescent="0.25">
      <c r="A1146" s="154"/>
      <c r="B1146" s="650" t="s">
        <v>163</v>
      </c>
      <c r="C1146" s="654" t="s">
        <v>1388</v>
      </c>
      <c r="D1146" s="44" t="s">
        <v>168</v>
      </c>
      <c r="E1146" s="125"/>
      <c r="F1146" s="125"/>
      <c r="G1146" s="134"/>
      <c r="H1146" s="100" t="s">
        <v>169</v>
      </c>
      <c r="I1146" s="101">
        <v>73940</v>
      </c>
      <c r="J1146" s="102">
        <v>92706</v>
      </c>
      <c r="K1146" s="101">
        <v>48916.5</v>
      </c>
      <c r="L1146" s="101">
        <v>96656</v>
      </c>
      <c r="M1146" s="207"/>
      <c r="N1146" s="207"/>
      <c r="O1146" s="764"/>
      <c r="P1146" s="212"/>
    </row>
    <row r="1147" spans="1:16" s="229" customFormat="1" ht="18" customHeight="1" x14ac:dyDescent="0.25">
      <c r="A1147" s="154"/>
      <c r="B1147" s="650" t="s">
        <v>163</v>
      </c>
      <c r="C1147" s="654" t="s">
        <v>1388</v>
      </c>
      <c r="D1147" s="44" t="s">
        <v>172</v>
      </c>
      <c r="E1147" s="125"/>
      <c r="F1147" s="125"/>
      <c r="G1147" s="134"/>
      <c r="H1147" s="100" t="s">
        <v>173</v>
      </c>
      <c r="I1147" s="101">
        <v>781124.36</v>
      </c>
      <c r="J1147" s="102">
        <v>1525050</v>
      </c>
      <c r="K1147" s="101">
        <v>312132.07</v>
      </c>
      <c r="L1147" s="101">
        <v>1503330</v>
      </c>
      <c r="M1147" s="207"/>
      <c r="N1147" s="207"/>
      <c r="O1147" s="764"/>
      <c r="P1147" s="212"/>
    </row>
    <row r="1148" spans="1:16" s="229" customFormat="1" ht="18" customHeight="1" x14ac:dyDescent="0.25">
      <c r="A1148" s="154"/>
      <c r="B1148" s="650" t="s">
        <v>163</v>
      </c>
      <c r="C1148" s="654" t="s">
        <v>1388</v>
      </c>
      <c r="D1148" s="44" t="s">
        <v>170</v>
      </c>
      <c r="E1148" s="125"/>
      <c r="F1148" s="125"/>
      <c r="G1148" s="655"/>
      <c r="H1148" s="100" t="s">
        <v>171</v>
      </c>
      <c r="I1148" s="101"/>
      <c r="J1148" s="102"/>
      <c r="K1148" s="101"/>
      <c r="L1148" s="101">
        <f>1962843+2077629.21-8800</f>
        <v>4031672.21</v>
      </c>
      <c r="M1148" s="207">
        <f>2119431.45+10097.76</f>
        <v>2129529.21</v>
      </c>
      <c r="N1148" s="207"/>
      <c r="O1148" s="764"/>
      <c r="P1148" s="212"/>
    </row>
    <row r="1149" spans="1:16" s="229" customFormat="1" ht="18" customHeight="1" x14ac:dyDescent="0.25">
      <c r="A1149" s="154"/>
      <c r="B1149" s="650" t="s">
        <v>163</v>
      </c>
      <c r="C1149" s="654" t="s">
        <v>1388</v>
      </c>
      <c r="D1149" s="44" t="s">
        <v>1262</v>
      </c>
      <c r="E1149" s="125"/>
      <c r="F1149" s="125"/>
      <c r="G1149" s="134"/>
      <c r="H1149" s="100" t="s">
        <v>171</v>
      </c>
      <c r="I1149" s="101">
        <v>0</v>
      </c>
      <c r="J1149" s="102">
        <v>589392.97</v>
      </c>
      <c r="K1149" s="101"/>
      <c r="L1149" s="101"/>
      <c r="M1149" s="207">
        <f>M1148-51900</f>
        <v>2077629.21</v>
      </c>
      <c r="N1149" s="207"/>
      <c r="O1149" s="764"/>
      <c r="P1149" s="212"/>
    </row>
    <row r="1150" spans="1:16" s="229" customFormat="1" ht="18" customHeight="1" x14ac:dyDescent="0.25">
      <c r="A1150" s="154"/>
      <c r="B1150" s="650" t="s">
        <v>163</v>
      </c>
      <c r="C1150" s="654" t="s">
        <v>1388</v>
      </c>
      <c r="D1150" s="44" t="s">
        <v>1263</v>
      </c>
      <c r="E1150" s="125"/>
      <c r="F1150" s="125"/>
      <c r="G1150" s="134"/>
      <c r="H1150" s="100" t="s">
        <v>171</v>
      </c>
      <c r="I1150" s="101">
        <v>0</v>
      </c>
      <c r="J1150" s="102">
        <v>64000</v>
      </c>
      <c r="K1150" s="101"/>
      <c r="L1150" s="101"/>
      <c r="M1150" s="207"/>
      <c r="N1150" s="207"/>
      <c r="O1150" s="764"/>
      <c r="P1150" s="212"/>
    </row>
    <row r="1151" spans="1:16" s="229" customFormat="1" ht="18" customHeight="1" x14ac:dyDescent="0.25">
      <c r="A1151" s="154"/>
      <c r="B1151" s="650" t="s">
        <v>163</v>
      </c>
      <c r="C1151" s="654" t="s">
        <v>1388</v>
      </c>
      <c r="D1151" s="656" t="s">
        <v>1264</v>
      </c>
      <c r="E1151" s="654"/>
      <c r="F1151" s="654"/>
      <c r="G1151" s="655"/>
      <c r="H1151" s="100" t="s">
        <v>171</v>
      </c>
      <c r="I1151" s="101">
        <v>962500</v>
      </c>
      <c r="J1151" s="102">
        <v>995100</v>
      </c>
      <c r="K1151" s="101"/>
      <c r="L1151" s="101"/>
      <c r="M1151" s="207"/>
      <c r="N1151" s="207"/>
      <c r="O1151" s="764"/>
      <c r="P1151" s="212"/>
    </row>
    <row r="1152" spans="1:16" s="229" customFormat="1" ht="18" customHeight="1" x14ac:dyDescent="0.25">
      <c r="A1152" s="154"/>
      <c r="B1152" s="650" t="s">
        <v>163</v>
      </c>
      <c r="C1152" s="654" t="s">
        <v>1388</v>
      </c>
      <c r="D1152" s="44" t="s">
        <v>174</v>
      </c>
      <c r="E1152" s="125"/>
      <c r="F1152" s="125"/>
      <c r="G1152" s="134"/>
      <c r="H1152" s="100" t="s">
        <v>171</v>
      </c>
      <c r="I1152" s="101">
        <v>819442</v>
      </c>
      <c r="J1152" s="102">
        <v>330364</v>
      </c>
      <c r="K1152" s="101"/>
      <c r="L1152" s="101"/>
      <c r="M1152" s="207"/>
      <c r="N1152" s="207"/>
      <c r="O1152" s="764"/>
      <c r="P1152" s="212"/>
    </row>
    <row r="1153" spans="1:16" s="229" customFormat="1" ht="18" customHeight="1" x14ac:dyDescent="0.25">
      <c r="A1153" s="154"/>
      <c r="B1153" s="650" t="s">
        <v>163</v>
      </c>
      <c r="C1153" s="654" t="s">
        <v>1388</v>
      </c>
      <c r="D1153" s="44" t="s">
        <v>384</v>
      </c>
      <c r="E1153" s="125"/>
      <c r="F1153" s="125"/>
      <c r="G1153" s="134"/>
      <c r="H1153" s="100" t="s">
        <v>385</v>
      </c>
      <c r="I1153" s="101">
        <v>1246510.8</v>
      </c>
      <c r="J1153" s="102">
        <v>1500000</v>
      </c>
      <c r="K1153" s="101">
        <v>700334.34</v>
      </c>
      <c r="L1153" s="101">
        <v>1500000</v>
      </c>
      <c r="M1153" s="207"/>
      <c r="N1153" s="207"/>
      <c r="O1153" s="764"/>
      <c r="P1153" s="212"/>
    </row>
    <row r="1154" spans="1:16" s="229" customFormat="1" ht="18" customHeight="1" x14ac:dyDescent="0.25">
      <c r="A1154" s="154"/>
      <c r="B1154" s="650" t="s">
        <v>163</v>
      </c>
      <c r="C1154" s="654" t="s">
        <v>1388</v>
      </c>
      <c r="D1154" s="44" t="s">
        <v>178</v>
      </c>
      <c r="E1154" s="125"/>
      <c r="F1154" s="125"/>
      <c r="G1154" s="134"/>
      <c r="H1154" s="100"/>
      <c r="I1154" s="101"/>
      <c r="J1154" s="102"/>
      <c r="K1154" s="101"/>
      <c r="L1154" s="101">
        <v>30000</v>
      </c>
      <c r="M1154" s="207"/>
      <c r="N1154" s="207"/>
      <c r="O1154" s="764"/>
      <c r="P1154" s="212"/>
    </row>
    <row r="1155" spans="1:16" s="229" customFormat="1" ht="18" customHeight="1" x14ac:dyDescent="0.25">
      <c r="A1155" s="154"/>
      <c r="B1155" s="650" t="s">
        <v>163</v>
      </c>
      <c r="C1155" s="654" t="s">
        <v>1388</v>
      </c>
      <c r="D1155" s="44" t="s">
        <v>1265</v>
      </c>
      <c r="E1155" s="125"/>
      <c r="F1155" s="125"/>
      <c r="G1155" s="134"/>
      <c r="H1155" s="100" t="s">
        <v>179</v>
      </c>
      <c r="I1155" s="101">
        <v>24192</v>
      </c>
      <c r="J1155" s="102">
        <v>30000</v>
      </c>
      <c r="K1155" s="101">
        <v>14112</v>
      </c>
      <c r="L1155" s="101"/>
      <c r="M1155" s="207"/>
      <c r="N1155" s="207"/>
      <c r="O1155" s="764"/>
      <c r="P1155" s="212"/>
    </row>
    <row r="1156" spans="1:16" s="229" customFormat="1" ht="18" customHeight="1" x14ac:dyDescent="0.25">
      <c r="A1156" s="154"/>
      <c r="B1156" s="650" t="s">
        <v>163</v>
      </c>
      <c r="C1156" s="654" t="s">
        <v>1388</v>
      </c>
      <c r="D1156" s="44" t="s">
        <v>1266</v>
      </c>
      <c r="E1156" s="125"/>
      <c r="F1156" s="125"/>
      <c r="G1156" s="134"/>
      <c r="H1156" s="100" t="s">
        <v>308</v>
      </c>
      <c r="I1156" s="101">
        <v>337991</v>
      </c>
      <c r="J1156" s="102">
        <v>2000000</v>
      </c>
      <c r="K1156" s="101">
        <v>231060</v>
      </c>
      <c r="L1156" s="101">
        <v>1000000</v>
      </c>
      <c r="M1156" s="207"/>
      <c r="N1156" s="207"/>
      <c r="O1156" s="764"/>
      <c r="P1156" s="212"/>
    </row>
    <row r="1157" spans="1:16" s="229" customFormat="1" ht="18" customHeight="1" x14ac:dyDescent="0.25">
      <c r="A1157" s="154"/>
      <c r="B1157" s="650" t="s">
        <v>163</v>
      </c>
      <c r="C1157" s="654" t="s">
        <v>1388</v>
      </c>
      <c r="D1157" s="44" t="s">
        <v>186</v>
      </c>
      <c r="E1157" s="125"/>
      <c r="F1157" s="125"/>
      <c r="G1157" s="125"/>
      <c r="H1157" s="100" t="s">
        <v>187</v>
      </c>
      <c r="I1157" s="101">
        <v>84240</v>
      </c>
      <c r="J1157" s="102">
        <v>100000</v>
      </c>
      <c r="K1157" s="101"/>
      <c r="L1157" s="101">
        <v>100000</v>
      </c>
      <c r="M1157" s="207"/>
      <c r="N1157" s="207"/>
      <c r="O1157" s="764"/>
      <c r="P1157" s="212"/>
    </row>
    <row r="1158" spans="1:16" s="229" customFormat="1" ht="18" customHeight="1" x14ac:dyDescent="0.25">
      <c r="A1158" s="154"/>
      <c r="B1158" s="650" t="s">
        <v>163</v>
      </c>
      <c r="C1158" s="654" t="s">
        <v>1388</v>
      </c>
      <c r="D1158" s="44" t="s">
        <v>1267</v>
      </c>
      <c r="E1158" s="125"/>
      <c r="F1158" s="125"/>
      <c r="G1158" s="134"/>
      <c r="H1158" s="100" t="s">
        <v>356</v>
      </c>
      <c r="I1158" s="101">
        <v>0</v>
      </c>
      <c r="J1158" s="102">
        <v>185000</v>
      </c>
      <c r="K1158" s="101"/>
      <c r="L1158" s="101">
        <v>100000</v>
      </c>
      <c r="M1158" s="207"/>
      <c r="N1158" s="207"/>
      <c r="O1158" s="764"/>
      <c r="P1158" s="212"/>
    </row>
    <row r="1159" spans="1:16" s="229" customFormat="1" ht="18" customHeight="1" x14ac:dyDescent="0.25">
      <c r="A1159" s="154"/>
      <c r="B1159" s="650" t="s">
        <v>163</v>
      </c>
      <c r="C1159" s="654" t="s">
        <v>1388</v>
      </c>
      <c r="D1159" s="44" t="s">
        <v>1268</v>
      </c>
      <c r="E1159" s="125"/>
      <c r="F1159" s="654"/>
      <c r="G1159" s="655"/>
      <c r="H1159" s="100" t="s">
        <v>189</v>
      </c>
      <c r="I1159" s="101"/>
      <c r="J1159" s="102">
        <v>234000</v>
      </c>
      <c r="K1159" s="101"/>
      <c r="L1159" s="101">
        <v>200000</v>
      </c>
      <c r="M1159" s="207"/>
      <c r="N1159" s="207"/>
      <c r="O1159" s="764"/>
      <c r="P1159" s="212"/>
    </row>
    <row r="1160" spans="1:16" s="229" customFormat="1" ht="18" customHeight="1" x14ac:dyDescent="0.25">
      <c r="A1160" s="154"/>
      <c r="B1160" s="650" t="s">
        <v>163</v>
      </c>
      <c r="C1160" s="654" t="s">
        <v>1388</v>
      </c>
      <c r="D1160" s="44" t="s">
        <v>198</v>
      </c>
      <c r="E1160" s="125"/>
      <c r="F1160" s="125"/>
      <c r="G1160" s="134"/>
      <c r="H1160" s="100" t="s">
        <v>199</v>
      </c>
      <c r="I1160" s="105">
        <v>1302470.25</v>
      </c>
      <c r="J1160" s="106">
        <v>1607030</v>
      </c>
      <c r="K1160" s="105">
        <v>587500.54</v>
      </c>
      <c r="L1160" s="105">
        <v>1768634.16</v>
      </c>
      <c r="M1160" s="207"/>
      <c r="N1160" s="207"/>
      <c r="O1160" s="764"/>
      <c r="P1160" s="212"/>
    </row>
    <row r="1161" spans="1:16" s="146" customFormat="1" ht="18" customHeight="1" x14ac:dyDescent="0.25">
      <c r="A1161" s="667"/>
      <c r="B1161" s="650" t="s">
        <v>201</v>
      </c>
      <c r="C1161" s="654" t="s">
        <v>1388</v>
      </c>
      <c r="D1161" s="656" t="s">
        <v>203</v>
      </c>
      <c r="E1161" s="650"/>
      <c r="F1161" s="650"/>
      <c r="G1161" s="650"/>
      <c r="H1161" s="376"/>
      <c r="I1161" s="101"/>
      <c r="J1161" s="102"/>
      <c r="K1161" s="101"/>
      <c r="L1161" s="101">
        <v>75000</v>
      </c>
      <c r="M1161" s="10"/>
      <c r="N1161" s="10"/>
      <c r="O1161" s="756"/>
      <c r="P1161"/>
    </row>
    <row r="1162" spans="1:16" s="313" customFormat="1" ht="47.25" customHeight="1" x14ac:dyDescent="0.25">
      <c r="A1162" s="332"/>
      <c r="B1162" s="650" t="s">
        <v>201</v>
      </c>
      <c r="C1162" s="654" t="s">
        <v>1388</v>
      </c>
      <c r="D1162" s="1622" t="s">
        <v>1269</v>
      </c>
      <c r="E1162" s="1622"/>
      <c r="F1162" s="658"/>
      <c r="G1162" s="658"/>
      <c r="H1162" s="238"/>
      <c r="I1162" s="101"/>
      <c r="J1162" s="102"/>
      <c r="K1162" s="101"/>
      <c r="L1162" s="101">
        <v>160000</v>
      </c>
      <c r="M1162" s="193"/>
      <c r="N1162" s="193"/>
      <c r="O1162" s="763"/>
      <c r="P1162" s="179"/>
    </row>
    <row r="1163" spans="1:16" s="313" customFormat="1" ht="18" customHeight="1" x14ac:dyDescent="0.25">
      <c r="A1163" s="332"/>
      <c r="B1163" s="650" t="s">
        <v>201</v>
      </c>
      <c r="C1163" s="654" t="s">
        <v>1388</v>
      </c>
      <c r="D1163" s="669" t="s">
        <v>1270</v>
      </c>
      <c r="E1163" s="658"/>
      <c r="F1163" s="658"/>
      <c r="G1163" s="658"/>
      <c r="H1163" s="238"/>
      <c r="I1163" s="101"/>
      <c r="J1163" s="102"/>
      <c r="K1163" s="101"/>
      <c r="L1163" s="101">
        <v>35000</v>
      </c>
      <c r="M1163" s="193"/>
      <c r="N1163" s="193"/>
      <c r="O1163" s="763"/>
      <c r="P1163" s="179"/>
    </row>
    <row r="1164" spans="1:16" s="313" customFormat="1" ht="18" customHeight="1" x14ac:dyDescent="0.25">
      <c r="A1164" s="332"/>
      <c r="B1164" s="650" t="s">
        <v>201</v>
      </c>
      <c r="C1164" s="654" t="s">
        <v>1388</v>
      </c>
      <c r="D1164" s="669" t="s">
        <v>1271</v>
      </c>
      <c r="E1164" s="658"/>
      <c r="F1164" s="658"/>
      <c r="G1164" s="658"/>
      <c r="H1164" s="238"/>
      <c r="I1164" s="101"/>
      <c r="J1164" s="102"/>
      <c r="K1164" s="101"/>
      <c r="L1164" s="101">
        <v>14000</v>
      </c>
      <c r="M1164" s="193"/>
      <c r="N1164" s="193"/>
      <c r="O1164" s="763"/>
      <c r="P1164" s="179"/>
    </row>
    <row r="1165" spans="1:16" s="313" customFormat="1" ht="18" customHeight="1" x14ac:dyDescent="0.25">
      <c r="A1165" s="332"/>
      <c r="B1165" s="650" t="s">
        <v>201</v>
      </c>
      <c r="C1165" s="654" t="s">
        <v>1388</v>
      </c>
      <c r="D1165" s="669" t="s">
        <v>1272</v>
      </c>
      <c r="E1165" s="658"/>
      <c r="F1165" s="658"/>
      <c r="G1165" s="658"/>
      <c r="H1165" s="238"/>
      <c r="I1165" s="101"/>
      <c r="J1165" s="102"/>
      <c r="K1165" s="101"/>
      <c r="L1165" s="101">
        <v>75000</v>
      </c>
      <c r="M1165" s="193"/>
      <c r="N1165" s="193"/>
      <c r="O1165" s="763"/>
      <c r="P1165" s="179"/>
    </row>
    <row r="1166" spans="1:16" s="313" customFormat="1" ht="63.75" customHeight="1" x14ac:dyDescent="0.25">
      <c r="A1166" s="332"/>
      <c r="B1166" s="650" t="s">
        <v>201</v>
      </c>
      <c r="C1166" s="654" t="s">
        <v>1388</v>
      </c>
      <c r="D1166" s="1622" t="s">
        <v>1273</v>
      </c>
      <c r="E1166" s="1622"/>
      <c r="F1166" s="658"/>
      <c r="G1166" s="658"/>
      <c r="H1166" s="238"/>
      <c r="I1166" s="101"/>
      <c r="J1166" s="102"/>
      <c r="K1166" s="101"/>
      <c r="L1166" s="101">
        <v>26000</v>
      </c>
      <c r="M1166" s="193"/>
      <c r="N1166" s="193"/>
      <c r="O1166" s="763"/>
      <c r="P1166" s="179"/>
    </row>
    <row r="1167" spans="1:16" s="146" customFormat="1" ht="18" customHeight="1" x14ac:dyDescent="0.25">
      <c r="A1167" s="667"/>
      <c r="B1167" s="650" t="s">
        <v>201</v>
      </c>
      <c r="C1167" s="654" t="s">
        <v>1388</v>
      </c>
      <c r="D1167" s="656" t="s">
        <v>1274</v>
      </c>
      <c r="E1167" s="650"/>
      <c r="F1167" s="650"/>
      <c r="G1167" s="650"/>
      <c r="H1167" s="376"/>
      <c r="I1167" s="101">
        <v>0</v>
      </c>
      <c r="J1167" s="102">
        <v>70000</v>
      </c>
      <c r="K1167" s="101"/>
      <c r="L1167" s="101"/>
      <c r="M1167" s="10"/>
      <c r="N1167" s="10"/>
      <c r="O1167" s="756"/>
      <c r="P1167"/>
    </row>
    <row r="1168" spans="1:16" s="146" customFormat="1" ht="18" customHeight="1" x14ac:dyDescent="0.25">
      <c r="A1168" s="667"/>
      <c r="B1168" s="650" t="s">
        <v>201</v>
      </c>
      <c r="C1168" s="654" t="s">
        <v>1388</v>
      </c>
      <c r="D1168" s="656" t="s">
        <v>1275</v>
      </c>
      <c r="E1168" s="651"/>
      <c r="F1168" s="651"/>
      <c r="G1168" s="651"/>
      <c r="H1168" s="376"/>
      <c r="I1168" s="101">
        <v>0</v>
      </c>
      <c r="J1168" s="102">
        <v>20000</v>
      </c>
      <c r="K1168" s="101"/>
      <c r="L1168" s="101"/>
      <c r="M1168" s="10"/>
      <c r="N1168" s="10"/>
      <c r="O1168" s="756"/>
      <c r="P1168"/>
    </row>
    <row r="1169" spans="1:16" s="146" customFormat="1" ht="18" customHeight="1" x14ac:dyDescent="0.25">
      <c r="A1169" s="667"/>
      <c r="B1169" s="650" t="s">
        <v>201</v>
      </c>
      <c r="C1169" s="654" t="s">
        <v>1388</v>
      </c>
      <c r="D1169" s="656" t="s">
        <v>1276</v>
      </c>
      <c r="E1169" s="651"/>
      <c r="F1169" s="651"/>
      <c r="G1169" s="651"/>
      <c r="H1169" s="376"/>
      <c r="I1169" s="101">
        <v>0</v>
      </c>
      <c r="J1169" s="102">
        <v>70000</v>
      </c>
      <c r="K1169" s="101"/>
      <c r="L1169" s="101"/>
      <c r="M1169" s="10"/>
      <c r="N1169" s="10"/>
      <c r="O1169" s="756"/>
      <c r="P1169"/>
    </row>
    <row r="1170" spans="1:16" s="146" customFormat="1" ht="39.75" customHeight="1" x14ac:dyDescent="0.25">
      <c r="A1170" s="667"/>
      <c r="B1170" s="650" t="s">
        <v>201</v>
      </c>
      <c r="C1170" s="654" t="s">
        <v>1388</v>
      </c>
      <c r="D1170" s="1611" t="s">
        <v>1277</v>
      </c>
      <c r="E1170" s="1611"/>
      <c r="F1170" s="651"/>
      <c r="G1170" s="651"/>
      <c r="H1170" s="376"/>
      <c r="I1170" s="101">
        <v>0</v>
      </c>
      <c r="J1170" s="102">
        <v>120000</v>
      </c>
      <c r="K1170" s="101"/>
      <c r="L1170" s="101"/>
      <c r="M1170" s="10"/>
      <c r="N1170" s="10"/>
      <c r="O1170" s="756"/>
      <c r="P1170"/>
    </row>
    <row r="1171" spans="1:16" s="146" customFormat="1" ht="18" customHeight="1" x14ac:dyDescent="0.25">
      <c r="A1171" s="667"/>
      <c r="B1171" s="650" t="s">
        <v>201</v>
      </c>
      <c r="C1171" s="654" t="s">
        <v>1388</v>
      </c>
      <c r="D1171" s="656" t="s">
        <v>1278</v>
      </c>
      <c r="E1171" s="651"/>
      <c r="F1171" s="651"/>
      <c r="G1171" s="651"/>
      <c r="H1171" s="376"/>
      <c r="I1171" s="101">
        <v>0</v>
      </c>
      <c r="J1171" s="102">
        <v>12000</v>
      </c>
      <c r="K1171" s="101"/>
      <c r="L1171" s="101"/>
      <c r="M1171" s="10"/>
      <c r="N1171" s="10"/>
      <c r="O1171" s="756"/>
      <c r="P1171"/>
    </row>
    <row r="1172" spans="1:16" s="313" customFormat="1" ht="36.75" customHeight="1" x14ac:dyDescent="0.25">
      <c r="A1172" s="332"/>
      <c r="B1172" s="650" t="s">
        <v>201</v>
      </c>
      <c r="C1172" s="654" t="s">
        <v>1388</v>
      </c>
      <c r="D1172" s="1622" t="s">
        <v>1279</v>
      </c>
      <c r="E1172" s="1622"/>
      <c r="F1172" s="673"/>
      <c r="G1172" s="673"/>
      <c r="H1172" s="238"/>
      <c r="I1172" s="101">
        <v>0</v>
      </c>
      <c r="J1172" s="102">
        <v>100000</v>
      </c>
      <c r="K1172" s="101"/>
      <c r="L1172" s="101"/>
      <c r="M1172" s="193"/>
      <c r="N1172" s="193"/>
      <c r="O1172" s="763"/>
      <c r="P1172" s="179"/>
    </row>
    <row r="1173" spans="1:16" s="146" customFormat="1" ht="36.75" customHeight="1" x14ac:dyDescent="0.25">
      <c r="A1173" s="667"/>
      <c r="B1173" s="650" t="s">
        <v>201</v>
      </c>
      <c r="C1173" s="654" t="s">
        <v>1388</v>
      </c>
      <c r="D1173" s="1623" t="s">
        <v>1280</v>
      </c>
      <c r="E1173" s="1623"/>
      <c r="F1173" s="455"/>
      <c r="G1173" s="651"/>
      <c r="H1173" s="376"/>
      <c r="I1173" s="101">
        <v>49500</v>
      </c>
      <c r="J1173" s="102"/>
      <c r="K1173" s="101"/>
      <c r="L1173" s="101"/>
      <c r="M1173" s="10"/>
      <c r="N1173" s="10"/>
      <c r="O1173" s="756"/>
      <c r="P1173"/>
    </row>
    <row r="1174" spans="1:16" s="146" customFormat="1" ht="18" customHeight="1" x14ac:dyDescent="0.25">
      <c r="A1174" s="667"/>
      <c r="B1174" s="650" t="s">
        <v>201</v>
      </c>
      <c r="C1174" s="654" t="s">
        <v>1388</v>
      </c>
      <c r="D1174" s="38" t="s">
        <v>1281</v>
      </c>
      <c r="E1174" s="199"/>
      <c r="F1174" s="455"/>
      <c r="G1174" s="651"/>
      <c r="H1174" s="376"/>
      <c r="I1174" s="101">
        <v>14800</v>
      </c>
      <c r="J1174" s="102"/>
      <c r="K1174" s="101"/>
      <c r="L1174" s="101"/>
      <c r="M1174" s="10"/>
      <c r="N1174" s="10"/>
      <c r="O1174" s="756"/>
      <c r="P1174"/>
    </row>
    <row r="1175" spans="1:16" s="146" customFormat="1" ht="18" customHeight="1" x14ac:dyDescent="0.25">
      <c r="A1175" s="667"/>
      <c r="B1175" s="650" t="s">
        <v>201</v>
      </c>
      <c r="C1175" s="654" t="s">
        <v>1388</v>
      </c>
      <c r="D1175" s="38" t="s">
        <v>1282</v>
      </c>
      <c r="E1175" s="199"/>
      <c r="F1175" s="455"/>
      <c r="G1175" s="651"/>
      <c r="H1175" s="376"/>
      <c r="I1175" s="101">
        <v>14850</v>
      </c>
      <c r="J1175" s="102"/>
      <c r="K1175" s="101"/>
      <c r="L1175" s="105"/>
      <c r="M1175" s="10"/>
      <c r="N1175" s="10"/>
      <c r="O1175" s="756"/>
      <c r="P1175"/>
    </row>
    <row r="1176" spans="1:16" s="146" customFormat="1" ht="18" x14ac:dyDescent="0.25">
      <c r="A1176" s="649"/>
      <c r="B1176" s="650" t="s">
        <v>123</v>
      </c>
      <c r="C1176" s="654" t="s">
        <v>1388</v>
      </c>
      <c r="D1176" s="1602" t="s">
        <v>124</v>
      </c>
      <c r="E1176" s="1603"/>
      <c r="F1176" s="1603"/>
      <c r="G1176" s="1603"/>
      <c r="H1176" s="100" t="s">
        <v>125</v>
      </c>
      <c r="I1176" s="101">
        <v>1068489.1399999999</v>
      </c>
      <c r="J1176" s="102">
        <v>1192644</v>
      </c>
      <c r="K1176" s="101">
        <v>594210.67000000004</v>
      </c>
      <c r="L1176" s="101">
        <v>1296300</v>
      </c>
      <c r="M1176" s="10"/>
      <c r="N1176" s="10"/>
      <c r="O1176" s="756"/>
      <c r="P1176"/>
    </row>
    <row r="1177" spans="1:16" s="146" customFormat="1" ht="18" x14ac:dyDescent="0.25">
      <c r="A1177" s="649"/>
      <c r="B1177" s="650" t="s">
        <v>123</v>
      </c>
      <c r="C1177" s="654" t="s">
        <v>1388</v>
      </c>
      <c r="D1177" s="1602" t="s">
        <v>126</v>
      </c>
      <c r="E1177" s="1603"/>
      <c r="F1177" s="1603"/>
      <c r="G1177" s="1603"/>
      <c r="H1177" s="100" t="s">
        <v>127</v>
      </c>
      <c r="I1177" s="101">
        <v>444155.57</v>
      </c>
      <c r="J1177" s="102">
        <v>499920</v>
      </c>
      <c r="K1177" s="101">
        <v>201978.22</v>
      </c>
      <c r="L1177" s="101">
        <v>542400</v>
      </c>
      <c r="M1177" s="10"/>
      <c r="N1177" s="10"/>
      <c r="O1177" s="756"/>
      <c r="P1177"/>
    </row>
    <row r="1178" spans="1:16" s="146" customFormat="1" ht="18" x14ac:dyDescent="0.25">
      <c r="A1178" s="649"/>
      <c r="B1178" s="650" t="s">
        <v>123</v>
      </c>
      <c r="C1178" s="654" t="s">
        <v>1388</v>
      </c>
      <c r="D1178" s="1614" t="s">
        <v>128</v>
      </c>
      <c r="E1178" s="1615"/>
      <c r="F1178" s="647"/>
      <c r="G1178" s="647"/>
      <c r="H1178" s="100" t="s">
        <v>125</v>
      </c>
      <c r="I1178" s="101"/>
      <c r="J1178" s="102"/>
      <c r="K1178" s="101"/>
      <c r="L1178" s="101">
        <v>6453.63</v>
      </c>
      <c r="M1178" s="10"/>
      <c r="N1178" s="10"/>
      <c r="O1178" s="756"/>
      <c r="P1178"/>
    </row>
    <row r="1179" spans="1:16" s="146" customFormat="1" ht="18" customHeight="1" x14ac:dyDescent="0.25">
      <c r="A1179" s="649"/>
      <c r="B1179" s="650" t="s">
        <v>123</v>
      </c>
      <c r="C1179" s="654" t="s">
        <v>1388</v>
      </c>
      <c r="D1179" s="1602" t="s">
        <v>129</v>
      </c>
      <c r="E1179" s="1603"/>
      <c r="F1179" s="1603"/>
      <c r="G1179" s="1603"/>
      <c r="H1179" s="103" t="s">
        <v>130</v>
      </c>
      <c r="I1179" s="101">
        <v>213181.73</v>
      </c>
      <c r="J1179" s="102">
        <v>288000</v>
      </c>
      <c r="K1179" s="101">
        <v>126272.71</v>
      </c>
      <c r="L1179" s="101">
        <v>288000</v>
      </c>
      <c r="M1179" s="10"/>
      <c r="N1179" s="10"/>
      <c r="O1179" s="756"/>
      <c r="P1179"/>
    </row>
    <row r="1180" spans="1:16" s="146" customFormat="1" ht="18" x14ac:dyDescent="0.25">
      <c r="A1180" s="649"/>
      <c r="B1180" s="650" t="s">
        <v>123</v>
      </c>
      <c r="C1180" s="654" t="s">
        <v>1388</v>
      </c>
      <c r="D1180" s="1602" t="s">
        <v>135</v>
      </c>
      <c r="E1180" s="1603"/>
      <c r="F1180" s="1603"/>
      <c r="G1180" s="1603"/>
      <c r="H1180" s="100" t="s">
        <v>136</v>
      </c>
      <c r="I1180" s="101">
        <v>209605.68</v>
      </c>
      <c r="J1180" s="102">
        <v>289431.96000000002</v>
      </c>
      <c r="K1180" s="101">
        <v>95244.65</v>
      </c>
      <c r="L1180" s="101">
        <v>486384.24</v>
      </c>
      <c r="M1180" s="10"/>
      <c r="N1180" s="10"/>
      <c r="O1180" s="756"/>
      <c r="P1180"/>
    </row>
    <row r="1181" spans="1:16" s="146" customFormat="1" ht="18" x14ac:dyDescent="0.25">
      <c r="A1181" s="649"/>
      <c r="B1181" s="650" t="s">
        <v>123</v>
      </c>
      <c r="C1181" s="654" t="s">
        <v>1388</v>
      </c>
      <c r="D1181" s="1602" t="s">
        <v>137</v>
      </c>
      <c r="E1181" s="1603"/>
      <c r="F1181" s="1603"/>
      <c r="G1181" s="1603"/>
      <c r="H1181" s="100" t="s">
        <v>138</v>
      </c>
      <c r="I1181" s="101">
        <v>42000</v>
      </c>
      <c r="J1181" s="102">
        <v>72000</v>
      </c>
      <c r="K1181" s="101">
        <v>60000</v>
      </c>
      <c r="L1181" s="101">
        <v>72000</v>
      </c>
      <c r="M1181" s="10"/>
      <c r="N1181" s="10"/>
      <c r="O1181" s="756"/>
      <c r="P1181"/>
    </row>
    <row r="1182" spans="1:16" s="146" customFormat="1" ht="18" customHeight="1" x14ac:dyDescent="0.25">
      <c r="A1182" s="649"/>
      <c r="B1182" s="650" t="s">
        <v>123</v>
      </c>
      <c r="C1182" s="654" t="s">
        <v>1388</v>
      </c>
      <c r="D1182" s="1602" t="s">
        <v>139</v>
      </c>
      <c r="E1182" s="1603"/>
      <c r="F1182" s="1603"/>
      <c r="G1182" s="1603"/>
      <c r="H1182" s="100" t="s">
        <v>140</v>
      </c>
      <c r="I1182" s="101">
        <v>120217</v>
      </c>
      <c r="J1182" s="102">
        <v>141047</v>
      </c>
      <c r="K1182" s="101">
        <v>112418</v>
      </c>
      <c r="L1182" s="101">
        <v>153894</v>
      </c>
      <c r="M1182" s="10"/>
      <c r="N1182" s="10"/>
      <c r="O1182" s="756"/>
      <c r="P1182"/>
    </row>
    <row r="1183" spans="1:16" ht="18" x14ac:dyDescent="0.25">
      <c r="A1183" s="649"/>
      <c r="B1183" s="650" t="s">
        <v>123</v>
      </c>
      <c r="C1183" s="654" t="s">
        <v>1388</v>
      </c>
      <c r="D1183" s="1602" t="s">
        <v>141</v>
      </c>
      <c r="E1183" s="1603"/>
      <c r="F1183" s="1603"/>
      <c r="G1183" s="1603"/>
      <c r="H1183" s="100" t="s">
        <v>142</v>
      </c>
      <c r="I1183" s="101">
        <v>120217</v>
      </c>
      <c r="J1183" s="102">
        <v>141047</v>
      </c>
      <c r="K1183" s="101"/>
      <c r="L1183" s="101">
        <v>153894</v>
      </c>
    </row>
    <row r="1184" spans="1:16" ht="18" x14ac:dyDescent="0.25">
      <c r="A1184" s="649"/>
      <c r="B1184" s="650" t="s">
        <v>123</v>
      </c>
      <c r="C1184" s="654" t="s">
        <v>1388</v>
      </c>
      <c r="D1184" s="1602" t="s">
        <v>143</v>
      </c>
      <c r="E1184" s="1603"/>
      <c r="F1184" s="1603"/>
      <c r="G1184" s="1603"/>
      <c r="H1184" s="100" t="s">
        <v>144</v>
      </c>
      <c r="I1184" s="101">
        <v>50000</v>
      </c>
      <c r="J1184" s="102">
        <v>60000</v>
      </c>
      <c r="K1184" s="101"/>
      <c r="L1184" s="101">
        <v>60000</v>
      </c>
    </row>
    <row r="1185" spans="1:16" ht="18" x14ac:dyDescent="0.25">
      <c r="A1185" s="649"/>
      <c r="B1185" s="650" t="s">
        <v>123</v>
      </c>
      <c r="C1185" s="654" t="s">
        <v>1388</v>
      </c>
      <c r="D1185" s="1602" t="s">
        <v>145</v>
      </c>
      <c r="E1185" s="1603"/>
      <c r="F1185" s="1603"/>
      <c r="G1185" s="1603"/>
      <c r="H1185" s="100" t="s">
        <v>146</v>
      </c>
      <c r="I1185" s="101">
        <v>50000</v>
      </c>
      <c r="J1185" s="102">
        <v>60000</v>
      </c>
      <c r="K1185" s="101"/>
      <c r="L1185" s="101">
        <v>60000</v>
      </c>
    </row>
    <row r="1186" spans="1:16" ht="18" x14ac:dyDescent="0.25">
      <c r="A1186" s="649"/>
      <c r="B1186" s="650" t="s">
        <v>123</v>
      </c>
      <c r="C1186" s="654" t="s">
        <v>1388</v>
      </c>
      <c r="D1186" s="639" t="s">
        <v>231</v>
      </c>
      <c r="E1186" s="650"/>
      <c r="F1186" s="650"/>
      <c r="G1186" s="650"/>
      <c r="H1186" s="100" t="s">
        <v>232</v>
      </c>
      <c r="I1186" s="101">
        <v>0</v>
      </c>
      <c r="J1186" s="102">
        <v>0</v>
      </c>
      <c r="K1186" s="101"/>
      <c r="L1186" s="101">
        <v>5000</v>
      </c>
    </row>
    <row r="1187" spans="1:16" ht="18" x14ac:dyDescent="0.25">
      <c r="A1187" s="649"/>
      <c r="B1187" s="650" t="s">
        <v>123</v>
      </c>
      <c r="C1187" s="654" t="s">
        <v>1388</v>
      </c>
      <c r="D1187" s="656" t="s">
        <v>147</v>
      </c>
      <c r="E1187" s="650"/>
      <c r="F1187" s="650"/>
      <c r="G1187" s="650"/>
      <c r="H1187" s="100" t="s">
        <v>148</v>
      </c>
      <c r="I1187" s="101"/>
      <c r="J1187" s="102"/>
      <c r="K1187" s="101"/>
      <c r="L1187" s="101">
        <v>36000</v>
      </c>
    </row>
    <row r="1188" spans="1:16" s="146" customFormat="1" ht="18" x14ac:dyDescent="0.25">
      <c r="A1188" s="649"/>
      <c r="B1188" s="650" t="s">
        <v>123</v>
      </c>
      <c r="C1188" s="654" t="s">
        <v>1388</v>
      </c>
      <c r="D1188" s="1611" t="s">
        <v>210</v>
      </c>
      <c r="E1188" s="1611"/>
      <c r="F1188" s="1611"/>
      <c r="G1188" s="646"/>
      <c r="H1188" s="100" t="s">
        <v>464</v>
      </c>
      <c r="I1188" s="101">
        <v>36400</v>
      </c>
      <c r="J1188" s="102">
        <v>54000</v>
      </c>
      <c r="K1188" s="101">
        <v>5850</v>
      </c>
      <c r="L1188" s="101">
        <v>54000</v>
      </c>
      <c r="M1188" s="10"/>
      <c r="N1188" s="10"/>
      <c r="O1188" s="756"/>
      <c r="P1188"/>
    </row>
    <row r="1189" spans="1:16" s="146" customFormat="1" ht="18" x14ac:dyDescent="0.25">
      <c r="A1189" s="649"/>
      <c r="B1189" s="650" t="s">
        <v>123</v>
      </c>
      <c r="C1189" s="654" t="s">
        <v>1388</v>
      </c>
      <c r="D1189" s="1611" t="s">
        <v>211</v>
      </c>
      <c r="E1189" s="1611"/>
      <c r="F1189" s="650"/>
      <c r="G1189" s="646"/>
      <c r="H1189" s="100" t="s">
        <v>212</v>
      </c>
      <c r="I1189" s="101">
        <v>5195.84</v>
      </c>
      <c r="J1189" s="102">
        <v>5400</v>
      </c>
      <c r="K1189" s="101">
        <v>866.02</v>
      </c>
      <c r="L1189" s="101">
        <v>5400</v>
      </c>
      <c r="M1189" s="10"/>
      <c r="N1189" s="10"/>
      <c r="O1189" s="756"/>
      <c r="P1189"/>
    </row>
    <row r="1190" spans="1:16" s="146" customFormat="1" ht="18" x14ac:dyDescent="0.25">
      <c r="A1190" s="649"/>
      <c r="B1190" s="650" t="s">
        <v>123</v>
      </c>
      <c r="C1190" s="654" t="s">
        <v>1388</v>
      </c>
      <c r="D1190" s="639" t="s">
        <v>149</v>
      </c>
      <c r="E1190" s="650"/>
      <c r="F1190" s="650"/>
      <c r="G1190" s="646"/>
      <c r="H1190" s="100" t="s">
        <v>150</v>
      </c>
      <c r="I1190" s="101">
        <v>273885</v>
      </c>
      <c r="J1190" s="102">
        <v>128862</v>
      </c>
      <c r="K1190" s="101">
        <v>22450</v>
      </c>
      <c r="L1190" s="101">
        <v>140918.82</v>
      </c>
      <c r="M1190" s="10"/>
      <c r="N1190" s="10"/>
      <c r="O1190" s="756"/>
      <c r="P1190"/>
    </row>
    <row r="1191" spans="1:16" s="146" customFormat="1" ht="18" x14ac:dyDescent="0.25">
      <c r="A1191" s="649"/>
      <c r="B1191" s="650" t="s">
        <v>123</v>
      </c>
      <c r="C1191" s="654" t="s">
        <v>1388</v>
      </c>
      <c r="D1191" s="1611" t="s">
        <v>1284</v>
      </c>
      <c r="E1191" s="1611"/>
      <c r="F1191" s="1611"/>
      <c r="G1191" s="646"/>
      <c r="H1191" s="100" t="s">
        <v>136</v>
      </c>
      <c r="I1191" s="101">
        <v>0</v>
      </c>
      <c r="J1191" s="102">
        <v>137324.85</v>
      </c>
      <c r="K1191" s="101"/>
      <c r="L1191" s="101">
        <v>154854.26</v>
      </c>
      <c r="M1191" s="10"/>
      <c r="N1191" s="10"/>
      <c r="O1191" s="756"/>
      <c r="P1191"/>
    </row>
    <row r="1192" spans="1:16" s="146" customFormat="1" ht="18" x14ac:dyDescent="0.25">
      <c r="A1192" s="649"/>
      <c r="B1192" s="650" t="s">
        <v>123</v>
      </c>
      <c r="C1192" s="654" t="s">
        <v>1388</v>
      </c>
      <c r="D1192" s="1602" t="s">
        <v>151</v>
      </c>
      <c r="E1192" s="1603"/>
      <c r="F1192" s="1603"/>
      <c r="G1192" s="1603"/>
      <c r="H1192" s="100" t="s">
        <v>148</v>
      </c>
      <c r="I1192" s="101">
        <v>100000</v>
      </c>
      <c r="J1192" s="102"/>
      <c r="K1192" s="101"/>
      <c r="L1192" s="101"/>
      <c r="M1192" s="10"/>
      <c r="N1192" s="10"/>
      <c r="O1192" s="756"/>
      <c r="P1192"/>
    </row>
    <row r="1193" spans="1:16" ht="18" customHeight="1" x14ac:dyDescent="0.25">
      <c r="A1193" s="649"/>
      <c r="B1193" s="650" t="s">
        <v>123</v>
      </c>
      <c r="C1193" s="654" t="s">
        <v>1388</v>
      </c>
      <c r="D1193" s="1611" t="s">
        <v>152</v>
      </c>
      <c r="E1193" s="1611"/>
      <c r="F1193" s="1611"/>
      <c r="G1193" s="1602"/>
      <c r="H1193" s="100"/>
      <c r="I1193" s="101">
        <v>0</v>
      </c>
      <c r="J1193" s="102">
        <v>109325.55</v>
      </c>
      <c r="K1193" s="101"/>
      <c r="L1193" s="101"/>
    </row>
    <row r="1194" spans="1:16" ht="18" x14ac:dyDescent="0.25">
      <c r="A1194" s="649"/>
      <c r="B1194" s="650" t="s">
        <v>123</v>
      </c>
      <c r="C1194" s="654" t="s">
        <v>1388</v>
      </c>
      <c r="D1194" s="1602" t="s">
        <v>153</v>
      </c>
      <c r="E1194" s="1603"/>
      <c r="F1194" s="1603"/>
      <c r="G1194" s="1603"/>
      <c r="H1194" s="100" t="s">
        <v>154</v>
      </c>
      <c r="I1194" s="101">
        <v>156975.67000000001</v>
      </c>
      <c r="J1194" s="102">
        <v>203107.68</v>
      </c>
      <c r="K1194" s="101">
        <v>96713</v>
      </c>
      <c r="L1194" s="101">
        <v>221418.44</v>
      </c>
    </row>
    <row r="1195" spans="1:16" ht="18" x14ac:dyDescent="0.25">
      <c r="A1195" s="649"/>
      <c r="B1195" s="650" t="s">
        <v>123</v>
      </c>
      <c r="C1195" s="654" t="s">
        <v>1388</v>
      </c>
      <c r="D1195" s="1602" t="s">
        <v>155</v>
      </c>
      <c r="E1195" s="1603"/>
      <c r="F1195" s="1603"/>
      <c r="G1195" s="1603"/>
      <c r="H1195" s="100" t="s">
        <v>156</v>
      </c>
      <c r="I1195" s="101">
        <v>10600</v>
      </c>
      <c r="J1195" s="102">
        <v>14400</v>
      </c>
      <c r="K1195" s="101">
        <v>6600</v>
      </c>
      <c r="L1195" s="101">
        <v>14400</v>
      </c>
    </row>
    <row r="1196" spans="1:16" ht="18" x14ac:dyDescent="0.25">
      <c r="A1196" s="649"/>
      <c r="B1196" s="650" t="s">
        <v>123</v>
      </c>
      <c r="C1196" s="654" t="s">
        <v>1388</v>
      </c>
      <c r="D1196" s="1602" t="s">
        <v>157</v>
      </c>
      <c r="E1196" s="1603"/>
      <c r="F1196" s="1603"/>
      <c r="G1196" s="1603"/>
      <c r="H1196" s="100" t="s">
        <v>158</v>
      </c>
      <c r="I1196" s="101">
        <v>19528.5</v>
      </c>
      <c r="J1196" s="102">
        <v>29619.81</v>
      </c>
      <c r="K1196" s="101">
        <v>12391.59</v>
      </c>
      <c r="L1196" s="101">
        <v>73926.149999999994</v>
      </c>
    </row>
    <row r="1197" spans="1:16" ht="18" x14ac:dyDescent="0.25">
      <c r="A1197" s="649"/>
      <c r="B1197" s="650" t="s">
        <v>123</v>
      </c>
      <c r="C1197" s="654" t="s">
        <v>1388</v>
      </c>
      <c r="D1197" s="1602" t="s">
        <v>159</v>
      </c>
      <c r="E1197" s="1603"/>
      <c r="F1197" s="1603"/>
      <c r="G1197" s="1603"/>
      <c r="H1197" s="100" t="s">
        <v>160</v>
      </c>
      <c r="I1197" s="101">
        <v>10603.24</v>
      </c>
      <c r="J1197" s="102">
        <v>14400</v>
      </c>
      <c r="K1197" s="101">
        <v>6600</v>
      </c>
      <c r="L1197" s="105">
        <v>14400</v>
      </c>
    </row>
    <row r="1198" spans="1:16" s="212" customFormat="1" ht="18" customHeight="1" x14ac:dyDescent="0.25">
      <c r="A1198" s="154"/>
      <c r="B1198" s="650" t="s">
        <v>163</v>
      </c>
      <c r="C1198" s="654" t="s">
        <v>1388</v>
      </c>
      <c r="D1198" s="44" t="s">
        <v>164</v>
      </c>
      <c r="E1198" s="125"/>
      <c r="F1198" s="125"/>
      <c r="G1198" s="134"/>
      <c r="H1198" s="100" t="s">
        <v>165</v>
      </c>
      <c r="I1198" s="101">
        <v>1950</v>
      </c>
      <c r="J1198" s="102">
        <v>30000</v>
      </c>
      <c r="K1198" s="101"/>
      <c r="L1198" s="101">
        <v>30000</v>
      </c>
      <c r="M1198" s="207"/>
      <c r="N1198" s="207"/>
      <c r="O1198" s="764"/>
    </row>
    <row r="1199" spans="1:16" s="212" customFormat="1" ht="18" customHeight="1" x14ac:dyDescent="0.25">
      <c r="A1199" s="154"/>
      <c r="B1199" s="650" t="s">
        <v>163</v>
      </c>
      <c r="C1199" s="654" t="s">
        <v>1388</v>
      </c>
      <c r="D1199" s="44" t="s">
        <v>384</v>
      </c>
      <c r="E1199" s="125"/>
      <c r="F1199" s="125"/>
      <c r="G1199" s="134"/>
      <c r="H1199" s="100" t="s">
        <v>1285</v>
      </c>
      <c r="I1199" s="101">
        <v>65429.38</v>
      </c>
      <c r="J1199" s="102">
        <v>50000</v>
      </c>
      <c r="K1199" s="101">
        <v>24794.44</v>
      </c>
      <c r="L1199" s="101">
        <v>50000</v>
      </c>
      <c r="M1199" s="207"/>
      <c r="N1199" s="207"/>
      <c r="O1199" s="764"/>
    </row>
    <row r="1200" spans="1:16" s="212" customFormat="1" ht="18" customHeight="1" x14ac:dyDescent="0.25">
      <c r="A1200" s="154"/>
      <c r="B1200" s="650" t="s">
        <v>163</v>
      </c>
      <c r="C1200" s="654" t="s">
        <v>1388</v>
      </c>
      <c r="D1200" s="44" t="s">
        <v>168</v>
      </c>
      <c r="E1200" s="125"/>
      <c r="F1200" s="125"/>
      <c r="G1200" s="134"/>
      <c r="H1200" s="100" t="s">
        <v>169</v>
      </c>
      <c r="I1200" s="101">
        <v>41492</v>
      </c>
      <c r="J1200" s="102">
        <v>55000.5</v>
      </c>
      <c r="K1200" s="101">
        <v>32996</v>
      </c>
      <c r="L1200" s="101">
        <v>55000</v>
      </c>
      <c r="M1200" s="207"/>
      <c r="N1200" s="207"/>
      <c r="O1200" s="764"/>
    </row>
    <row r="1201" spans="1:15" s="212" customFormat="1" ht="18" customHeight="1" x14ac:dyDescent="0.25">
      <c r="A1201" s="154"/>
      <c r="B1201" s="650" t="s">
        <v>163</v>
      </c>
      <c r="C1201" s="654" t="s">
        <v>1388</v>
      </c>
      <c r="D1201" s="44" t="s">
        <v>172</v>
      </c>
      <c r="E1201" s="125"/>
      <c r="F1201" s="125"/>
      <c r="G1201" s="134"/>
      <c r="H1201" s="100" t="s">
        <v>173</v>
      </c>
      <c r="I1201" s="101">
        <v>62762.55</v>
      </c>
      <c r="J1201" s="102">
        <v>280010</v>
      </c>
      <c r="K1201" s="101">
        <v>76160.5</v>
      </c>
      <c r="L1201" s="101">
        <v>280010</v>
      </c>
      <c r="M1201" s="207"/>
      <c r="N1201" s="207"/>
      <c r="O1201" s="764"/>
    </row>
    <row r="1202" spans="1:15" s="212" customFormat="1" ht="18" customHeight="1" x14ac:dyDescent="0.25">
      <c r="A1202" s="154"/>
      <c r="B1202" s="650" t="s">
        <v>163</v>
      </c>
      <c r="C1202" s="654" t="s">
        <v>1388</v>
      </c>
      <c r="D1202" s="44" t="s">
        <v>174</v>
      </c>
      <c r="E1202" s="125"/>
      <c r="F1202" s="125"/>
      <c r="G1202" s="134"/>
      <c r="H1202" s="100" t="s">
        <v>171</v>
      </c>
      <c r="I1202" s="101">
        <v>19062</v>
      </c>
      <c r="J1202" s="102">
        <v>100001</v>
      </c>
      <c r="K1202" s="101"/>
      <c r="L1202" s="101"/>
      <c r="M1202" s="207"/>
      <c r="N1202" s="207"/>
      <c r="O1202" s="764"/>
    </row>
    <row r="1203" spans="1:15" s="212" customFormat="1" ht="18" customHeight="1" x14ac:dyDescent="0.25">
      <c r="A1203" s="154"/>
      <c r="B1203" s="650" t="s">
        <v>163</v>
      </c>
      <c r="C1203" s="654" t="s">
        <v>1388</v>
      </c>
      <c r="D1203" s="44" t="s">
        <v>213</v>
      </c>
      <c r="E1203" s="125"/>
      <c r="F1203" s="125"/>
      <c r="G1203" s="655"/>
      <c r="H1203" s="100" t="s">
        <v>171</v>
      </c>
      <c r="I1203" s="101"/>
      <c r="J1203" s="102"/>
      <c r="K1203" s="101"/>
      <c r="L1203" s="101">
        <f>200100+300000</f>
        <v>500100</v>
      </c>
      <c r="M1203" s="207"/>
      <c r="N1203" s="207"/>
      <c r="O1203" s="764"/>
    </row>
    <row r="1204" spans="1:15" s="212" customFormat="1" ht="18" customHeight="1" x14ac:dyDescent="0.25">
      <c r="A1204" s="154"/>
      <c r="B1204" s="650" t="s">
        <v>163</v>
      </c>
      <c r="C1204" s="654" t="s">
        <v>1388</v>
      </c>
      <c r="D1204" s="44" t="s">
        <v>1286</v>
      </c>
      <c r="E1204" s="125"/>
      <c r="F1204" s="125"/>
      <c r="G1204" s="655"/>
      <c r="H1204" s="100" t="s">
        <v>171</v>
      </c>
      <c r="I1204" s="101">
        <v>28270</v>
      </c>
      <c r="J1204" s="102">
        <v>100100</v>
      </c>
      <c r="K1204" s="101"/>
      <c r="L1204" s="101"/>
      <c r="M1204" s="207"/>
      <c r="N1204" s="207"/>
      <c r="O1204" s="764"/>
    </row>
    <row r="1205" spans="1:15" s="212" customFormat="1" ht="18" customHeight="1" x14ac:dyDescent="0.25">
      <c r="A1205" s="154"/>
      <c r="B1205" s="650" t="s">
        <v>163</v>
      </c>
      <c r="C1205" s="654" t="s">
        <v>1388</v>
      </c>
      <c r="D1205" s="44" t="s">
        <v>182</v>
      </c>
      <c r="E1205" s="125"/>
      <c r="F1205" s="125"/>
      <c r="G1205" s="134"/>
      <c r="H1205" s="100" t="s">
        <v>183</v>
      </c>
      <c r="I1205" s="101"/>
      <c r="J1205" s="102">
        <v>42000</v>
      </c>
      <c r="K1205" s="101"/>
      <c r="L1205" s="101">
        <v>42000</v>
      </c>
      <c r="M1205" s="207"/>
      <c r="N1205" s="207"/>
      <c r="O1205" s="764"/>
    </row>
    <row r="1206" spans="1:15" s="212" customFormat="1" ht="18" customHeight="1" x14ac:dyDescent="0.25">
      <c r="A1206" s="154"/>
      <c r="B1206" s="650" t="s">
        <v>163</v>
      </c>
      <c r="C1206" s="654" t="s">
        <v>1388</v>
      </c>
      <c r="D1206" s="44" t="s">
        <v>1287</v>
      </c>
      <c r="E1206" s="125"/>
      <c r="F1206" s="125"/>
      <c r="G1206" s="134"/>
      <c r="H1206" s="100" t="s">
        <v>308</v>
      </c>
      <c r="I1206" s="101">
        <v>0</v>
      </c>
      <c r="J1206" s="102">
        <v>150000</v>
      </c>
      <c r="K1206" s="101"/>
      <c r="L1206" s="101">
        <v>800000</v>
      </c>
      <c r="M1206" s="207"/>
      <c r="N1206" s="207"/>
      <c r="O1206" s="764"/>
    </row>
    <row r="1207" spans="1:15" s="212" customFormat="1" ht="18" customHeight="1" x14ac:dyDescent="0.25">
      <c r="A1207" s="154"/>
      <c r="B1207" s="650" t="s">
        <v>163</v>
      </c>
      <c r="C1207" s="654" t="s">
        <v>1388</v>
      </c>
      <c r="D1207" s="44" t="s">
        <v>1288</v>
      </c>
      <c r="E1207" s="125"/>
      <c r="F1207" s="125"/>
      <c r="G1207" s="134"/>
      <c r="H1207" s="100" t="s">
        <v>187</v>
      </c>
      <c r="I1207" s="101">
        <v>0</v>
      </c>
      <c r="J1207" s="102">
        <v>80000</v>
      </c>
      <c r="K1207" s="101"/>
      <c r="L1207" s="101">
        <v>90000</v>
      </c>
      <c r="M1207" s="207"/>
      <c r="N1207" s="207"/>
      <c r="O1207" s="764"/>
    </row>
    <row r="1208" spans="1:15" s="212" customFormat="1" ht="18" customHeight="1" x14ac:dyDescent="0.25">
      <c r="A1208" s="154"/>
      <c r="B1208" s="650" t="s">
        <v>163</v>
      </c>
      <c r="C1208" s="654" t="s">
        <v>1388</v>
      </c>
      <c r="D1208" s="44" t="s">
        <v>1268</v>
      </c>
      <c r="E1208" s="125"/>
      <c r="F1208" s="125"/>
      <c r="G1208" s="134"/>
      <c r="H1208" s="100" t="s">
        <v>189</v>
      </c>
      <c r="I1208" s="101">
        <v>0</v>
      </c>
      <c r="J1208" s="102">
        <v>40000</v>
      </c>
      <c r="K1208" s="101"/>
      <c r="L1208" s="101">
        <v>40000</v>
      </c>
      <c r="M1208" s="207"/>
      <c r="N1208" s="207"/>
      <c r="O1208" s="764"/>
    </row>
    <row r="1209" spans="1:15" s="212" customFormat="1" ht="18" customHeight="1" x14ac:dyDescent="0.25">
      <c r="A1209" s="154"/>
      <c r="B1209" s="650" t="s">
        <v>163</v>
      </c>
      <c r="C1209" s="654" t="s">
        <v>1388</v>
      </c>
      <c r="D1209" s="44" t="s">
        <v>198</v>
      </c>
      <c r="E1209" s="125"/>
      <c r="F1209" s="125"/>
      <c r="G1209" s="134"/>
      <c r="H1209" s="100" t="s">
        <v>199</v>
      </c>
      <c r="I1209" s="101">
        <v>0</v>
      </c>
      <c r="J1209" s="102"/>
      <c r="K1209" s="101"/>
      <c r="L1209" s="105">
        <v>442040.64</v>
      </c>
      <c r="M1209" s="207"/>
      <c r="N1209" s="207"/>
      <c r="O1209" s="764"/>
    </row>
    <row r="1210" spans="1:15" s="191" customFormat="1" ht="18" customHeight="1" x14ac:dyDescent="0.25">
      <c r="A1210" s="649"/>
      <c r="B1210" s="650" t="s">
        <v>201</v>
      </c>
      <c r="C1210" s="654" t="s">
        <v>1388</v>
      </c>
      <c r="D1210" s="656" t="s">
        <v>1289</v>
      </c>
      <c r="E1210" s="650"/>
      <c r="F1210" s="650"/>
      <c r="G1210" s="646"/>
      <c r="H1210" s="97"/>
      <c r="I1210" s="101"/>
      <c r="J1210" s="102"/>
      <c r="K1210" s="101"/>
      <c r="L1210" s="250">
        <v>28000</v>
      </c>
      <c r="M1210" s="10"/>
      <c r="N1210" s="10"/>
      <c r="O1210" s="756"/>
    </row>
    <row r="1211" spans="1:15" s="191" customFormat="1" ht="18" customHeight="1" x14ac:dyDescent="0.25">
      <c r="A1211" s="649"/>
      <c r="B1211" s="650" t="s">
        <v>201</v>
      </c>
      <c r="C1211" s="654" t="s">
        <v>1388</v>
      </c>
      <c r="D1211" s="656" t="s">
        <v>1290</v>
      </c>
      <c r="E1211" s="650"/>
      <c r="F1211" s="650"/>
      <c r="G1211" s="646"/>
      <c r="H1211" s="97"/>
      <c r="I1211" s="101"/>
      <c r="J1211" s="102"/>
      <c r="K1211" s="101"/>
      <c r="L1211" s="250">
        <v>23900</v>
      </c>
      <c r="M1211" s="10"/>
      <c r="N1211" s="10"/>
      <c r="O1211" s="756"/>
    </row>
    <row r="1212" spans="1:15" s="208" customFormat="1" ht="18" x14ac:dyDescent="0.25">
      <c r="A1212" s="154"/>
      <c r="B1212" s="650" t="s">
        <v>201</v>
      </c>
      <c r="C1212" s="654" t="s">
        <v>1388</v>
      </c>
      <c r="D1212" s="656" t="s">
        <v>1291</v>
      </c>
      <c r="E1212" s="654"/>
      <c r="F1212" s="654"/>
      <c r="G1212" s="655"/>
      <c r="H1212" s="97"/>
      <c r="I1212" s="101">
        <v>0</v>
      </c>
      <c r="J1212" s="102">
        <v>20000</v>
      </c>
      <c r="K1212" s="101"/>
      <c r="L1212" s="250"/>
      <c r="M1212" s="207"/>
      <c r="N1212" s="207"/>
      <c r="O1212" s="764"/>
    </row>
    <row r="1213" spans="1:15" s="208" customFormat="1" ht="18" x14ac:dyDescent="0.25">
      <c r="A1213" s="154"/>
      <c r="B1213" s="650" t="s">
        <v>201</v>
      </c>
      <c r="C1213" s="654" t="s">
        <v>1388</v>
      </c>
      <c r="D1213" s="656" t="s">
        <v>1292</v>
      </c>
      <c r="E1213" s="654"/>
      <c r="F1213" s="654"/>
      <c r="G1213" s="655"/>
      <c r="H1213" s="97"/>
      <c r="I1213" s="101">
        <v>0</v>
      </c>
      <c r="J1213" s="102">
        <v>30000</v>
      </c>
      <c r="K1213" s="101"/>
      <c r="L1213" s="250"/>
      <c r="M1213" s="207"/>
      <c r="N1213" s="207"/>
      <c r="O1213" s="764"/>
    </row>
    <row r="1214" spans="1:15" s="208" customFormat="1" ht="18" x14ac:dyDescent="0.25">
      <c r="A1214" s="154"/>
      <c r="B1214" s="650" t="s">
        <v>201</v>
      </c>
      <c r="C1214" s="654" t="s">
        <v>1388</v>
      </c>
      <c r="D1214" s="656" t="s">
        <v>1293</v>
      </c>
      <c r="E1214" s="654"/>
      <c r="F1214" s="654"/>
      <c r="G1214" s="655"/>
      <c r="H1214" s="97"/>
      <c r="I1214" s="101">
        <v>0</v>
      </c>
      <c r="J1214" s="102">
        <v>20000</v>
      </c>
      <c r="K1214" s="101"/>
      <c r="L1214" s="250"/>
      <c r="M1214" s="207"/>
      <c r="N1214" s="207"/>
      <c r="O1214" s="764"/>
    </row>
    <row r="1215" spans="1:15" s="208" customFormat="1" ht="18" x14ac:dyDescent="0.25">
      <c r="A1215" s="154"/>
      <c r="B1215" s="650" t="s">
        <v>201</v>
      </c>
      <c r="C1215" s="654" t="s">
        <v>1388</v>
      </c>
      <c r="D1215" s="656" t="s">
        <v>1294</v>
      </c>
      <c r="E1215" s="654"/>
      <c r="F1215" s="654"/>
      <c r="G1215" s="655"/>
      <c r="H1215" s="97"/>
      <c r="I1215" s="101">
        <v>0</v>
      </c>
      <c r="J1215" s="102">
        <v>30000</v>
      </c>
      <c r="K1215" s="101"/>
      <c r="L1215" s="250"/>
      <c r="M1215" s="207"/>
      <c r="N1215" s="207"/>
      <c r="O1215" s="764"/>
    </row>
    <row r="1216" spans="1:15" s="208" customFormat="1" ht="18" x14ac:dyDescent="0.25">
      <c r="A1216" s="154"/>
      <c r="B1216" s="650" t="s">
        <v>201</v>
      </c>
      <c r="C1216" s="654" t="s">
        <v>1388</v>
      </c>
      <c r="D1216" s="656" t="s">
        <v>1295</v>
      </c>
      <c r="E1216" s="654"/>
      <c r="F1216" s="654"/>
      <c r="G1216" s="655"/>
      <c r="H1216" s="97"/>
      <c r="I1216" s="101">
        <v>0</v>
      </c>
      <c r="J1216" s="102">
        <v>40000</v>
      </c>
      <c r="K1216" s="101"/>
      <c r="L1216" s="250"/>
      <c r="M1216" s="207"/>
      <c r="N1216" s="207"/>
      <c r="O1216" s="764"/>
    </row>
    <row r="1217" spans="1:16" s="208" customFormat="1" ht="18" x14ac:dyDescent="0.25">
      <c r="A1217" s="154"/>
      <c r="B1217" s="650" t="s">
        <v>201</v>
      </c>
      <c r="C1217" s="654" t="s">
        <v>1388</v>
      </c>
      <c r="D1217" s="656" t="s">
        <v>1296</v>
      </c>
      <c r="E1217" s="654"/>
      <c r="F1217" s="654"/>
      <c r="G1217" s="655"/>
      <c r="H1217" s="97"/>
      <c r="I1217" s="101">
        <v>0</v>
      </c>
      <c r="J1217" s="102">
        <v>20000</v>
      </c>
      <c r="K1217" s="101"/>
      <c r="L1217" s="250">
        <v>26000</v>
      </c>
      <c r="M1217" s="207"/>
      <c r="N1217" s="207"/>
      <c r="O1217" s="764"/>
    </row>
    <row r="1218" spans="1:16" ht="18" x14ac:dyDescent="0.25">
      <c r="A1218" s="459"/>
      <c r="B1218" s="650" t="s">
        <v>201</v>
      </c>
      <c r="C1218" s="654" t="s">
        <v>1388</v>
      </c>
      <c r="D1218" s="38" t="s">
        <v>1297</v>
      </c>
      <c r="E1218" s="235"/>
      <c r="F1218" s="235"/>
      <c r="G1218" s="236"/>
      <c r="H1218" s="97"/>
      <c r="I1218" s="101">
        <v>89500</v>
      </c>
      <c r="J1218" s="102">
        <v>0</v>
      </c>
      <c r="K1218" s="101"/>
      <c r="L1218" s="105"/>
    </row>
    <row r="1219" spans="1:16" s="146" customFormat="1" ht="18" x14ac:dyDescent="0.25">
      <c r="A1219" s="649"/>
      <c r="B1219" s="650" t="s">
        <v>123</v>
      </c>
      <c r="C1219" s="654" t="s">
        <v>1388</v>
      </c>
      <c r="D1219" s="1602" t="s">
        <v>124</v>
      </c>
      <c r="E1219" s="1603"/>
      <c r="F1219" s="1603"/>
      <c r="G1219" s="1603"/>
      <c r="H1219" s="100" t="s">
        <v>125</v>
      </c>
      <c r="I1219" s="101">
        <v>2300526</v>
      </c>
      <c r="J1219" s="102">
        <v>2887656</v>
      </c>
      <c r="K1219" s="112">
        <v>1409227.54</v>
      </c>
      <c r="L1219" s="101">
        <v>3160164</v>
      </c>
      <c r="M1219" s="10"/>
      <c r="N1219" s="10"/>
      <c r="O1219" s="756"/>
      <c r="P1219"/>
    </row>
    <row r="1220" spans="1:16" s="146" customFormat="1" ht="18" x14ac:dyDescent="0.25">
      <c r="A1220" s="649"/>
      <c r="B1220" s="650" t="s">
        <v>123</v>
      </c>
      <c r="C1220" s="654" t="s">
        <v>1388</v>
      </c>
      <c r="D1220" s="1602" t="s">
        <v>128</v>
      </c>
      <c r="E1220" s="1603"/>
      <c r="F1220" s="1603"/>
      <c r="G1220" s="1603"/>
      <c r="H1220" s="100" t="s">
        <v>125</v>
      </c>
      <c r="I1220" s="101"/>
      <c r="J1220" s="102">
        <v>5832</v>
      </c>
      <c r="K1220" s="101"/>
      <c r="L1220" s="101">
        <v>6038.72</v>
      </c>
      <c r="M1220" s="10"/>
      <c r="N1220" s="10"/>
      <c r="O1220" s="756"/>
      <c r="P1220"/>
    </row>
    <row r="1221" spans="1:16" s="146" customFormat="1" ht="18" x14ac:dyDescent="0.25">
      <c r="A1221" s="649"/>
      <c r="B1221" s="650" t="s">
        <v>123</v>
      </c>
      <c r="C1221" s="654" t="s">
        <v>1388</v>
      </c>
      <c r="D1221" s="1602" t="s">
        <v>129</v>
      </c>
      <c r="E1221" s="1603"/>
      <c r="F1221" s="1603"/>
      <c r="G1221" s="1603"/>
      <c r="H1221" s="103" t="s">
        <v>130</v>
      </c>
      <c r="I1221" s="101">
        <v>335000</v>
      </c>
      <c r="J1221" s="102">
        <v>432000</v>
      </c>
      <c r="K1221" s="101">
        <v>195909.09</v>
      </c>
      <c r="L1221" s="101">
        <v>432000</v>
      </c>
      <c r="M1221" s="10"/>
      <c r="N1221" s="10"/>
      <c r="O1221" s="756"/>
      <c r="P1221"/>
    </row>
    <row r="1222" spans="1:16" s="146" customFormat="1" ht="18" x14ac:dyDescent="0.25">
      <c r="A1222" s="649"/>
      <c r="B1222" s="650" t="s">
        <v>123</v>
      </c>
      <c r="C1222" s="654" t="s">
        <v>1388</v>
      </c>
      <c r="D1222" s="1602" t="s">
        <v>135</v>
      </c>
      <c r="E1222" s="1603"/>
      <c r="F1222" s="1603"/>
      <c r="G1222" s="1603"/>
      <c r="H1222" s="100" t="s">
        <v>136</v>
      </c>
      <c r="I1222" s="101">
        <v>405422.89</v>
      </c>
      <c r="J1222" s="102">
        <v>527266.36</v>
      </c>
      <c r="K1222" s="101">
        <v>204511.31</v>
      </c>
      <c r="L1222" s="102">
        <v>552447.27</v>
      </c>
      <c r="M1222" s="10"/>
      <c r="N1222" s="10"/>
      <c r="O1222" s="756"/>
      <c r="P1222"/>
    </row>
    <row r="1223" spans="1:16" s="146" customFormat="1" ht="18" x14ac:dyDescent="0.25">
      <c r="A1223" s="649"/>
      <c r="B1223" s="650" t="s">
        <v>123</v>
      </c>
      <c r="C1223" s="654" t="s">
        <v>1388</v>
      </c>
      <c r="D1223" s="1602" t="s">
        <v>137</v>
      </c>
      <c r="E1223" s="1603"/>
      <c r="F1223" s="1603"/>
      <c r="G1223" s="1603"/>
      <c r="H1223" s="100" t="s">
        <v>138</v>
      </c>
      <c r="I1223" s="101">
        <v>84000</v>
      </c>
      <c r="J1223" s="102">
        <v>108000</v>
      </c>
      <c r="K1223" s="101">
        <v>84000</v>
      </c>
      <c r="L1223" s="101">
        <v>108000</v>
      </c>
      <c r="M1223" s="10"/>
      <c r="N1223" s="10"/>
      <c r="O1223" s="756"/>
      <c r="P1223"/>
    </row>
    <row r="1224" spans="1:16" s="146" customFormat="1" ht="18" customHeight="1" x14ac:dyDescent="0.25">
      <c r="A1224" s="649"/>
      <c r="B1224" s="650" t="s">
        <v>123</v>
      </c>
      <c r="C1224" s="654" t="s">
        <v>1388</v>
      </c>
      <c r="D1224" s="1602" t="s">
        <v>139</v>
      </c>
      <c r="E1224" s="1603"/>
      <c r="F1224" s="1603"/>
      <c r="G1224" s="1603"/>
      <c r="H1224" s="100" t="s">
        <v>140</v>
      </c>
      <c r="I1224" s="101">
        <v>192228</v>
      </c>
      <c r="J1224" s="102">
        <v>240175</v>
      </c>
      <c r="K1224" s="101">
        <v>201336</v>
      </c>
      <c r="L1224" s="101">
        <v>263980</v>
      </c>
      <c r="M1224" s="10"/>
      <c r="N1224" s="10"/>
      <c r="O1224" s="756"/>
      <c r="P1224"/>
    </row>
    <row r="1225" spans="1:16" s="146" customFormat="1" ht="18" x14ac:dyDescent="0.25">
      <c r="A1225" s="649"/>
      <c r="B1225" s="650" t="s">
        <v>123</v>
      </c>
      <c r="C1225" s="654" t="s">
        <v>1388</v>
      </c>
      <c r="D1225" s="1602" t="s">
        <v>141</v>
      </c>
      <c r="E1225" s="1603"/>
      <c r="F1225" s="1603"/>
      <c r="G1225" s="1603"/>
      <c r="H1225" s="100" t="s">
        <v>142</v>
      </c>
      <c r="I1225" s="101">
        <v>179065</v>
      </c>
      <c r="J1225" s="102">
        <v>241071</v>
      </c>
      <c r="K1225" s="101"/>
      <c r="L1225" s="101">
        <v>263980</v>
      </c>
      <c r="M1225" s="10"/>
      <c r="N1225" s="10"/>
      <c r="O1225" s="756"/>
      <c r="P1225"/>
    </row>
    <row r="1226" spans="1:16" s="146" customFormat="1" ht="18" x14ac:dyDescent="0.25">
      <c r="A1226" s="649"/>
      <c r="B1226" s="650" t="s">
        <v>123</v>
      </c>
      <c r="C1226" s="654" t="s">
        <v>1388</v>
      </c>
      <c r="D1226" s="1602" t="s">
        <v>143</v>
      </c>
      <c r="E1226" s="1603"/>
      <c r="F1226" s="1603"/>
      <c r="G1226" s="1603"/>
      <c r="H1226" s="100" t="s">
        <v>144</v>
      </c>
      <c r="I1226" s="101">
        <v>65000</v>
      </c>
      <c r="J1226" s="102">
        <v>90000</v>
      </c>
      <c r="K1226" s="101"/>
      <c r="L1226" s="101">
        <v>90000</v>
      </c>
      <c r="M1226" s="10"/>
      <c r="N1226" s="10"/>
      <c r="O1226" s="756"/>
      <c r="P1226"/>
    </row>
    <row r="1227" spans="1:16" s="146" customFormat="1" ht="18" x14ac:dyDescent="0.25">
      <c r="A1227" s="649"/>
      <c r="B1227" s="650" t="s">
        <v>123</v>
      </c>
      <c r="C1227" s="654" t="s">
        <v>1388</v>
      </c>
      <c r="D1227" s="1602" t="s">
        <v>145</v>
      </c>
      <c r="E1227" s="1603"/>
      <c r="F1227" s="1603"/>
      <c r="G1227" s="1603"/>
      <c r="H1227" s="100" t="s">
        <v>146</v>
      </c>
      <c r="I1227" s="101">
        <v>70000</v>
      </c>
      <c r="J1227" s="102">
        <v>90000</v>
      </c>
      <c r="K1227" s="101"/>
      <c r="L1227" s="101">
        <v>90000</v>
      </c>
      <c r="M1227" s="10"/>
      <c r="N1227" s="10"/>
      <c r="O1227" s="756"/>
      <c r="P1227"/>
    </row>
    <row r="1228" spans="1:16" s="146" customFormat="1" ht="18" x14ac:dyDescent="0.25">
      <c r="A1228" s="649"/>
      <c r="B1228" s="650" t="s">
        <v>123</v>
      </c>
      <c r="C1228" s="654" t="s">
        <v>1388</v>
      </c>
      <c r="D1228" s="657" t="s">
        <v>147</v>
      </c>
      <c r="E1228" s="647"/>
      <c r="F1228" s="647"/>
      <c r="G1228" s="647"/>
      <c r="H1228" s="100" t="s">
        <v>148</v>
      </c>
      <c r="I1228" s="101"/>
      <c r="J1228" s="102"/>
      <c r="K1228" s="101"/>
      <c r="L1228" s="101">
        <v>54000</v>
      </c>
      <c r="M1228" s="10"/>
      <c r="N1228" s="10"/>
      <c r="O1228" s="756"/>
      <c r="P1228"/>
    </row>
    <row r="1229" spans="1:16" s="146" customFormat="1" ht="18" x14ac:dyDescent="0.25">
      <c r="A1229" s="649"/>
      <c r="B1229" s="650" t="s">
        <v>123</v>
      </c>
      <c r="C1229" s="654" t="s">
        <v>1388</v>
      </c>
      <c r="D1229" s="1602" t="s">
        <v>151</v>
      </c>
      <c r="E1229" s="1603"/>
      <c r="F1229" s="1603"/>
      <c r="G1229" s="1603"/>
      <c r="H1229" s="100" t="s">
        <v>148</v>
      </c>
      <c r="I1229" s="101">
        <v>140000</v>
      </c>
      <c r="J1229" s="102">
        <v>0</v>
      </c>
      <c r="K1229" s="101"/>
      <c r="L1229" s="101"/>
      <c r="M1229" s="10"/>
      <c r="N1229" s="10"/>
      <c r="O1229" s="756"/>
      <c r="P1229"/>
    </row>
    <row r="1230" spans="1:16" s="146" customFormat="1" ht="18" x14ac:dyDescent="0.25">
      <c r="A1230" s="649"/>
      <c r="B1230" s="650" t="s">
        <v>123</v>
      </c>
      <c r="C1230" s="654" t="s">
        <v>1388</v>
      </c>
      <c r="D1230" s="639" t="s">
        <v>149</v>
      </c>
      <c r="E1230" s="650"/>
      <c r="F1230" s="650"/>
      <c r="G1230" s="646"/>
      <c r="H1230" s="100" t="s">
        <v>150</v>
      </c>
      <c r="I1230" s="101">
        <v>136800</v>
      </c>
      <c r="J1230" s="102">
        <v>0</v>
      </c>
      <c r="K1230" s="101"/>
      <c r="L1230" s="101"/>
      <c r="M1230" s="10"/>
      <c r="N1230" s="10"/>
      <c r="O1230" s="756"/>
      <c r="P1230"/>
    </row>
    <row r="1231" spans="1:16" s="146" customFormat="1" ht="18" x14ac:dyDescent="0.25">
      <c r="A1231" s="649"/>
      <c r="B1231" s="650" t="s">
        <v>123</v>
      </c>
      <c r="C1231" s="654" t="s">
        <v>1388</v>
      </c>
      <c r="D1231" s="639" t="s">
        <v>231</v>
      </c>
      <c r="E1231" s="650"/>
      <c r="F1231" s="650"/>
      <c r="G1231" s="646"/>
      <c r="H1231" s="100" t="s">
        <v>232</v>
      </c>
      <c r="I1231" s="101">
        <v>5000</v>
      </c>
      <c r="J1231" s="102">
        <v>15000</v>
      </c>
      <c r="K1231" s="101"/>
      <c r="L1231" s="101"/>
      <c r="M1231" s="10"/>
      <c r="N1231" s="10"/>
      <c r="O1231" s="756"/>
      <c r="P1231"/>
    </row>
    <row r="1232" spans="1:16" s="146" customFormat="1" ht="15" customHeight="1" x14ac:dyDescent="0.25">
      <c r="A1232" s="649"/>
      <c r="B1232" s="650" t="s">
        <v>123</v>
      </c>
      <c r="C1232" s="654" t="s">
        <v>1388</v>
      </c>
      <c r="D1232" s="1611" t="s">
        <v>152</v>
      </c>
      <c r="E1232" s="1611"/>
      <c r="F1232" s="1611"/>
      <c r="G1232" s="1602"/>
      <c r="H1232" s="100"/>
      <c r="I1232" s="101">
        <v>0</v>
      </c>
      <c r="J1232" s="102">
        <v>172588.2</v>
      </c>
      <c r="K1232" s="101"/>
      <c r="L1232" s="101"/>
      <c r="M1232" s="10"/>
      <c r="N1232" s="10"/>
      <c r="O1232" s="756"/>
      <c r="P1232"/>
    </row>
    <row r="1233" spans="1:16" s="146" customFormat="1" ht="18" x14ac:dyDescent="0.25">
      <c r="A1233" s="649"/>
      <c r="B1233" s="650" t="s">
        <v>123</v>
      </c>
      <c r="C1233" s="654" t="s">
        <v>1388</v>
      </c>
      <c r="D1233" s="1602" t="s">
        <v>153</v>
      </c>
      <c r="E1233" s="1603"/>
      <c r="F1233" s="1603"/>
      <c r="G1233" s="1603"/>
      <c r="H1233" s="100" t="s">
        <v>154</v>
      </c>
      <c r="I1233" s="101">
        <v>276063.12</v>
      </c>
      <c r="J1233" s="102">
        <v>347218.56</v>
      </c>
      <c r="K1233" s="101">
        <v>169104.26</v>
      </c>
      <c r="L1233" s="101">
        <v>379944.33</v>
      </c>
      <c r="M1233" s="10"/>
      <c r="N1233" s="10"/>
      <c r="O1233" s="756"/>
      <c r="P1233"/>
    </row>
    <row r="1234" spans="1:16" s="146" customFormat="1" ht="18" x14ac:dyDescent="0.25">
      <c r="A1234" s="649"/>
      <c r="B1234" s="650" t="s">
        <v>123</v>
      </c>
      <c r="C1234" s="654" t="s">
        <v>1388</v>
      </c>
      <c r="D1234" s="1602" t="s">
        <v>155</v>
      </c>
      <c r="E1234" s="1603"/>
      <c r="F1234" s="1603"/>
      <c r="G1234" s="1603"/>
      <c r="H1234" s="100" t="s">
        <v>156</v>
      </c>
      <c r="I1234" s="101">
        <v>16800</v>
      </c>
      <c r="J1234" s="102">
        <v>21600</v>
      </c>
      <c r="K1234" s="101">
        <v>9800</v>
      </c>
      <c r="L1234" s="101">
        <v>21600</v>
      </c>
      <c r="M1234" s="10"/>
      <c r="N1234" s="10"/>
      <c r="O1234" s="756"/>
      <c r="P1234"/>
    </row>
    <row r="1235" spans="1:16" s="146" customFormat="1" ht="18" x14ac:dyDescent="0.25">
      <c r="A1235" s="649"/>
      <c r="B1235" s="650" t="s">
        <v>123</v>
      </c>
      <c r="C1235" s="654" t="s">
        <v>1388</v>
      </c>
      <c r="D1235" s="1602" t="s">
        <v>157</v>
      </c>
      <c r="E1235" s="1603"/>
      <c r="F1235" s="1603"/>
      <c r="G1235" s="1603"/>
      <c r="H1235" s="100" t="s">
        <v>158</v>
      </c>
      <c r="I1235" s="101">
        <v>34607.74</v>
      </c>
      <c r="J1235" s="102">
        <v>50639.61</v>
      </c>
      <c r="K1235" s="101">
        <v>21148.86</v>
      </c>
      <c r="L1235" s="101">
        <v>126949.55</v>
      </c>
      <c r="M1235" s="10"/>
      <c r="N1235" s="10"/>
      <c r="O1235" s="756"/>
      <c r="P1235"/>
    </row>
    <row r="1236" spans="1:16" s="146" customFormat="1" ht="18" x14ac:dyDescent="0.25">
      <c r="A1236" s="649"/>
      <c r="B1236" s="650" t="s">
        <v>123</v>
      </c>
      <c r="C1236" s="654" t="s">
        <v>1388</v>
      </c>
      <c r="D1236" s="1602" t="s">
        <v>159</v>
      </c>
      <c r="E1236" s="1603"/>
      <c r="F1236" s="1603"/>
      <c r="G1236" s="1603"/>
      <c r="H1236" s="100" t="s">
        <v>160</v>
      </c>
      <c r="I1236" s="105">
        <v>16800</v>
      </c>
      <c r="J1236" s="106">
        <v>21600</v>
      </c>
      <c r="K1236" s="105">
        <v>9800</v>
      </c>
      <c r="L1236" s="105">
        <v>21600</v>
      </c>
      <c r="M1236" s="10"/>
      <c r="N1236" s="10"/>
      <c r="O1236" s="756"/>
      <c r="P1236"/>
    </row>
    <row r="1237" spans="1:16" s="229" customFormat="1" ht="18" customHeight="1" x14ac:dyDescent="0.25">
      <c r="A1237" s="154"/>
      <c r="B1237" s="650" t="s">
        <v>163</v>
      </c>
      <c r="C1237" s="654" t="s">
        <v>1388</v>
      </c>
      <c r="D1237" s="44" t="s">
        <v>164</v>
      </c>
      <c r="E1237" s="125"/>
      <c r="F1237" s="125"/>
      <c r="G1237" s="134"/>
      <c r="H1237" s="100" t="s">
        <v>165</v>
      </c>
      <c r="I1237" s="101">
        <v>7260</v>
      </c>
      <c r="J1237" s="102">
        <v>30000</v>
      </c>
      <c r="K1237" s="101"/>
      <c r="L1237" s="101">
        <v>30000</v>
      </c>
      <c r="M1237" s="207"/>
      <c r="N1237" s="207"/>
      <c r="O1237" s="764"/>
      <c r="P1237" s="212"/>
    </row>
    <row r="1238" spans="1:16" s="229" customFormat="1" ht="18" customHeight="1" x14ac:dyDescent="0.25">
      <c r="A1238" s="154"/>
      <c r="B1238" s="650" t="s">
        <v>163</v>
      </c>
      <c r="C1238" s="654" t="s">
        <v>1388</v>
      </c>
      <c r="D1238" s="44" t="s">
        <v>168</v>
      </c>
      <c r="E1238" s="125"/>
      <c r="F1238" s="125"/>
      <c r="G1238" s="134"/>
      <c r="H1238" s="100" t="s">
        <v>169</v>
      </c>
      <c r="I1238" s="101">
        <v>184687</v>
      </c>
      <c r="J1238" s="102">
        <v>226890</v>
      </c>
      <c r="K1238" s="101">
        <v>103305</v>
      </c>
      <c r="L1238" s="101">
        <v>91953</v>
      </c>
      <c r="M1238" s="207"/>
      <c r="N1238" s="207"/>
      <c r="O1238" s="764"/>
      <c r="P1238" s="212"/>
    </row>
    <row r="1239" spans="1:16" s="229" customFormat="1" ht="18" customHeight="1" x14ac:dyDescent="0.25">
      <c r="A1239" s="154"/>
      <c r="B1239" s="650" t="s">
        <v>163</v>
      </c>
      <c r="C1239" s="654" t="s">
        <v>1388</v>
      </c>
      <c r="D1239" s="44" t="s">
        <v>1299</v>
      </c>
      <c r="E1239" s="125"/>
      <c r="F1239" s="125"/>
      <c r="G1239" s="655"/>
      <c r="H1239" s="100" t="s">
        <v>427</v>
      </c>
      <c r="I1239" s="101">
        <v>640450</v>
      </c>
      <c r="J1239" s="102">
        <v>850500</v>
      </c>
      <c r="K1239" s="101"/>
      <c r="L1239" s="101">
        <v>1342000</v>
      </c>
      <c r="M1239" s="207"/>
      <c r="N1239" s="207"/>
      <c r="O1239" s="764"/>
      <c r="P1239" s="212"/>
    </row>
    <row r="1240" spans="1:16" s="229" customFormat="1" ht="18" customHeight="1" x14ac:dyDescent="0.25">
      <c r="A1240" s="154"/>
      <c r="B1240" s="650" t="s">
        <v>163</v>
      </c>
      <c r="C1240" s="654" t="s">
        <v>1388</v>
      </c>
      <c r="D1240" s="44" t="s">
        <v>172</v>
      </c>
      <c r="E1240" s="125"/>
      <c r="F1240" s="125"/>
      <c r="G1240" s="134"/>
      <c r="H1240" s="100" t="s">
        <v>173</v>
      </c>
      <c r="I1240" s="101">
        <v>8662.25</v>
      </c>
      <c r="J1240" s="102">
        <v>20000</v>
      </c>
      <c r="K1240" s="101">
        <v>5685.05</v>
      </c>
      <c r="L1240" s="101">
        <v>20000</v>
      </c>
      <c r="M1240" s="207"/>
      <c r="N1240" s="207"/>
      <c r="O1240" s="764"/>
      <c r="P1240" s="212"/>
    </row>
    <row r="1241" spans="1:16" s="229" customFormat="1" ht="18" x14ac:dyDescent="0.25">
      <c r="A1241" s="154"/>
      <c r="B1241" s="650" t="s">
        <v>163</v>
      </c>
      <c r="C1241" s="654" t="s">
        <v>1388</v>
      </c>
      <c r="D1241" s="44" t="s">
        <v>174</v>
      </c>
      <c r="E1241" s="125"/>
      <c r="F1241" s="125"/>
      <c r="G1241" s="134"/>
      <c r="H1241" s="100" t="s">
        <v>171</v>
      </c>
      <c r="I1241" s="101">
        <v>17434.5</v>
      </c>
      <c r="J1241" s="102">
        <v>69404</v>
      </c>
      <c r="K1241" s="101"/>
      <c r="L1241" s="101"/>
      <c r="M1241" s="207"/>
      <c r="N1241" s="207"/>
      <c r="O1241" s="764"/>
      <c r="P1241" s="212"/>
    </row>
    <row r="1242" spans="1:16" s="229" customFormat="1" ht="18" customHeight="1" x14ac:dyDescent="0.25">
      <c r="A1242" s="154"/>
      <c r="B1242" s="650" t="s">
        <v>163</v>
      </c>
      <c r="C1242" s="654" t="s">
        <v>1388</v>
      </c>
      <c r="D1242" s="656" t="s">
        <v>170</v>
      </c>
      <c r="E1242" s="654"/>
      <c r="F1242" s="654"/>
      <c r="G1242" s="655"/>
      <c r="H1242" s="100" t="s">
        <v>171</v>
      </c>
      <c r="I1242" s="101"/>
      <c r="J1242" s="102"/>
      <c r="K1242" s="101"/>
      <c r="L1242" s="101">
        <f>103264+500000</f>
        <v>603264</v>
      </c>
      <c r="M1242" s="207"/>
      <c r="N1242" s="207"/>
      <c r="O1242" s="764"/>
      <c r="P1242" s="212"/>
    </row>
    <row r="1243" spans="1:16" s="229" customFormat="1" ht="18" customHeight="1" x14ac:dyDescent="0.25">
      <c r="A1243" s="154"/>
      <c r="B1243" s="650" t="s">
        <v>163</v>
      </c>
      <c r="C1243" s="654" t="s">
        <v>1388</v>
      </c>
      <c r="D1243" s="44" t="s">
        <v>182</v>
      </c>
      <c r="E1243" s="125"/>
      <c r="F1243" s="125"/>
      <c r="G1243" s="134"/>
      <c r="H1243" s="100" t="s">
        <v>183</v>
      </c>
      <c r="I1243" s="101">
        <v>0</v>
      </c>
      <c r="J1243" s="102">
        <v>42000</v>
      </c>
      <c r="K1243" s="101"/>
      <c r="L1243" s="101">
        <v>42000</v>
      </c>
      <c r="M1243" s="207"/>
      <c r="N1243" s="207"/>
      <c r="O1243" s="764"/>
      <c r="P1243" s="212"/>
    </row>
    <row r="1244" spans="1:16" s="229" customFormat="1" ht="18" customHeight="1" x14ac:dyDescent="0.25">
      <c r="A1244" s="154"/>
      <c r="B1244" s="650" t="s">
        <v>163</v>
      </c>
      <c r="C1244" s="654" t="s">
        <v>1388</v>
      </c>
      <c r="D1244" s="44" t="s">
        <v>1300</v>
      </c>
      <c r="E1244" s="125"/>
      <c r="F1244" s="125"/>
      <c r="G1244" s="134"/>
      <c r="H1244" s="100" t="s">
        <v>187</v>
      </c>
      <c r="I1244" s="101">
        <v>0</v>
      </c>
      <c r="J1244" s="102">
        <v>20000</v>
      </c>
      <c r="K1244" s="101"/>
      <c r="L1244" s="101">
        <v>20000</v>
      </c>
      <c r="M1244" s="207"/>
      <c r="N1244" s="207"/>
      <c r="O1244" s="764"/>
      <c r="P1244" s="212"/>
    </row>
    <row r="1245" spans="1:16" s="146" customFormat="1" ht="18" x14ac:dyDescent="0.25">
      <c r="A1245" s="459"/>
      <c r="B1245" s="235" t="s">
        <v>201</v>
      </c>
      <c r="C1245" s="654" t="s">
        <v>1388</v>
      </c>
      <c r="D1245" s="38" t="s">
        <v>1301</v>
      </c>
      <c r="E1245" s="235"/>
      <c r="F1245" s="235"/>
      <c r="G1245" s="235"/>
      <c r="H1245" s="394" t="s">
        <v>1302</v>
      </c>
      <c r="I1245" s="101">
        <v>0</v>
      </c>
      <c r="J1245" s="102">
        <v>0</v>
      </c>
      <c r="K1245" s="101"/>
      <c r="L1245" s="101">
        <v>30600</v>
      </c>
      <c r="M1245" s="10"/>
      <c r="N1245" s="10"/>
      <c r="O1245" s="756"/>
      <c r="P1245"/>
    </row>
    <row r="1246" spans="1:16" s="146" customFormat="1" ht="18" x14ac:dyDescent="0.25">
      <c r="A1246" s="459"/>
      <c r="B1246" s="235" t="s">
        <v>201</v>
      </c>
      <c r="C1246" s="654" t="s">
        <v>1388</v>
      </c>
      <c r="D1246" s="38" t="s">
        <v>1303</v>
      </c>
      <c r="E1246" s="235"/>
      <c r="F1246" s="235"/>
      <c r="G1246" s="235"/>
      <c r="H1246" s="394"/>
      <c r="I1246" s="101"/>
      <c r="J1246" s="102">
        <v>160000</v>
      </c>
      <c r="K1246" s="101">
        <v>0</v>
      </c>
      <c r="L1246" s="101"/>
      <c r="M1246" s="10"/>
      <c r="N1246" s="10"/>
      <c r="O1246" s="756"/>
      <c r="P1246"/>
    </row>
    <row r="1247" spans="1:16" s="146" customFormat="1" ht="18" x14ac:dyDescent="0.25">
      <c r="A1247" s="459"/>
      <c r="B1247" s="235" t="s">
        <v>201</v>
      </c>
      <c r="C1247" s="654" t="s">
        <v>1388</v>
      </c>
      <c r="D1247" s="38" t="s">
        <v>1304</v>
      </c>
      <c r="E1247" s="235"/>
      <c r="F1247" s="235"/>
      <c r="G1247" s="235"/>
      <c r="H1247" s="394"/>
      <c r="I1247" s="101"/>
      <c r="J1247" s="102">
        <v>33000</v>
      </c>
      <c r="K1247" s="101">
        <v>0</v>
      </c>
      <c r="L1247" s="101"/>
      <c r="M1247" s="10"/>
      <c r="N1247" s="10"/>
      <c r="O1247" s="756"/>
      <c r="P1247"/>
    </row>
    <row r="1248" spans="1:16" ht="18" x14ac:dyDescent="0.25">
      <c r="A1248" s="459"/>
      <c r="B1248" s="235" t="s">
        <v>201</v>
      </c>
      <c r="C1248" s="654" t="s">
        <v>1388</v>
      </c>
      <c r="D1248" s="38" t="s">
        <v>204</v>
      </c>
      <c r="E1248" s="235"/>
      <c r="F1248" s="235"/>
      <c r="G1248" s="235"/>
      <c r="H1248" s="394"/>
      <c r="I1248" s="101">
        <v>0</v>
      </c>
      <c r="J1248" s="102">
        <v>80000</v>
      </c>
      <c r="K1248" s="101">
        <v>0</v>
      </c>
      <c r="L1248" s="101">
        <v>80000</v>
      </c>
    </row>
    <row r="1249" spans="1:16" ht="18" x14ac:dyDescent="0.25">
      <c r="A1249" s="459"/>
      <c r="B1249" s="235" t="s">
        <v>201</v>
      </c>
      <c r="C1249" s="654" t="s">
        <v>1388</v>
      </c>
      <c r="D1249" s="38" t="s">
        <v>1305</v>
      </c>
      <c r="E1249" s="235"/>
      <c r="F1249" s="235"/>
      <c r="G1249" s="235"/>
      <c r="H1249" s="394"/>
      <c r="I1249" s="105">
        <v>15000</v>
      </c>
      <c r="J1249" s="106"/>
      <c r="K1249" s="105"/>
      <c r="L1249" s="105"/>
    </row>
    <row r="1250" spans="1:16" s="146" customFormat="1" x14ac:dyDescent="0.25">
      <c r="A1250" s="8"/>
      <c r="B1250" s="8"/>
      <c r="C1250" s="8"/>
      <c r="D1250" s="9"/>
      <c r="E1250" s="8"/>
      <c r="F1250" s="8"/>
      <c r="G1250" s="8"/>
      <c r="H1250" s="8"/>
      <c r="I1250" s="481"/>
      <c r="J1250" s="482" t="s">
        <v>1319</v>
      </c>
      <c r="K1250" s="483"/>
      <c r="L1250" s="480" t="e">
        <f>SUM(#REF!)</f>
        <v>#REF!</v>
      </c>
      <c r="M1250" s="10"/>
      <c r="N1250" s="10">
        <v>750428822.36000001</v>
      </c>
      <c r="O1250" s="756"/>
      <c r="P1250"/>
    </row>
    <row r="1251" spans="1:16" s="146" customFormat="1" x14ac:dyDescent="0.25">
      <c r="A1251" s="8"/>
      <c r="B1251" s="8"/>
      <c r="C1251" s="8"/>
      <c r="D1251" s="9"/>
      <c r="E1251" s="8"/>
      <c r="F1251" s="8"/>
      <c r="G1251" s="8"/>
      <c r="H1251" s="8"/>
      <c r="I1251" s="4"/>
      <c r="J1251" s="177"/>
      <c r="K1251" s="265"/>
      <c r="L1251" s="4"/>
      <c r="M1251" s="10"/>
      <c r="N1251" s="10"/>
      <c r="O1251" s="756"/>
      <c r="P1251"/>
    </row>
    <row r="1252" spans="1:16" s="146" customFormat="1" x14ac:dyDescent="0.25">
      <c r="A1252" s="8"/>
      <c r="B1252" s="8"/>
      <c r="C1252" s="8"/>
      <c r="D1252" s="9"/>
      <c r="E1252" s="8"/>
      <c r="F1252" s="8"/>
      <c r="G1252" s="8"/>
      <c r="H1252" s="8"/>
      <c r="I1252" s="4"/>
      <c r="J1252" s="177"/>
      <c r="K1252" s="265"/>
      <c r="L1252" s="4"/>
      <c r="M1252" s="10"/>
      <c r="N1252" s="10"/>
      <c r="O1252" s="756"/>
      <c r="P1252"/>
    </row>
    <row r="1253" spans="1:16" s="146" customFormat="1" x14ac:dyDescent="0.25">
      <c r="A1253" s="8"/>
      <c r="B1253" s="8"/>
      <c r="C1253" s="8"/>
      <c r="D1253" s="9"/>
      <c r="E1253" s="8"/>
      <c r="F1253" s="8"/>
      <c r="G1253" s="8"/>
      <c r="H1253" s="8"/>
      <c r="I1253" s="4"/>
      <c r="J1253" s="177"/>
      <c r="K1253" s="265"/>
      <c r="L1253" s="4"/>
      <c r="M1253" s="10"/>
      <c r="N1253" s="10"/>
      <c r="O1253" s="756"/>
      <c r="P1253"/>
    </row>
    <row r="1254" spans="1:16" s="146" customFormat="1" x14ac:dyDescent="0.25">
      <c r="A1254" s="8"/>
      <c r="B1254" s="8"/>
      <c r="C1254" s="8"/>
      <c r="D1254" s="9"/>
      <c r="E1254" s="8"/>
      <c r="F1254" s="8"/>
      <c r="G1254" s="8"/>
      <c r="H1254" s="8"/>
      <c r="I1254" s="4"/>
      <c r="J1254" s="177"/>
      <c r="K1254" s="265"/>
      <c r="L1254" s="4"/>
      <c r="M1254" s="10"/>
      <c r="N1254" s="10"/>
      <c r="O1254" s="756"/>
      <c r="P1254"/>
    </row>
    <row r="1255" spans="1:16" s="146" customFormat="1" x14ac:dyDescent="0.25">
      <c r="A1255" s="8"/>
      <c r="B1255" s="8"/>
      <c r="C1255" s="8"/>
      <c r="D1255" s="9"/>
      <c r="E1255" s="8"/>
      <c r="F1255" s="8"/>
      <c r="G1255" s="8"/>
      <c r="H1255" s="8"/>
      <c r="I1255" s="4"/>
      <c r="J1255" s="5"/>
      <c r="K1255" s="265"/>
      <c r="L1255" s="4"/>
      <c r="M1255" s="10"/>
      <c r="N1255" s="10"/>
      <c r="O1255" s="756"/>
      <c r="P1255"/>
    </row>
  </sheetData>
  <mergeCells count="360">
    <mergeCell ref="D1233:G1233"/>
    <mergeCell ref="D1234:G1234"/>
    <mergeCell ref="D1235:G1235"/>
    <mergeCell ref="D1236:G1236"/>
    <mergeCell ref="D1224:G1224"/>
    <mergeCell ref="D1225:G1225"/>
    <mergeCell ref="D1226:G1226"/>
    <mergeCell ref="D1227:G1227"/>
    <mergeCell ref="D1229:G1229"/>
    <mergeCell ref="D1232:G1232"/>
    <mergeCell ref="D1197:G1197"/>
    <mergeCell ref="D1219:G1219"/>
    <mergeCell ref="D1220:G1220"/>
    <mergeCell ref="D1221:G1221"/>
    <mergeCell ref="D1222:G1222"/>
    <mergeCell ref="D1223:G1223"/>
    <mergeCell ref="D1191:F1191"/>
    <mergeCell ref="D1192:G1192"/>
    <mergeCell ref="D1193:G1193"/>
    <mergeCell ref="D1194:G1194"/>
    <mergeCell ref="D1195:G1195"/>
    <mergeCell ref="D1196:G1196"/>
    <mergeCell ref="D1182:G1182"/>
    <mergeCell ref="D1183:G1183"/>
    <mergeCell ref="D1184:G1184"/>
    <mergeCell ref="D1185:G1185"/>
    <mergeCell ref="D1188:F1188"/>
    <mergeCell ref="D1189:E1189"/>
    <mergeCell ref="D1176:G1176"/>
    <mergeCell ref="D1177:G1177"/>
    <mergeCell ref="D1178:E1178"/>
    <mergeCell ref="D1179:G1179"/>
    <mergeCell ref="D1180:G1180"/>
    <mergeCell ref="D1181:G1181"/>
    <mergeCell ref="D1145:G1145"/>
    <mergeCell ref="D1162:E1162"/>
    <mergeCell ref="D1166:E1166"/>
    <mergeCell ref="D1170:E1170"/>
    <mergeCell ref="D1172:E1172"/>
    <mergeCell ref="D1173:E1173"/>
    <mergeCell ref="D1136:G1136"/>
    <mergeCell ref="D1138:G1138"/>
    <mergeCell ref="D1141:G1141"/>
    <mergeCell ref="D1142:G1142"/>
    <mergeCell ref="D1143:G1143"/>
    <mergeCell ref="D1144:G1144"/>
    <mergeCell ref="D1130:G1130"/>
    <mergeCell ref="D1131:G1131"/>
    <mergeCell ref="D1132:G1132"/>
    <mergeCell ref="D1133:G1133"/>
    <mergeCell ref="D1134:G1134"/>
    <mergeCell ref="D1135:G1135"/>
    <mergeCell ref="D1071:E1071"/>
    <mergeCell ref="D1072:E1072"/>
    <mergeCell ref="D1076:G1076"/>
    <mergeCell ref="D1078:G1078"/>
    <mergeCell ref="D1127:G1127"/>
    <mergeCell ref="D1128:G1128"/>
    <mergeCell ref="D1057:E1057"/>
    <mergeCell ref="D1059:E1059"/>
    <mergeCell ref="D1061:E1061"/>
    <mergeCell ref="A1066:L1066"/>
    <mergeCell ref="A1067:L1067"/>
    <mergeCell ref="A1069:G1069"/>
    <mergeCell ref="D1011:E1011"/>
    <mergeCell ref="D1013:E1013"/>
    <mergeCell ref="D1018:E1018"/>
    <mergeCell ref="D1045:E1045"/>
    <mergeCell ref="D1051:E1051"/>
    <mergeCell ref="D1056:E1056"/>
    <mergeCell ref="D981:E981"/>
    <mergeCell ref="D989:E989"/>
    <mergeCell ref="D990:E990"/>
    <mergeCell ref="A1005:L1005"/>
    <mergeCell ref="A1006:L1006"/>
    <mergeCell ref="A1008:G1008"/>
    <mergeCell ref="D965:E965"/>
    <mergeCell ref="D975:E975"/>
    <mergeCell ref="D976:F976"/>
    <mergeCell ref="D977:E977"/>
    <mergeCell ref="D978:E978"/>
    <mergeCell ref="D979:E979"/>
    <mergeCell ref="A949:L949"/>
    <mergeCell ref="A951:G951"/>
    <mergeCell ref="D958:E958"/>
    <mergeCell ref="D960:E960"/>
    <mergeCell ref="D962:E962"/>
    <mergeCell ref="D964:E964"/>
    <mergeCell ref="D916:E916"/>
    <mergeCell ref="D917:G917"/>
    <mergeCell ref="D932:E932"/>
    <mergeCell ref="D934:G934"/>
    <mergeCell ref="D941:E941"/>
    <mergeCell ref="A948:L948"/>
    <mergeCell ref="D872:E872"/>
    <mergeCell ref="A886:L886"/>
    <mergeCell ref="A887:L887"/>
    <mergeCell ref="A889:G889"/>
    <mergeCell ref="D894:E894"/>
    <mergeCell ref="D910:E910"/>
    <mergeCell ref="D843:E843"/>
    <mergeCell ref="D847:E847"/>
    <mergeCell ref="D850:E850"/>
    <mergeCell ref="D852:E852"/>
    <mergeCell ref="D853:E853"/>
    <mergeCell ref="D871:E871"/>
    <mergeCell ref="D824:G824"/>
    <mergeCell ref="D829:E829"/>
    <mergeCell ref="D830:E830"/>
    <mergeCell ref="D834:G834"/>
    <mergeCell ref="D835:G835"/>
    <mergeCell ref="D837:E837"/>
    <mergeCell ref="D807:G807"/>
    <mergeCell ref="D808:F808"/>
    <mergeCell ref="D809:E809"/>
    <mergeCell ref="A819:L819"/>
    <mergeCell ref="A820:L820"/>
    <mergeCell ref="A822:G822"/>
    <mergeCell ref="D789:E789"/>
    <mergeCell ref="D791:F791"/>
    <mergeCell ref="D792:E792"/>
    <mergeCell ref="D793:G793"/>
    <mergeCell ref="D799:G799"/>
    <mergeCell ref="D800:E800"/>
    <mergeCell ref="A763:L763"/>
    <mergeCell ref="A765:G765"/>
    <mergeCell ref="D767:E767"/>
    <mergeCell ref="D768:E768"/>
    <mergeCell ref="D770:E770"/>
    <mergeCell ref="D771:E771"/>
    <mergeCell ref="D745:G745"/>
    <mergeCell ref="D752:E752"/>
    <mergeCell ref="D753:E753"/>
    <mergeCell ref="D754:E754"/>
    <mergeCell ref="D755:E755"/>
    <mergeCell ref="A762:L762"/>
    <mergeCell ref="A705:L705"/>
    <mergeCell ref="A706:L706"/>
    <mergeCell ref="A708:G708"/>
    <mergeCell ref="D731:E731"/>
    <mergeCell ref="D741:G741"/>
    <mergeCell ref="D742:G742"/>
    <mergeCell ref="D694:F694"/>
    <mergeCell ref="D695:F695"/>
    <mergeCell ref="D697:E697"/>
    <mergeCell ref="D698:E698"/>
    <mergeCell ref="D699:E699"/>
    <mergeCell ref="D700:E700"/>
    <mergeCell ref="A649:L649"/>
    <mergeCell ref="A650:L650"/>
    <mergeCell ref="A652:G652"/>
    <mergeCell ref="D654:G654"/>
    <mergeCell ref="D683:G683"/>
    <mergeCell ref="D693:F693"/>
    <mergeCell ref="A586:L586"/>
    <mergeCell ref="A588:G588"/>
    <mergeCell ref="D589:G589"/>
    <mergeCell ref="D596:G596"/>
    <mergeCell ref="D631:E631"/>
    <mergeCell ref="D632:E632"/>
    <mergeCell ref="D553:E553"/>
    <mergeCell ref="D554:E554"/>
    <mergeCell ref="D561:E561"/>
    <mergeCell ref="D567:G567"/>
    <mergeCell ref="D568:G568"/>
    <mergeCell ref="A585:L585"/>
    <mergeCell ref="D532:G532"/>
    <mergeCell ref="D533:G533"/>
    <mergeCell ref="D539:E539"/>
    <mergeCell ref="D546:F546"/>
    <mergeCell ref="D547:G547"/>
    <mergeCell ref="D552:G552"/>
    <mergeCell ref="D511:G511"/>
    <mergeCell ref="A522:L522"/>
    <mergeCell ref="A523:L523"/>
    <mergeCell ref="A525:G525"/>
    <mergeCell ref="D526:G526"/>
    <mergeCell ref="D529:G529"/>
    <mergeCell ref="D475:G475"/>
    <mergeCell ref="D476:G476"/>
    <mergeCell ref="D491:G491"/>
    <mergeCell ref="D492:G492"/>
    <mergeCell ref="D498:G498"/>
    <mergeCell ref="D499:G499"/>
    <mergeCell ref="A455:L455"/>
    <mergeCell ref="A456:L456"/>
    <mergeCell ref="A458:G458"/>
    <mergeCell ref="D459:G459"/>
    <mergeCell ref="D460:G460"/>
    <mergeCell ref="D470:E470"/>
    <mergeCell ref="D403:G403"/>
    <mergeCell ref="D404:G404"/>
    <mergeCell ref="D423:G423"/>
    <mergeCell ref="D424:G424"/>
    <mergeCell ref="D446:F446"/>
    <mergeCell ref="D447:F447"/>
    <mergeCell ref="D375:G375"/>
    <mergeCell ref="A388:L388"/>
    <mergeCell ref="A389:L389"/>
    <mergeCell ref="A391:G391"/>
    <mergeCell ref="D392:F392"/>
    <mergeCell ref="D395:E395"/>
    <mergeCell ref="D364:G364"/>
    <mergeCell ref="D366:G366"/>
    <mergeCell ref="D368:E368"/>
    <mergeCell ref="D369:G369"/>
    <mergeCell ref="D371:G371"/>
    <mergeCell ref="D374:G374"/>
    <mergeCell ref="D340:H340"/>
    <mergeCell ref="D346:F346"/>
    <mergeCell ref="D347:F347"/>
    <mergeCell ref="D348:F348"/>
    <mergeCell ref="D359:F359"/>
    <mergeCell ref="D363:G363"/>
    <mergeCell ref="A321:L321"/>
    <mergeCell ref="A323:G323"/>
    <mergeCell ref="A324:G324"/>
    <mergeCell ref="D325:G325"/>
    <mergeCell ref="D326:F326"/>
    <mergeCell ref="D327:F327"/>
    <mergeCell ref="D267:G267"/>
    <mergeCell ref="D268:G268"/>
    <mergeCell ref="D269:E269"/>
    <mergeCell ref="D274:G274"/>
    <mergeCell ref="D278:G278"/>
    <mergeCell ref="A320:L320"/>
    <mergeCell ref="D252:E252"/>
    <mergeCell ref="D253:F253"/>
    <mergeCell ref="D256:G256"/>
    <mergeCell ref="A261:L261"/>
    <mergeCell ref="A262:L262"/>
    <mergeCell ref="A264:G264"/>
    <mergeCell ref="D233:E233"/>
    <mergeCell ref="D235:G235"/>
    <mergeCell ref="D241:E241"/>
    <mergeCell ref="D242:E242"/>
    <mergeCell ref="D244:G244"/>
    <mergeCell ref="D251:E251"/>
    <mergeCell ref="D225:E225"/>
    <mergeCell ref="D226:E226"/>
    <mergeCell ref="D227:G227"/>
    <mergeCell ref="D228:G228"/>
    <mergeCell ref="D229:G229"/>
    <mergeCell ref="D230:G230"/>
    <mergeCell ref="D219:E219"/>
    <mergeCell ref="D220:E220"/>
    <mergeCell ref="D221:E221"/>
    <mergeCell ref="D222:E222"/>
    <mergeCell ref="D223:E223"/>
    <mergeCell ref="D224:E224"/>
    <mergeCell ref="D213:E213"/>
    <mergeCell ref="D214:G214"/>
    <mergeCell ref="D215:G215"/>
    <mergeCell ref="D216:E216"/>
    <mergeCell ref="D217:E217"/>
    <mergeCell ref="D218:E218"/>
    <mergeCell ref="D195:G195"/>
    <mergeCell ref="A207:L207"/>
    <mergeCell ref="A208:L208"/>
    <mergeCell ref="A210:G210"/>
    <mergeCell ref="D211:G211"/>
    <mergeCell ref="D212:G212"/>
    <mergeCell ref="D189:E189"/>
    <mergeCell ref="D190:E190"/>
    <mergeCell ref="D191:E191"/>
    <mergeCell ref="D192:E192"/>
    <mergeCell ref="D193:G193"/>
    <mergeCell ref="D194:G194"/>
    <mergeCell ref="D182:E182"/>
    <mergeCell ref="D183:E183"/>
    <mergeCell ref="D184:E184"/>
    <mergeCell ref="D185:G185"/>
    <mergeCell ref="D186:G186"/>
    <mergeCell ref="D188:G188"/>
    <mergeCell ref="D172:E172"/>
    <mergeCell ref="D175:E175"/>
    <mergeCell ref="D178:E178"/>
    <mergeCell ref="D179:E179"/>
    <mergeCell ref="D180:E180"/>
    <mergeCell ref="D181:E181"/>
    <mergeCell ref="D165:E165"/>
    <mergeCell ref="D166:E166"/>
    <mergeCell ref="D167:E167"/>
    <mergeCell ref="D168:E168"/>
    <mergeCell ref="D169:E169"/>
    <mergeCell ref="D171:E171"/>
    <mergeCell ref="A158:L158"/>
    <mergeCell ref="A160:G160"/>
    <mergeCell ref="D161:G161"/>
    <mergeCell ref="D162:E162"/>
    <mergeCell ref="D163:E163"/>
    <mergeCell ref="D164:E164"/>
    <mergeCell ref="D141:G141"/>
    <mergeCell ref="D145:G145"/>
    <mergeCell ref="D147:G147"/>
    <mergeCell ref="D148:G148"/>
    <mergeCell ref="D149:G149"/>
    <mergeCell ref="A157:L157"/>
    <mergeCell ref="D135:E135"/>
    <mergeCell ref="D136:E136"/>
    <mergeCell ref="D137:E137"/>
    <mergeCell ref="D138:G138"/>
    <mergeCell ref="D139:G139"/>
    <mergeCell ref="D140:E140"/>
    <mergeCell ref="D129:E129"/>
    <mergeCell ref="D130:E130"/>
    <mergeCell ref="D131:E131"/>
    <mergeCell ref="D132:E132"/>
    <mergeCell ref="D133:E133"/>
    <mergeCell ref="D134:E134"/>
    <mergeCell ref="D123:E123"/>
    <mergeCell ref="D124:E124"/>
    <mergeCell ref="D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09:G109"/>
    <mergeCell ref="D110:G110"/>
    <mergeCell ref="D112:G112"/>
    <mergeCell ref="D113:G113"/>
    <mergeCell ref="D115:E115"/>
    <mergeCell ref="D116:E116"/>
    <mergeCell ref="D86:E86"/>
    <mergeCell ref="D90:E90"/>
    <mergeCell ref="A103:L103"/>
    <mergeCell ref="A104:L104"/>
    <mergeCell ref="A106:G106"/>
    <mergeCell ref="A107:G107"/>
    <mergeCell ref="D70:G70"/>
    <mergeCell ref="D73:G73"/>
    <mergeCell ref="D79:E79"/>
    <mergeCell ref="D80:E80"/>
    <mergeCell ref="D81:E81"/>
    <mergeCell ref="D84:E84"/>
    <mergeCell ref="A43:L43"/>
    <mergeCell ref="A45:G45"/>
    <mergeCell ref="D47:G47"/>
    <mergeCell ref="A50:E51"/>
    <mergeCell ref="D54:E54"/>
    <mergeCell ref="D65:G65"/>
    <mergeCell ref="D4:E4"/>
    <mergeCell ref="D6:E6"/>
    <mergeCell ref="D27:E27"/>
    <mergeCell ref="D30:E30"/>
    <mergeCell ref="D32:E32"/>
    <mergeCell ref="D33:E33"/>
    <mergeCell ref="D35:E35"/>
    <mergeCell ref="A42:L42"/>
    <mergeCell ref="D9:E9"/>
    <mergeCell ref="D11:E11"/>
    <mergeCell ref="D12:E12"/>
    <mergeCell ref="D14:E14"/>
    <mergeCell ref="D15:E15"/>
    <mergeCell ref="D26:E26"/>
  </mergeCells>
  <pageMargins left="0.43307086614173229" right="0.15748031496062992" top="0.70866141732283472" bottom="1.5748031496062993" header="0.31496062992125984" footer="0.31496062992125984"/>
  <pageSetup paperSize="5" scale="70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11"/>
  <sheetViews>
    <sheetView topLeftCell="A85" workbookViewId="0">
      <selection activeCell="D51" sqref="D51"/>
    </sheetView>
  </sheetViews>
  <sheetFormatPr defaultRowHeight="15.75" x14ac:dyDescent="0.25"/>
  <cols>
    <col min="1" max="1" width="2.85546875" style="720" customWidth="1"/>
    <col min="2" max="2" width="45.85546875" style="720" customWidth="1"/>
    <col min="3" max="3" width="12" style="720" customWidth="1"/>
    <col min="4" max="5" width="19.140625" style="490" customWidth="1"/>
    <col min="6" max="6" width="18.42578125" style="490" customWidth="1"/>
    <col min="7" max="7" width="8.7109375" style="490" customWidth="1"/>
    <col min="8" max="8" width="19.140625" style="490" customWidth="1"/>
    <col min="9" max="9" width="16.42578125" customWidth="1"/>
    <col min="10" max="10" width="23" style="484" customWidth="1"/>
  </cols>
  <sheetData>
    <row r="2" spans="1:8" ht="18" x14ac:dyDescent="0.25">
      <c r="A2" s="721" t="s">
        <v>1428</v>
      </c>
    </row>
    <row r="3" spans="1:8" ht="18.75" thickBot="1" x14ac:dyDescent="0.3">
      <c r="A3" s="721" t="s">
        <v>1429</v>
      </c>
    </row>
    <row r="4" spans="1:8" ht="79.5" thickBot="1" x14ac:dyDescent="0.3">
      <c r="A4" s="1688" t="s">
        <v>1427</v>
      </c>
      <c r="B4" s="1688"/>
      <c r="C4" s="727" t="s">
        <v>1426</v>
      </c>
      <c r="D4" s="731" t="s">
        <v>1360</v>
      </c>
      <c r="E4" s="731" t="s">
        <v>1335</v>
      </c>
      <c r="F4" s="731" t="s">
        <v>1425</v>
      </c>
      <c r="G4" s="731" t="s">
        <v>1424</v>
      </c>
      <c r="H4" s="731" t="s">
        <v>208</v>
      </c>
    </row>
    <row r="5" spans="1:8" ht="18" x14ac:dyDescent="0.25">
      <c r="A5" s="728" t="s">
        <v>1331</v>
      </c>
      <c r="B5" s="722"/>
      <c r="C5" s="722"/>
      <c r="D5" s="732"/>
      <c r="E5" s="732"/>
      <c r="F5" s="732"/>
      <c r="G5" s="732"/>
      <c r="H5" s="732"/>
    </row>
    <row r="6" spans="1:8" ht="18" x14ac:dyDescent="0.25">
      <c r="A6" s="568"/>
      <c r="B6" s="114" t="s">
        <v>124</v>
      </c>
      <c r="C6" s="774" t="s">
        <v>125</v>
      </c>
      <c r="D6" s="732">
        <v>58813644</v>
      </c>
      <c r="E6" s="732">
        <v>15871872</v>
      </c>
      <c r="F6" s="732">
        <v>28752528</v>
      </c>
      <c r="G6" s="732"/>
      <c r="H6" s="732">
        <f>SUM(D6:G6)</f>
        <v>103438044</v>
      </c>
    </row>
    <row r="7" spans="1:8" ht="18" x14ac:dyDescent="0.25">
      <c r="A7" s="697"/>
      <c r="B7" s="114" t="s">
        <v>128</v>
      </c>
      <c r="C7" s="780" t="s">
        <v>125</v>
      </c>
      <c r="D7" s="732">
        <v>187423.48</v>
      </c>
      <c r="E7" s="732">
        <v>27345.83</v>
      </c>
      <c r="F7" s="732">
        <v>40884.080000000002</v>
      </c>
      <c r="G7" s="732"/>
      <c r="H7" s="732">
        <f t="shared" ref="H7:H22" si="0">SUM(D7:G7)</f>
        <v>255653.39</v>
      </c>
    </row>
    <row r="8" spans="1:8" ht="18" x14ac:dyDescent="0.25">
      <c r="A8" s="568"/>
      <c r="B8" s="114" t="s">
        <v>126</v>
      </c>
      <c r="C8" s="774" t="s">
        <v>127</v>
      </c>
      <c r="D8" s="732">
        <v>8554596</v>
      </c>
      <c r="E8" s="732">
        <v>1233564</v>
      </c>
      <c r="F8" s="732">
        <v>3168768</v>
      </c>
      <c r="G8" s="732"/>
      <c r="H8" s="732">
        <f t="shared" si="0"/>
        <v>12956928</v>
      </c>
    </row>
    <row r="9" spans="1:8" ht="18" x14ac:dyDescent="0.25">
      <c r="A9" s="697"/>
      <c r="B9" s="114" t="s">
        <v>129</v>
      </c>
      <c r="C9" s="780" t="s">
        <v>130</v>
      </c>
      <c r="D9" s="732">
        <v>5736000</v>
      </c>
      <c r="E9" s="732">
        <v>1248000</v>
      </c>
      <c r="F9" s="732">
        <v>3720000</v>
      </c>
      <c r="G9" s="732"/>
      <c r="H9" s="732">
        <f t="shared" si="0"/>
        <v>10704000</v>
      </c>
    </row>
    <row r="10" spans="1:8" ht="18" x14ac:dyDescent="0.25">
      <c r="A10" s="568"/>
      <c r="B10" s="114" t="s">
        <v>131</v>
      </c>
      <c r="C10" s="774" t="s">
        <v>132</v>
      </c>
      <c r="D10" s="732">
        <v>1934400</v>
      </c>
      <c r="E10" s="732">
        <v>157200</v>
      </c>
      <c r="F10" s="732">
        <v>288000</v>
      </c>
      <c r="G10" s="732"/>
      <c r="H10" s="732">
        <f t="shared" si="0"/>
        <v>2379600</v>
      </c>
    </row>
    <row r="11" spans="1:8" ht="18" x14ac:dyDescent="0.25">
      <c r="A11" s="568"/>
      <c r="B11" s="114" t="s">
        <v>133</v>
      </c>
      <c r="C11" s="774" t="s">
        <v>134</v>
      </c>
      <c r="D11" s="732">
        <v>1752000</v>
      </c>
      <c r="E11" s="732">
        <v>157200</v>
      </c>
      <c r="F11" s="732">
        <v>288000</v>
      </c>
      <c r="G11" s="732"/>
      <c r="H11" s="732">
        <f t="shared" si="0"/>
        <v>2197200</v>
      </c>
    </row>
    <row r="12" spans="1:8" ht="18" x14ac:dyDescent="0.25">
      <c r="A12" s="568"/>
      <c r="B12" s="114" t="s">
        <v>137</v>
      </c>
      <c r="C12" s="774" t="s">
        <v>138</v>
      </c>
      <c r="D12" s="732">
        <v>1434000</v>
      </c>
      <c r="E12" s="732">
        <v>312000</v>
      </c>
      <c r="F12" s="732">
        <v>930000</v>
      </c>
      <c r="G12" s="732"/>
      <c r="H12" s="732">
        <f t="shared" si="0"/>
        <v>2676000</v>
      </c>
    </row>
    <row r="13" spans="1:8" ht="18" x14ac:dyDescent="0.25">
      <c r="A13" s="568"/>
      <c r="B13" s="114" t="s">
        <v>210</v>
      </c>
      <c r="C13" s="774" t="s">
        <v>464</v>
      </c>
      <c r="D13" s="732">
        <v>18000</v>
      </c>
      <c r="E13" s="732">
        <v>666000</v>
      </c>
      <c r="F13" s="732">
        <v>54000</v>
      </c>
      <c r="G13" s="732"/>
      <c r="H13" s="732">
        <f t="shared" si="0"/>
        <v>738000</v>
      </c>
    </row>
    <row r="14" spans="1:8" ht="18" customHeight="1" x14ac:dyDescent="0.25">
      <c r="A14" s="568"/>
      <c r="B14" s="114" t="s">
        <v>211</v>
      </c>
      <c r="C14" s="774" t="s">
        <v>212</v>
      </c>
      <c r="D14" s="732">
        <v>1800</v>
      </c>
      <c r="E14" s="732">
        <v>61200</v>
      </c>
      <c r="F14" s="732">
        <v>5400</v>
      </c>
      <c r="G14" s="732"/>
      <c r="H14" s="732">
        <f t="shared" si="0"/>
        <v>68400</v>
      </c>
    </row>
    <row r="15" spans="1:8" ht="18" x14ac:dyDescent="0.25">
      <c r="A15" s="568"/>
      <c r="B15" s="114" t="s">
        <v>145</v>
      </c>
      <c r="C15" s="774" t="s">
        <v>146</v>
      </c>
      <c r="D15" s="732">
        <v>1195000</v>
      </c>
      <c r="E15" s="732">
        <v>260000</v>
      </c>
      <c r="F15" s="732">
        <v>775000</v>
      </c>
      <c r="G15" s="732"/>
      <c r="H15" s="732">
        <f t="shared" si="0"/>
        <v>2230000</v>
      </c>
    </row>
    <row r="16" spans="1:8" ht="18" x14ac:dyDescent="0.25">
      <c r="A16" s="568"/>
      <c r="B16" s="114" t="s">
        <v>227</v>
      </c>
      <c r="C16" s="774" t="s">
        <v>228</v>
      </c>
      <c r="D16" s="732"/>
      <c r="E16" s="732">
        <v>48000</v>
      </c>
      <c r="F16" s="732"/>
      <c r="G16" s="732"/>
      <c r="H16" s="732">
        <f t="shared" si="0"/>
        <v>48000</v>
      </c>
    </row>
    <row r="17" spans="1:10" ht="18" x14ac:dyDescent="0.25">
      <c r="A17" s="568"/>
      <c r="B17" s="114" t="s">
        <v>149</v>
      </c>
      <c r="C17" s="774" t="s">
        <v>150</v>
      </c>
      <c r="D17" s="732">
        <v>84234</v>
      </c>
      <c r="E17" s="732">
        <v>2810470.58</v>
      </c>
      <c r="F17" s="732">
        <v>140918.82</v>
      </c>
      <c r="G17" s="732"/>
      <c r="H17" s="732">
        <f t="shared" si="0"/>
        <v>3035623.4</v>
      </c>
    </row>
    <row r="18" spans="1:10" ht="18" x14ac:dyDescent="0.25">
      <c r="A18" s="568"/>
      <c r="B18" s="114" t="s">
        <v>231</v>
      </c>
      <c r="C18" s="774" t="s">
        <v>232</v>
      </c>
      <c r="D18" s="732">
        <v>95000</v>
      </c>
      <c r="E18" s="732">
        <v>30000</v>
      </c>
      <c r="F18" s="732">
        <v>75000</v>
      </c>
      <c r="G18" s="732"/>
      <c r="H18" s="732">
        <f t="shared" si="0"/>
        <v>200000</v>
      </c>
    </row>
    <row r="19" spans="1:10" ht="18" x14ac:dyDescent="0.25">
      <c r="A19" s="568"/>
      <c r="B19" s="114" t="s">
        <v>135</v>
      </c>
      <c r="C19" s="774" t="s">
        <v>136</v>
      </c>
      <c r="D19" s="732">
        <v>3490191.91</v>
      </c>
      <c r="E19" s="732">
        <v>1020640</v>
      </c>
      <c r="F19" s="732">
        <v>3193405.16</v>
      </c>
      <c r="G19" s="732"/>
      <c r="H19" s="732">
        <f t="shared" si="0"/>
        <v>7704237.0700000003</v>
      </c>
    </row>
    <row r="20" spans="1:10" ht="18" x14ac:dyDescent="0.25">
      <c r="A20" s="568"/>
      <c r="B20" s="114" t="s">
        <v>1284</v>
      </c>
      <c r="C20" s="774" t="s">
        <v>136</v>
      </c>
      <c r="D20" s="732"/>
      <c r="E20" s="732"/>
      <c r="F20" s="732">
        <v>154854.26</v>
      </c>
      <c r="G20" s="732"/>
      <c r="H20" s="732">
        <f t="shared" si="0"/>
        <v>154854.26</v>
      </c>
    </row>
    <row r="21" spans="1:10" ht="18" x14ac:dyDescent="0.25">
      <c r="A21" s="568"/>
      <c r="B21" s="114" t="s">
        <v>141</v>
      </c>
      <c r="C21" s="774" t="s">
        <v>142</v>
      </c>
      <c r="D21" s="732">
        <v>5640556</v>
      </c>
      <c r="E21" s="732">
        <v>1426376</v>
      </c>
      <c r="F21" s="732">
        <v>2664254</v>
      </c>
      <c r="G21" s="732"/>
      <c r="H21" s="732">
        <f t="shared" si="0"/>
        <v>9731186</v>
      </c>
    </row>
    <row r="22" spans="1:10" ht="18" x14ac:dyDescent="0.25">
      <c r="A22" s="568"/>
      <c r="B22" s="114" t="s">
        <v>143</v>
      </c>
      <c r="C22" s="774" t="s">
        <v>144</v>
      </c>
      <c r="D22" s="732">
        <v>1195000</v>
      </c>
      <c r="E22" s="732">
        <v>260000</v>
      </c>
      <c r="F22" s="732">
        <v>775000</v>
      </c>
      <c r="G22" s="732"/>
      <c r="H22" s="732">
        <f t="shared" si="0"/>
        <v>2230000</v>
      </c>
    </row>
    <row r="23" spans="1:10" ht="18" x14ac:dyDescent="0.25">
      <c r="A23" s="568"/>
      <c r="B23" s="637" t="s">
        <v>147</v>
      </c>
      <c r="C23" s="774" t="s">
        <v>148</v>
      </c>
      <c r="D23" s="732">
        <v>711000</v>
      </c>
      <c r="E23" s="732">
        <v>153000</v>
      </c>
      <c r="F23" s="732">
        <v>465000</v>
      </c>
      <c r="G23" s="732"/>
      <c r="H23" s="732">
        <f>SUM(D23:G23)</f>
        <v>1329000</v>
      </c>
    </row>
    <row r="24" spans="1:10" ht="18" x14ac:dyDescent="0.25">
      <c r="A24" s="568"/>
      <c r="B24" s="114" t="s">
        <v>153</v>
      </c>
      <c r="C24" s="774" t="s">
        <v>154</v>
      </c>
      <c r="D24" s="732">
        <v>8106679.6200000001</v>
      </c>
      <c r="E24" s="732">
        <v>1564975.27</v>
      </c>
      <c r="F24" s="732">
        <v>3834779.06</v>
      </c>
      <c r="G24" s="732"/>
      <c r="H24" s="732">
        <f t="shared" ref="H24:H29" si="1">SUM(D24:G24)</f>
        <v>13506433.950000001</v>
      </c>
    </row>
    <row r="25" spans="1:10" ht="18" x14ac:dyDescent="0.25">
      <c r="A25" s="568"/>
      <c r="B25" s="114" t="s">
        <v>155</v>
      </c>
      <c r="C25" s="774" t="s">
        <v>156</v>
      </c>
      <c r="D25" s="732">
        <v>286800</v>
      </c>
      <c r="E25" s="732">
        <v>62400</v>
      </c>
      <c r="F25" s="732">
        <v>186000</v>
      </c>
      <c r="G25" s="732"/>
      <c r="H25" s="732">
        <f t="shared" si="1"/>
        <v>535200</v>
      </c>
    </row>
    <row r="26" spans="1:10" ht="18" x14ac:dyDescent="0.25">
      <c r="A26" s="568"/>
      <c r="B26" s="114" t="s">
        <v>157</v>
      </c>
      <c r="C26" s="774" t="s">
        <v>158</v>
      </c>
      <c r="D26" s="732">
        <v>2630121.9</v>
      </c>
      <c r="E26" s="732">
        <v>670525.19999999995</v>
      </c>
      <c r="F26" s="732">
        <v>1272027.3700000001</v>
      </c>
      <c r="G26" s="732"/>
      <c r="H26" s="732">
        <f t="shared" si="1"/>
        <v>4572674.47</v>
      </c>
    </row>
    <row r="27" spans="1:10" ht="18" x14ac:dyDescent="0.25">
      <c r="A27" s="568"/>
      <c r="B27" s="114" t="s">
        <v>159</v>
      </c>
      <c r="C27" s="774" t="s">
        <v>160</v>
      </c>
      <c r="D27" s="732">
        <v>286800</v>
      </c>
      <c r="E27" s="732">
        <v>62400</v>
      </c>
      <c r="F27" s="732">
        <v>186000</v>
      </c>
      <c r="G27" s="732"/>
      <c r="H27" s="732">
        <f t="shared" si="1"/>
        <v>535200</v>
      </c>
    </row>
    <row r="28" spans="1:10" ht="18" x14ac:dyDescent="0.25">
      <c r="A28" s="568"/>
      <c r="B28" s="114" t="s">
        <v>1370</v>
      </c>
      <c r="C28" s="774" t="s">
        <v>329</v>
      </c>
      <c r="D28" s="732">
        <v>4539363.6900000004</v>
      </c>
      <c r="E28" s="732"/>
      <c r="F28" s="732">
        <v>1983709.01</v>
      </c>
      <c r="G28" s="732"/>
      <c r="H28" s="732">
        <f t="shared" si="1"/>
        <v>6523072.7000000002</v>
      </c>
    </row>
    <row r="29" spans="1:10" s="179" customFormat="1" ht="36" x14ac:dyDescent="0.25">
      <c r="A29" s="985"/>
      <c r="B29" s="175" t="s">
        <v>139</v>
      </c>
      <c r="C29" s="986" t="s">
        <v>140</v>
      </c>
      <c r="D29" s="747">
        <v>5622884</v>
      </c>
      <c r="E29" s="747">
        <v>1426376</v>
      </c>
      <c r="F29" s="747">
        <v>2664167</v>
      </c>
      <c r="G29" s="747"/>
      <c r="H29" s="747">
        <f t="shared" si="1"/>
        <v>9713427</v>
      </c>
      <c r="J29" s="754"/>
    </row>
    <row r="30" spans="1:10" s="48" customFormat="1" ht="21" customHeight="1" x14ac:dyDescent="0.25">
      <c r="A30" s="741"/>
      <c r="B30" s="738" t="s">
        <v>1430</v>
      </c>
      <c r="C30" s="137"/>
      <c r="D30" s="739">
        <f>SUM(D6:D29)</f>
        <v>112315494.59999999</v>
      </c>
      <c r="E30" s="739">
        <f>SUM(E6:E29)</f>
        <v>29529544.879999995</v>
      </c>
      <c r="F30" s="739">
        <f>SUM(F6:F29)</f>
        <v>55617694.759999998</v>
      </c>
      <c r="G30" s="739">
        <f>SUM(G6:G29)</f>
        <v>0</v>
      </c>
      <c r="H30" s="739">
        <f>SUM(H6:H29)</f>
        <v>197462734.23999995</v>
      </c>
      <c r="I30" s="746"/>
      <c r="J30" s="746"/>
    </row>
    <row r="31" spans="1:10" x14ac:dyDescent="0.25">
      <c r="A31" s="723"/>
      <c r="B31" s="725"/>
      <c r="C31" s="775"/>
      <c r="D31" s="732"/>
      <c r="E31" s="732"/>
      <c r="F31" s="732"/>
      <c r="G31" s="732"/>
      <c r="H31" s="732"/>
      <c r="I31" s="745"/>
    </row>
    <row r="32" spans="1:10" ht="18" x14ac:dyDescent="0.25">
      <c r="A32" s="742" t="s">
        <v>1431</v>
      </c>
      <c r="B32" s="725"/>
      <c r="C32" s="775"/>
      <c r="D32" s="732"/>
      <c r="E32" s="732"/>
      <c r="F32" s="732"/>
      <c r="G32" s="732"/>
      <c r="H32" s="732"/>
    </row>
    <row r="33" spans="1:10" s="179" customFormat="1" ht="18" x14ac:dyDescent="0.25">
      <c r="A33" s="736"/>
      <c r="B33" s="180" t="s">
        <v>353</v>
      </c>
      <c r="C33" s="986" t="s">
        <v>165</v>
      </c>
      <c r="D33" s="987">
        <f>3083500-20000</f>
        <v>3063500</v>
      </c>
      <c r="E33" s="747">
        <f>306000+20000</f>
        <v>326000</v>
      </c>
      <c r="F33" s="747">
        <v>1162000</v>
      </c>
      <c r="G33" s="747"/>
      <c r="H33" s="747">
        <f t="shared" ref="H33:H73" si="2">SUM(D33:G33)</f>
        <v>4551500</v>
      </c>
      <c r="J33" s="754"/>
    </row>
    <row r="34" spans="1:10" s="179" customFormat="1" ht="18" x14ac:dyDescent="0.25">
      <c r="A34" s="736"/>
      <c r="B34" s="180" t="s">
        <v>166</v>
      </c>
      <c r="C34" s="986" t="s">
        <v>293</v>
      </c>
      <c r="D34" s="987">
        <v>2250000</v>
      </c>
      <c r="E34" s="747"/>
      <c r="F34" s="747">
        <v>50000</v>
      </c>
      <c r="G34" s="747"/>
      <c r="H34" s="747">
        <f t="shared" si="2"/>
        <v>2300000</v>
      </c>
      <c r="J34" s="754"/>
    </row>
    <row r="35" spans="1:10" s="179" customFormat="1" ht="18" x14ac:dyDescent="0.25">
      <c r="A35" s="736"/>
      <c r="B35" s="180" t="s">
        <v>168</v>
      </c>
      <c r="C35" s="986" t="s">
        <v>169</v>
      </c>
      <c r="D35" s="987">
        <v>12516360.1</v>
      </c>
      <c r="E35" s="747">
        <f>1431947+50000</f>
        <v>1481947</v>
      </c>
      <c r="F35" s="747">
        <v>2042171</v>
      </c>
      <c r="G35" s="747"/>
      <c r="H35" s="747">
        <f t="shared" si="2"/>
        <v>16040478.1</v>
      </c>
      <c r="J35" s="754"/>
    </row>
    <row r="36" spans="1:10" s="179" customFormat="1" ht="18" x14ac:dyDescent="0.25">
      <c r="A36" s="736"/>
      <c r="B36" s="180" t="s">
        <v>1299</v>
      </c>
      <c r="C36" s="986" t="s">
        <v>427</v>
      </c>
      <c r="D36" s="987">
        <v>1432325</v>
      </c>
      <c r="E36" s="747"/>
      <c r="F36" s="747">
        <v>1342000</v>
      </c>
      <c r="G36" s="747"/>
      <c r="H36" s="747">
        <f t="shared" si="2"/>
        <v>2774325</v>
      </c>
      <c r="J36" s="754"/>
    </row>
    <row r="37" spans="1:10" s="179" customFormat="1" ht="18" x14ac:dyDescent="0.25">
      <c r="A37" s="736"/>
      <c r="B37" s="180" t="s">
        <v>466</v>
      </c>
      <c r="C37" s="986" t="s">
        <v>467</v>
      </c>
      <c r="D37" s="987"/>
      <c r="E37" s="747">
        <v>17571466</v>
      </c>
      <c r="F37" s="747"/>
      <c r="G37" s="747"/>
      <c r="H37" s="747">
        <f t="shared" si="2"/>
        <v>17571466</v>
      </c>
      <c r="J37" s="754"/>
    </row>
    <row r="38" spans="1:10" s="179" customFormat="1" ht="18" x14ac:dyDescent="0.25">
      <c r="A38" s="736"/>
      <c r="B38" s="180" t="s">
        <v>468</v>
      </c>
      <c r="C38" s="986" t="s">
        <v>469</v>
      </c>
      <c r="D38" s="987"/>
      <c r="E38" s="747">
        <v>41354789</v>
      </c>
      <c r="F38" s="747"/>
      <c r="G38" s="747"/>
      <c r="H38" s="747">
        <f t="shared" si="2"/>
        <v>41354789</v>
      </c>
      <c r="J38" s="754"/>
    </row>
    <row r="39" spans="1:10" s="179" customFormat="1" ht="18" x14ac:dyDescent="0.25">
      <c r="A39" s="736"/>
      <c r="B39" s="180" t="s">
        <v>471</v>
      </c>
      <c r="C39" s="986" t="s">
        <v>469</v>
      </c>
      <c r="D39" s="987"/>
      <c r="E39" s="747"/>
      <c r="F39" s="747"/>
      <c r="G39" s="747"/>
      <c r="H39" s="747">
        <f t="shared" si="2"/>
        <v>0</v>
      </c>
      <c r="J39" s="754"/>
    </row>
    <row r="40" spans="1:10" s="179" customFormat="1" ht="18" x14ac:dyDescent="0.25">
      <c r="A40" s="736"/>
      <c r="B40" s="180" t="s">
        <v>1432</v>
      </c>
      <c r="C40" s="986" t="s">
        <v>173</v>
      </c>
      <c r="D40" s="987">
        <v>6995000</v>
      </c>
      <c r="E40" s="747"/>
      <c r="F40" s="747">
        <v>1803340</v>
      </c>
      <c r="G40" s="747"/>
      <c r="H40" s="747">
        <f t="shared" si="2"/>
        <v>8798340</v>
      </c>
      <c r="J40" s="754">
        <f>2050000+4195000+600000+150000</f>
        <v>6995000</v>
      </c>
    </row>
    <row r="41" spans="1:10" s="179" customFormat="1" ht="18" x14ac:dyDescent="0.25">
      <c r="A41" s="736"/>
      <c r="B41" s="967" t="s">
        <v>170</v>
      </c>
      <c r="C41" s="986" t="s">
        <v>171</v>
      </c>
      <c r="D41" s="987">
        <f>11088308-30000</f>
        <v>11058308</v>
      </c>
      <c r="E41" s="747">
        <f>1757114+30000</f>
        <v>1787114</v>
      </c>
      <c r="F41" s="747">
        <v>6590822.2000000002</v>
      </c>
      <c r="G41" s="747"/>
      <c r="H41" s="747">
        <f t="shared" si="2"/>
        <v>19436244.199999999</v>
      </c>
      <c r="J41" s="754"/>
    </row>
    <row r="42" spans="1:10" s="179" customFormat="1" ht="18" x14ac:dyDescent="0.25">
      <c r="A42" s="736"/>
      <c r="B42" s="180" t="s">
        <v>174</v>
      </c>
      <c r="C42" s="986" t="s">
        <v>171</v>
      </c>
      <c r="D42" s="987"/>
      <c r="E42" s="747"/>
      <c r="F42" s="747"/>
      <c r="G42" s="747"/>
      <c r="H42" s="747">
        <f t="shared" si="2"/>
        <v>0</v>
      </c>
      <c r="J42" s="754"/>
    </row>
    <row r="43" spans="1:10" s="179" customFormat="1" ht="18" x14ac:dyDescent="0.25">
      <c r="A43" s="736"/>
      <c r="B43" s="180" t="s">
        <v>382</v>
      </c>
      <c r="C43" s="986" t="s">
        <v>383</v>
      </c>
      <c r="D43" s="987">
        <v>20000</v>
      </c>
      <c r="E43" s="747">
        <v>10800</v>
      </c>
      <c r="F43" s="747">
        <v>35000</v>
      </c>
      <c r="G43" s="747"/>
      <c r="H43" s="747">
        <f t="shared" si="2"/>
        <v>65800</v>
      </c>
      <c r="J43" s="754"/>
    </row>
    <row r="44" spans="1:10" s="179" customFormat="1" ht="18" x14ac:dyDescent="0.25">
      <c r="A44" s="736"/>
      <c r="B44" s="180" t="s">
        <v>384</v>
      </c>
      <c r="C44" s="986" t="s">
        <v>385</v>
      </c>
      <c r="D44" s="987">
        <v>6000000</v>
      </c>
      <c r="E44" s="747"/>
      <c r="F44" s="747">
        <v>1550000</v>
      </c>
      <c r="G44" s="747"/>
      <c r="H44" s="747">
        <f t="shared" si="2"/>
        <v>7550000</v>
      </c>
      <c r="J44" s="754"/>
    </row>
    <row r="45" spans="1:10" s="179" customFormat="1" ht="18" x14ac:dyDescent="0.25">
      <c r="A45" s="736"/>
      <c r="B45" s="180" t="s">
        <v>296</v>
      </c>
      <c r="C45" s="986" t="s">
        <v>177</v>
      </c>
      <c r="D45" s="987">
        <v>92000</v>
      </c>
      <c r="E45" s="747">
        <v>14000</v>
      </c>
      <c r="F45" s="747">
        <v>12300</v>
      </c>
      <c r="G45" s="747"/>
      <c r="H45" s="747">
        <f t="shared" si="2"/>
        <v>118300</v>
      </c>
      <c r="J45" s="754"/>
    </row>
    <row r="46" spans="1:10" s="179" customFormat="1" ht="18" x14ac:dyDescent="0.25">
      <c r="A46" s="736"/>
      <c r="B46" s="180" t="s">
        <v>178</v>
      </c>
      <c r="C46" s="986" t="s">
        <v>179</v>
      </c>
      <c r="D46" s="987">
        <v>2671080</v>
      </c>
      <c r="E46" s="747">
        <f>186200+28800</f>
        <v>215000</v>
      </c>
      <c r="F46" s="747">
        <v>300000</v>
      </c>
      <c r="G46" s="747"/>
      <c r="H46" s="747">
        <f t="shared" si="2"/>
        <v>3186080</v>
      </c>
      <c r="J46" s="754"/>
    </row>
    <row r="47" spans="1:10" s="179" customFormat="1" ht="18" x14ac:dyDescent="0.25">
      <c r="A47" s="736"/>
      <c r="B47" s="180" t="s">
        <v>182</v>
      </c>
      <c r="C47" s="986" t="s">
        <v>183</v>
      </c>
      <c r="D47" s="987">
        <v>552000</v>
      </c>
      <c r="E47" s="747">
        <f>196000+67200</f>
        <v>263200</v>
      </c>
      <c r="F47" s="747">
        <v>228000</v>
      </c>
      <c r="G47" s="747"/>
      <c r="H47" s="747">
        <f t="shared" si="2"/>
        <v>1043200</v>
      </c>
      <c r="J47" s="754"/>
    </row>
    <row r="48" spans="1:10" s="179" customFormat="1" ht="18" x14ac:dyDescent="0.25">
      <c r="A48" s="736"/>
      <c r="B48" s="180" t="s">
        <v>472</v>
      </c>
      <c r="C48" s="986" t="s">
        <v>218</v>
      </c>
      <c r="D48" s="987">
        <v>12900</v>
      </c>
      <c r="E48" s="747">
        <v>9000</v>
      </c>
      <c r="F48" s="747"/>
      <c r="G48" s="747"/>
      <c r="H48" s="747">
        <f t="shared" si="2"/>
        <v>21900</v>
      </c>
      <c r="J48" s="754"/>
    </row>
    <row r="49" spans="1:10" s="179" customFormat="1" ht="36" x14ac:dyDescent="0.25">
      <c r="A49" s="736"/>
      <c r="B49" s="964" t="s">
        <v>1434</v>
      </c>
      <c r="C49" s="986" t="s">
        <v>185</v>
      </c>
      <c r="D49" s="987">
        <v>232912.19</v>
      </c>
      <c r="E49" s="747"/>
      <c r="F49" s="747"/>
      <c r="G49" s="747"/>
      <c r="H49" s="747">
        <f t="shared" si="2"/>
        <v>232912.19</v>
      </c>
      <c r="J49" s="754"/>
    </row>
    <row r="50" spans="1:10" s="179" customFormat="1" ht="36" x14ac:dyDescent="0.25">
      <c r="A50" s="736"/>
      <c r="B50" s="964" t="s">
        <v>1433</v>
      </c>
      <c r="C50" s="986" t="s">
        <v>308</v>
      </c>
      <c r="D50" s="987">
        <v>350000</v>
      </c>
      <c r="E50" s="747"/>
      <c r="F50" s="747">
        <v>1800000</v>
      </c>
      <c r="G50" s="747"/>
      <c r="H50" s="747">
        <f t="shared" si="2"/>
        <v>2150000</v>
      </c>
      <c r="J50" s="754"/>
    </row>
    <row r="51" spans="1:10" s="179" customFormat="1" ht="36" x14ac:dyDescent="0.25">
      <c r="A51" s="736"/>
      <c r="B51" s="964" t="s">
        <v>186</v>
      </c>
      <c r="C51" s="986" t="s">
        <v>356</v>
      </c>
      <c r="D51" s="987">
        <f>1920000-30000</f>
        <v>1890000</v>
      </c>
      <c r="E51" s="747">
        <f>275000+30000</f>
        <v>305000</v>
      </c>
      <c r="F51" s="747">
        <v>675000</v>
      </c>
      <c r="G51" s="747"/>
      <c r="H51" s="747">
        <f t="shared" si="2"/>
        <v>2870000</v>
      </c>
      <c r="J51" s="754"/>
    </row>
    <row r="52" spans="1:10" s="179" customFormat="1" ht="36" x14ac:dyDescent="0.25">
      <c r="A52" s="736"/>
      <c r="B52" s="964" t="s">
        <v>1435</v>
      </c>
      <c r="C52" s="986" t="s">
        <v>187</v>
      </c>
      <c r="D52" s="987">
        <v>300000</v>
      </c>
      <c r="E52" s="747"/>
      <c r="F52" s="747"/>
      <c r="G52" s="747"/>
      <c r="H52" s="747">
        <f t="shared" si="2"/>
        <v>300000</v>
      </c>
      <c r="J52" s="754"/>
    </row>
    <row r="53" spans="1:10" s="179" customFormat="1" ht="18" x14ac:dyDescent="0.25">
      <c r="A53" s="736"/>
      <c r="B53" s="964" t="s">
        <v>389</v>
      </c>
      <c r="C53" s="986" t="s">
        <v>187</v>
      </c>
      <c r="D53" s="987">
        <v>200000</v>
      </c>
      <c r="E53" s="747"/>
      <c r="F53" s="747"/>
      <c r="G53" s="747"/>
      <c r="H53" s="747">
        <f t="shared" si="2"/>
        <v>200000</v>
      </c>
      <c r="J53" s="754"/>
    </row>
    <row r="54" spans="1:10" s="179" customFormat="1" ht="18" x14ac:dyDescent="0.25">
      <c r="A54" s="736"/>
      <c r="B54" s="964" t="s">
        <v>1436</v>
      </c>
      <c r="C54" s="986" t="s">
        <v>187</v>
      </c>
      <c r="D54" s="987">
        <v>500000</v>
      </c>
      <c r="E54" s="747"/>
      <c r="F54" s="747"/>
      <c r="G54" s="747"/>
      <c r="H54" s="747">
        <f t="shared" si="2"/>
        <v>500000</v>
      </c>
      <c r="J54" s="754"/>
    </row>
    <row r="55" spans="1:10" s="179" customFormat="1" ht="36" x14ac:dyDescent="0.25">
      <c r="A55" s="736"/>
      <c r="B55" s="964" t="s">
        <v>473</v>
      </c>
      <c r="C55" s="986" t="s">
        <v>474</v>
      </c>
      <c r="D55" s="987"/>
      <c r="E55" s="747">
        <v>1000000</v>
      </c>
      <c r="F55" s="747"/>
      <c r="G55" s="747"/>
      <c r="H55" s="747">
        <f t="shared" si="2"/>
        <v>1000000</v>
      </c>
      <c r="J55" s="754"/>
    </row>
    <row r="56" spans="1:10" s="179" customFormat="1" ht="36" x14ac:dyDescent="0.25">
      <c r="A56" s="736"/>
      <c r="B56" s="964" t="s">
        <v>188</v>
      </c>
      <c r="C56" s="986" t="s">
        <v>189</v>
      </c>
      <c r="D56" s="987">
        <v>8203266</v>
      </c>
      <c r="E56" s="747">
        <v>1000000</v>
      </c>
      <c r="F56" s="747">
        <v>5350000</v>
      </c>
      <c r="G56" s="747"/>
      <c r="H56" s="747">
        <f t="shared" si="2"/>
        <v>14553266</v>
      </c>
      <c r="J56" s="754"/>
    </row>
    <row r="57" spans="1:10" s="179" customFormat="1" ht="18" x14ac:dyDescent="0.25">
      <c r="A57" s="736"/>
      <c r="B57" s="180" t="s">
        <v>430</v>
      </c>
      <c r="C57" s="986" t="s">
        <v>431</v>
      </c>
      <c r="D57" s="987">
        <v>400000</v>
      </c>
      <c r="E57" s="747"/>
      <c r="F57" s="747"/>
      <c r="G57" s="747"/>
      <c r="H57" s="747">
        <f t="shared" si="2"/>
        <v>400000</v>
      </c>
      <c r="J57" s="754"/>
    </row>
    <row r="58" spans="1:10" s="179" customFormat="1" ht="18" x14ac:dyDescent="0.25">
      <c r="A58" s="736"/>
      <c r="B58" s="180" t="s">
        <v>394</v>
      </c>
      <c r="C58" s="986"/>
      <c r="D58" s="987"/>
      <c r="E58" s="747"/>
      <c r="F58" s="747"/>
      <c r="G58" s="747"/>
      <c r="H58" s="747">
        <f t="shared" si="2"/>
        <v>0</v>
      </c>
      <c r="J58" s="754"/>
    </row>
    <row r="59" spans="1:10" s="179" customFormat="1" ht="18.75" thickBot="1" x14ac:dyDescent="0.3">
      <c r="A59" s="989"/>
      <c r="B59" s="990" t="s">
        <v>1437</v>
      </c>
      <c r="C59" s="991" t="s">
        <v>395</v>
      </c>
      <c r="D59" s="992">
        <v>304000</v>
      </c>
      <c r="E59" s="993"/>
      <c r="F59" s="993"/>
      <c r="G59" s="993"/>
      <c r="H59" s="993">
        <f t="shared" si="2"/>
        <v>304000</v>
      </c>
      <c r="J59" s="754"/>
    </row>
    <row r="60" spans="1:10" s="179" customFormat="1" ht="18" x14ac:dyDescent="0.25">
      <c r="A60" s="736"/>
      <c r="B60" s="180" t="s">
        <v>1438</v>
      </c>
      <c r="C60" s="986" t="s">
        <v>395</v>
      </c>
      <c r="D60" s="987">
        <v>1465000</v>
      </c>
      <c r="E60" s="747"/>
      <c r="F60" s="747"/>
      <c r="G60" s="747"/>
      <c r="H60" s="747">
        <f t="shared" si="2"/>
        <v>1465000</v>
      </c>
      <c r="J60" s="754"/>
    </row>
    <row r="61" spans="1:10" s="179" customFormat="1" ht="18" x14ac:dyDescent="0.25">
      <c r="A61" s="736"/>
      <c r="B61" s="180" t="s">
        <v>1439</v>
      </c>
      <c r="C61" s="986" t="s">
        <v>395</v>
      </c>
      <c r="D61" s="987">
        <v>52400</v>
      </c>
      <c r="E61" s="747"/>
      <c r="F61" s="747"/>
      <c r="G61" s="747"/>
      <c r="H61" s="747">
        <f t="shared" si="2"/>
        <v>52400</v>
      </c>
      <c r="J61" s="754"/>
    </row>
    <row r="62" spans="1:10" s="179" customFormat="1" ht="18.75" customHeight="1" x14ac:dyDescent="0.25">
      <c r="A62" s="736"/>
      <c r="B62" s="180" t="s">
        <v>399</v>
      </c>
      <c r="C62" s="986" t="s">
        <v>395</v>
      </c>
      <c r="D62" s="988">
        <v>760000</v>
      </c>
      <c r="E62" s="747"/>
      <c r="F62" s="747"/>
      <c r="G62" s="747"/>
      <c r="H62" s="747">
        <f t="shared" si="2"/>
        <v>760000</v>
      </c>
      <c r="J62" s="754"/>
    </row>
    <row r="63" spans="1:10" s="179" customFormat="1" ht="18" x14ac:dyDescent="0.25">
      <c r="A63" s="736"/>
      <c r="B63" s="180" t="s">
        <v>190</v>
      </c>
      <c r="C63" s="986" t="s">
        <v>191</v>
      </c>
      <c r="D63" s="988">
        <v>395000</v>
      </c>
      <c r="E63" s="747"/>
      <c r="F63" s="747"/>
      <c r="G63" s="747"/>
      <c r="H63" s="747">
        <f t="shared" si="2"/>
        <v>395000</v>
      </c>
      <c r="J63" s="754"/>
    </row>
    <row r="64" spans="1:10" s="179" customFormat="1" ht="18" x14ac:dyDescent="0.25">
      <c r="A64" s="736"/>
      <c r="B64" s="180" t="s">
        <v>331</v>
      </c>
      <c r="C64" s="986" t="s">
        <v>282</v>
      </c>
      <c r="D64" s="988">
        <v>150000</v>
      </c>
      <c r="E64" s="747"/>
      <c r="F64" s="747">
        <v>15000</v>
      </c>
      <c r="G64" s="747"/>
      <c r="H64" s="747">
        <f t="shared" si="2"/>
        <v>165000</v>
      </c>
      <c r="J64" s="754"/>
    </row>
    <row r="65" spans="1:10" s="179" customFormat="1" ht="18" x14ac:dyDescent="0.25">
      <c r="A65" s="736"/>
      <c r="B65" s="180" t="s">
        <v>192</v>
      </c>
      <c r="C65" s="986" t="s">
        <v>193</v>
      </c>
      <c r="D65" s="988">
        <v>3700000</v>
      </c>
      <c r="E65" s="747"/>
      <c r="F65" s="747"/>
      <c r="G65" s="747"/>
      <c r="H65" s="747">
        <f t="shared" si="2"/>
        <v>3700000</v>
      </c>
      <c r="J65" s="754"/>
    </row>
    <row r="66" spans="1:10" s="179" customFormat="1" ht="36" x14ac:dyDescent="0.25">
      <c r="A66" s="736"/>
      <c r="B66" s="964" t="s">
        <v>439</v>
      </c>
      <c r="C66" s="986" t="s">
        <v>237</v>
      </c>
      <c r="D66" s="988">
        <v>886000</v>
      </c>
      <c r="E66" s="747">
        <v>10000</v>
      </c>
      <c r="F66" s="747">
        <v>19000</v>
      </c>
      <c r="G66" s="747"/>
      <c r="H66" s="747">
        <f t="shared" si="2"/>
        <v>915000</v>
      </c>
      <c r="J66" s="754"/>
    </row>
    <row r="67" spans="1:10" s="179" customFormat="1" ht="18" x14ac:dyDescent="0.25">
      <c r="A67" s="736"/>
      <c r="B67" s="180" t="s">
        <v>194</v>
      </c>
      <c r="C67" s="986" t="s">
        <v>195</v>
      </c>
      <c r="D67" s="988">
        <v>120000</v>
      </c>
      <c r="E67" s="747"/>
      <c r="F67" s="747"/>
      <c r="G67" s="747"/>
      <c r="H67" s="747">
        <f t="shared" si="2"/>
        <v>120000</v>
      </c>
      <c r="J67" s="754"/>
    </row>
    <row r="68" spans="1:10" s="179" customFormat="1" ht="36" x14ac:dyDescent="0.25">
      <c r="A68" s="736"/>
      <c r="B68" s="963" t="s">
        <v>198</v>
      </c>
      <c r="C68" s="986" t="s">
        <v>199</v>
      </c>
      <c r="D68" s="987">
        <v>16579923.48</v>
      </c>
      <c r="E68" s="747">
        <f>6739482.72+33000</f>
        <v>6772482.7199999997</v>
      </c>
      <c r="F68" s="747">
        <v>9903885.1199999992</v>
      </c>
      <c r="G68" s="747"/>
      <c r="H68" s="747">
        <f t="shared" si="2"/>
        <v>33256291.32</v>
      </c>
      <c r="J68" s="754"/>
    </row>
    <row r="69" spans="1:10" s="179" customFormat="1" ht="18" x14ac:dyDescent="0.25">
      <c r="A69" s="736"/>
      <c r="B69" s="180" t="s">
        <v>441</v>
      </c>
      <c r="C69" s="986"/>
      <c r="D69" s="987">
        <v>50000</v>
      </c>
      <c r="E69" s="747"/>
      <c r="F69" s="747"/>
      <c r="G69" s="747"/>
      <c r="H69" s="747">
        <f t="shared" si="2"/>
        <v>50000</v>
      </c>
      <c r="J69" s="754"/>
    </row>
    <row r="70" spans="1:10" s="179" customFormat="1" ht="18" x14ac:dyDescent="0.25">
      <c r="A70" s="736"/>
      <c r="B70" s="180" t="s">
        <v>443</v>
      </c>
      <c r="C70" s="986"/>
      <c r="D70" s="987">
        <v>1000000</v>
      </c>
      <c r="E70" s="747"/>
      <c r="F70" s="747"/>
      <c r="G70" s="747"/>
      <c r="H70" s="747">
        <f t="shared" si="2"/>
        <v>1000000</v>
      </c>
      <c r="J70" s="754"/>
    </row>
    <row r="71" spans="1:10" s="179" customFormat="1" ht="18" x14ac:dyDescent="0.25">
      <c r="A71" s="736"/>
      <c r="B71" s="180" t="s">
        <v>301</v>
      </c>
      <c r="C71" s="986"/>
      <c r="D71" s="987">
        <v>1750000</v>
      </c>
      <c r="E71" s="747"/>
      <c r="F71" s="747"/>
      <c r="G71" s="747"/>
      <c r="H71" s="747">
        <f t="shared" si="2"/>
        <v>1750000</v>
      </c>
      <c r="J71" s="754"/>
    </row>
    <row r="72" spans="1:10" s="179" customFormat="1" ht="18" x14ac:dyDescent="0.25">
      <c r="A72" s="736"/>
      <c r="B72" s="180" t="s">
        <v>315</v>
      </c>
      <c r="C72" s="986"/>
      <c r="D72" s="987">
        <v>150000</v>
      </c>
      <c r="E72" s="747"/>
      <c r="F72" s="747"/>
      <c r="G72" s="747"/>
      <c r="H72" s="747">
        <f t="shared" si="2"/>
        <v>150000</v>
      </c>
      <c r="J72" s="754"/>
    </row>
    <row r="73" spans="1:10" s="179" customFormat="1" ht="18" x14ac:dyDescent="0.25">
      <c r="A73" s="736"/>
      <c r="B73" s="994" t="s">
        <v>558</v>
      </c>
      <c r="C73" s="777"/>
      <c r="D73" s="747"/>
      <c r="E73" s="747"/>
      <c r="F73" s="747">
        <v>3500000</v>
      </c>
      <c r="G73" s="747"/>
      <c r="H73" s="747">
        <f t="shared" si="2"/>
        <v>3500000</v>
      </c>
      <c r="J73" s="754"/>
    </row>
    <row r="74" spans="1:10" s="740" customFormat="1" ht="25.5" customHeight="1" x14ac:dyDescent="0.25">
      <c r="A74" s="737"/>
      <c r="B74" s="738" t="s">
        <v>1440</v>
      </c>
      <c r="C74" s="776"/>
      <c r="D74" s="739">
        <f>SUM(D33:D73)</f>
        <v>86101974.769999996</v>
      </c>
      <c r="E74" s="739">
        <f>SUM(E33:E73)</f>
        <v>72120798.719999999</v>
      </c>
      <c r="F74" s="739">
        <f>SUM(F33:F73)</f>
        <v>36378518.32</v>
      </c>
      <c r="G74" s="739">
        <f>SUM(G33:G73)</f>
        <v>0</v>
      </c>
      <c r="H74" s="739">
        <f>SUM(D74:G74)</f>
        <v>194601291.81</v>
      </c>
      <c r="J74" s="752">
        <v>179793231.81</v>
      </c>
    </row>
    <row r="75" spans="1:10" x14ac:dyDescent="0.25">
      <c r="A75" s="723"/>
      <c r="B75" s="725"/>
      <c r="C75" s="775"/>
      <c r="D75" s="732"/>
      <c r="E75" s="732"/>
      <c r="F75" s="732"/>
      <c r="G75" s="732"/>
      <c r="H75" s="732"/>
      <c r="J75" s="484">
        <v>14808660</v>
      </c>
    </row>
    <row r="76" spans="1:10" s="142" customFormat="1" ht="18.75" x14ac:dyDescent="0.3">
      <c r="A76" s="742" t="s">
        <v>1441</v>
      </c>
      <c r="B76" s="734"/>
      <c r="C76" s="775"/>
      <c r="D76" s="743"/>
      <c r="E76" s="743"/>
      <c r="F76" s="743"/>
      <c r="G76" s="743"/>
      <c r="H76" s="743"/>
      <c r="J76" s="753">
        <f>SUM(J74:J75)</f>
        <v>194601891.81</v>
      </c>
    </row>
    <row r="77" spans="1:10" s="179" customFormat="1" ht="36" x14ac:dyDescent="0.25">
      <c r="A77" s="736"/>
      <c r="B77" s="966" t="s">
        <v>238</v>
      </c>
      <c r="C77" s="777"/>
      <c r="D77" s="747"/>
      <c r="E77" s="747"/>
      <c r="F77" s="102">
        <v>400000</v>
      </c>
      <c r="G77" s="747"/>
      <c r="H77" s="747">
        <f t="shared" ref="H77:H148" si="3">SUM(D77:G77)</f>
        <v>400000</v>
      </c>
      <c r="J77" s="754"/>
    </row>
    <row r="78" spans="1:10" s="179" customFormat="1" ht="36" x14ac:dyDescent="0.25">
      <c r="A78" s="736"/>
      <c r="B78" s="966" t="s">
        <v>239</v>
      </c>
      <c r="C78" s="777"/>
      <c r="D78" s="747"/>
      <c r="E78" s="747"/>
      <c r="F78" s="102">
        <v>80000</v>
      </c>
      <c r="G78" s="747"/>
      <c r="H78" s="747">
        <f t="shared" si="3"/>
        <v>80000</v>
      </c>
      <c r="J78" s="754"/>
    </row>
    <row r="79" spans="1:10" s="179" customFormat="1" ht="18" x14ac:dyDescent="0.25">
      <c r="A79" s="736"/>
      <c r="B79" s="717" t="s">
        <v>203</v>
      </c>
      <c r="C79" s="777"/>
      <c r="D79" s="747"/>
      <c r="E79" s="747"/>
      <c r="F79" s="102">
        <v>115000</v>
      </c>
      <c r="G79" s="747"/>
      <c r="H79" s="747">
        <f t="shared" si="3"/>
        <v>115000</v>
      </c>
      <c r="J79" s="754"/>
    </row>
    <row r="80" spans="1:10" s="179" customFormat="1" ht="18" x14ac:dyDescent="0.25">
      <c r="A80" s="736"/>
      <c r="B80" s="717" t="s">
        <v>240</v>
      </c>
      <c r="C80" s="777"/>
      <c r="D80" s="747"/>
      <c r="E80" s="747"/>
      <c r="F80" s="101">
        <v>300000</v>
      </c>
      <c r="G80" s="747"/>
      <c r="H80" s="747">
        <f t="shared" si="3"/>
        <v>300000</v>
      </c>
      <c r="J80" s="754"/>
    </row>
    <row r="81" spans="1:10" s="179" customFormat="1" ht="36" x14ac:dyDescent="0.25">
      <c r="A81" s="736"/>
      <c r="B81" s="966" t="s">
        <v>283</v>
      </c>
      <c r="C81" s="777"/>
      <c r="D81" s="747"/>
      <c r="E81" s="747"/>
      <c r="F81" s="101">
        <v>66000</v>
      </c>
      <c r="G81" s="747"/>
      <c r="H81" s="747">
        <f t="shared" si="3"/>
        <v>66000</v>
      </c>
      <c r="J81" s="754"/>
    </row>
    <row r="82" spans="1:10" s="179" customFormat="1" ht="18" x14ac:dyDescent="0.25">
      <c r="A82" s="736"/>
      <c r="B82" s="965" t="s">
        <v>287</v>
      </c>
      <c r="C82" s="777"/>
      <c r="D82" s="747"/>
      <c r="E82" s="747"/>
      <c r="F82" s="101">
        <v>80000</v>
      </c>
      <c r="G82" s="747"/>
      <c r="H82" s="747">
        <f t="shared" si="3"/>
        <v>80000</v>
      </c>
      <c r="J82" s="754"/>
    </row>
    <row r="83" spans="1:10" s="179" customFormat="1" ht="36" x14ac:dyDescent="0.25">
      <c r="A83" s="736"/>
      <c r="B83" s="963" t="s">
        <v>529</v>
      </c>
      <c r="C83" s="777"/>
      <c r="D83" s="747"/>
      <c r="E83" s="747"/>
      <c r="F83" s="101">
        <v>183600</v>
      </c>
      <c r="G83" s="747"/>
      <c r="H83" s="747">
        <f t="shared" si="3"/>
        <v>183600</v>
      </c>
      <c r="J83" s="754"/>
    </row>
    <row r="84" spans="1:10" s="179" customFormat="1" ht="54" x14ac:dyDescent="0.25">
      <c r="A84" s="736"/>
      <c r="B84" s="963" t="s">
        <v>530</v>
      </c>
      <c r="C84" s="777"/>
      <c r="D84" s="747"/>
      <c r="E84" s="747"/>
      <c r="F84" s="101">
        <v>56000</v>
      </c>
      <c r="G84" s="747"/>
      <c r="H84" s="747">
        <f t="shared" si="3"/>
        <v>56000</v>
      </c>
      <c r="J84" s="754"/>
    </row>
    <row r="85" spans="1:10" s="179" customFormat="1" ht="36" x14ac:dyDescent="0.25">
      <c r="A85" s="736"/>
      <c r="B85" s="963" t="s">
        <v>531</v>
      </c>
      <c r="C85" s="777"/>
      <c r="D85" s="747"/>
      <c r="E85" s="747"/>
      <c r="F85" s="101">
        <v>40000</v>
      </c>
      <c r="G85" s="747"/>
      <c r="H85" s="747">
        <f t="shared" si="3"/>
        <v>40000</v>
      </c>
      <c r="J85" s="754"/>
    </row>
    <row r="86" spans="1:10" s="179" customFormat="1" ht="18" x14ac:dyDescent="0.25">
      <c r="A86" s="736"/>
      <c r="B86" s="967" t="s">
        <v>532</v>
      </c>
      <c r="C86" s="777"/>
      <c r="D86" s="747"/>
      <c r="E86" s="747"/>
      <c r="F86" s="101">
        <v>58500</v>
      </c>
      <c r="G86" s="747"/>
      <c r="H86" s="747">
        <f t="shared" si="3"/>
        <v>58500</v>
      </c>
      <c r="J86" s="754"/>
    </row>
    <row r="87" spans="1:10" s="179" customFormat="1" ht="18" x14ac:dyDescent="0.25">
      <c r="A87" s="736"/>
      <c r="B87" s="997" t="s">
        <v>203</v>
      </c>
      <c r="C87" s="777"/>
      <c r="D87" s="747"/>
      <c r="E87" s="747"/>
      <c r="F87" s="101">
        <v>115000</v>
      </c>
      <c r="G87" s="747"/>
      <c r="H87" s="747">
        <f t="shared" si="3"/>
        <v>115000</v>
      </c>
      <c r="J87" s="754"/>
    </row>
    <row r="88" spans="1:10" s="179" customFormat="1" ht="18" x14ac:dyDescent="0.25">
      <c r="A88" s="736"/>
      <c r="B88" s="997" t="s">
        <v>533</v>
      </c>
      <c r="C88" s="777"/>
      <c r="D88" s="747"/>
      <c r="E88" s="747"/>
      <c r="F88" s="101">
        <v>90000</v>
      </c>
      <c r="G88" s="747"/>
      <c r="H88" s="747">
        <f t="shared" si="3"/>
        <v>90000</v>
      </c>
      <c r="J88" s="754"/>
    </row>
    <row r="89" spans="1:10" s="179" customFormat="1" ht="36" x14ac:dyDescent="0.25">
      <c r="A89" s="736"/>
      <c r="B89" s="965" t="s">
        <v>534</v>
      </c>
      <c r="C89" s="777"/>
      <c r="D89" s="747"/>
      <c r="E89" s="747"/>
      <c r="F89" s="101">
        <v>600000</v>
      </c>
      <c r="G89" s="747"/>
      <c r="H89" s="747">
        <f t="shared" si="3"/>
        <v>600000</v>
      </c>
      <c r="J89" s="754"/>
    </row>
    <row r="90" spans="1:10" s="179" customFormat="1" ht="18" x14ac:dyDescent="0.25">
      <c r="A90" s="736"/>
      <c r="B90" s="965" t="s">
        <v>535</v>
      </c>
      <c r="C90" s="777"/>
      <c r="D90" s="747"/>
      <c r="E90" s="747"/>
      <c r="F90" s="101">
        <v>4000000</v>
      </c>
      <c r="G90" s="747"/>
      <c r="H90" s="747">
        <f t="shared" si="3"/>
        <v>4000000</v>
      </c>
      <c r="J90" s="754"/>
    </row>
    <row r="91" spans="1:10" s="179" customFormat="1" ht="36" x14ac:dyDescent="0.25">
      <c r="A91" s="736"/>
      <c r="B91" s="963" t="s">
        <v>554</v>
      </c>
      <c r="C91" s="777"/>
      <c r="D91" s="747"/>
      <c r="E91" s="747"/>
      <c r="F91" s="102">
        <v>23900</v>
      </c>
      <c r="G91" s="747"/>
      <c r="H91" s="747">
        <f t="shared" si="3"/>
        <v>23900</v>
      </c>
      <c r="J91" s="754"/>
    </row>
    <row r="92" spans="1:10" s="179" customFormat="1" ht="18" x14ac:dyDescent="0.25">
      <c r="A92" s="736"/>
      <c r="B92" s="963" t="s">
        <v>204</v>
      </c>
      <c r="C92" s="777"/>
      <c r="D92" s="747"/>
      <c r="E92" s="747"/>
      <c r="F92" s="102">
        <v>80000</v>
      </c>
      <c r="G92" s="747"/>
      <c r="H92" s="747">
        <f t="shared" si="3"/>
        <v>80000</v>
      </c>
      <c r="J92" s="754"/>
    </row>
    <row r="93" spans="1:10" s="179" customFormat="1" ht="36" x14ac:dyDescent="0.25">
      <c r="A93" s="736"/>
      <c r="B93" s="963" t="s">
        <v>559</v>
      </c>
      <c r="C93" s="777"/>
      <c r="D93" s="747"/>
      <c r="E93" s="747"/>
      <c r="F93" s="101">
        <v>76300</v>
      </c>
      <c r="G93" s="747"/>
      <c r="H93" s="747">
        <f t="shared" si="3"/>
        <v>76300</v>
      </c>
      <c r="J93" s="754"/>
    </row>
    <row r="94" spans="1:10" s="179" customFormat="1" ht="36" x14ac:dyDescent="0.25">
      <c r="A94" s="736"/>
      <c r="B94" s="963" t="s">
        <v>560</v>
      </c>
      <c r="C94" s="777"/>
      <c r="D94" s="747"/>
      <c r="E94" s="747"/>
      <c r="F94" s="101">
        <v>62400</v>
      </c>
      <c r="G94" s="747"/>
      <c r="H94" s="747">
        <f t="shared" si="3"/>
        <v>62400</v>
      </c>
      <c r="J94" s="754"/>
    </row>
    <row r="95" spans="1:10" s="179" customFormat="1" ht="18" x14ac:dyDescent="0.25">
      <c r="A95" s="736"/>
      <c r="B95" s="967" t="s">
        <v>516</v>
      </c>
      <c r="C95" s="777"/>
      <c r="D95" s="747"/>
      <c r="E95" s="747"/>
      <c r="F95" s="101">
        <v>230000</v>
      </c>
      <c r="G95" s="747"/>
      <c r="H95" s="747">
        <f t="shared" si="3"/>
        <v>230000</v>
      </c>
      <c r="J95" s="754"/>
    </row>
    <row r="96" spans="1:10" s="179" customFormat="1" ht="18" x14ac:dyDescent="0.25">
      <c r="A96" s="736"/>
      <c r="B96" s="967" t="s">
        <v>351</v>
      </c>
      <c r="C96" s="777"/>
      <c r="D96" s="747"/>
      <c r="E96" s="747"/>
      <c r="F96" s="101">
        <v>25000</v>
      </c>
      <c r="G96" s="747"/>
      <c r="H96" s="747">
        <f t="shared" si="3"/>
        <v>25000</v>
      </c>
      <c r="J96" s="754"/>
    </row>
    <row r="97" spans="1:10" s="179" customFormat="1" ht="18" x14ac:dyDescent="0.25">
      <c r="A97" s="736"/>
      <c r="B97" s="967" t="s">
        <v>561</v>
      </c>
      <c r="C97" s="777"/>
      <c r="D97" s="747"/>
      <c r="E97" s="747"/>
      <c r="F97" s="102">
        <v>200000</v>
      </c>
      <c r="G97" s="747"/>
      <c r="H97" s="747">
        <f t="shared" si="3"/>
        <v>200000</v>
      </c>
      <c r="J97" s="754"/>
    </row>
    <row r="98" spans="1:10" s="179" customFormat="1" ht="18" x14ac:dyDescent="0.25">
      <c r="A98" s="736"/>
      <c r="B98" s="967" t="s">
        <v>562</v>
      </c>
      <c r="C98" s="777"/>
      <c r="D98" s="747"/>
      <c r="E98" s="747"/>
      <c r="F98" s="102">
        <v>250000</v>
      </c>
      <c r="G98" s="747"/>
      <c r="H98" s="747">
        <f t="shared" si="3"/>
        <v>250000</v>
      </c>
      <c r="J98" s="754"/>
    </row>
    <row r="99" spans="1:10" s="179" customFormat="1" ht="18" x14ac:dyDescent="0.25">
      <c r="A99" s="736"/>
      <c r="B99" s="967" t="s">
        <v>517</v>
      </c>
      <c r="C99" s="777"/>
      <c r="D99" s="747"/>
      <c r="E99" s="747"/>
      <c r="F99" s="102">
        <v>135000</v>
      </c>
      <c r="G99" s="747"/>
      <c r="H99" s="747">
        <f t="shared" si="3"/>
        <v>135000</v>
      </c>
      <c r="J99" s="754"/>
    </row>
    <row r="100" spans="1:10" s="179" customFormat="1" ht="18" x14ac:dyDescent="0.25">
      <c r="A100" s="736"/>
      <c r="B100" s="717" t="s">
        <v>569</v>
      </c>
      <c r="C100" s="777"/>
      <c r="D100" s="747"/>
      <c r="E100" s="747"/>
      <c r="F100" s="101">
        <v>32000</v>
      </c>
      <c r="G100" s="747"/>
      <c r="H100" s="747">
        <f t="shared" si="3"/>
        <v>32000</v>
      </c>
      <c r="J100" s="754"/>
    </row>
    <row r="101" spans="1:10" s="179" customFormat="1" ht="18" x14ac:dyDescent="0.25">
      <c r="A101" s="736"/>
      <c r="B101" s="997" t="s">
        <v>203</v>
      </c>
      <c r="C101" s="777"/>
      <c r="D101" s="747"/>
      <c r="E101" s="747"/>
      <c r="F101" s="101">
        <v>75000</v>
      </c>
      <c r="G101" s="747"/>
      <c r="H101" s="747">
        <f t="shared" si="3"/>
        <v>75000</v>
      </c>
      <c r="J101" s="754"/>
    </row>
    <row r="102" spans="1:10" s="179" customFormat="1" ht="18" x14ac:dyDescent="0.25">
      <c r="A102" s="736"/>
      <c r="B102" s="717" t="s">
        <v>572</v>
      </c>
      <c r="C102" s="777"/>
      <c r="D102" s="747"/>
      <c r="E102" s="747"/>
      <c r="F102" s="101">
        <v>100000</v>
      </c>
      <c r="G102" s="747"/>
      <c r="H102" s="747">
        <f t="shared" si="3"/>
        <v>100000</v>
      </c>
      <c r="J102" s="754"/>
    </row>
    <row r="103" spans="1:10" s="179" customFormat="1" ht="18" x14ac:dyDescent="0.25">
      <c r="A103" s="736"/>
      <c r="B103" s="967" t="s">
        <v>203</v>
      </c>
      <c r="C103" s="777"/>
      <c r="D103" s="747"/>
      <c r="E103" s="747"/>
      <c r="F103" s="101">
        <v>75000</v>
      </c>
      <c r="G103" s="747"/>
      <c r="H103" s="747">
        <f t="shared" si="3"/>
        <v>75000</v>
      </c>
      <c r="J103" s="754"/>
    </row>
    <row r="104" spans="1:10" s="179" customFormat="1" ht="54" x14ac:dyDescent="0.25">
      <c r="A104" s="736"/>
      <c r="B104" s="962" t="s">
        <v>1269</v>
      </c>
      <c r="C104" s="777"/>
      <c r="D104" s="747"/>
      <c r="E104" s="747"/>
      <c r="F104" s="101">
        <v>160000</v>
      </c>
      <c r="G104" s="747"/>
      <c r="H104" s="747">
        <f t="shared" si="3"/>
        <v>160000</v>
      </c>
      <c r="J104" s="754"/>
    </row>
    <row r="105" spans="1:10" s="179" customFormat="1" ht="36" x14ac:dyDescent="0.25">
      <c r="A105" s="736"/>
      <c r="B105" s="963" t="s">
        <v>1270</v>
      </c>
      <c r="C105" s="777"/>
      <c r="D105" s="747"/>
      <c r="E105" s="747"/>
      <c r="F105" s="101">
        <v>35000</v>
      </c>
      <c r="G105" s="747"/>
      <c r="H105" s="747">
        <f t="shared" si="3"/>
        <v>35000</v>
      </c>
      <c r="J105" s="754"/>
    </row>
    <row r="106" spans="1:10" s="179" customFormat="1" ht="36.75" thickBot="1" x14ac:dyDescent="0.3">
      <c r="A106" s="989"/>
      <c r="B106" s="995" t="s">
        <v>1271</v>
      </c>
      <c r="C106" s="996"/>
      <c r="D106" s="993"/>
      <c r="E106" s="993"/>
      <c r="F106" s="219">
        <v>14000</v>
      </c>
      <c r="G106" s="993"/>
      <c r="H106" s="993">
        <f t="shared" si="3"/>
        <v>14000</v>
      </c>
      <c r="J106" s="754"/>
    </row>
    <row r="107" spans="1:10" s="179" customFormat="1" ht="18" x14ac:dyDescent="0.25">
      <c r="A107" s="736"/>
      <c r="B107" s="967" t="s">
        <v>1272</v>
      </c>
      <c r="C107" s="777"/>
      <c r="D107" s="747"/>
      <c r="E107" s="747"/>
      <c r="F107" s="101">
        <v>75000</v>
      </c>
      <c r="G107" s="747"/>
      <c r="H107" s="747">
        <f t="shared" si="3"/>
        <v>75000</v>
      </c>
      <c r="J107" s="754"/>
    </row>
    <row r="108" spans="1:10" s="179" customFormat="1" ht="72" x14ac:dyDescent="0.25">
      <c r="A108" s="736"/>
      <c r="B108" s="962" t="s">
        <v>1273</v>
      </c>
      <c r="C108" s="777"/>
      <c r="D108" s="747"/>
      <c r="E108" s="747"/>
      <c r="F108" s="101">
        <v>26600</v>
      </c>
      <c r="G108" s="747"/>
      <c r="H108" s="747">
        <f t="shared" si="3"/>
        <v>26600</v>
      </c>
      <c r="J108" s="754"/>
    </row>
    <row r="109" spans="1:10" s="179" customFormat="1" ht="54" x14ac:dyDescent="0.25">
      <c r="A109" s="736"/>
      <c r="B109" s="963" t="s">
        <v>1289</v>
      </c>
      <c r="C109" s="777"/>
      <c r="D109" s="747"/>
      <c r="E109" s="747"/>
      <c r="F109" s="101">
        <v>28000</v>
      </c>
      <c r="G109" s="747"/>
      <c r="H109" s="747">
        <f t="shared" si="3"/>
        <v>28000</v>
      </c>
      <c r="J109" s="754"/>
    </row>
    <row r="110" spans="1:10" s="179" customFormat="1" ht="36" x14ac:dyDescent="0.25">
      <c r="A110" s="736"/>
      <c r="B110" s="963" t="s">
        <v>1290</v>
      </c>
      <c r="C110" s="777"/>
      <c r="D110" s="747"/>
      <c r="E110" s="747"/>
      <c r="F110" s="101">
        <v>23900</v>
      </c>
      <c r="G110" s="747"/>
      <c r="H110" s="747">
        <f t="shared" si="3"/>
        <v>23900</v>
      </c>
      <c r="J110" s="754"/>
    </row>
    <row r="111" spans="1:10" s="179" customFormat="1" ht="18" x14ac:dyDescent="0.25">
      <c r="A111" s="736"/>
      <c r="B111" s="963" t="s">
        <v>1296</v>
      </c>
      <c r="C111" s="777"/>
      <c r="D111" s="747"/>
      <c r="E111" s="747"/>
      <c r="F111" s="101">
        <v>26000</v>
      </c>
      <c r="G111" s="747"/>
      <c r="H111" s="747">
        <f t="shared" si="3"/>
        <v>26000</v>
      </c>
      <c r="J111" s="754"/>
    </row>
    <row r="112" spans="1:10" s="179" customFormat="1" ht="36" x14ac:dyDescent="0.25">
      <c r="A112" s="736"/>
      <c r="B112" s="964" t="s">
        <v>1301</v>
      </c>
      <c r="C112" s="777"/>
      <c r="D112" s="747"/>
      <c r="E112" s="747"/>
      <c r="F112" s="101">
        <v>30600</v>
      </c>
      <c r="G112" s="747"/>
      <c r="H112" s="747">
        <f t="shared" si="3"/>
        <v>30600</v>
      </c>
      <c r="J112" s="754"/>
    </row>
    <row r="113" spans="1:10" s="179" customFormat="1" ht="18" x14ac:dyDescent="0.25">
      <c r="A113" s="736"/>
      <c r="B113" s="180" t="s">
        <v>204</v>
      </c>
      <c r="C113" s="777"/>
      <c r="D113" s="747"/>
      <c r="E113" s="747"/>
      <c r="F113" s="101">
        <v>80000</v>
      </c>
      <c r="G113" s="747"/>
      <c r="H113" s="747">
        <f t="shared" si="3"/>
        <v>80000</v>
      </c>
      <c r="J113" s="754"/>
    </row>
    <row r="114" spans="1:10" s="179" customFormat="1" ht="18" x14ac:dyDescent="0.25">
      <c r="A114" s="736"/>
      <c r="B114" s="967" t="s">
        <v>1442</v>
      </c>
      <c r="C114" s="777"/>
      <c r="D114" s="101">
        <v>1000000</v>
      </c>
      <c r="E114" s="747"/>
      <c r="F114" s="747"/>
      <c r="G114" s="747"/>
      <c r="H114" s="747">
        <f t="shared" si="3"/>
        <v>1000000</v>
      </c>
      <c r="J114" s="754"/>
    </row>
    <row r="115" spans="1:10" s="179" customFormat="1" ht="18" x14ac:dyDescent="0.25">
      <c r="A115" s="736"/>
      <c r="B115" s="652" t="s">
        <v>446</v>
      </c>
      <c r="C115" s="777"/>
      <c r="D115" s="101">
        <v>70000</v>
      </c>
      <c r="E115" s="747"/>
      <c r="F115" s="747"/>
      <c r="G115" s="747"/>
      <c r="H115" s="747">
        <f t="shared" si="3"/>
        <v>70000</v>
      </c>
      <c r="J115" s="754"/>
    </row>
    <row r="116" spans="1:10" s="179" customFormat="1" ht="18" x14ac:dyDescent="0.25">
      <c r="A116" s="736"/>
      <c r="B116" s="652" t="s">
        <v>1443</v>
      </c>
      <c r="C116" s="777"/>
      <c r="D116" s="101">
        <v>50000</v>
      </c>
      <c r="E116" s="747"/>
      <c r="F116" s="747"/>
      <c r="G116" s="747"/>
      <c r="H116" s="747">
        <f t="shared" si="3"/>
        <v>50000</v>
      </c>
      <c r="J116" s="754"/>
    </row>
    <row r="117" spans="1:10" s="179" customFormat="1" ht="18" x14ac:dyDescent="0.25">
      <c r="A117" s="736"/>
      <c r="B117" s="652" t="s">
        <v>1523</v>
      </c>
      <c r="C117" s="777"/>
      <c r="D117" s="101">
        <v>25000</v>
      </c>
      <c r="E117" s="747"/>
      <c r="F117" s="747"/>
      <c r="G117" s="747"/>
      <c r="H117" s="747">
        <f t="shared" si="3"/>
        <v>25000</v>
      </c>
      <c r="J117" s="754"/>
    </row>
    <row r="118" spans="1:10" s="179" customFormat="1" ht="36" x14ac:dyDescent="0.25">
      <c r="A118" s="736"/>
      <c r="B118" s="962" t="s">
        <v>1517</v>
      </c>
      <c r="C118" s="777"/>
      <c r="D118" s="101">
        <v>15300</v>
      </c>
      <c r="E118" s="747"/>
      <c r="F118" s="747"/>
      <c r="G118" s="747"/>
      <c r="H118" s="747">
        <f t="shared" si="3"/>
        <v>15300</v>
      </c>
      <c r="J118" s="754"/>
    </row>
    <row r="119" spans="1:10" s="179" customFormat="1" ht="18" x14ac:dyDescent="0.25">
      <c r="A119" s="736"/>
      <c r="B119" s="652" t="s">
        <v>223</v>
      </c>
      <c r="C119" s="777"/>
      <c r="D119" s="101">
        <v>15300</v>
      </c>
      <c r="E119" s="747"/>
      <c r="F119" s="747"/>
      <c r="G119" s="747"/>
      <c r="H119" s="747">
        <f t="shared" si="3"/>
        <v>15300</v>
      </c>
      <c r="J119" s="754"/>
    </row>
    <row r="120" spans="1:10" s="179" customFormat="1" ht="18" x14ac:dyDescent="0.25">
      <c r="A120" s="736"/>
      <c r="B120" s="967" t="s">
        <v>253</v>
      </c>
      <c r="C120" s="777"/>
      <c r="D120" s="101">
        <v>50000</v>
      </c>
      <c r="E120" s="747"/>
      <c r="F120" s="747"/>
      <c r="G120" s="747"/>
      <c r="H120" s="747">
        <f t="shared" si="3"/>
        <v>50000</v>
      </c>
      <c r="J120" s="754"/>
    </row>
    <row r="121" spans="1:10" s="179" customFormat="1" ht="36" x14ac:dyDescent="0.25">
      <c r="A121" s="736"/>
      <c r="B121" s="963" t="s">
        <v>358</v>
      </c>
      <c r="C121" s="777"/>
      <c r="D121" s="101">
        <v>71700</v>
      </c>
      <c r="E121" s="747"/>
      <c r="F121" s="747"/>
      <c r="G121" s="747"/>
      <c r="H121" s="747">
        <f t="shared" si="3"/>
        <v>71700</v>
      </c>
      <c r="J121" s="754"/>
    </row>
    <row r="122" spans="1:10" s="179" customFormat="1" ht="36" x14ac:dyDescent="0.25">
      <c r="A122" s="736"/>
      <c r="B122" s="965" t="s">
        <v>459</v>
      </c>
      <c r="C122" s="777"/>
      <c r="D122" s="102">
        <v>80000</v>
      </c>
      <c r="E122" s="747"/>
      <c r="F122" s="747"/>
      <c r="G122" s="747"/>
      <c r="H122" s="747">
        <f t="shared" si="3"/>
        <v>80000</v>
      </c>
      <c r="J122" s="754"/>
    </row>
    <row r="123" spans="1:10" s="179" customFormat="1" ht="18" x14ac:dyDescent="0.25">
      <c r="A123" s="736"/>
      <c r="B123" s="717" t="s">
        <v>1444</v>
      </c>
      <c r="C123" s="777"/>
      <c r="D123" s="101">
        <v>25000</v>
      </c>
      <c r="E123" s="747"/>
      <c r="F123" s="747"/>
      <c r="G123" s="747"/>
      <c r="H123" s="747">
        <f t="shared" si="3"/>
        <v>25000</v>
      </c>
      <c r="J123" s="754"/>
    </row>
    <row r="124" spans="1:10" s="179" customFormat="1" ht="18" x14ac:dyDescent="0.25">
      <c r="A124" s="736"/>
      <c r="B124" s="717" t="s">
        <v>206</v>
      </c>
      <c r="C124" s="777"/>
      <c r="D124" s="101">
        <v>40000</v>
      </c>
      <c r="E124" s="747"/>
      <c r="F124" s="747"/>
      <c r="G124" s="747"/>
      <c r="H124" s="747">
        <f t="shared" si="3"/>
        <v>40000</v>
      </c>
      <c r="J124" s="754"/>
    </row>
    <row r="125" spans="1:10" s="179" customFormat="1" ht="18" x14ac:dyDescent="0.25">
      <c r="A125" s="736"/>
      <c r="B125" s="997" t="s">
        <v>220</v>
      </c>
      <c r="C125" s="777"/>
      <c r="D125" s="101">
        <v>54000</v>
      </c>
      <c r="E125" s="747"/>
      <c r="F125" s="747"/>
      <c r="G125" s="747"/>
      <c r="H125" s="747">
        <f t="shared" si="3"/>
        <v>54000</v>
      </c>
      <c r="J125" s="754"/>
    </row>
    <row r="126" spans="1:10" s="179" customFormat="1" ht="18" x14ac:dyDescent="0.25">
      <c r="A126" s="736"/>
      <c r="B126" s="717" t="s">
        <v>363</v>
      </c>
      <c r="C126" s="777"/>
      <c r="D126" s="101">
        <v>240000</v>
      </c>
      <c r="E126" s="747"/>
      <c r="F126" s="747"/>
      <c r="G126" s="747"/>
      <c r="H126" s="747">
        <f t="shared" si="3"/>
        <v>240000</v>
      </c>
      <c r="J126" s="754"/>
    </row>
    <row r="127" spans="1:10" s="179" customFormat="1" ht="18" x14ac:dyDescent="0.25">
      <c r="A127" s="736"/>
      <c r="B127" s="717" t="s">
        <v>203</v>
      </c>
      <c r="C127" s="777"/>
      <c r="D127" s="101">
        <v>115000</v>
      </c>
      <c r="E127" s="747"/>
      <c r="F127" s="747"/>
      <c r="G127" s="747"/>
      <c r="H127" s="747">
        <f t="shared" si="3"/>
        <v>115000</v>
      </c>
      <c r="J127" s="754"/>
    </row>
    <row r="128" spans="1:10" s="179" customFormat="1" ht="18" x14ac:dyDescent="0.25">
      <c r="A128" s="736"/>
      <c r="B128" s="180" t="s">
        <v>203</v>
      </c>
      <c r="C128" s="777"/>
      <c r="D128" s="102">
        <v>115000</v>
      </c>
      <c r="E128" s="747"/>
      <c r="F128" s="747"/>
      <c r="G128" s="747"/>
      <c r="H128" s="747">
        <f t="shared" si="3"/>
        <v>115000</v>
      </c>
      <c r="J128" s="754"/>
    </row>
    <row r="129" spans="1:10" s="179" customFormat="1" ht="18" x14ac:dyDescent="0.25">
      <c r="A129" s="736"/>
      <c r="B129" s="997" t="s">
        <v>203</v>
      </c>
      <c r="C129" s="777"/>
      <c r="D129" s="101">
        <v>75000</v>
      </c>
      <c r="E129" s="747"/>
      <c r="F129" s="747"/>
      <c r="G129" s="747"/>
      <c r="H129" s="747">
        <f t="shared" si="3"/>
        <v>75000</v>
      </c>
      <c r="J129" s="754"/>
    </row>
    <row r="130" spans="1:10" s="179" customFormat="1" ht="17.25" customHeight="1" x14ac:dyDescent="0.25">
      <c r="A130" s="736"/>
      <c r="B130" s="997" t="s">
        <v>1445</v>
      </c>
      <c r="C130" s="777"/>
      <c r="D130" s="101">
        <v>280000</v>
      </c>
      <c r="E130" s="747"/>
      <c r="F130" s="747"/>
      <c r="G130" s="747"/>
      <c r="H130" s="747">
        <f t="shared" si="3"/>
        <v>280000</v>
      </c>
      <c r="J130" s="754"/>
    </row>
    <row r="131" spans="1:10" s="179" customFormat="1" ht="18" x14ac:dyDescent="0.25">
      <c r="A131" s="736"/>
      <c r="B131" s="717" t="s">
        <v>363</v>
      </c>
      <c r="C131" s="777"/>
      <c r="D131" s="101">
        <v>345000</v>
      </c>
      <c r="E131" s="747"/>
      <c r="F131" s="747"/>
      <c r="G131" s="747"/>
      <c r="H131" s="747">
        <f t="shared" si="3"/>
        <v>345000</v>
      </c>
      <c r="J131" s="754"/>
    </row>
    <row r="132" spans="1:10" s="179" customFormat="1" ht="18" x14ac:dyDescent="0.25">
      <c r="A132" s="736"/>
      <c r="B132" s="717" t="s">
        <v>207</v>
      </c>
      <c r="C132" s="777"/>
      <c r="D132" s="101">
        <v>20000</v>
      </c>
      <c r="E132" s="747"/>
      <c r="F132" s="747"/>
      <c r="G132" s="747"/>
      <c r="H132" s="747">
        <f t="shared" si="3"/>
        <v>20000</v>
      </c>
      <c r="J132" s="754"/>
    </row>
    <row r="133" spans="1:10" s="179" customFormat="1" ht="37.5" customHeight="1" x14ac:dyDescent="0.25">
      <c r="A133" s="736"/>
      <c r="B133" s="962" t="s">
        <v>1520</v>
      </c>
      <c r="C133" s="777"/>
      <c r="D133" s="101">
        <v>180000</v>
      </c>
      <c r="E133" s="747"/>
      <c r="F133" s="747"/>
      <c r="G133" s="747"/>
      <c r="H133" s="747">
        <f t="shared" si="3"/>
        <v>180000</v>
      </c>
      <c r="J133" s="754"/>
    </row>
    <row r="134" spans="1:10" s="179" customFormat="1" ht="58.5" customHeight="1" x14ac:dyDescent="0.25">
      <c r="A134" s="736"/>
      <c r="B134" s="962" t="s">
        <v>1521</v>
      </c>
      <c r="C134" s="777"/>
      <c r="D134" s="101">
        <v>40000</v>
      </c>
      <c r="E134" s="747"/>
      <c r="F134" s="747"/>
      <c r="G134" s="747"/>
      <c r="H134" s="747">
        <f t="shared" si="3"/>
        <v>40000</v>
      </c>
      <c r="J134" s="754"/>
    </row>
    <row r="135" spans="1:10" s="179" customFormat="1" ht="57" customHeight="1" x14ac:dyDescent="0.25">
      <c r="A135" s="736"/>
      <c r="B135" s="962" t="s">
        <v>1522</v>
      </c>
      <c r="C135" s="777"/>
      <c r="D135" s="101">
        <v>80000</v>
      </c>
      <c r="E135" s="747"/>
      <c r="F135" s="747"/>
      <c r="G135" s="747"/>
      <c r="H135" s="747">
        <f t="shared" si="3"/>
        <v>80000</v>
      </c>
      <c r="J135" s="754"/>
    </row>
    <row r="136" spans="1:10" s="179" customFormat="1" ht="18" x14ac:dyDescent="0.25">
      <c r="A136" s="736"/>
      <c r="B136" s="652" t="s">
        <v>1498</v>
      </c>
      <c r="C136" s="777"/>
      <c r="D136" s="101">
        <v>52800</v>
      </c>
      <c r="E136" s="747"/>
      <c r="F136" s="747"/>
      <c r="G136" s="747"/>
      <c r="H136" s="747">
        <f t="shared" si="3"/>
        <v>52800</v>
      </c>
      <c r="J136" s="754"/>
    </row>
    <row r="137" spans="1:10" s="179" customFormat="1" ht="37.5" customHeight="1" x14ac:dyDescent="0.25">
      <c r="A137" s="736"/>
      <c r="B137" s="963" t="s">
        <v>1446</v>
      </c>
      <c r="C137" s="777"/>
      <c r="D137" s="101">
        <v>45000</v>
      </c>
      <c r="E137" s="747"/>
      <c r="F137" s="747"/>
      <c r="G137" s="747"/>
      <c r="H137" s="747">
        <f t="shared" si="3"/>
        <v>45000</v>
      </c>
      <c r="J137" s="754"/>
    </row>
    <row r="138" spans="1:10" s="179" customFormat="1" ht="18" x14ac:dyDescent="0.25">
      <c r="A138" s="736"/>
      <c r="B138" s="652" t="s">
        <v>1447</v>
      </c>
      <c r="C138" s="777"/>
      <c r="D138" s="101">
        <v>65000</v>
      </c>
      <c r="E138" s="747"/>
      <c r="F138" s="747"/>
      <c r="G138" s="747"/>
      <c r="H138" s="747">
        <f t="shared" si="3"/>
        <v>65000</v>
      </c>
      <c r="J138" s="754"/>
    </row>
    <row r="139" spans="1:10" s="179" customFormat="1" ht="18" x14ac:dyDescent="0.25">
      <c r="A139" s="736"/>
      <c r="B139" s="652" t="s">
        <v>263</v>
      </c>
      <c r="C139" s="777"/>
      <c r="D139" s="101">
        <v>195600</v>
      </c>
      <c r="E139" s="747"/>
      <c r="F139" s="747"/>
      <c r="G139" s="747"/>
      <c r="H139" s="747">
        <f t="shared" si="3"/>
        <v>195600</v>
      </c>
      <c r="J139" s="754"/>
    </row>
    <row r="140" spans="1:10" s="179" customFormat="1" ht="18" x14ac:dyDescent="0.25">
      <c r="A140" s="736"/>
      <c r="B140" s="652" t="s">
        <v>204</v>
      </c>
      <c r="C140" s="777"/>
      <c r="D140" s="101">
        <v>110000</v>
      </c>
      <c r="E140" s="747"/>
      <c r="F140" s="747"/>
      <c r="G140" s="747"/>
      <c r="H140" s="747">
        <f t="shared" si="3"/>
        <v>110000</v>
      </c>
      <c r="J140" s="754"/>
    </row>
    <row r="141" spans="1:10" s="179" customFormat="1" ht="18" x14ac:dyDescent="0.25">
      <c r="A141" s="736"/>
      <c r="B141" s="967" t="s">
        <v>252</v>
      </c>
      <c r="C141" s="777"/>
      <c r="D141" s="101">
        <v>110000</v>
      </c>
      <c r="E141" s="747"/>
      <c r="F141" s="747"/>
      <c r="G141" s="747"/>
      <c r="H141" s="747">
        <f t="shared" si="3"/>
        <v>110000</v>
      </c>
      <c r="J141" s="754"/>
    </row>
    <row r="142" spans="1:10" s="179" customFormat="1" ht="18" x14ac:dyDescent="0.25">
      <c r="A142" s="736"/>
      <c r="B142" s="967" t="s">
        <v>263</v>
      </c>
      <c r="C142" s="777"/>
      <c r="D142" s="102">
        <v>220000</v>
      </c>
      <c r="E142" s="747"/>
      <c r="F142" s="747"/>
      <c r="G142" s="747"/>
      <c r="H142" s="747">
        <f t="shared" si="3"/>
        <v>220000</v>
      </c>
      <c r="J142" s="754"/>
    </row>
    <row r="143" spans="1:10" s="179" customFormat="1" ht="18" x14ac:dyDescent="0.25">
      <c r="A143" s="736"/>
      <c r="B143" s="967" t="s">
        <v>263</v>
      </c>
      <c r="C143" s="777"/>
      <c r="D143" s="102">
        <v>160000</v>
      </c>
      <c r="E143" s="747"/>
      <c r="F143" s="747"/>
      <c r="G143" s="747"/>
      <c r="H143" s="747">
        <f t="shared" si="3"/>
        <v>160000</v>
      </c>
      <c r="J143" s="754"/>
    </row>
    <row r="144" spans="1:10" s="179" customFormat="1" ht="18" x14ac:dyDescent="0.25">
      <c r="A144" s="736"/>
      <c r="B144" s="180" t="s">
        <v>344</v>
      </c>
      <c r="C144" s="777"/>
      <c r="D144" s="102">
        <v>295000</v>
      </c>
      <c r="E144" s="747"/>
      <c r="F144" s="747"/>
      <c r="G144" s="747"/>
      <c r="H144" s="747">
        <f t="shared" si="3"/>
        <v>295000</v>
      </c>
      <c r="J144" s="754"/>
    </row>
    <row r="145" spans="1:10" s="179" customFormat="1" ht="18" x14ac:dyDescent="0.25">
      <c r="A145" s="736"/>
      <c r="B145" s="967" t="s">
        <v>350</v>
      </c>
      <c r="C145" s="777"/>
      <c r="D145" s="102">
        <v>220000</v>
      </c>
      <c r="E145" s="747"/>
      <c r="F145" s="747"/>
      <c r="G145" s="747"/>
      <c r="H145" s="747">
        <f t="shared" si="3"/>
        <v>220000</v>
      </c>
      <c r="J145" s="754"/>
    </row>
    <row r="146" spans="1:10" s="179" customFormat="1" ht="18" x14ac:dyDescent="0.25">
      <c r="A146" s="736"/>
      <c r="B146" s="967" t="s">
        <v>361</v>
      </c>
      <c r="C146" s="777"/>
      <c r="D146" s="101">
        <v>400000</v>
      </c>
      <c r="E146" s="747"/>
      <c r="F146" s="747"/>
      <c r="G146" s="747"/>
      <c r="H146" s="747">
        <f t="shared" si="3"/>
        <v>400000</v>
      </c>
      <c r="J146" s="754"/>
    </row>
    <row r="147" spans="1:10" s="179" customFormat="1" ht="18" x14ac:dyDescent="0.25">
      <c r="A147" s="736"/>
      <c r="B147" s="967" t="s">
        <v>444</v>
      </c>
      <c r="C147" s="777"/>
      <c r="D147" s="101">
        <v>240000</v>
      </c>
      <c r="E147" s="747"/>
      <c r="F147" s="747"/>
      <c r="G147" s="747"/>
      <c r="H147" s="747">
        <f t="shared" si="3"/>
        <v>240000</v>
      </c>
      <c r="J147" s="754"/>
    </row>
    <row r="148" spans="1:10" s="179" customFormat="1" ht="18" x14ac:dyDescent="0.25">
      <c r="A148" s="736"/>
      <c r="B148" s="652" t="s">
        <v>444</v>
      </c>
      <c r="C148" s="777"/>
      <c r="D148" s="101">
        <v>240000</v>
      </c>
      <c r="E148" s="747"/>
      <c r="F148" s="747"/>
      <c r="G148" s="747"/>
      <c r="H148" s="747">
        <f t="shared" si="3"/>
        <v>240000</v>
      </c>
      <c r="J148" s="754"/>
    </row>
    <row r="149" spans="1:10" s="179" customFormat="1" ht="18" x14ac:dyDescent="0.25">
      <c r="A149" s="736"/>
      <c r="B149" s="967" t="s">
        <v>263</v>
      </c>
      <c r="C149" s="777"/>
      <c r="D149" s="102">
        <v>160000</v>
      </c>
      <c r="E149" s="747"/>
      <c r="F149" s="747"/>
      <c r="G149" s="747"/>
      <c r="H149" s="747">
        <f t="shared" ref="H149:H190" si="4">SUM(D149:G149)</f>
        <v>160000</v>
      </c>
      <c r="J149" s="754"/>
    </row>
    <row r="150" spans="1:10" s="179" customFormat="1" ht="18" x14ac:dyDescent="0.25">
      <c r="A150" s="736"/>
      <c r="B150" s="998" t="s">
        <v>259</v>
      </c>
      <c r="C150" s="777"/>
      <c r="D150" s="101">
        <v>20000</v>
      </c>
      <c r="E150" s="747"/>
      <c r="F150" s="747"/>
      <c r="G150" s="747"/>
      <c r="H150" s="747">
        <f t="shared" si="4"/>
        <v>20000</v>
      </c>
      <c r="J150" s="754"/>
    </row>
    <row r="151" spans="1:10" s="179" customFormat="1" ht="18" x14ac:dyDescent="0.25">
      <c r="A151" s="736"/>
      <c r="B151" s="652" t="s">
        <v>325</v>
      </c>
      <c r="C151" s="777"/>
      <c r="D151" s="102">
        <v>400000</v>
      </c>
      <c r="E151" s="747"/>
      <c r="F151" s="747"/>
      <c r="G151" s="747"/>
      <c r="H151" s="747">
        <f t="shared" si="4"/>
        <v>400000</v>
      </c>
      <c r="J151" s="754"/>
    </row>
    <row r="152" spans="1:10" s="179" customFormat="1" ht="36" x14ac:dyDescent="0.25">
      <c r="A152" s="736"/>
      <c r="B152" s="962" t="s">
        <v>261</v>
      </c>
      <c r="C152" s="777"/>
      <c r="D152" s="101">
        <v>25000</v>
      </c>
      <c r="E152" s="747"/>
      <c r="F152" s="747"/>
      <c r="G152" s="747"/>
      <c r="H152" s="747">
        <f t="shared" si="4"/>
        <v>25000</v>
      </c>
      <c r="J152" s="754"/>
    </row>
    <row r="153" spans="1:10" s="179" customFormat="1" ht="18.75" thickBot="1" x14ac:dyDescent="0.3">
      <c r="A153" s="989"/>
      <c r="B153" s="999" t="s">
        <v>262</v>
      </c>
      <c r="C153" s="996"/>
      <c r="D153" s="219">
        <v>20000</v>
      </c>
      <c r="E153" s="993"/>
      <c r="F153" s="993"/>
      <c r="G153" s="993"/>
      <c r="H153" s="993">
        <f t="shared" si="4"/>
        <v>20000</v>
      </c>
      <c r="J153" s="754"/>
    </row>
    <row r="154" spans="1:10" s="179" customFormat="1" ht="36" x14ac:dyDescent="0.25">
      <c r="A154" s="736"/>
      <c r="B154" s="962" t="s">
        <v>205</v>
      </c>
      <c r="C154" s="777"/>
      <c r="D154" s="101">
        <v>32000</v>
      </c>
      <c r="E154" s="747"/>
      <c r="F154" s="747"/>
      <c r="G154" s="747"/>
      <c r="H154" s="747">
        <f t="shared" si="4"/>
        <v>32000</v>
      </c>
      <c r="J154" s="754"/>
    </row>
    <row r="155" spans="1:10" s="179" customFormat="1" ht="54" x14ac:dyDescent="0.25">
      <c r="A155" s="736"/>
      <c r="B155" s="966" t="s">
        <v>251</v>
      </c>
      <c r="C155" s="777"/>
      <c r="D155" s="101">
        <v>16000</v>
      </c>
      <c r="E155" s="747"/>
      <c r="F155" s="747"/>
      <c r="G155" s="747"/>
      <c r="H155" s="747">
        <f t="shared" si="4"/>
        <v>16000</v>
      </c>
      <c r="J155" s="754"/>
    </row>
    <row r="156" spans="1:10" s="179" customFormat="1" ht="54" x14ac:dyDescent="0.25">
      <c r="A156" s="736"/>
      <c r="B156" s="965" t="s">
        <v>346</v>
      </c>
      <c r="C156" s="777"/>
      <c r="D156" s="102">
        <v>30000</v>
      </c>
      <c r="E156" s="747"/>
      <c r="F156" s="747"/>
      <c r="G156" s="747"/>
      <c r="H156" s="747">
        <f t="shared" si="4"/>
        <v>30000</v>
      </c>
      <c r="J156" s="754"/>
    </row>
    <row r="157" spans="1:10" s="179" customFormat="1" ht="36" x14ac:dyDescent="0.25">
      <c r="A157" s="736"/>
      <c r="B157" s="965" t="s">
        <v>362</v>
      </c>
      <c r="C157" s="777"/>
      <c r="D157" s="101">
        <v>35200</v>
      </c>
      <c r="E157" s="747"/>
      <c r="F157" s="747"/>
      <c r="G157" s="747"/>
      <c r="H157" s="747">
        <f t="shared" si="4"/>
        <v>35200</v>
      </c>
      <c r="J157" s="754"/>
    </row>
    <row r="158" spans="1:10" s="179" customFormat="1" ht="18" x14ac:dyDescent="0.25">
      <c r="A158" s="736"/>
      <c r="B158" s="997" t="s">
        <v>219</v>
      </c>
      <c r="C158" s="777"/>
      <c r="D158" s="101">
        <v>200000</v>
      </c>
      <c r="E158" s="747"/>
      <c r="F158" s="747"/>
      <c r="G158" s="747"/>
      <c r="H158" s="747">
        <f t="shared" si="4"/>
        <v>200000</v>
      </c>
      <c r="J158" s="754"/>
    </row>
    <row r="159" spans="1:10" s="179" customFormat="1" ht="36" x14ac:dyDescent="0.25">
      <c r="A159" s="736"/>
      <c r="B159" s="966" t="s">
        <v>257</v>
      </c>
      <c r="C159" s="777"/>
      <c r="D159" s="101">
        <v>51200</v>
      </c>
      <c r="E159" s="747"/>
      <c r="F159" s="747"/>
      <c r="G159" s="747"/>
      <c r="H159" s="747">
        <f t="shared" si="4"/>
        <v>51200</v>
      </c>
      <c r="J159" s="754"/>
    </row>
    <row r="160" spans="1:10" s="179" customFormat="1" ht="18" x14ac:dyDescent="0.25">
      <c r="A160" s="736"/>
      <c r="B160" s="717" t="s">
        <v>445</v>
      </c>
      <c r="C160" s="777"/>
      <c r="D160" s="101">
        <v>20000</v>
      </c>
      <c r="E160" s="747"/>
      <c r="F160" s="747"/>
      <c r="G160" s="747"/>
      <c r="H160" s="747">
        <f t="shared" si="4"/>
        <v>20000</v>
      </c>
      <c r="J160" s="754"/>
    </row>
    <row r="161" spans="1:10" s="179" customFormat="1" ht="18" x14ac:dyDescent="0.25">
      <c r="A161" s="736"/>
      <c r="B161" s="967" t="s">
        <v>244</v>
      </c>
      <c r="C161" s="777"/>
      <c r="D161" s="101">
        <v>40000</v>
      </c>
      <c r="E161" s="747"/>
      <c r="F161" s="747"/>
      <c r="G161" s="747"/>
      <c r="H161" s="747">
        <f t="shared" si="4"/>
        <v>40000</v>
      </c>
      <c r="J161" s="754"/>
    </row>
    <row r="162" spans="1:10" s="179" customFormat="1" ht="18" x14ac:dyDescent="0.25">
      <c r="A162" s="736"/>
      <c r="B162" s="967" t="s">
        <v>333</v>
      </c>
      <c r="C162" s="777"/>
      <c r="D162" s="102">
        <v>40000</v>
      </c>
      <c r="E162" s="747"/>
      <c r="F162" s="747"/>
      <c r="G162" s="747"/>
      <c r="H162" s="747">
        <f t="shared" si="4"/>
        <v>40000</v>
      </c>
      <c r="J162" s="754"/>
    </row>
    <row r="163" spans="1:10" s="179" customFormat="1" ht="36" x14ac:dyDescent="0.25">
      <c r="A163" s="736"/>
      <c r="B163" s="964" t="s">
        <v>345</v>
      </c>
      <c r="C163" s="777"/>
      <c r="D163" s="102">
        <v>40000</v>
      </c>
      <c r="E163" s="747"/>
      <c r="F163" s="747"/>
      <c r="G163" s="747"/>
      <c r="H163" s="747">
        <f t="shared" si="4"/>
        <v>40000</v>
      </c>
      <c r="J163" s="754"/>
    </row>
    <row r="164" spans="1:10" s="179" customFormat="1" ht="36" x14ac:dyDescent="0.25">
      <c r="A164" s="736"/>
      <c r="B164" s="965" t="s">
        <v>458</v>
      </c>
      <c r="C164" s="777"/>
      <c r="D164" s="102">
        <v>40000</v>
      </c>
      <c r="E164" s="747"/>
      <c r="F164" s="747"/>
      <c r="G164" s="747"/>
      <c r="H164" s="747">
        <f t="shared" si="4"/>
        <v>40000</v>
      </c>
      <c r="J164" s="754"/>
    </row>
    <row r="165" spans="1:10" s="179" customFormat="1" ht="18" x14ac:dyDescent="0.25">
      <c r="A165" s="736"/>
      <c r="B165" s="997" t="s">
        <v>221</v>
      </c>
      <c r="C165" s="777"/>
      <c r="D165" s="101">
        <v>120000</v>
      </c>
      <c r="E165" s="747"/>
      <c r="F165" s="747"/>
      <c r="G165" s="747"/>
      <c r="H165" s="747">
        <f t="shared" si="4"/>
        <v>120000</v>
      </c>
      <c r="J165" s="754"/>
    </row>
    <row r="166" spans="1:10" s="179" customFormat="1" ht="36" x14ac:dyDescent="0.25">
      <c r="A166" s="736"/>
      <c r="B166" s="963" t="s">
        <v>360</v>
      </c>
      <c r="C166" s="777"/>
      <c r="D166" s="101">
        <v>41600</v>
      </c>
      <c r="E166" s="747"/>
      <c r="F166" s="747"/>
      <c r="G166" s="747"/>
      <c r="H166" s="747">
        <f t="shared" si="4"/>
        <v>41600</v>
      </c>
      <c r="J166" s="754"/>
    </row>
    <row r="167" spans="1:10" s="179" customFormat="1" ht="18" x14ac:dyDescent="0.25">
      <c r="A167" s="736"/>
      <c r="B167" s="652" t="s">
        <v>447</v>
      </c>
      <c r="C167" s="777"/>
      <c r="D167" s="101">
        <v>145600</v>
      </c>
      <c r="E167" s="747"/>
      <c r="F167" s="747"/>
      <c r="G167" s="747"/>
      <c r="H167" s="747">
        <f t="shared" si="4"/>
        <v>145600</v>
      </c>
      <c r="J167" s="754"/>
    </row>
    <row r="168" spans="1:10" s="179" customFormat="1" ht="18" x14ac:dyDescent="0.25">
      <c r="A168" s="736"/>
      <c r="B168" s="652" t="s">
        <v>1448</v>
      </c>
      <c r="C168" s="777"/>
      <c r="D168" s="101">
        <v>350000</v>
      </c>
      <c r="E168" s="747"/>
      <c r="F168" s="747"/>
      <c r="G168" s="747"/>
      <c r="H168" s="747">
        <f t="shared" si="4"/>
        <v>350000</v>
      </c>
      <c r="J168" s="754"/>
    </row>
    <row r="169" spans="1:10" s="179" customFormat="1" ht="36" x14ac:dyDescent="0.25">
      <c r="A169" s="736"/>
      <c r="B169" s="963" t="s">
        <v>332</v>
      </c>
      <c r="C169" s="777"/>
      <c r="D169" s="101">
        <v>300000</v>
      </c>
      <c r="E169" s="747"/>
      <c r="F169" s="747"/>
      <c r="G169" s="747"/>
      <c r="H169" s="747">
        <f t="shared" si="4"/>
        <v>300000</v>
      </c>
      <c r="J169" s="754"/>
    </row>
    <row r="170" spans="1:10" s="179" customFormat="1" ht="36" x14ac:dyDescent="0.25">
      <c r="A170" s="736"/>
      <c r="B170" s="966" t="s">
        <v>258</v>
      </c>
      <c r="C170" s="777"/>
      <c r="D170" s="101">
        <v>26000</v>
      </c>
      <c r="E170" s="747"/>
      <c r="F170" s="747"/>
      <c r="G170" s="747"/>
      <c r="H170" s="747">
        <f t="shared" si="4"/>
        <v>26000</v>
      </c>
      <c r="J170" s="754"/>
    </row>
    <row r="171" spans="1:10" s="179" customFormat="1" ht="36" x14ac:dyDescent="0.25">
      <c r="A171" s="736"/>
      <c r="B171" s="965" t="s">
        <v>254</v>
      </c>
      <c r="C171" s="777"/>
      <c r="D171" s="101">
        <v>29200</v>
      </c>
      <c r="E171" s="747"/>
      <c r="F171" s="747"/>
      <c r="G171" s="747"/>
      <c r="H171" s="747">
        <f t="shared" si="4"/>
        <v>29200</v>
      </c>
      <c r="J171" s="754"/>
    </row>
    <row r="172" spans="1:10" s="179" customFormat="1" ht="18" x14ac:dyDescent="0.25">
      <c r="A172" s="736"/>
      <c r="B172" s="997" t="s">
        <v>359</v>
      </c>
      <c r="C172" s="777"/>
      <c r="D172" s="101">
        <v>95000</v>
      </c>
      <c r="E172" s="747"/>
      <c r="F172" s="747"/>
      <c r="G172" s="747"/>
      <c r="H172" s="747">
        <f t="shared" si="4"/>
        <v>95000</v>
      </c>
      <c r="J172" s="754"/>
    </row>
    <row r="173" spans="1:10" s="179" customFormat="1" ht="18" x14ac:dyDescent="0.25">
      <c r="A173" s="736"/>
      <c r="B173" s="717" t="s">
        <v>260</v>
      </c>
      <c r="C173" s="777"/>
      <c r="D173" s="101">
        <v>48000</v>
      </c>
      <c r="E173" s="747"/>
      <c r="F173" s="747"/>
      <c r="G173" s="747"/>
      <c r="H173" s="747">
        <f t="shared" si="4"/>
        <v>48000</v>
      </c>
      <c r="J173" s="754"/>
    </row>
    <row r="174" spans="1:10" s="179" customFormat="1" ht="36" x14ac:dyDescent="0.25">
      <c r="A174" s="736"/>
      <c r="B174" s="966" t="s">
        <v>1449</v>
      </c>
      <c r="C174" s="777"/>
      <c r="D174" s="101">
        <v>330000</v>
      </c>
      <c r="E174" s="747"/>
      <c r="F174" s="747"/>
      <c r="G174" s="747"/>
      <c r="H174" s="747">
        <f t="shared" si="4"/>
        <v>330000</v>
      </c>
      <c r="J174" s="754"/>
    </row>
    <row r="175" spans="1:10" ht="18" x14ac:dyDescent="0.25">
      <c r="A175" s="723"/>
      <c r="B175" s="618" t="s">
        <v>1450</v>
      </c>
      <c r="C175" s="775"/>
      <c r="D175" s="101">
        <v>55000</v>
      </c>
      <c r="E175" s="732"/>
      <c r="F175" s="732"/>
      <c r="G175" s="732"/>
      <c r="H175" s="732">
        <f t="shared" si="4"/>
        <v>55000</v>
      </c>
    </row>
    <row r="176" spans="1:10" s="179" customFormat="1" ht="36" x14ac:dyDescent="0.25">
      <c r="A176" s="736"/>
      <c r="B176" s="620" t="s">
        <v>1451</v>
      </c>
      <c r="C176" s="777"/>
      <c r="D176" s="101">
        <v>180000</v>
      </c>
      <c r="E176" s="747"/>
      <c r="F176" s="747"/>
      <c r="G176" s="747"/>
      <c r="H176" s="747">
        <f t="shared" si="4"/>
        <v>180000</v>
      </c>
      <c r="J176" s="754"/>
    </row>
    <row r="177" spans="1:10" s="179" customFormat="1" ht="36" x14ac:dyDescent="0.25">
      <c r="A177" s="736"/>
      <c r="B177" s="966" t="s">
        <v>484</v>
      </c>
      <c r="C177" s="777"/>
      <c r="D177" s="747"/>
      <c r="E177" s="102">
        <v>17850</v>
      </c>
      <c r="F177" s="747"/>
      <c r="G177" s="747"/>
      <c r="H177" s="747">
        <f t="shared" si="4"/>
        <v>17850</v>
      </c>
      <c r="J177" s="754"/>
    </row>
    <row r="178" spans="1:10" s="179" customFormat="1" ht="36" x14ac:dyDescent="0.25">
      <c r="A178" s="736"/>
      <c r="B178" s="966" t="s">
        <v>480</v>
      </c>
      <c r="C178" s="777"/>
      <c r="D178" s="747"/>
      <c r="E178" s="102">
        <v>19000</v>
      </c>
      <c r="F178" s="747"/>
      <c r="G178" s="747"/>
      <c r="H178" s="747">
        <f t="shared" si="4"/>
        <v>19000</v>
      </c>
      <c r="J178" s="754"/>
    </row>
    <row r="179" spans="1:10" s="179" customFormat="1" ht="36" x14ac:dyDescent="0.25">
      <c r="A179" s="736"/>
      <c r="B179" s="966" t="s">
        <v>481</v>
      </c>
      <c r="C179" s="777"/>
      <c r="D179" s="747"/>
      <c r="E179" s="102">
        <v>15300</v>
      </c>
      <c r="F179" s="747"/>
      <c r="G179" s="747"/>
      <c r="H179" s="747">
        <f t="shared" si="4"/>
        <v>15300</v>
      </c>
      <c r="J179" s="754"/>
    </row>
    <row r="180" spans="1:10" ht="18" x14ac:dyDescent="0.25">
      <c r="A180" s="723"/>
      <c r="B180" s="637" t="s">
        <v>229</v>
      </c>
      <c r="C180" s="775"/>
      <c r="D180" s="732"/>
      <c r="E180" s="102">
        <v>50000</v>
      </c>
      <c r="F180" s="732"/>
      <c r="G180" s="732"/>
      <c r="H180" s="732">
        <f t="shared" si="4"/>
        <v>50000</v>
      </c>
    </row>
    <row r="181" spans="1:10" ht="18" x14ac:dyDescent="0.25">
      <c r="A181" s="723"/>
      <c r="B181" s="637" t="s">
        <v>477</v>
      </c>
      <c r="C181" s="775"/>
      <c r="D181" s="732"/>
      <c r="E181" s="102">
        <v>375000</v>
      </c>
      <c r="F181" s="732"/>
      <c r="G181" s="732"/>
      <c r="H181" s="732">
        <f t="shared" si="4"/>
        <v>375000</v>
      </c>
    </row>
    <row r="182" spans="1:10" ht="18" x14ac:dyDescent="0.25">
      <c r="A182" s="723"/>
      <c r="B182" s="637" t="s">
        <v>516</v>
      </c>
      <c r="C182" s="775"/>
      <c r="D182" s="732"/>
      <c r="E182" s="102">
        <v>150000</v>
      </c>
      <c r="F182" s="732"/>
      <c r="G182" s="732"/>
      <c r="H182" s="732">
        <f t="shared" si="4"/>
        <v>150000</v>
      </c>
    </row>
    <row r="183" spans="1:10" ht="18" x14ac:dyDescent="0.25">
      <c r="A183" s="723"/>
      <c r="B183" s="744" t="s">
        <v>230</v>
      </c>
      <c r="C183" s="775"/>
      <c r="D183" s="732"/>
      <c r="E183" s="101">
        <v>160000</v>
      </c>
      <c r="F183" s="732"/>
      <c r="G183" s="732"/>
      <c r="H183" s="732">
        <f t="shared" si="4"/>
        <v>160000</v>
      </c>
    </row>
    <row r="184" spans="1:10" ht="18" x14ac:dyDescent="0.25">
      <c r="A184" s="723"/>
      <c r="B184" s="637" t="s">
        <v>478</v>
      </c>
      <c r="C184" s="775"/>
      <c r="D184" s="732"/>
      <c r="E184" s="102">
        <v>480000</v>
      </c>
      <c r="F184" s="732"/>
      <c r="G184" s="732"/>
      <c r="H184" s="732">
        <f t="shared" si="4"/>
        <v>480000</v>
      </c>
    </row>
    <row r="185" spans="1:10" s="179" customFormat="1" ht="54" x14ac:dyDescent="0.25">
      <c r="A185" s="736"/>
      <c r="B185" s="965" t="s">
        <v>476</v>
      </c>
      <c r="C185" s="777"/>
      <c r="D185" s="747"/>
      <c r="E185" s="102">
        <v>80000</v>
      </c>
      <c r="F185" s="747"/>
      <c r="G185" s="747"/>
      <c r="H185" s="747">
        <f t="shared" si="4"/>
        <v>80000</v>
      </c>
      <c r="J185" s="754"/>
    </row>
    <row r="186" spans="1:10" s="179" customFormat="1" ht="36" x14ac:dyDescent="0.25">
      <c r="A186" s="736"/>
      <c r="B186" s="965" t="s">
        <v>515</v>
      </c>
      <c r="C186" s="777"/>
      <c r="D186" s="747"/>
      <c r="E186" s="102">
        <v>30000</v>
      </c>
      <c r="F186" s="747"/>
      <c r="G186" s="747"/>
      <c r="H186" s="747">
        <f t="shared" si="4"/>
        <v>30000</v>
      </c>
      <c r="J186" s="754"/>
    </row>
    <row r="187" spans="1:10" s="179" customFormat="1" ht="18" x14ac:dyDescent="0.25">
      <c r="A187" s="736"/>
      <c r="B187" s="717" t="s">
        <v>479</v>
      </c>
      <c r="C187" s="777"/>
      <c r="D187" s="747"/>
      <c r="E187" s="102">
        <v>60000</v>
      </c>
      <c r="F187" s="747"/>
      <c r="G187" s="747"/>
      <c r="H187" s="747">
        <f t="shared" si="4"/>
        <v>60000</v>
      </c>
      <c r="J187" s="754"/>
    </row>
    <row r="188" spans="1:10" s="179" customFormat="1" ht="36" x14ac:dyDescent="0.25">
      <c r="A188" s="736"/>
      <c r="B188" s="966" t="s">
        <v>482</v>
      </c>
      <c r="C188" s="777"/>
      <c r="D188" s="747"/>
      <c r="E188" s="102">
        <v>30000</v>
      </c>
      <c r="F188" s="747"/>
      <c r="G188" s="747"/>
      <c r="H188" s="747">
        <f t="shared" si="4"/>
        <v>30000</v>
      </c>
      <c r="J188" s="754"/>
    </row>
    <row r="189" spans="1:10" s="179" customFormat="1" ht="18" x14ac:dyDescent="0.25">
      <c r="A189" s="736"/>
      <c r="B189" s="717" t="s">
        <v>485</v>
      </c>
      <c r="C189" s="777"/>
      <c r="D189" s="747"/>
      <c r="E189" s="102">
        <v>36000</v>
      </c>
      <c r="F189" s="747"/>
      <c r="G189" s="747"/>
      <c r="H189" s="747">
        <f t="shared" si="4"/>
        <v>36000</v>
      </c>
      <c r="J189" s="754"/>
    </row>
    <row r="190" spans="1:10" s="179" customFormat="1" ht="36" x14ac:dyDescent="0.25">
      <c r="A190" s="736"/>
      <c r="B190" s="966" t="s">
        <v>483</v>
      </c>
      <c r="C190" s="777"/>
      <c r="D190" s="747"/>
      <c r="E190" s="102">
        <v>25000</v>
      </c>
      <c r="F190" s="747"/>
      <c r="G190" s="747"/>
      <c r="H190" s="747">
        <f t="shared" si="4"/>
        <v>25000</v>
      </c>
      <c r="J190" s="754"/>
    </row>
    <row r="191" spans="1:10" s="281" customFormat="1" ht="24.75" customHeight="1" x14ac:dyDescent="0.25">
      <c r="A191" s="729"/>
      <c r="B191" s="730" t="s">
        <v>1452</v>
      </c>
      <c r="C191" s="778"/>
      <c r="D191" s="735">
        <f>SUM(D77:D190)</f>
        <v>8229500</v>
      </c>
      <c r="E191" s="735">
        <f>SUM(E77:E190)</f>
        <v>1528150</v>
      </c>
      <c r="F191" s="735">
        <f>SUM(F77:F190)</f>
        <v>8047800</v>
      </c>
      <c r="G191" s="735">
        <f>SUM(G77:G190)</f>
        <v>0</v>
      </c>
      <c r="H191" s="735">
        <f>SUM(D191:G191)</f>
        <v>17805450</v>
      </c>
      <c r="J191" s="485">
        <v>16400650</v>
      </c>
    </row>
    <row r="192" spans="1:10" x14ac:dyDescent="0.25">
      <c r="A192" s="723"/>
      <c r="B192" s="725"/>
      <c r="C192" s="775"/>
      <c r="D192" s="732"/>
      <c r="E192" s="732"/>
      <c r="F192" s="732"/>
      <c r="G192" s="732"/>
      <c r="H192" s="732"/>
      <c r="J192" s="484">
        <v>573500</v>
      </c>
    </row>
    <row r="193" spans="1:10" x14ac:dyDescent="0.25">
      <c r="A193" s="723"/>
      <c r="B193" s="725"/>
      <c r="C193" s="775"/>
      <c r="D193" s="732"/>
      <c r="E193" s="732"/>
      <c r="F193" s="732"/>
      <c r="G193" s="732"/>
      <c r="H193" s="732"/>
    </row>
    <row r="194" spans="1:10" x14ac:dyDescent="0.25">
      <c r="A194" s="723"/>
      <c r="B194" s="725"/>
      <c r="C194" s="775"/>
      <c r="D194" s="732"/>
      <c r="E194" s="732"/>
      <c r="F194" s="732"/>
      <c r="G194" s="732"/>
      <c r="H194" s="732"/>
    </row>
    <row r="195" spans="1:10" ht="16.5" thickBot="1" x14ac:dyDescent="0.3">
      <c r="A195" s="724"/>
      <c r="B195" s="1000"/>
      <c r="C195" s="983"/>
      <c r="D195" s="733"/>
      <c r="E195" s="733"/>
      <c r="F195" s="733"/>
      <c r="G195" s="733"/>
      <c r="H195" s="733"/>
    </row>
    <row r="196" spans="1:10" x14ac:dyDescent="0.25">
      <c r="A196" s="723"/>
      <c r="B196" s="725"/>
      <c r="C196" s="775"/>
      <c r="D196" s="732"/>
      <c r="E196" s="732"/>
      <c r="F196" s="732"/>
      <c r="G196" s="732"/>
      <c r="H196" s="732"/>
    </row>
    <row r="197" spans="1:10" x14ac:dyDescent="0.25">
      <c r="A197" s="729"/>
      <c r="B197" s="730" t="s">
        <v>1453</v>
      </c>
      <c r="C197" s="778"/>
      <c r="D197" s="748"/>
      <c r="E197" s="748"/>
      <c r="F197" s="748"/>
      <c r="G197" s="748"/>
      <c r="H197" s="748"/>
      <c r="J197" s="484">
        <f>SUM(J191:J192)</f>
        <v>16974150</v>
      </c>
    </row>
    <row r="198" spans="1:10" s="281" customFormat="1" ht="18" x14ac:dyDescent="0.25">
      <c r="A198" s="723"/>
      <c r="B198" s="984" t="s">
        <v>13</v>
      </c>
      <c r="C198" s="775"/>
      <c r="D198" s="732"/>
      <c r="E198" s="732">
        <v>30000000</v>
      </c>
      <c r="F198" s="732">
        <v>118261034.8</v>
      </c>
      <c r="G198" s="732"/>
      <c r="H198" s="732">
        <f t="shared" ref="H198:H209" si="5">SUM(D198:G198)</f>
        <v>148261034.80000001</v>
      </c>
      <c r="J198" s="485">
        <f>H191-J197</f>
        <v>831300</v>
      </c>
    </row>
    <row r="199" spans="1:10" ht="36" x14ac:dyDescent="0.25">
      <c r="A199" s="723"/>
      <c r="B199" s="984" t="s">
        <v>1454</v>
      </c>
      <c r="C199" s="775"/>
      <c r="D199" s="732">
        <v>42718172.93</v>
      </c>
      <c r="E199" s="732"/>
      <c r="F199" s="732"/>
      <c r="G199" s="732"/>
      <c r="H199" s="732">
        <f t="shared" si="5"/>
        <v>42718172.93</v>
      </c>
      <c r="J199" s="484">
        <v>82761034.799999997</v>
      </c>
    </row>
    <row r="200" spans="1:10" ht="18" x14ac:dyDescent="0.25">
      <c r="A200" s="723"/>
      <c r="B200" s="984" t="s">
        <v>1455</v>
      </c>
      <c r="C200" s="775"/>
      <c r="D200" s="732">
        <v>215000</v>
      </c>
      <c r="E200" s="732"/>
      <c r="F200" s="732"/>
      <c r="G200" s="732"/>
      <c r="H200" s="732">
        <f t="shared" si="5"/>
        <v>215000</v>
      </c>
      <c r="J200" s="484">
        <v>35500000</v>
      </c>
    </row>
    <row r="201" spans="1:10" ht="16.5" thickBot="1" x14ac:dyDescent="0.3">
      <c r="A201" s="749"/>
      <c r="B201" s="750" t="s">
        <v>1458</v>
      </c>
      <c r="C201" s="779"/>
      <c r="D201" s="790">
        <f>SUM(D198:D200)</f>
        <v>42933172.93</v>
      </c>
      <c r="E201" s="790">
        <f>SUM(E198:E200)</f>
        <v>30000000</v>
      </c>
      <c r="F201" s="898">
        <f>SUM(F198:F200)</f>
        <v>118261034.8</v>
      </c>
      <c r="G201" s="790">
        <f>SUM(G198:G200)</f>
        <v>0</v>
      </c>
      <c r="H201" s="790">
        <f>SUM(D201:G201)</f>
        <v>191194207.73000002</v>
      </c>
      <c r="J201" s="484">
        <f>SUM(J199:J200)</f>
        <v>118261034.8</v>
      </c>
    </row>
    <row r="202" spans="1:10" x14ac:dyDescent="0.25">
      <c r="A202" s="729"/>
      <c r="B202" s="730"/>
      <c r="C202" s="778"/>
      <c r="D202" s="748"/>
      <c r="E202" s="748"/>
      <c r="F202" s="897"/>
      <c r="G202" s="748"/>
      <c r="H202" s="748"/>
    </row>
    <row r="203" spans="1:10" s="281" customFormat="1" x14ac:dyDescent="0.25">
      <c r="A203" s="729"/>
      <c r="B203" s="730" t="s">
        <v>1480</v>
      </c>
      <c r="C203" s="778"/>
      <c r="D203" s="748"/>
      <c r="E203" s="748"/>
      <c r="F203" s="748"/>
      <c r="G203" s="748"/>
      <c r="H203" s="732">
        <f t="shared" si="5"/>
        <v>0</v>
      </c>
      <c r="J203" s="485"/>
    </row>
    <row r="204" spans="1:10" ht="18" x14ac:dyDescent="0.25">
      <c r="A204" s="723"/>
      <c r="B204" s="734" t="s">
        <v>1456</v>
      </c>
      <c r="C204" s="775"/>
      <c r="D204" s="732">
        <v>50250334.020000003</v>
      </c>
      <c r="E204" s="732"/>
      <c r="F204" s="732"/>
      <c r="G204" s="732"/>
      <c r="H204" s="732">
        <f t="shared" si="5"/>
        <v>50250334.020000003</v>
      </c>
    </row>
    <row r="205" spans="1:10" s="281" customFormat="1" ht="18" x14ac:dyDescent="0.25">
      <c r="A205" s="723"/>
      <c r="B205" s="734" t="s">
        <v>654</v>
      </c>
      <c r="C205" s="775"/>
      <c r="D205" s="732"/>
      <c r="E205" s="732">
        <v>150990522.68000001</v>
      </c>
      <c r="F205" s="732"/>
      <c r="G205" s="732"/>
      <c r="H205" s="732">
        <f t="shared" si="5"/>
        <v>150990522.68000001</v>
      </c>
      <c r="J205" s="485"/>
    </row>
    <row r="206" spans="1:10" ht="18" x14ac:dyDescent="0.25">
      <c r="A206" s="723"/>
      <c r="B206" s="734" t="s">
        <v>1457</v>
      </c>
      <c r="C206" s="775"/>
      <c r="D206" s="732"/>
      <c r="E206" s="732"/>
      <c r="F206" s="732">
        <v>101373035</v>
      </c>
      <c r="G206" s="732"/>
      <c r="H206" s="732">
        <f t="shared" si="5"/>
        <v>101373035</v>
      </c>
      <c r="J206" s="484">
        <f>57050334.02-6500000-300000</f>
        <v>50250334.020000003</v>
      </c>
    </row>
    <row r="207" spans="1:10" x14ac:dyDescent="0.25">
      <c r="A207" s="729"/>
      <c r="B207" s="730" t="s">
        <v>1479</v>
      </c>
      <c r="C207" s="778"/>
      <c r="D207" s="735">
        <f>SUM(D204:D206)</f>
        <v>50250334.020000003</v>
      </c>
      <c r="E207" s="735">
        <f>SUM(E204:E206)</f>
        <v>150990522.68000001</v>
      </c>
      <c r="F207" s="755">
        <f>SUM(F204:F206)</f>
        <v>101373035</v>
      </c>
      <c r="G207" s="735">
        <f>SUM(G204:G206)</f>
        <v>0</v>
      </c>
      <c r="H207" s="735">
        <f t="shared" si="5"/>
        <v>302613891.70000005</v>
      </c>
    </row>
    <row r="208" spans="1:10" x14ac:dyDescent="0.25">
      <c r="A208" s="723"/>
      <c r="B208" s="725"/>
      <c r="C208" s="775"/>
      <c r="D208" s="769"/>
      <c r="E208" s="769"/>
      <c r="F208" s="769"/>
      <c r="G208" s="769"/>
      <c r="H208" s="769">
        <f t="shared" si="5"/>
        <v>0</v>
      </c>
    </row>
    <row r="209" spans="1:10" s="281" customFormat="1" ht="16.5" thickBot="1" x14ac:dyDescent="0.3">
      <c r="A209" s="749"/>
      <c r="B209" s="750" t="s">
        <v>1459</v>
      </c>
      <c r="C209" s="779"/>
      <c r="D209" s="751">
        <f>D207+D201+D191+D74+D30</f>
        <v>299830476.31999999</v>
      </c>
      <c r="E209" s="751">
        <f>E207+E201+E191+E74+E30</f>
        <v>284169016.27999997</v>
      </c>
      <c r="F209" s="768">
        <f>F207+F201+F191+F74+F30</f>
        <v>319678082.88</v>
      </c>
      <c r="G209" s="751">
        <f>G207+G201+G191+G74+G30</f>
        <v>0</v>
      </c>
      <c r="H209" s="751">
        <f t="shared" si="5"/>
        <v>903677575.4799999</v>
      </c>
      <c r="J209" s="485"/>
    </row>
    <row r="210" spans="1:10" x14ac:dyDescent="0.25">
      <c r="B210" s="726"/>
    </row>
    <row r="211" spans="1:10" s="281" customFormat="1" x14ac:dyDescent="0.25">
      <c r="A211" s="720"/>
      <c r="B211" s="720"/>
      <c r="C211" s="720"/>
      <c r="D211" s="490"/>
      <c r="E211" s="490"/>
      <c r="F211" s="490"/>
      <c r="G211" s="490"/>
      <c r="H211" s="490"/>
      <c r="J211" s="485"/>
    </row>
  </sheetData>
  <sortState ref="A6:H28">
    <sortCondition ref="A6"/>
  </sortState>
  <mergeCells count="1">
    <mergeCell ref="A4:B4"/>
  </mergeCells>
  <pageMargins left="0.31496062992125984" right="0.11811023622047245" top="0.74803149606299213" bottom="1.5748031496062993" header="0.31496062992125984" footer="0.31496062992125984"/>
  <pageSetup paperSize="5" scale="70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topLeftCell="A67" workbookViewId="0">
      <selection activeCell="C87" sqref="C87"/>
    </sheetView>
  </sheetViews>
  <sheetFormatPr defaultRowHeight="15.75" x14ac:dyDescent="0.25"/>
  <cols>
    <col min="1" max="1" width="41" style="490" customWidth="1"/>
    <col min="2" max="2" width="19.5703125" style="490" customWidth="1"/>
    <col min="3" max="3" width="19.28515625" style="490" customWidth="1"/>
    <col min="4" max="4" width="18.85546875" style="490" customWidth="1"/>
    <col min="5" max="5" width="19" style="490" customWidth="1"/>
    <col min="6" max="7" width="0" hidden="1" customWidth="1"/>
    <col min="8" max="8" width="27.42578125" style="484" customWidth="1"/>
    <col min="9" max="9" width="7.85546875" style="484" customWidth="1"/>
  </cols>
  <sheetData>
    <row r="1" spans="1:5" ht="18" x14ac:dyDescent="0.25">
      <c r="A1" s="772" t="s">
        <v>1460</v>
      </c>
    </row>
    <row r="3" spans="1:5" ht="31.5" x14ac:dyDescent="0.25">
      <c r="A3" s="770" t="s">
        <v>1320</v>
      </c>
      <c r="B3" s="771" t="s">
        <v>1331</v>
      </c>
      <c r="C3" s="770" t="s">
        <v>163</v>
      </c>
      <c r="D3" s="770" t="s">
        <v>201</v>
      </c>
      <c r="E3" s="770" t="s">
        <v>208</v>
      </c>
    </row>
    <row r="4" spans="1:5" x14ac:dyDescent="0.25">
      <c r="A4" s="487" t="s">
        <v>1461</v>
      </c>
      <c r="B4" s="487">
        <v>6507379.3899999997</v>
      </c>
      <c r="C4" s="487">
        <v>16598534.189999999</v>
      </c>
      <c r="D4" s="487">
        <v>317000</v>
      </c>
      <c r="E4" s="487">
        <f t="shared" ref="E4:E34" si="0">SUM(B4:D4)</f>
        <v>23422913.579999998</v>
      </c>
    </row>
    <row r="5" spans="1:5" x14ac:dyDescent="0.25">
      <c r="A5" s="487" t="s">
        <v>209</v>
      </c>
      <c r="B5" s="487">
        <v>8173375.04</v>
      </c>
      <c r="C5" s="487">
        <v>3851489.04</v>
      </c>
      <c r="D5" s="487">
        <v>389300</v>
      </c>
      <c r="E5" s="487">
        <f t="shared" si="0"/>
        <v>12414164.08</v>
      </c>
    </row>
    <row r="6" spans="1:5" x14ac:dyDescent="0.25">
      <c r="A6" s="487" t="s">
        <v>1462</v>
      </c>
      <c r="B6" s="546">
        <v>706254.08</v>
      </c>
      <c r="C6" s="487">
        <v>327964</v>
      </c>
      <c r="D6" s="487">
        <v>210000</v>
      </c>
      <c r="E6" s="487">
        <f t="shared" si="0"/>
        <v>1244218.08</v>
      </c>
    </row>
    <row r="7" spans="1:5" x14ac:dyDescent="0.25">
      <c r="A7" s="487" t="s">
        <v>1463</v>
      </c>
      <c r="B7" s="546">
        <v>1799816</v>
      </c>
      <c r="C7" s="487">
        <v>695894</v>
      </c>
      <c r="D7" s="487">
        <v>895000</v>
      </c>
      <c r="E7" s="487">
        <f t="shared" si="0"/>
        <v>3390710</v>
      </c>
    </row>
    <row r="8" spans="1:5" x14ac:dyDescent="0.25">
      <c r="A8" s="487" t="s">
        <v>1464</v>
      </c>
      <c r="B8" s="546">
        <v>1385383.59</v>
      </c>
      <c r="C8" s="487">
        <v>161114</v>
      </c>
      <c r="D8" s="487">
        <v>40000</v>
      </c>
      <c r="E8" s="487">
        <f t="shared" si="0"/>
        <v>1586497.59</v>
      </c>
    </row>
    <row r="9" spans="1:5" x14ac:dyDescent="0.25">
      <c r="A9" s="487" t="s">
        <v>1465</v>
      </c>
      <c r="B9" s="546">
        <v>1453972.54</v>
      </c>
      <c r="C9" s="487">
        <v>883258.44</v>
      </c>
      <c r="D9" s="487">
        <v>205200</v>
      </c>
      <c r="E9" s="487">
        <f t="shared" si="0"/>
        <v>2542430.98</v>
      </c>
    </row>
    <row r="10" spans="1:5" x14ac:dyDescent="0.25">
      <c r="A10" s="487" t="s">
        <v>1466</v>
      </c>
      <c r="B10" s="546">
        <v>1169714.31</v>
      </c>
      <c r="C10" s="487">
        <v>1371075.1</v>
      </c>
      <c r="D10" s="487">
        <v>410200</v>
      </c>
      <c r="E10" s="487">
        <f t="shared" si="0"/>
        <v>2950989.41</v>
      </c>
    </row>
    <row r="11" spans="1:5" x14ac:dyDescent="0.25">
      <c r="A11" s="487" t="s">
        <v>1467</v>
      </c>
      <c r="B11" s="546">
        <v>1121390.32</v>
      </c>
      <c r="C11" s="487">
        <v>1692028.16</v>
      </c>
      <c r="D11" s="487">
        <v>146000</v>
      </c>
      <c r="E11" s="487">
        <f t="shared" si="0"/>
        <v>2959418.48</v>
      </c>
    </row>
    <row r="12" spans="1:5" x14ac:dyDescent="0.25">
      <c r="A12" s="487" t="s">
        <v>1468</v>
      </c>
      <c r="B12" s="546">
        <v>713894.96</v>
      </c>
      <c r="C12" s="487">
        <v>143912</v>
      </c>
      <c r="D12" s="487"/>
      <c r="E12" s="487">
        <f t="shared" si="0"/>
        <v>857806.96</v>
      </c>
    </row>
    <row r="13" spans="1:5" x14ac:dyDescent="0.25">
      <c r="A13" s="487" t="s">
        <v>1469</v>
      </c>
      <c r="B13" s="546">
        <v>2261090.86</v>
      </c>
      <c r="C13" s="487">
        <v>1713781.72</v>
      </c>
      <c r="D13" s="487"/>
      <c r="E13" s="487">
        <f t="shared" si="0"/>
        <v>3974872.58</v>
      </c>
    </row>
    <row r="14" spans="1:5" x14ac:dyDescent="0.25">
      <c r="A14" s="487" t="s">
        <v>291</v>
      </c>
      <c r="B14" s="546">
        <v>3682061.72</v>
      </c>
      <c r="C14" s="487">
        <v>4625800</v>
      </c>
      <c r="D14" s="487"/>
      <c r="E14" s="487">
        <f t="shared" si="0"/>
        <v>8307861.7200000007</v>
      </c>
    </row>
    <row r="15" spans="1:5" x14ac:dyDescent="0.25">
      <c r="A15" s="487" t="s">
        <v>1470</v>
      </c>
      <c r="B15" s="546">
        <v>23547796.239999998</v>
      </c>
      <c r="C15" s="487">
        <v>8930800</v>
      </c>
      <c r="D15" s="487"/>
      <c r="E15" s="487">
        <f t="shared" si="0"/>
        <v>32478596.239999998</v>
      </c>
    </row>
    <row r="16" spans="1:5" x14ac:dyDescent="0.25">
      <c r="A16" s="487" t="s">
        <v>1471</v>
      </c>
      <c r="B16" s="546">
        <v>6824169.8799999999</v>
      </c>
      <c r="C16" s="487">
        <v>3595800</v>
      </c>
      <c r="D16" s="487"/>
      <c r="E16" s="487">
        <f t="shared" si="0"/>
        <v>10419969.879999999</v>
      </c>
    </row>
    <row r="17" spans="1:5" x14ac:dyDescent="0.25">
      <c r="A17" s="487" t="s">
        <v>1472</v>
      </c>
      <c r="B17" s="546">
        <v>394451.28</v>
      </c>
      <c r="C17" s="487">
        <v>259000</v>
      </c>
      <c r="D17" s="487"/>
      <c r="E17" s="487">
        <f t="shared" si="0"/>
        <v>653451.28</v>
      </c>
    </row>
    <row r="18" spans="1:5" x14ac:dyDescent="0.25">
      <c r="A18" s="487" t="s">
        <v>324</v>
      </c>
      <c r="B18" s="546">
        <v>1969437.44</v>
      </c>
      <c r="C18" s="487">
        <v>242000</v>
      </c>
      <c r="D18" s="487">
        <v>400000</v>
      </c>
      <c r="E18" s="487">
        <f t="shared" si="0"/>
        <v>2611437.44</v>
      </c>
    </row>
    <row r="19" spans="1:5" x14ac:dyDescent="0.25">
      <c r="A19" s="487" t="s">
        <v>326</v>
      </c>
      <c r="B19" s="546">
        <v>1709074.56</v>
      </c>
      <c r="C19" s="487">
        <v>104600</v>
      </c>
      <c r="D19" s="487"/>
      <c r="E19" s="487">
        <f t="shared" si="0"/>
        <v>1813674.56</v>
      </c>
    </row>
    <row r="20" spans="1:5" x14ac:dyDescent="0.25">
      <c r="A20" s="487" t="s">
        <v>1473</v>
      </c>
      <c r="B20" s="546">
        <v>10045246.92</v>
      </c>
      <c r="C20" s="487">
        <v>848795</v>
      </c>
      <c r="D20" s="487">
        <v>500000</v>
      </c>
      <c r="E20" s="487">
        <f t="shared" si="0"/>
        <v>11394041.92</v>
      </c>
    </row>
    <row r="21" spans="1:5" x14ac:dyDescent="0.25">
      <c r="A21" s="487" t="s">
        <v>337</v>
      </c>
      <c r="B21" s="546">
        <v>6714256.6100000003</v>
      </c>
      <c r="C21" s="487">
        <v>1361610.76</v>
      </c>
      <c r="D21" s="487">
        <v>480000</v>
      </c>
      <c r="E21" s="487">
        <f t="shared" si="0"/>
        <v>8555867.370000001</v>
      </c>
    </row>
    <row r="22" spans="1:5" x14ac:dyDescent="0.25">
      <c r="A22" s="487" t="s">
        <v>1474</v>
      </c>
      <c r="B22" s="546">
        <v>3242523.87</v>
      </c>
      <c r="C22" s="487">
        <v>750844</v>
      </c>
      <c r="D22" s="487">
        <v>220000</v>
      </c>
      <c r="E22" s="487">
        <f t="shared" si="0"/>
        <v>4213367.87</v>
      </c>
    </row>
    <row r="23" spans="1:5" x14ac:dyDescent="0.25">
      <c r="A23" s="487" t="s">
        <v>352</v>
      </c>
      <c r="B23" s="546">
        <v>6068272.4900000002</v>
      </c>
      <c r="C23" s="487">
        <v>1219644.6399999999</v>
      </c>
      <c r="D23" s="487">
        <v>718500</v>
      </c>
      <c r="E23" s="487">
        <f t="shared" si="0"/>
        <v>8006417.1299999999</v>
      </c>
    </row>
    <row r="24" spans="1:5" x14ac:dyDescent="0.25">
      <c r="A24" s="487" t="s">
        <v>1475</v>
      </c>
      <c r="B24" s="546">
        <v>13047649.58</v>
      </c>
      <c r="C24" s="487">
        <v>33835798</v>
      </c>
      <c r="D24" s="487">
        <v>2620000</v>
      </c>
      <c r="E24" s="487">
        <f t="shared" si="0"/>
        <v>49503447.579999998</v>
      </c>
    </row>
    <row r="25" spans="1:5" x14ac:dyDescent="0.25">
      <c r="A25" s="487" t="s">
        <v>425</v>
      </c>
      <c r="B25" s="546">
        <v>7977381.46</v>
      </c>
      <c r="C25" s="487">
        <v>2636910.48</v>
      </c>
      <c r="D25" s="487"/>
      <c r="E25" s="487">
        <f t="shared" si="0"/>
        <v>10614291.939999999</v>
      </c>
    </row>
    <row r="26" spans="1:5" x14ac:dyDescent="0.25">
      <c r="A26" s="487" t="s">
        <v>437</v>
      </c>
      <c r="B26" s="546">
        <v>6566075.4400000004</v>
      </c>
      <c r="C26" s="487">
        <v>2551141.44</v>
      </c>
      <c r="D26" s="487">
        <v>820600</v>
      </c>
      <c r="E26" s="487">
        <f t="shared" si="0"/>
        <v>9937816.8800000008</v>
      </c>
    </row>
    <row r="27" spans="1:5" x14ac:dyDescent="0.25">
      <c r="A27" s="487" t="s">
        <v>455</v>
      </c>
      <c r="B27" s="546">
        <v>2410949.92</v>
      </c>
      <c r="C27" s="487">
        <v>760977.96</v>
      </c>
      <c r="D27" s="487">
        <v>280000</v>
      </c>
      <c r="E27" s="487">
        <f t="shared" si="0"/>
        <v>3451927.88</v>
      </c>
    </row>
    <row r="28" spans="1:5" x14ac:dyDescent="0.25">
      <c r="A28" s="487" t="s">
        <v>463</v>
      </c>
      <c r="B28" s="546">
        <v>22677437.699999999</v>
      </c>
      <c r="C28" s="487">
        <v>70077225.159999996</v>
      </c>
      <c r="D28" s="487">
        <v>1138150</v>
      </c>
      <c r="E28" s="487">
        <f t="shared" si="0"/>
        <v>93892812.859999999</v>
      </c>
    </row>
    <row r="29" spans="1:5" x14ac:dyDescent="0.25">
      <c r="A29" s="487" t="s">
        <v>1476</v>
      </c>
      <c r="B29" s="546">
        <v>5037506.8600000003</v>
      </c>
      <c r="C29" s="487">
        <v>1312697.56</v>
      </c>
      <c r="D29" s="487">
        <v>178000</v>
      </c>
      <c r="E29" s="487">
        <f t="shared" si="0"/>
        <v>6528204.4199999999</v>
      </c>
    </row>
    <row r="30" spans="1:5" x14ac:dyDescent="0.25">
      <c r="A30" s="487" t="s">
        <v>518</v>
      </c>
      <c r="B30" s="546">
        <v>11478034.970000001</v>
      </c>
      <c r="C30" s="487">
        <v>4916911.9000000004</v>
      </c>
      <c r="D30" s="487">
        <v>5143100</v>
      </c>
      <c r="E30" s="487">
        <f t="shared" si="0"/>
        <v>21538046.870000001</v>
      </c>
    </row>
    <row r="31" spans="1:5" x14ac:dyDescent="0.25">
      <c r="A31" s="487" t="s">
        <v>551</v>
      </c>
      <c r="B31" s="546">
        <v>3883468.68</v>
      </c>
      <c r="C31" s="487">
        <v>966357</v>
      </c>
      <c r="D31" s="487">
        <v>103900</v>
      </c>
      <c r="E31" s="487">
        <f t="shared" si="0"/>
        <v>4953725.68</v>
      </c>
    </row>
    <row r="32" spans="1:5" x14ac:dyDescent="0.25">
      <c r="A32" s="487" t="s">
        <v>1478</v>
      </c>
      <c r="B32" s="546">
        <v>16915502.960000001</v>
      </c>
      <c r="C32" s="487">
        <v>11622164.16</v>
      </c>
      <c r="D32" s="487">
        <v>978700</v>
      </c>
      <c r="E32" s="487">
        <f t="shared" si="0"/>
        <v>29516367.120000001</v>
      </c>
    </row>
    <row r="33" spans="1:9" x14ac:dyDescent="0.25">
      <c r="A33" s="487" t="s">
        <v>1477</v>
      </c>
      <c r="B33" s="487">
        <v>3105536.12</v>
      </c>
      <c r="C33" s="487">
        <v>1677103.1</v>
      </c>
      <c r="D33" s="487">
        <v>207000</v>
      </c>
      <c r="E33" s="487">
        <f t="shared" si="0"/>
        <v>4989639.2200000007</v>
      </c>
    </row>
    <row r="34" spans="1:9" s="281" customFormat="1" x14ac:dyDescent="0.25">
      <c r="A34" s="488" t="s">
        <v>1323</v>
      </c>
      <c r="B34" s="488">
        <f>SUM(B4:B33)</f>
        <v>182589105.79000002</v>
      </c>
      <c r="C34" s="488">
        <f>SUM(C4:C33)</f>
        <v>179735231.81</v>
      </c>
      <c r="D34" s="488">
        <f>SUM(D4:D33)</f>
        <v>16400650</v>
      </c>
      <c r="E34" s="488">
        <f t="shared" si="0"/>
        <v>378724987.60000002</v>
      </c>
      <c r="H34" s="485"/>
      <c r="I34" s="485"/>
    </row>
    <row r="35" spans="1:9" x14ac:dyDescent="0.25">
      <c r="A35" s="487"/>
      <c r="B35" s="487"/>
      <c r="C35" s="487"/>
      <c r="D35" s="487"/>
      <c r="E35" s="487"/>
    </row>
    <row r="36" spans="1:9" x14ac:dyDescent="0.25">
      <c r="A36" s="488" t="s">
        <v>576</v>
      </c>
      <c r="B36" s="487"/>
      <c r="C36" s="487"/>
      <c r="D36" s="487"/>
      <c r="E36" s="487"/>
    </row>
    <row r="37" spans="1:9" x14ac:dyDescent="0.25">
      <c r="A37" s="487" t="s">
        <v>1332</v>
      </c>
      <c r="B37" s="487"/>
      <c r="C37" s="487">
        <v>32500000</v>
      </c>
      <c r="D37" s="487">
        <v>115761034.8</v>
      </c>
      <c r="E37" s="487">
        <f>SUM(B37:D37)</f>
        <v>148261034.80000001</v>
      </c>
    </row>
    <row r="38" spans="1:9" x14ac:dyDescent="0.25">
      <c r="A38" s="487" t="s">
        <v>1330</v>
      </c>
      <c r="B38" s="487"/>
      <c r="C38" s="487">
        <v>29318172.93</v>
      </c>
      <c r="D38" s="487">
        <v>13400000</v>
      </c>
      <c r="E38" s="487">
        <f>SUM(B38:D38)</f>
        <v>42718172.93</v>
      </c>
    </row>
    <row r="39" spans="1:9" x14ac:dyDescent="0.25">
      <c r="A39" s="487" t="s">
        <v>1329</v>
      </c>
      <c r="B39" s="487"/>
      <c r="C39" s="487">
        <v>215000</v>
      </c>
      <c r="D39" s="487"/>
      <c r="E39" s="487">
        <f>SUM(B39:D39)</f>
        <v>215000</v>
      </c>
    </row>
    <row r="40" spans="1:9" s="281" customFormat="1" x14ac:dyDescent="0.25">
      <c r="A40" s="488" t="s">
        <v>1333</v>
      </c>
      <c r="B40" s="488">
        <f>SUM(B38:B38)</f>
        <v>0</v>
      </c>
      <c r="C40" s="488">
        <f>SUM(C37:C39)</f>
        <v>62033172.93</v>
      </c>
      <c r="D40" s="488">
        <f>SUM(D37:D39)</f>
        <v>129161034.8</v>
      </c>
      <c r="E40" s="488">
        <f>SUM(E37:E39)</f>
        <v>191194207.73000002</v>
      </c>
      <c r="H40" s="485"/>
      <c r="I40" s="485"/>
    </row>
    <row r="41" spans="1:9" x14ac:dyDescent="0.25">
      <c r="A41" s="487"/>
      <c r="B41" s="487"/>
      <c r="C41" s="487"/>
      <c r="D41" s="487"/>
      <c r="E41" s="487">
        <f t="shared" ref="E41:E46" si="1">SUM(B41:D41)</f>
        <v>0</v>
      </c>
    </row>
    <row r="42" spans="1:9" x14ac:dyDescent="0.25">
      <c r="A42" s="488" t="s">
        <v>1334</v>
      </c>
      <c r="B42" s="487"/>
      <c r="C42" s="487"/>
      <c r="D42" s="487"/>
      <c r="E42" s="487">
        <f t="shared" si="1"/>
        <v>0</v>
      </c>
    </row>
    <row r="43" spans="1:9" x14ac:dyDescent="0.25">
      <c r="A43" s="487" t="s">
        <v>1335</v>
      </c>
      <c r="B43" s="487"/>
      <c r="C43" s="487">
        <v>37402000</v>
      </c>
      <c r="D43" s="487"/>
      <c r="E43" s="487">
        <f t="shared" si="1"/>
        <v>37402000</v>
      </c>
    </row>
    <row r="44" spans="1:9" x14ac:dyDescent="0.25">
      <c r="A44" s="487" t="s">
        <v>1236</v>
      </c>
      <c r="B44" s="487"/>
      <c r="C44" s="487">
        <v>1010000</v>
      </c>
      <c r="D44" s="487">
        <v>160000</v>
      </c>
      <c r="E44" s="487">
        <f t="shared" si="1"/>
        <v>1170000</v>
      </c>
    </row>
    <row r="45" spans="1:9" x14ac:dyDescent="0.25">
      <c r="A45" s="487" t="s">
        <v>1336</v>
      </c>
      <c r="B45" s="487"/>
      <c r="C45" s="487">
        <v>4200000</v>
      </c>
      <c r="D45" s="487"/>
      <c r="E45" s="487">
        <f t="shared" si="1"/>
        <v>4200000</v>
      </c>
    </row>
    <row r="46" spans="1:9" x14ac:dyDescent="0.25">
      <c r="A46" s="487" t="s">
        <v>1337</v>
      </c>
      <c r="B46" s="487"/>
      <c r="C46" s="487">
        <v>17645647</v>
      </c>
      <c r="D46" s="487"/>
      <c r="E46" s="487">
        <f t="shared" si="1"/>
        <v>17645647</v>
      </c>
    </row>
    <row r="47" spans="1:9" s="281" customFormat="1" x14ac:dyDescent="0.25">
      <c r="A47" s="488" t="s">
        <v>1338</v>
      </c>
      <c r="B47" s="488">
        <f>SUM(B43:B46)</f>
        <v>0</v>
      </c>
      <c r="C47" s="488">
        <f>SUM(C43:C46)</f>
        <v>60257647</v>
      </c>
      <c r="D47" s="488">
        <f>SUM(D43:D46)</f>
        <v>160000</v>
      </c>
      <c r="E47" s="488">
        <f>SUM(E43:E46)</f>
        <v>60417647</v>
      </c>
      <c r="H47" s="485"/>
      <c r="I47" s="485"/>
    </row>
    <row r="48" spans="1:9" x14ac:dyDescent="0.25">
      <c r="A48" s="487"/>
      <c r="B48" s="487"/>
      <c r="C48" s="487"/>
      <c r="D48" s="487"/>
      <c r="E48" s="487"/>
    </row>
    <row r="49" spans="1:5" x14ac:dyDescent="0.25">
      <c r="A49" s="489" t="s">
        <v>1339</v>
      </c>
      <c r="B49" s="487"/>
      <c r="C49" s="488">
        <v>20000000</v>
      </c>
      <c r="D49" s="488"/>
      <c r="E49" s="488">
        <f>SUM(B49:D49)</f>
        <v>20000000</v>
      </c>
    </row>
    <row r="50" spans="1:5" x14ac:dyDescent="0.25">
      <c r="A50" s="487"/>
      <c r="B50" s="487"/>
      <c r="C50" s="487"/>
      <c r="D50" s="487"/>
      <c r="E50" s="487"/>
    </row>
    <row r="51" spans="1:5" x14ac:dyDescent="0.25">
      <c r="A51" s="488" t="s">
        <v>1340</v>
      </c>
      <c r="B51" s="487"/>
      <c r="C51" s="487"/>
      <c r="D51" s="487"/>
      <c r="E51" s="487"/>
    </row>
    <row r="52" spans="1:5" x14ac:dyDescent="0.25">
      <c r="A52" s="487" t="s">
        <v>1341</v>
      </c>
      <c r="B52" s="487"/>
      <c r="C52" s="487">
        <v>218000</v>
      </c>
      <c r="D52" s="487">
        <v>30000</v>
      </c>
      <c r="E52" s="487">
        <f t="shared" ref="E52:E86" si="2">SUM(B52:D52)</f>
        <v>248000</v>
      </c>
    </row>
    <row r="53" spans="1:5" x14ac:dyDescent="0.25">
      <c r="A53" s="487" t="s">
        <v>1342</v>
      </c>
      <c r="B53" s="487"/>
      <c r="C53" s="487">
        <v>198600</v>
      </c>
      <c r="D53" s="487">
        <v>89000</v>
      </c>
      <c r="E53" s="487">
        <f t="shared" si="2"/>
        <v>287600</v>
      </c>
    </row>
    <row r="54" spans="1:5" x14ac:dyDescent="0.25">
      <c r="A54" s="487" t="s">
        <v>1343</v>
      </c>
      <c r="B54" s="487"/>
      <c r="C54" s="487">
        <v>279000</v>
      </c>
      <c r="D54" s="487"/>
      <c r="E54" s="487">
        <f t="shared" si="2"/>
        <v>279000</v>
      </c>
    </row>
    <row r="55" spans="1:5" x14ac:dyDescent="0.25">
      <c r="A55" s="487" t="s">
        <v>1344</v>
      </c>
      <c r="B55" s="487"/>
      <c r="C55" s="487">
        <v>250303</v>
      </c>
      <c r="D55" s="487">
        <v>231000</v>
      </c>
      <c r="E55" s="487">
        <f t="shared" si="2"/>
        <v>481303</v>
      </c>
    </row>
    <row r="56" spans="1:5" x14ac:dyDescent="0.25">
      <c r="A56" s="487" t="s">
        <v>1345</v>
      </c>
      <c r="B56" s="487"/>
      <c r="C56" s="487">
        <v>350421</v>
      </c>
      <c r="D56" s="487">
        <v>125000</v>
      </c>
      <c r="E56" s="487">
        <f t="shared" si="2"/>
        <v>475421</v>
      </c>
    </row>
    <row r="57" spans="1:5" x14ac:dyDescent="0.25">
      <c r="A57" s="487" t="s">
        <v>1346</v>
      </c>
      <c r="B57" s="487"/>
      <c r="C57" s="487">
        <v>652921</v>
      </c>
      <c r="D57" s="487">
        <v>186000</v>
      </c>
      <c r="E57" s="487">
        <f t="shared" si="2"/>
        <v>838921</v>
      </c>
    </row>
    <row r="58" spans="1:5" x14ac:dyDescent="0.25">
      <c r="A58" s="487" t="s">
        <v>1347</v>
      </c>
      <c r="B58" s="487"/>
      <c r="C58" s="487">
        <v>541559</v>
      </c>
      <c r="D58" s="487">
        <v>175000</v>
      </c>
      <c r="E58" s="487">
        <f t="shared" si="2"/>
        <v>716559</v>
      </c>
    </row>
    <row r="59" spans="1:5" x14ac:dyDescent="0.25">
      <c r="A59" s="487" t="s">
        <v>1348</v>
      </c>
      <c r="B59" s="487"/>
      <c r="C59" s="487">
        <v>443288</v>
      </c>
      <c r="D59" s="487">
        <v>158000</v>
      </c>
      <c r="E59" s="487">
        <f t="shared" si="2"/>
        <v>601288</v>
      </c>
    </row>
    <row r="60" spans="1:5" x14ac:dyDescent="0.25">
      <c r="A60" s="487" t="s">
        <v>1349</v>
      </c>
      <c r="B60" s="487"/>
      <c r="C60" s="487">
        <v>175000</v>
      </c>
      <c r="D60" s="487"/>
      <c r="E60" s="487">
        <f t="shared" si="2"/>
        <v>175000</v>
      </c>
    </row>
    <row r="61" spans="1:5" x14ac:dyDescent="0.25">
      <c r="A61" s="487" t="s">
        <v>1350</v>
      </c>
      <c r="B61" s="487"/>
      <c r="C61" s="487">
        <v>4175220</v>
      </c>
      <c r="D61" s="487">
        <v>1131000</v>
      </c>
      <c r="E61" s="487">
        <f t="shared" si="2"/>
        <v>5306220</v>
      </c>
    </row>
    <row r="62" spans="1:5" x14ac:dyDescent="0.25">
      <c r="A62" s="487" t="s">
        <v>1351</v>
      </c>
      <c r="B62" s="487"/>
      <c r="C62" s="487">
        <v>991000</v>
      </c>
      <c r="D62" s="487"/>
      <c r="E62" s="487">
        <f t="shared" si="2"/>
        <v>991000</v>
      </c>
    </row>
    <row r="63" spans="1:5" x14ac:dyDescent="0.25">
      <c r="A63" s="487" t="s">
        <v>1352</v>
      </c>
      <c r="B63" s="487"/>
      <c r="C63" s="487">
        <v>227416.5</v>
      </c>
      <c r="D63" s="487">
        <v>50000</v>
      </c>
      <c r="E63" s="487">
        <f t="shared" si="2"/>
        <v>277416.5</v>
      </c>
    </row>
    <row r="64" spans="1:5" x14ac:dyDescent="0.25">
      <c r="A64" s="487" t="s">
        <v>1353</v>
      </c>
      <c r="B64" s="487"/>
      <c r="C64" s="487">
        <v>903205</v>
      </c>
      <c r="D64" s="487">
        <v>190000</v>
      </c>
      <c r="E64" s="487">
        <f t="shared" si="2"/>
        <v>1093205</v>
      </c>
    </row>
    <row r="65" spans="1:8" x14ac:dyDescent="0.25">
      <c r="A65" s="487" t="s">
        <v>1354</v>
      </c>
      <c r="B65" s="487"/>
      <c r="C65" s="487">
        <v>17050000</v>
      </c>
      <c r="D65" s="487"/>
      <c r="E65" s="487">
        <f t="shared" si="2"/>
        <v>17050000</v>
      </c>
    </row>
    <row r="66" spans="1:8" x14ac:dyDescent="0.25">
      <c r="A66" s="487" t="s">
        <v>1355</v>
      </c>
      <c r="B66" s="487"/>
      <c r="C66" s="487">
        <v>1235000</v>
      </c>
      <c r="D66" s="487">
        <v>554000</v>
      </c>
      <c r="E66" s="487">
        <f t="shared" si="2"/>
        <v>1789000</v>
      </c>
    </row>
    <row r="67" spans="1:8" x14ac:dyDescent="0.25">
      <c r="A67" s="487" t="s">
        <v>1356</v>
      </c>
      <c r="B67" s="487"/>
      <c r="C67" s="487">
        <v>12239000</v>
      </c>
      <c r="D67" s="487"/>
      <c r="E67" s="487">
        <f t="shared" si="2"/>
        <v>12239000</v>
      </c>
    </row>
    <row r="68" spans="1:8" x14ac:dyDescent="0.25">
      <c r="A68" s="487" t="s">
        <v>1357</v>
      </c>
      <c r="B68" s="487"/>
      <c r="C68" s="487">
        <v>31750000</v>
      </c>
      <c r="D68" s="487"/>
      <c r="E68" s="487">
        <f t="shared" si="2"/>
        <v>31750000</v>
      </c>
    </row>
    <row r="69" spans="1:8" x14ac:dyDescent="0.25">
      <c r="A69" s="487" t="s">
        <v>993</v>
      </c>
      <c r="B69" s="487"/>
      <c r="C69" s="487">
        <v>4036475</v>
      </c>
      <c r="D69" s="487"/>
      <c r="E69" s="487">
        <f t="shared" si="2"/>
        <v>4036475</v>
      </c>
    </row>
    <row r="70" spans="1:8" x14ac:dyDescent="0.25">
      <c r="A70" s="487" t="s">
        <v>1358</v>
      </c>
      <c r="B70" s="487"/>
      <c r="C70" s="487">
        <v>11550500</v>
      </c>
      <c r="D70" s="487"/>
      <c r="E70" s="487">
        <f t="shared" si="2"/>
        <v>11550500</v>
      </c>
    </row>
    <row r="71" spans="1:8" x14ac:dyDescent="0.25">
      <c r="A71" s="487" t="s">
        <v>1021</v>
      </c>
      <c r="B71" s="487"/>
      <c r="C71" s="487">
        <v>103400</v>
      </c>
      <c r="D71" s="487"/>
      <c r="E71" s="487">
        <f t="shared" si="2"/>
        <v>103400</v>
      </c>
    </row>
    <row r="72" spans="1:8" x14ac:dyDescent="0.25">
      <c r="A72" s="487" t="s">
        <v>1028</v>
      </c>
      <c r="B72" s="487"/>
      <c r="C72" s="487">
        <v>1242535</v>
      </c>
      <c r="D72" s="487"/>
      <c r="E72" s="487">
        <f t="shared" si="2"/>
        <v>1242535</v>
      </c>
    </row>
    <row r="73" spans="1:8" x14ac:dyDescent="0.25">
      <c r="A73" s="487" t="s">
        <v>1321</v>
      </c>
      <c r="B73" s="487"/>
      <c r="C73" s="487">
        <v>2150000</v>
      </c>
      <c r="D73" s="487"/>
      <c r="E73" s="487">
        <f t="shared" si="2"/>
        <v>2150000</v>
      </c>
    </row>
    <row r="74" spans="1:8" x14ac:dyDescent="0.25">
      <c r="A74" s="487" t="s">
        <v>1359</v>
      </c>
      <c r="B74" s="487"/>
      <c r="C74" s="487">
        <v>2892250</v>
      </c>
      <c r="D74" s="487"/>
      <c r="E74" s="487">
        <f t="shared" si="2"/>
        <v>2892250</v>
      </c>
    </row>
    <row r="75" spans="1:8" x14ac:dyDescent="0.25">
      <c r="A75" s="487" t="s">
        <v>27</v>
      </c>
      <c r="B75" s="487"/>
      <c r="C75" s="487">
        <v>2957783.76</v>
      </c>
      <c r="D75" s="487"/>
      <c r="E75" s="487">
        <f t="shared" si="2"/>
        <v>2957783.76</v>
      </c>
    </row>
    <row r="76" spans="1:8" x14ac:dyDescent="0.25">
      <c r="A76" s="487" t="s">
        <v>1360</v>
      </c>
      <c r="B76" s="487"/>
      <c r="C76" s="487">
        <v>4360000</v>
      </c>
      <c r="D76" s="487"/>
      <c r="E76" s="487">
        <f t="shared" si="2"/>
        <v>4360000</v>
      </c>
    </row>
    <row r="77" spans="1:8" x14ac:dyDescent="0.25">
      <c r="A77" s="487" t="s">
        <v>33</v>
      </c>
      <c r="B77" s="487"/>
      <c r="C77" s="487">
        <v>2142319.7599999998</v>
      </c>
      <c r="D77" s="487"/>
      <c r="E77" s="487">
        <f t="shared" si="2"/>
        <v>2142319.7599999998</v>
      </c>
    </row>
    <row r="78" spans="1:8" x14ac:dyDescent="0.25">
      <c r="A78" s="487" t="s">
        <v>35</v>
      </c>
      <c r="B78" s="487"/>
      <c r="C78" s="487">
        <v>9053045</v>
      </c>
      <c r="D78" s="487"/>
      <c r="E78" s="487">
        <f t="shared" si="2"/>
        <v>9053045</v>
      </c>
    </row>
    <row r="79" spans="1:8" x14ac:dyDescent="0.25">
      <c r="A79" s="487" t="s">
        <v>1322</v>
      </c>
      <c r="B79" s="487"/>
      <c r="C79" s="487">
        <v>19931591.68</v>
      </c>
      <c r="D79" s="487"/>
      <c r="E79" s="487">
        <f t="shared" si="2"/>
        <v>19931591.68</v>
      </c>
    </row>
    <row r="80" spans="1:8" x14ac:dyDescent="0.25">
      <c r="A80" s="487" t="s">
        <v>1369</v>
      </c>
      <c r="B80" s="487"/>
      <c r="C80" s="487">
        <v>4650000</v>
      </c>
      <c r="D80" s="487">
        <v>100000</v>
      </c>
      <c r="E80" s="487">
        <f t="shared" si="2"/>
        <v>4750000</v>
      </c>
      <c r="H80" s="484">
        <f>4750000-100000</f>
        <v>4650000</v>
      </c>
    </row>
    <row r="81" spans="1:9" x14ac:dyDescent="0.25">
      <c r="A81" s="487" t="s">
        <v>1368</v>
      </c>
      <c r="B81" s="487"/>
      <c r="C81" s="487">
        <v>5730000</v>
      </c>
      <c r="D81" s="487"/>
      <c r="E81" s="487">
        <f t="shared" si="2"/>
        <v>5730000</v>
      </c>
    </row>
    <row r="82" spans="1:9" x14ac:dyDescent="0.25">
      <c r="A82" s="487" t="s">
        <v>1367</v>
      </c>
      <c r="B82" s="487"/>
      <c r="C82" s="487">
        <v>2907411</v>
      </c>
      <c r="D82" s="487">
        <v>50000</v>
      </c>
      <c r="E82" s="487">
        <f t="shared" si="2"/>
        <v>2957411</v>
      </c>
      <c r="H82" s="484">
        <f>2957411-50000</f>
        <v>2907411</v>
      </c>
    </row>
    <row r="83" spans="1:9" x14ac:dyDescent="0.25">
      <c r="A83" s="487" t="s">
        <v>1365</v>
      </c>
      <c r="B83" s="487"/>
      <c r="C83" s="487">
        <v>50000</v>
      </c>
      <c r="D83" s="487"/>
      <c r="E83" s="487">
        <f t="shared" si="2"/>
        <v>50000</v>
      </c>
    </row>
    <row r="84" spans="1:9" x14ac:dyDescent="0.25">
      <c r="A84" s="487" t="s">
        <v>1366</v>
      </c>
      <c r="B84" s="487"/>
      <c r="C84" s="487">
        <v>280000</v>
      </c>
      <c r="D84" s="487"/>
      <c r="E84" s="487">
        <f t="shared" si="2"/>
        <v>280000</v>
      </c>
    </row>
    <row r="85" spans="1:9" x14ac:dyDescent="0.25">
      <c r="A85" s="487" t="s">
        <v>1361</v>
      </c>
      <c r="B85" s="487"/>
      <c r="C85" s="487">
        <v>71210000</v>
      </c>
      <c r="D85" s="487"/>
      <c r="E85" s="487">
        <f t="shared" si="2"/>
        <v>71210000</v>
      </c>
    </row>
    <row r="86" spans="1:9" x14ac:dyDescent="0.25">
      <c r="A86" s="487" t="s">
        <v>1362</v>
      </c>
      <c r="B86" s="487"/>
      <c r="C86" s="487">
        <v>9000000</v>
      </c>
      <c r="D86" s="487"/>
      <c r="E86" s="487">
        <f t="shared" si="2"/>
        <v>9000000</v>
      </c>
    </row>
    <row r="87" spans="1:9" x14ac:dyDescent="0.25">
      <c r="A87" s="488" t="s">
        <v>1363</v>
      </c>
      <c r="B87" s="487"/>
      <c r="C87" s="488">
        <f>SUM(C52:C86)</f>
        <v>225927244.70000002</v>
      </c>
      <c r="D87" s="488">
        <f>SUM(D52:D86)</f>
        <v>3069000</v>
      </c>
      <c r="E87" s="488">
        <f>SUM(E52:E86)</f>
        <v>228996244.70000002</v>
      </c>
    </row>
    <row r="88" spans="1:9" s="281" customFormat="1" x14ac:dyDescent="0.25">
      <c r="A88" s="488" t="s">
        <v>1260</v>
      </c>
      <c r="B88" s="488">
        <f>B87+B49+B47+B40+B34</f>
        <v>182589105.79000002</v>
      </c>
      <c r="C88" s="488">
        <f>C87+C49+C47+C40+C34</f>
        <v>547953296.44000006</v>
      </c>
      <c r="D88" s="488">
        <f>D87+D49+D47+D40+D34</f>
        <v>148790684.80000001</v>
      </c>
      <c r="E88" s="488">
        <f>E87+E49+E47+E40+E34</f>
        <v>879333087.03000009</v>
      </c>
      <c r="H88" s="485"/>
      <c r="I88" s="485"/>
    </row>
    <row r="89" spans="1:9" x14ac:dyDescent="0.25">
      <c r="A89" s="487"/>
      <c r="B89" s="487"/>
      <c r="C89" s="487"/>
      <c r="D89" s="487"/>
      <c r="E89" s="487"/>
    </row>
    <row r="90" spans="1:9" x14ac:dyDescent="0.25">
      <c r="A90" s="488" t="s">
        <v>1364</v>
      </c>
      <c r="B90" s="487"/>
      <c r="C90" s="487"/>
      <c r="D90" s="487"/>
      <c r="E90" s="487"/>
    </row>
    <row r="91" spans="1:9" x14ac:dyDescent="0.25">
      <c r="A91" s="487" t="s">
        <v>1324</v>
      </c>
      <c r="B91" s="487">
        <v>7721622.5800000001</v>
      </c>
      <c r="C91" s="487">
        <v>10330292.369999999</v>
      </c>
      <c r="D91" s="487">
        <v>385000</v>
      </c>
      <c r="E91" s="487">
        <f>SUM(B91:D91)</f>
        <v>18436914.949999999</v>
      </c>
    </row>
    <row r="92" spans="1:9" x14ac:dyDescent="0.25">
      <c r="A92" s="487" t="s">
        <v>1325</v>
      </c>
      <c r="B92" s="487">
        <v>3839643.54</v>
      </c>
      <c r="C92" s="487">
        <v>2329150.64</v>
      </c>
      <c r="D92" s="487">
        <v>77900</v>
      </c>
      <c r="E92" s="487">
        <f>SUM(B92:D92)</f>
        <v>6246694.1799999997</v>
      </c>
    </row>
    <row r="93" spans="1:9" x14ac:dyDescent="0.25">
      <c r="A93" s="487" t="s">
        <v>1326</v>
      </c>
      <c r="B93" s="487">
        <v>5570703.8700000001</v>
      </c>
      <c r="C93" s="487">
        <v>2149217</v>
      </c>
      <c r="D93" s="487">
        <v>110600</v>
      </c>
      <c r="E93" s="487">
        <f>SUM(B93:D93)</f>
        <v>7830520.8700000001</v>
      </c>
    </row>
    <row r="94" spans="1:9" s="281" customFormat="1" x14ac:dyDescent="0.25">
      <c r="A94" s="488" t="s">
        <v>1312</v>
      </c>
      <c r="B94" s="488">
        <f>SUM(B91:B93)</f>
        <v>17131969.990000002</v>
      </c>
      <c r="C94" s="488">
        <f>SUM(C91:C93)</f>
        <v>14808660.01</v>
      </c>
      <c r="D94" s="488">
        <f>SUM(D91:D93)</f>
        <v>573500</v>
      </c>
      <c r="E94" s="488">
        <f>SUM(E91:E93)</f>
        <v>32514130</v>
      </c>
      <c r="H94" s="485"/>
      <c r="I94" s="485"/>
    </row>
    <row r="95" spans="1:9" s="281" customFormat="1" x14ac:dyDescent="0.25">
      <c r="A95" s="488" t="s">
        <v>1313</v>
      </c>
      <c r="B95" s="488">
        <f>B88+B94</f>
        <v>199721075.78000003</v>
      </c>
      <c r="C95" s="488">
        <f>C88+C94</f>
        <v>562761956.45000005</v>
      </c>
      <c r="D95" s="488">
        <f>D88+D94</f>
        <v>149364184.80000001</v>
      </c>
      <c r="E95" s="488">
        <f>E88+E94</f>
        <v>911847217.03000009</v>
      </c>
      <c r="H95" s="485"/>
      <c r="I95" s="485"/>
    </row>
    <row r="97" spans="2:5" x14ac:dyDescent="0.25">
      <c r="B97" s="792">
        <v>199721075.78</v>
      </c>
      <c r="C97" s="792">
        <f>C94+C34</f>
        <v>194543891.81999999</v>
      </c>
      <c r="D97" s="792">
        <f>D94+D34</f>
        <v>16974150</v>
      </c>
      <c r="E97" s="792">
        <v>911847217.02999997</v>
      </c>
    </row>
    <row r="98" spans="2:5" x14ac:dyDescent="0.25">
      <c r="B98" s="792">
        <f>B97-B95</f>
        <v>0</v>
      </c>
      <c r="C98" s="792"/>
      <c r="D98" s="792"/>
      <c r="E98" s="792">
        <f>E97-E95</f>
        <v>0</v>
      </c>
    </row>
    <row r="99" spans="2:5" x14ac:dyDescent="0.25">
      <c r="B99" s="792"/>
      <c r="C99" s="792"/>
      <c r="D99" s="792"/>
      <c r="E99" s="792"/>
    </row>
    <row r="100" spans="2:5" x14ac:dyDescent="0.25">
      <c r="B100" s="792">
        <f>B95+C34+D34+C94+D94</f>
        <v>411239117.60000002</v>
      </c>
      <c r="C100" s="792"/>
      <c r="D100" s="792"/>
      <c r="E100" s="792"/>
    </row>
    <row r="101" spans="2:5" x14ac:dyDescent="0.25">
      <c r="B101" s="792"/>
      <c r="C101" s="792"/>
      <c r="D101" s="792"/>
      <c r="E101" s="792"/>
    </row>
    <row r="102" spans="2:5" x14ac:dyDescent="0.25">
      <c r="B102" s="792"/>
      <c r="C102" s="792"/>
      <c r="D102" s="792"/>
      <c r="E102" s="792"/>
    </row>
  </sheetData>
  <pageMargins left="0.70866141732283472" right="0.31496062992125984" top="0.74803149606299213" bottom="1.5748031496062993" header="0.31496062992125984" footer="0.31496062992125984"/>
  <pageSetup paperSize="5" scale="7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CONSO LBP 2 2021 (10-22)</vt:lpstr>
      <vt:lpstr>CONSO LBP 2 2021 (10-22) (2)</vt:lpstr>
      <vt:lpstr>CONSO LBP 2 2021 (10-22) (2 (3</vt:lpstr>
      <vt:lpstr>CONSO LBP 2 2021 (4)</vt:lpstr>
      <vt:lpstr>CONSO LBP 2 2021 (3)</vt:lpstr>
      <vt:lpstr>PS-MOOE-CO-BYSECTOR</vt:lpstr>
      <vt:lpstr>SPA-OSPA</vt:lpstr>
      <vt:lpstr>PART4-1-BY SECTOR</vt:lpstr>
      <vt:lpstr>2-BY OFFICE</vt:lpstr>
      <vt:lpstr>PART4-1-BY SECTOR (23)</vt:lpstr>
      <vt:lpstr>2-BY OFFICE (2)</vt:lpstr>
      <vt:lpstr>by sec</vt:lpstr>
      <vt:lpstr>Sheet2</vt:lpstr>
      <vt:lpstr>BY SECTOR</vt:lpstr>
      <vt:lpstr>BY SECTOR (2)</vt:lpstr>
      <vt:lpstr>2-BY OFFICE (3)</vt:lpstr>
      <vt:lpstr>%2022-2023</vt:lpstr>
      <vt:lpstr>%2021-2022 (2)</vt:lpstr>
      <vt:lpstr>Sheet1</vt:lpstr>
      <vt:lpstr>'%2021-2022 (2)'!Print_Titles</vt:lpstr>
      <vt:lpstr>'%2022-2023'!Print_Titles</vt:lpstr>
      <vt:lpstr>'2-BY OFFICE'!Print_Titles</vt:lpstr>
      <vt:lpstr>'2-BY OFFICE (3)'!Print_Titles</vt:lpstr>
      <vt:lpstr>'PART4-1-BY SECTOR'!Print_Titles</vt:lpstr>
      <vt:lpstr>'PART4-1-BY SECTOR (23)'!Print_Titles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CGB</cp:lastModifiedBy>
  <cp:lastPrinted>2023-03-01T00:32:27Z</cp:lastPrinted>
  <dcterms:created xsi:type="dcterms:W3CDTF">2021-10-12T06:09:43Z</dcterms:created>
  <dcterms:modified xsi:type="dcterms:W3CDTF">2023-03-10T07:25:54Z</dcterms:modified>
</cp:coreProperties>
</file>